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3.xml" ContentType="application/vnd.openxmlformats-officedocument.spreadsheetml.worksheet+xml"/>
  <Override PartName="/xl/worksheets/sheet1.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9.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8.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9.xml" ContentType="application/vnd.openxmlformats-officedocument.spreadsheetml.worksheet+xml"/>
  <Override PartName="/xl/worksheets/sheet17.xml" ContentType="application/vnd.openxmlformats-officedocument.spreadsheetml.worksheet+xml"/>
  <Override PartName="/xl/worksheets/sheet24.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0240" windowHeight="17740"/>
  </bookViews>
  <sheets>
    <sheet sheetId="33" name="ACCUEIL" state="visible" r:id="rId4"/>
    <sheet sheetId="1" name="ETPT A-JUST" state="visible" r:id="rId5"/>
    <sheet sheetId="9" name="ETPT Format DDG" state="visible" r:id="rId6"/>
    <sheet sheetId="10" name="Agrégats DDG" state="visible" r:id="rId7"/>
    <sheet sheetId="19" name="Table_Fonctions" state="hidden" r:id="rId8"/>
    <sheet sheetId="25" name="ETPT_TJ" state="hidden" r:id="rId9"/>
    <sheet sheetId="26" name="ETPT_TPRX" state="hidden" r:id="rId10"/>
    <sheet sheetId="27" name="ETPT_CPH" state="hidden" r:id="rId11"/>
    <sheet sheetId="38" name="ETPT_JUR_ASS" state="hidden" r:id="rId12"/>
    <sheet sheetId="28" name="ETPT_TJ_DDG" state="visible" r:id="rId13"/>
    <sheet sheetId="29" name="ETPT_TPRX_DDG" state="visible" r:id="rId14"/>
    <sheet sheetId="30" name="ETPT_CPH_DDG" state="visible" r:id="rId15"/>
    <sheet sheetId="39" name="ETPT_JUR_ASS_DDG" state="visible" r:id="rId16"/>
    <sheet sheetId="17" name="Juridictions" state="hidden" r:id="rId17"/>
    <sheet sheetId="24" name="ETPT_TJ_corresp-SIEGE-TJ" state="hidden" r:id="rId18"/>
    <sheet sheetId="34" name="ETPT_TPROX_corresp-SIEGE-TPROX" state="hidden" r:id="rId19"/>
    <sheet sheetId="35" name="ETPT_TJ_corresp-GREFFE-TJ" state="hidden" r:id="rId20"/>
    <sheet sheetId="36" name="ETPT_TROX_corresp-GREFFE-TPROX" state="hidden" r:id="rId21"/>
    <sheet sheetId="37" name="ETPT_CPH_corresp-GREFFE-CPH" state="hidden" r:id="rId22"/>
    <sheet sheetId="40" name="ETPT_ATTACHES_JUSTICE  corresp" state="hidden" r:id="rId23"/>
  </sheets>
  <definedNames>
    <definedName name="_xlnm._FilterDatabase">'Table_Fonctions'!$A$1:$G$1</definedName>
    <definedName name="TJCPH">Juridictions!$J$1:$J$10</definedName>
  </definedNames>
  <calcPr calcId="171027"/>
</workbook>
</file>

<file path=xl/sharedStrings.xml><?xml version="1.0" encoding="utf-8"?>
<sst xmlns="http://schemas.openxmlformats.org/spreadsheetml/2006/main" count="2896" uniqueCount="1024">
  <si>
    <t xml:space="preserve">  </t>
  </si>
  <si>
    <t>Bienvenue dans l'extraction de vos données d'effectifs !</t>
  </si>
  <si>
    <t>Ce fichier Excel a été extrait automatiquement de votre application A-JUST. Retrouvez ci-dessous quelques indications pour y naviguer en toute fluidité.</t>
  </si>
  <si>
    <t>Nom de l'onglet</t>
  </si>
  <si>
    <t>Description rapide</t>
  </si>
  <si>
    <t>Usage</t>
  </si>
  <si>
    <t>Pour une présentation complète</t>
  </si>
  <si>
    <t>ETPT A-JUST</t>
  </si>
  <si>
    <t>Retrouvez le détail des ventilations individuelles de chaque agent, agrégées sur la période pour laquelle vous avez extrait les données, à l'identique de ce que vous avez renseigné dans A-JUST.</t>
  </si>
  <si>
    <t xml:space="preserve">Tout au long de l'année, consultez le détail des affectations de chaque agent, calculées en ETPT, pour la période choisie. </t>
  </si>
  <si>
    <t>Consultez notre documentation en ligne ici.</t>
  </si>
  <si>
    <t>ETPT Format DDG</t>
  </si>
  <si>
    <t xml:space="preserve">Vous y trouverez les données individuelles, retraitées conformément aux règles de calcul de la Chancellerie, en procédant à la réintégration de certaines indisponibilités considérées comme de l'absentéisme, ne déduisant pas d'ETPT. </t>
  </si>
  <si>
    <t>Afin de préparer la collecte de vos ETPT dans les matrices de la DSJ certaines précisions doivent être apportées dans cet onglet.</t>
  </si>
  <si>
    <t>Pour une présentation de la méthodologie à suivre, consultez la documentation ici.</t>
  </si>
  <si>
    <t>Agrégats DDG</t>
  </si>
  <si>
    <t>Pour chaque juridiction de l'arrondissement judiciaire, cette synthèse présente les ETPT affectés, par catégorie d'agent, à chaque contentieux ou sous-contentieux, l'absentéisme étant réintégré comme dans l'onglet "ETPT Format DDG".</t>
  </si>
  <si>
    <t>N'hésitez pas à la consulter toute l'année, pour les périodes de votre choix.</t>
  </si>
  <si>
    <t>ETPT_TJ_DDG</t>
  </si>
  <si>
    <t xml:space="preserve">Les tableaux de la Chancellerie, préremplis grâce aux informations saisies dans A-JUST et aux précisions apportées dans l'onglet ETPT Format DDG.
Pour les Tribunaux de proximité et CPH, sélectionnez la juridiction dans la cellule D5 et vos tableaux seront prêts !</t>
  </si>
  <si>
    <t>Ces données sont prérenseignées dans les tableaux de collecte des ETPT de la Chancellerie mais restent soumises à votre contrôle et éventuels ajustements avant transmission.</t>
  </si>
  <si>
    <t>Pour une présentation détaillée de la méthodologie à suivre, consultez la documentation en ligne, disponible ici.</t>
  </si>
  <si>
    <t>ETPT_TPRX-DDG</t>
  </si>
  <si>
    <t>ETPT_CPH_DDG</t>
  </si>
  <si>
    <t>ETPT_ATTACHES_JUSTICE_DDG</t>
  </si>
  <si>
    <r>
      <rPr>
        <b/>
        <color theme="1"/>
        <family val="2"/>
        <scheme val="minor"/>
        <sz val="11"/>
        <rFont val="Calibri"/>
      </rPr>
      <t>Ce fichier</t>
    </r>
    <r>
      <rPr>
        <color theme="1"/>
        <family val="2"/>
        <scheme val="minor"/>
        <sz val="11"/>
        <rFont val="Calibri"/>
      </rPr>
      <t>, permettant de remplir automatiquement les tableaux de collecte d'ETPT de la Chancellerie à partir des données A-JUST,</t>
    </r>
    <r>
      <rPr>
        <b/>
        <color theme="1"/>
        <family val="2"/>
        <scheme val="minor"/>
        <sz val="11"/>
        <rFont val="Calibri"/>
      </rPr>
      <t xml:space="preserve"> résulte de la collaboration de l'équipe de la start-up d'Etat A-JUST avec Mme Nathalie DE JONG</t>
    </r>
    <r>
      <rPr>
        <color theme="1"/>
        <family val="2"/>
        <scheme val="minor"/>
        <sz val="11"/>
        <rFont val="Calibri"/>
      </rPr>
      <t xml:space="preserve">, statisticienne du SAIR de la </t>
    </r>
    <r>
      <rPr>
        <b/>
        <color theme="1"/>
        <family val="2"/>
        <scheme val="minor"/>
        <sz val="11"/>
        <rFont val="Calibri"/>
      </rPr>
      <t>Cour d'Appel de LYON</t>
    </r>
    <r>
      <rPr>
        <color theme="1"/>
        <family val="2"/>
        <scheme val="minor"/>
        <sz val="11"/>
        <rFont val="Calibri"/>
      </rPr>
      <t xml:space="preserve">. </t>
    </r>
    <r>
      <rPr>
        <b/>
        <color theme="1"/>
        <family val="2"/>
        <scheme val="minor"/>
        <sz val="11"/>
        <rFont val="Calibri"/>
      </rPr>
      <t>Qu'elle soit ici vivement remerciée</t>
    </r>
    <r>
      <rPr>
        <color theme="1"/>
        <family val="2"/>
        <scheme val="minor"/>
        <sz val="11"/>
        <rFont val="Calibri"/>
      </rPr>
      <t xml:space="preserve">, ainsi que sa hiérarchie qui l'a autorisée à consacrer un temps aussi précieux qu'irremplaçable à écrire les formules de calcul permettant d'automatiser l'alimentation des tableaux DDG et faire ainsi gagner à nos utilisateurs un temps considérable chaque année. </t>
    </r>
  </si>
  <si>
    <t>Pour toute question, n'hésitez pas à contacter l'équipe A-JUST : support-utilisateurs@a-just.fr</t>
  </si>
  <si>
    <t xml:space="preserve">                  Extracteur de données d'effectifs</t>
  </si>
  <si>
    <t>Réf.</t>
  </si>
  <si>
    <t>Arrondissement</t>
  </si>
  <si>
    <t>Nom</t>
  </si>
  <si>
    <t>Prénom</t>
  </si>
  <si>
    <t>Matricule</t>
  </si>
  <si>
    <t>Catégorie</t>
  </si>
  <si>
    <t>Fonction</t>
  </si>
  <si>
    <t>Fonction recodée</t>
  </si>
  <si>
    <t>TJCPH</t>
  </si>
  <si>
    <t>Juridiction</t>
  </si>
  <si>
    <t>Jirs</t>
  </si>
  <si>
    <t>Date d'arrivée</t>
  </si>
  <si>
    <t>Date de départ</t>
  </si>
  <si>
    <t>ETPT sur la période (absentéisme et action 99 déduits)</t>
  </si>
  <si>
    <t>Temps ventilés sur la période (absentéisme et action 99 déduits)</t>
  </si>
  <si>
    <t>1. TOTAL CONTENTIEUX SOCIAL</t>
  </si>
  <si>
    <t>1.1. DÉPARTAGE PRUD'HOMAL</t>
  </si>
  <si>
    <t>1.2. CONTENTIEUX DE LA PROTECTION SOCIALE</t>
  </si>
  <si>
    <t>1.3. RÉFÉRÉS</t>
  </si>
  <si>
    <t>1.4. AUTRES CONTENTIEUX SOCIAUX</t>
  </si>
  <si>
    <t>2. TOTAL CONTENTIEUX JAF</t>
  </si>
  <si>
    <t>2.1. MARIAGES ET RÉGIMES MATRIMONIAUX</t>
  </si>
  <si>
    <t>2.2. DIVORCE - CONTENTIEUX</t>
  </si>
  <si>
    <t>2.3. APRÈS DIVORCE</t>
  </si>
  <si>
    <t>2.4. LIQUIDATIONS PARTAGES</t>
  </si>
  <si>
    <t>2.5. AUTORITÉ PARENTALE</t>
  </si>
  <si>
    <t>2.6. OBLIGATIONS À CARACTÈRE ALIMENTAIRE</t>
  </si>
  <si>
    <t>2.7. TUTELLES MINEURS</t>
  </si>
  <si>
    <t>2.8. RÉFÉRÉS ET MESURES URGENTES</t>
  </si>
  <si>
    <t>2.9. AUTRES JAF</t>
  </si>
  <si>
    <t>3. TOTAL CONTENTIEUX DE LA PROTECTION</t>
  </si>
  <si>
    <t>3.2. PROTECTION DES MAJEURS</t>
  </si>
  <si>
    <t>3.3. SURENDETTEMENT DES PARTICULIERS</t>
  </si>
  <si>
    <t>3.41. BAUX</t>
  </si>
  <si>
    <t>3.42. CRÉDIT À LA CONSOMMATION</t>
  </si>
  <si>
    <t>3.43. INJONCTIONS DE PAYER</t>
  </si>
  <si>
    <t>3.44. SAISIE DES RÉMUNÉRATIONS</t>
  </si>
  <si>
    <t>3.5. RÉFÉRÉS</t>
  </si>
  <si>
    <t>3.6. AUTRES CONTENTIEUX DE LA PROTECTION</t>
  </si>
  <si>
    <t>4. TOTAL CIVIL NON SPÉCIALISÉ</t>
  </si>
  <si>
    <t>4.0. CONTENTIEUX GÉNÉRAL &lt;10.000€</t>
  </si>
  <si>
    <t>4.1. DROIT DES PERSONNES</t>
  </si>
  <si>
    <t>4.2. DROIT DE LA FAMILLE</t>
  </si>
  <si>
    <t>4.3. CONTRATS</t>
  </si>
  <si>
    <t>4.4. RESPONSABILITÉ ET QUASI-CONTRATS</t>
  </si>
  <si>
    <t>4.5. DROIT DES BIENS</t>
  </si>
  <si>
    <t>4.6. CONSTRUCTION</t>
  </si>
  <si>
    <t>4.7. EXÉCUTION</t>
  </si>
  <si>
    <t>4.8. DROIT DES AFFAIRES</t>
  </si>
  <si>
    <t>4.9. PROCÉDURES COLLECTIVES CIVILES</t>
  </si>
  <si>
    <t>4.10. PROPRIÉTÉ INDUSTRIELLE</t>
  </si>
  <si>
    <t>4.11. PROPRIÉTÉ LITTÉRAIRE ET ARTISTIQUE</t>
  </si>
  <si>
    <t>4.12. SUIVI DES EXPERTISES</t>
  </si>
  <si>
    <t>4.13. AFFAIRES GRACIEUSES</t>
  </si>
  <si>
    <t>4.14. JURIDICTION DU PRÉSIDENT</t>
  </si>
  <si>
    <t>4.141. INTÉRÊTS CIVILS</t>
  </si>
  <si>
    <t>4.15. CIVI</t>
  </si>
  <si>
    <t>4.16. RÉFÉRÉS CIVILS</t>
  </si>
  <si>
    <t>4.17. AUTRES CIVIL NS</t>
  </si>
  <si>
    <t>5. TOTAL JLD CIVIL</t>
  </si>
  <si>
    <t>5.1. RÉTENTION DES ÉTRANGERS</t>
  </si>
  <si>
    <t>5.2. HO - CONTENTION</t>
  </si>
  <si>
    <t>5.3. AUTRES JLD CIVIL</t>
  </si>
  <si>
    <t>6. TOTAL JUGES DES ENFANTS</t>
  </si>
  <si>
    <t>6.1. ACTIVITÉ CIVILE</t>
  </si>
  <si>
    <t>6.2. ACTIVITÉ PÉNALE</t>
  </si>
  <si>
    <t>7. TOTAL SIÈGE PÉNAL</t>
  </si>
  <si>
    <t>7.1. COLLÉGIALES HORS JIRS</t>
  </si>
  <si>
    <t>7.14. CI</t>
  </si>
  <si>
    <t>7.13. JUGE UNIQUE</t>
  </si>
  <si>
    <t>7.2. CRPC</t>
  </si>
  <si>
    <t>7.15. CPPV</t>
  </si>
  <si>
    <t>7.4. COMPOSITIONS PÉNALES</t>
  </si>
  <si>
    <t>7.3. OP CORRECTIONNELLES</t>
  </si>
  <si>
    <t>7.5. COUR D'ASSISES HORS JIRS</t>
  </si>
  <si>
    <t>7.52. COUR CRIMINELLE</t>
  </si>
  <si>
    <t>7.6. TRIBUNAL DE POLICE</t>
  </si>
  <si>
    <t>7.7. OP CONTRAVENTIONNELLES</t>
  </si>
  <si>
    <t>7.51. COUR D'ASSISES JIRS</t>
  </si>
  <si>
    <t>7.12. COLLÉGIALES JIRS CRIM-ORG</t>
  </si>
  <si>
    <t>7.121. COLLÉGIALES JIRS ÉCO-FI</t>
  </si>
  <si>
    <t>7.122. COLLÉGIALES AUTRES SECTIONS SPÉCIALISÉES</t>
  </si>
  <si>
    <t>7.8. AUTRES SIÈGE PÉNAL</t>
  </si>
  <si>
    <t>8. TOTAL JUGES D'INSTRUCTION</t>
  </si>
  <si>
    <t>8.1. SERVICE GÉNÉRAL</t>
  </si>
  <si>
    <t>8.11. ECO-FI HORS JIRS</t>
  </si>
  <si>
    <t>8.2. JIRS ÉCO-FI</t>
  </si>
  <si>
    <t>8.3. JIRS CRIM-ORG</t>
  </si>
  <si>
    <t>8.4. AUTRES SECTIONS SPÉCIALISÉES</t>
  </si>
  <si>
    <t>9. TOTAL JAP</t>
  </si>
  <si>
    <t>9.1. MILIEU OUVERT</t>
  </si>
  <si>
    <t>9.2. MILIEU FERMÉ</t>
  </si>
  <si>
    <t>9.3. ORDONNANCES HORS CAP</t>
  </si>
  <si>
    <t>9.4. AUTRES JAP</t>
  </si>
  <si>
    <t>10. TOTAL JLD PÉNAL</t>
  </si>
  <si>
    <t>10.1. HORS JIRS</t>
  </si>
  <si>
    <t>10.2. JIRS</t>
  </si>
  <si>
    <t>11. TOTAL AUTRES ACTIVITÉS</t>
  </si>
  <si>
    <t>11.1. SOUTIEN (HORS FORMATIONS SUIVIES)</t>
  </si>
  <si>
    <t>11.2. FORMATIONS SUIVIES</t>
  </si>
  <si>
    <t>11.3. FORMATIONS DISPENSÉES</t>
  </si>
  <si>
    <t>11.4. ACCÈS AU DROIT ET À LA JUSTICE</t>
  </si>
  <si>
    <t>11.5. CSM</t>
  </si>
  <si>
    <t>11.51. ACCUEIL DU JUSTICIABLE (DONT SAUJ)</t>
  </si>
  <si>
    <t>11.6. AUTRES ACTIVITÉS NON JURIDICTIONNELLES</t>
  </si>
  <si>
    <t>11.7. FONCTIONNAIRES AFFECTÉS AU CPH</t>
  </si>
  <si>
    <t>11.8. FONCTIONNAIRES AFFECTÉS AUX ACTIVITÉS CIVILES ET COMMERCIALES DU PARQUET</t>
  </si>
  <si>
    <t>11.9. FONCTIONNAIRES AFFECTÉS À L'EXÉCUTION DES PEINES</t>
  </si>
  <si>
    <t>11.10. AUTRES FONCTIONNAIRES AFFECTÉS AU PARQUET</t>
  </si>
  <si>
    <t>12. TOTAL INDISPONIBILITÉ</t>
  </si>
  <si>
    <t>12.31. CONGÉ MALADIE ORDINAIRE</t>
  </si>
  <si>
    <t>12.32. CONGÉ MATERNITÉ/PATERNITÉ/ADOPTION</t>
  </si>
  <si>
    <t>12.8. AUTRE ABSENTÉISME</t>
  </si>
  <si>
    <t>12.2. COMPTE ÉPARGNE TEMPS</t>
  </si>
  <si>
    <t>12.3. CONGÉ LONGUE MALADIE</t>
  </si>
  <si>
    <t>12.33. CONGÉ PARENTAL &lt; 6 MOIS</t>
  </si>
  <si>
    <t>12.1. DÉCHARGE SYNDICALE</t>
  </si>
  <si>
    <t>12.4. TEMPS PARTIEL THÉRAPEUTIQUE</t>
  </si>
  <si>
    <t>12.6. AUTORISATION SPÉCIALE D'ABSENCE</t>
  </si>
  <si>
    <t>12.41. CONGÉ DE FORMATION</t>
  </si>
  <si>
    <t>12.61. STAGE PROBATOIRE DANS UNE AUTRE JURIDICTION</t>
  </si>
  <si>
    <t>12.5. MISE À DISPOSITION</t>
  </si>
  <si>
    <t>12.7. AUTRES INDISPONIBILITÉS (ACTION 99)</t>
  </si>
  <si>
    <t>12.99 STAGE PROBATOIRE DANS UNE AUTRE JURIDICTION</t>
  </si>
  <si>
    <t>29010</t>
  </si>
  <si>
    <t>test010</t>
  </si>
  <si>
    <t>test286</t>
  </si>
  <si>
    <t>Autour du magistrat</t>
  </si>
  <si>
    <t>JA</t>
  </si>
  <si>
    <t/>
  </si>
  <si>
    <t>2024-02-01</t>
  </si>
  <si>
    <t>5602</t>
  </si>
  <si>
    <t>test520</t>
  </si>
  <si>
    <t>pas de fonction</t>
  </si>
  <si>
    <t>2022-09-01</t>
  </si>
  <si>
    <r>
      <t xml:space="preserve">                  Extracteur de données d'effectifs - Format DDG (avec réintégration de l'absentéisme)
                  </t>
    </r>
    <r>
      <rPr>
        <b/>
        <color rgb="FFFF0000"/>
        <sz val="14"/>
        <rFont val="Calibri (Corps)"/>
      </rPr>
      <t>Les lignes en rouge invitent à des vérifications dans les colonnes R, S et T. Veillez à ne pas supprimer de ligne dans le tableau.</t>
    </r>
  </si>
  <si>
    <t>Code fonction par défaut</t>
  </si>
  <si>
    <t>Fonction agrégat</t>
  </si>
  <si>
    <t>ETPT sur la période absentéisme non déduit (hors action 99)</t>
  </si>
  <si>
    <t>Temps ventilés sur la période (hors action 99)</t>
  </si>
  <si>
    <t>Ecart → ventilations manquantes dans A-JUST</t>
  </si>
  <si>
    <t>Ecart JE → détails manquants, à rajouter dans A-JUST</t>
  </si>
  <si>
    <t>Ecart JI → détails manquants, à rajouter dans A-JUST</t>
  </si>
  <si>
    <t>12. TOTAL des INDISPONIBILITÉS relevant de l'action 99</t>
  </si>
  <si>
    <t>CET &gt; 30 jours</t>
  </si>
  <si>
    <t>CET &lt; 30 jours</t>
  </si>
  <si>
    <t>TOTAL absentéisme réintégré (CMO + Congé maternité + Autre absentéisme  + CET &lt; 30 jours)</t>
  </si>
  <si>
    <t>TEST010</t>
  </si>
  <si>
    <t>JA Siège autres</t>
  </si>
  <si>
    <t>C</t>
  </si>
  <si>
    <t>-</t>
  </si>
  <si>
    <t xml:space="preserve">                     Agrégats DDG</t>
  </si>
  <si>
    <t>Selectionner une juridiction</t>
  </si>
  <si>
    <t>Code</t>
  </si>
  <si>
    <t>Les lignes à fond rouge invitent à des vérifications lors de l'établissement des tableaux de collecte pour les DDG. Pour plus d'informations sur les agents concernés, se référer à l'onglet ETPT Format DDG.</t>
  </si>
  <si>
    <t>SIEGE</t>
  </si>
  <si>
    <t>GREFFE</t>
  </si>
  <si>
    <t>EQUIPE AUTOUR DU MAGISTRAT</t>
  </si>
  <si>
    <t>Magistrats hors placés</t>
  </si>
  <si>
    <t>%age de l'ETPT</t>
  </si>
  <si>
    <t>Magistrats placés additionnels</t>
  </si>
  <si>
    <t>Magistrats placés de substitution</t>
  </si>
  <si>
    <t>Contractuels et vacataires</t>
  </si>
  <si>
    <t>TOTAL SIEGE</t>
  </si>
  <si>
    <t>Fonctionnaires hors placés</t>
  </si>
  <si>
    <t>Fonctionnaires placés additionnels</t>
  </si>
  <si>
    <t>Fonctionnaires placés de substitution</t>
  </si>
  <si>
    <t>TOTAL GREFFE</t>
  </si>
  <si>
    <t>13. TOTAL des INDISPONIBILITÉS relevant de l'absentéisme (réintégrés dans les valeurs des rubriques et sous-rubriques)</t>
  </si>
  <si>
    <t>CONCAT</t>
  </si>
  <si>
    <t>Label</t>
  </si>
  <si>
    <t>Position</t>
  </si>
  <si>
    <t>Fonction recodée DDG</t>
  </si>
  <si>
    <t>Fonction onglet agrégat</t>
  </si>
  <si>
    <t>MagistratP</t>
  </si>
  <si>
    <t>Magistrat</t>
  </si>
  <si>
    <t>PRÉSIDENT</t>
  </si>
  <si>
    <t>Titulaire</t>
  </si>
  <si>
    <t>P</t>
  </si>
  <si>
    <t>Magistrat SIEGE NS</t>
  </si>
  <si>
    <t>M-TIT</t>
  </si>
  <si>
    <t>Magistrat1VP</t>
  </si>
  <si>
    <t>PREMIER VICE-PRÉSIDENT</t>
  </si>
  <si>
    <t>1VP</t>
  </si>
  <si>
    <t>Magistrat1VPA</t>
  </si>
  <si>
    <t>PREMIER VICE-PRÉSIDENT ADJOINT</t>
  </si>
  <si>
    <t>1VPA</t>
  </si>
  <si>
    <t>Magistrat1VPCP</t>
  </si>
  <si>
    <t>PREMIER VICE-PRÉSIDENT CHARGÉ DES FONCTIONS DE JUGE DES CONTENTIEUX DE LA PROTECTION</t>
  </si>
  <si>
    <t>1VPCP</t>
  </si>
  <si>
    <t>Magistrat SIEGE S</t>
  </si>
  <si>
    <t>Magistrat1VPE</t>
  </si>
  <si>
    <t>PREMIER VICE-PRÉSIDENT CHARGÉ DES FONCTIONS DE JUGE DES ENFANTS</t>
  </si>
  <si>
    <t>1VPE</t>
  </si>
  <si>
    <t>Magistrat1VPI</t>
  </si>
  <si>
    <t>PREMIER VICE-PRÉSIDENT CHARGÉ DES FONCTIONS DE JUGE D'INSTRUCTION</t>
  </si>
  <si>
    <t>1VPI</t>
  </si>
  <si>
    <t>MagistratVPSG</t>
  </si>
  <si>
    <t>VICE-PRÉSIDENT CHARGÉ D'UN SECRÉTARIAT GÉNÉRAL</t>
  </si>
  <si>
    <t>VPSG</t>
  </si>
  <si>
    <t>Magistrat1VPAP</t>
  </si>
  <si>
    <t>PREMIER VICE-PRÉSIDENT CHARGÉ DES FONCTIONS DE JUGE DE L'APPLICATION DES PEINES</t>
  </si>
  <si>
    <t>1VPAP</t>
  </si>
  <si>
    <t>Magistrat1VPLD</t>
  </si>
  <si>
    <t>PREMIER VICE-PRÉSIDENT CHARGÉ DES FONCTIONS DE JUGE DES LIBERTÉS ET DE LA DÉTENTION</t>
  </si>
  <si>
    <t>1VPLD</t>
  </si>
  <si>
    <t>MagistratVP</t>
  </si>
  <si>
    <t>VICE-PRÉSIDENT</t>
  </si>
  <si>
    <t>VP</t>
  </si>
  <si>
    <t>MagistratVPCP</t>
  </si>
  <si>
    <t>VICE-PRÉSIDENT CHARGÉ DES FONCTIONS DE JUGE DES CONTENTIEUX DE LA PROTECTION</t>
  </si>
  <si>
    <t>VPCP</t>
  </si>
  <si>
    <t>MagistratVPE</t>
  </si>
  <si>
    <t>VICE-PRÉSIDENT CHARGÉ DES FONCTIONS DE JUGE DES ENFANTS</t>
  </si>
  <si>
    <t>VPE</t>
  </si>
  <si>
    <t>MagistratVPI</t>
  </si>
  <si>
    <t>VICE-PRÉSIDENT CHARGÉ DES FONCTIONS DE JUGE D'INSTRUCTION</t>
  </si>
  <si>
    <t>VPI</t>
  </si>
  <si>
    <t>MagistratVPAP</t>
  </si>
  <si>
    <t>VICE-PRÉSIDENT CHARGÉ DES FONCTIONS DE JUGE DE L'APPLICATION DES PEINES</t>
  </si>
  <si>
    <t>VPAP</t>
  </si>
  <si>
    <t>MagistratVPLD</t>
  </si>
  <si>
    <t>VICE-PRÉSIDENT CHARGÉ DES FONCTIONS DE JUGE DES LIBERTÉS ET DE LA DÉTENTION</t>
  </si>
  <si>
    <t>VPLD</t>
  </si>
  <si>
    <t>MagistratJ</t>
  </si>
  <si>
    <t>JUGE</t>
  </si>
  <si>
    <t>J</t>
  </si>
  <si>
    <t>MagistratJCP</t>
  </si>
  <si>
    <t>JUGE DES CONTENTIEUX DE LA PROTECTION</t>
  </si>
  <si>
    <t>JCP</t>
  </si>
  <si>
    <t>MagistratJE</t>
  </si>
  <si>
    <t>JUGE DES ENFANTS</t>
  </si>
  <si>
    <t>JE</t>
  </si>
  <si>
    <t>MagistratJI</t>
  </si>
  <si>
    <t>JUGE D'INSTRUCTION</t>
  </si>
  <si>
    <t>JI</t>
  </si>
  <si>
    <t>MagistratJAP</t>
  </si>
  <si>
    <t>JUGE D'APPLICATION DES PEINES</t>
  </si>
  <si>
    <t>JAP</t>
  </si>
  <si>
    <t>MagistratVP PLACÉ</t>
  </si>
  <si>
    <t>VICE-PRÉSIDENT PLACÉ</t>
  </si>
  <si>
    <t>Placé</t>
  </si>
  <si>
    <t>VP PLACÉ</t>
  </si>
  <si>
    <t>M-PLAC-ADD</t>
  </si>
  <si>
    <t>MagistratVP PLACÉ ADDITIONNEL</t>
  </si>
  <si>
    <t>VICE-PRÉSIDENT PLACÉ ADDITIONNEL</t>
  </si>
  <si>
    <t>VP PLACÉ ADDITIONNEL</t>
  </si>
  <si>
    <t>Magistrat placé ADD</t>
  </si>
  <si>
    <t>MagistratVP PLACÉ SUBSTITUTION</t>
  </si>
  <si>
    <t>VICE-PRÉSIDENT PLACÉ SUBSTITUTION</t>
  </si>
  <si>
    <t>VP PLACÉ SUBSTITUTION</t>
  </si>
  <si>
    <t>Magistrat placé SUB</t>
  </si>
  <si>
    <t>M-PLAC-SUB</t>
  </si>
  <si>
    <t>MagistratJ. PLACÉ</t>
  </si>
  <si>
    <t>JUGE PLACÉ</t>
  </si>
  <si>
    <t>J. PLACÉ</t>
  </si>
  <si>
    <t>MagistratJ. PLACÉ ADDITIONNEL</t>
  </si>
  <si>
    <t>JUGE PLACÉ ADDITIONNEL</t>
  </si>
  <si>
    <t>J. PLACÉ ADDITIONNEL</t>
  </si>
  <si>
    <t>MagistratJ. PLACÉ SUBSTITUTION</t>
  </si>
  <si>
    <t>JUGE PLACÉ SUBSTITUTION</t>
  </si>
  <si>
    <t>J. PLACÉ SUBSTITUTION</t>
  </si>
  <si>
    <t>MagistratMHFJ</t>
  </si>
  <si>
    <t>MAGISTRAT HONORAIRE JURIDICTIONNEL</t>
  </si>
  <si>
    <t>Contractuel</t>
  </si>
  <si>
    <t>MHFJ</t>
  </si>
  <si>
    <t>M-CONT</t>
  </si>
  <si>
    <t>MagistratMHFNJ</t>
  </si>
  <si>
    <t>MAGISTRAT HONORAIRE NON JURIDICTIONNEL</t>
  </si>
  <si>
    <t>MHFNJ</t>
  </si>
  <si>
    <t>MagistratMTT</t>
  </si>
  <si>
    <t>MAGISTRAT A TITRE TEMPORAIRE</t>
  </si>
  <si>
    <t>MTT</t>
  </si>
  <si>
    <t>MagistratMRES</t>
  </si>
  <si>
    <t>MAGISTRAT RESERVISTE</t>
  </si>
  <si>
    <t>MRES</t>
  </si>
  <si>
    <t>GreffeA</t>
  </si>
  <si>
    <t>Greffe</t>
  </si>
  <si>
    <t>A</t>
  </si>
  <si>
    <t>Fonctionnaire A-B-CBUR</t>
  </si>
  <si>
    <t>F-TIT</t>
  </si>
  <si>
    <t>GreffeA GREFFIER</t>
  </si>
  <si>
    <t>A GREFFIER</t>
  </si>
  <si>
    <t>GreffeCHCAB</t>
  </si>
  <si>
    <t>CHEF DE CABINET</t>
  </si>
  <si>
    <t>CHCAB</t>
  </si>
  <si>
    <t>GreffeB</t>
  </si>
  <si>
    <t>B GREFFIER</t>
  </si>
  <si>
    <t>B</t>
  </si>
  <si>
    <t>GreffeSA</t>
  </si>
  <si>
    <t>SA</t>
  </si>
  <si>
    <t>GreffeCB</t>
  </si>
  <si>
    <t>CB</t>
  </si>
  <si>
    <t>GreffeCT</t>
  </si>
  <si>
    <t>CT</t>
  </si>
  <si>
    <t>Fonctionnaire CTECH</t>
  </si>
  <si>
    <t>GreffeA PLACÉ</t>
  </si>
  <si>
    <t>A PLACÉ</t>
  </si>
  <si>
    <t>F-PLAC-ADD</t>
  </si>
  <si>
    <t>GreffeA PLACÉ ADDITIONNEL</t>
  </si>
  <si>
    <t>A PLACÉ ADDITIONNEL</t>
  </si>
  <si>
    <t>Fonctionnaire A-B-CBUR placé ADD</t>
  </si>
  <si>
    <t>GreffeA PLACÉ SUBSTITUTION</t>
  </si>
  <si>
    <t>A PLACÉ SUBSTITUTION</t>
  </si>
  <si>
    <t>Fonctionnaire A-B-CBUR placé SUB</t>
  </si>
  <si>
    <t>F-PLAC-SUB</t>
  </si>
  <si>
    <t>GreffeB GREF  PLACÉ</t>
  </si>
  <si>
    <t>B GREFFIER PLACÉ</t>
  </si>
  <si>
    <t>B GREF  PLACÉ</t>
  </si>
  <si>
    <t>GreffeB GREF  PLACÉ ADDITIONNEL</t>
  </si>
  <si>
    <t>B GREFFIER PLACÉ ADDITIONNEL</t>
  </si>
  <si>
    <t>B GREF  PLACÉ ADDITIONNEL</t>
  </si>
  <si>
    <t>GreffeB GREF  PLACÉ SUBSTITUTION</t>
  </si>
  <si>
    <t>B GREFFIER PLACÉ SUBSTITUTION</t>
  </si>
  <si>
    <t>B GREF  PLACÉ SUBSTITUTION</t>
  </si>
  <si>
    <t>GreffeB PLACÉ</t>
  </si>
  <si>
    <t>B PLACÉ</t>
  </si>
  <si>
    <t>GreffeB PLACÉ ADDITIONNEL</t>
  </si>
  <si>
    <t>B PLACÉ ADDITIONNEL</t>
  </si>
  <si>
    <t>GreffeB PLACÉ SUBSTITUTION</t>
  </si>
  <si>
    <t>B PLACÉ SUBSTITUTION</t>
  </si>
  <si>
    <t>GreffeCB PLACÉ</t>
  </si>
  <si>
    <t>CB PLACÉ</t>
  </si>
  <si>
    <t>GreffeCB PLACÉ ADDITIONNEL</t>
  </si>
  <si>
    <t>CB PLACÉ ADDITIONNEL</t>
  </si>
  <si>
    <t>GreffeCB PLACÉ SUBSTITUTION</t>
  </si>
  <si>
    <t>CB PLACÉ SUBSTITUTION</t>
  </si>
  <si>
    <t>GreffeDSGJ PLACÉ ADDITIONNEL</t>
  </si>
  <si>
    <t>DSGJ PLACÉ ADDITIONNEL</t>
  </si>
  <si>
    <t>GreffeDSGJ PLACÉ SUBSTITUTION</t>
  </si>
  <si>
    <t>DSGJ PLACÉ SUBSTITUTION</t>
  </si>
  <si>
    <t>GreffeCT PLACÉ</t>
  </si>
  <si>
    <t>CT PLACÉ</t>
  </si>
  <si>
    <t>GreffeCT PLACÉ ADDITIONNEL</t>
  </si>
  <si>
    <t>CT PLACÉ ADDITIONNEL</t>
  </si>
  <si>
    <t>Fonctionnaire CTECH placé ADD</t>
  </si>
  <si>
    <t>GreffeCT PLACÉ SUBSTITUTION</t>
  </si>
  <si>
    <t>CT PLACÉ SUBSTITUTION</t>
  </si>
  <si>
    <t>Fonctionnaire CTECH placé SUB</t>
  </si>
  <si>
    <t>GreffeGRES</t>
  </si>
  <si>
    <t>GREFFIER RESERVISTE</t>
  </si>
  <si>
    <t>GRES</t>
  </si>
  <si>
    <t>GreffeCONT A</t>
  </si>
  <si>
    <t>CONTRACTUEL A</t>
  </si>
  <si>
    <t>CONT A</t>
  </si>
  <si>
    <t>GreffeCONT A Autres</t>
  </si>
  <si>
    <t>CONT A Autres</t>
  </si>
  <si>
    <t>GreffeCONT A VIF Parquet</t>
  </si>
  <si>
    <t>CONT A VIF Parquet</t>
  </si>
  <si>
    <t>GreffeCONT A VIF Siège</t>
  </si>
  <si>
    <t>CONT A VIF Siège</t>
  </si>
  <si>
    <t>GreffeCONT B</t>
  </si>
  <si>
    <t>CONTRACTUEL B</t>
  </si>
  <si>
    <t>CONT B</t>
  </si>
  <si>
    <t>GreffeCONT C</t>
  </si>
  <si>
    <t>CONTRACTUEL C</t>
  </si>
  <si>
    <t>CONT C</t>
  </si>
  <si>
    <t>GreffeCONT CB</t>
  </si>
  <si>
    <t>CONTRACTUEL CB</t>
  </si>
  <si>
    <t>CONT CB</t>
  </si>
  <si>
    <t>GreffeCONT CT</t>
  </si>
  <si>
    <t>CONTRACTUEL CT</t>
  </si>
  <si>
    <t>CONT CT</t>
  </si>
  <si>
    <t>GreffeVAC</t>
  </si>
  <si>
    <t>VACATAIRE</t>
  </si>
  <si>
    <t>VAC</t>
  </si>
  <si>
    <t>GreffeCONT A JP</t>
  </si>
  <si>
    <t>CONTRACTUEL A JUSTICE DE PROXIMITE</t>
  </si>
  <si>
    <t>CONT A JP</t>
  </si>
  <si>
    <t>GreffeCONT A JP Parquet</t>
  </si>
  <si>
    <t>CONT A JP Parquet</t>
  </si>
  <si>
    <t>GreffeCONT A JP Siège</t>
  </si>
  <si>
    <t>CONT A JP Siège</t>
  </si>
  <si>
    <t>GreffeCONT B JP</t>
  </si>
  <si>
    <t>CONTRACTUEL B JUSTICE DE PROXIMITE</t>
  </si>
  <si>
    <t>CONT B JP</t>
  </si>
  <si>
    <t>GreffeCONT C JP</t>
  </si>
  <si>
    <t>CONTRACTUEL C JUSTICE DE PROXIMITE</t>
  </si>
  <si>
    <t>CONT C JP</t>
  </si>
  <si>
    <t>Autour du magistratAS</t>
  </si>
  <si>
    <t>ASSISTANT SPECIALISE</t>
  </si>
  <si>
    <t>AS</t>
  </si>
  <si>
    <t>Autour du magistratADJ</t>
  </si>
  <si>
    <t>ASSISTANT DE JUSTICE</t>
  </si>
  <si>
    <t>ADJ</t>
  </si>
  <si>
    <t>Autour du magistratAtt. J</t>
  </si>
  <si>
    <t>ATTACHÉ DE JUSTICE</t>
  </si>
  <si>
    <t>Att. J</t>
  </si>
  <si>
    <t>Autour du magistratAtt. J JAP</t>
  </si>
  <si>
    <t>ATTACHÉ DE JUSTICE JAP</t>
  </si>
  <si>
    <t>Att. J JAP</t>
  </si>
  <si>
    <t>JA/AttJ JAP</t>
  </si>
  <si>
    <t>Autour du magistratAtt. J JE</t>
  </si>
  <si>
    <t>ATTACHÉ DE JUSTICE JE</t>
  </si>
  <si>
    <t>Att. J JE</t>
  </si>
  <si>
    <t>JA/AttJ JE</t>
  </si>
  <si>
    <t>Autour du magistratAtt. J JI</t>
  </si>
  <si>
    <t>ATTACHÉ DE JUSTICE JI</t>
  </si>
  <si>
    <t>Att. J JI</t>
  </si>
  <si>
    <t>JA/AttJ JI</t>
  </si>
  <si>
    <t>Autour du magistratAtt. J JLD</t>
  </si>
  <si>
    <t>ATTACHÉ DE JUSTICE JLD</t>
  </si>
  <si>
    <t>Att. J JLD</t>
  </si>
  <si>
    <t>JA/AttJ JLD</t>
  </si>
  <si>
    <t>Autour du magistratAtt. J Parquet</t>
  </si>
  <si>
    <t>ATTACHÉ DE JUSTICE Parquet</t>
  </si>
  <si>
    <t>Att. J Parquet</t>
  </si>
  <si>
    <t>JA/AttJ Parquet</t>
  </si>
  <si>
    <t>Autour du magistratAtt. J Siège autres</t>
  </si>
  <si>
    <t>ATTACHÉ DE JUSTICE JA Siège autres</t>
  </si>
  <si>
    <t>Att. J Siège autres</t>
  </si>
  <si>
    <t>JA/AttJ Siège autres</t>
  </si>
  <si>
    <t>Autour du magistratAtt. J Social</t>
  </si>
  <si>
    <t>ATTACHÉ DE JUSTICE pôle Social</t>
  </si>
  <si>
    <t>Att. J Social</t>
  </si>
  <si>
    <t>JA/AttJ Social</t>
  </si>
  <si>
    <t>Autour du magistratJA</t>
  </si>
  <si>
    <t>JURISTE ASSISTANT</t>
  </si>
  <si>
    <t>Autour du magistratJA JAP</t>
  </si>
  <si>
    <t>JURISTE ASSISTANT JAP</t>
  </si>
  <si>
    <t>JA JAP</t>
  </si>
  <si>
    <t>Autour du magistratJA JE</t>
  </si>
  <si>
    <t>JURISTE ASSISTANT JE</t>
  </si>
  <si>
    <t>JA JE</t>
  </si>
  <si>
    <t>Autour du magistratJA JI</t>
  </si>
  <si>
    <t>JURISTE ASSISTANT JI</t>
  </si>
  <si>
    <t>JA JI</t>
  </si>
  <si>
    <t>Autour du magistratJA JLD</t>
  </si>
  <si>
    <t>JURISTE ASSISTANT JLD</t>
  </si>
  <si>
    <t>JA JLD</t>
  </si>
  <si>
    <t>Autour du magistratJA Parquet</t>
  </si>
  <si>
    <t>JURISTE ASSISTANT Parquet</t>
  </si>
  <si>
    <t>JA Parquet</t>
  </si>
  <si>
    <t>Autour du magistratJA Siège autres</t>
  </si>
  <si>
    <t>JURISTE ASSISTANT JA Siège autres</t>
  </si>
  <si>
    <t>Autour du magistratJA Social</t>
  </si>
  <si>
    <t>JURISTE ASSISTANT pôle Social</t>
  </si>
  <si>
    <t>JA Social</t>
  </si>
  <si>
    <t>Autour du magistratPPI</t>
  </si>
  <si>
    <t>ELEVE AVOCAT</t>
  </si>
  <si>
    <t>PPI</t>
  </si>
  <si>
    <t>Autour du magistratCONT A JP</t>
  </si>
  <si>
    <t>Autour du magistratCONT A JP Parquet</t>
  </si>
  <si>
    <t>Autour du magistratCONT A JP Siège</t>
  </si>
  <si>
    <t>Autour du magistratCONT B JP</t>
  </si>
  <si>
    <t>Autour du magistratCONT C JP</t>
  </si>
  <si>
    <t>DÉCLARATION ETPT TJ</t>
  </si>
  <si>
    <t>CTECH</t>
  </si>
  <si>
    <t>Total fonctionnaires techniques</t>
  </si>
  <si>
    <t>A-B-CBUR</t>
  </si>
  <si>
    <t>Total fonctionnaires administratifs</t>
  </si>
  <si>
    <t>SIEGE S</t>
  </si>
  <si>
    <t>Total magistrats du siège spécialisés</t>
  </si>
  <si>
    <t>SIEGE NS</t>
  </si>
  <si>
    <t>Total magistrats du siège non spécialisés</t>
  </si>
  <si>
    <t>PRQT</t>
  </si>
  <si>
    <t>Total magistrats du parquet</t>
  </si>
  <si>
    <t>FONCTIONNAIRES_C_TECHNIQUES_SPEC</t>
  </si>
  <si>
    <t>FONCTIONNAIRES_ACTIVITE_CIV_PRQT</t>
  </si>
  <si>
    <t>FONCTIONNAIRES_BEX_APP</t>
  </si>
  <si>
    <t>FONCTIONNAIRES_ASSISES</t>
  </si>
  <si>
    <t>FONC_COUR_CRIM</t>
  </si>
  <si>
    <t>FONCTIONNAIRES_JIRS_ECOFI</t>
  </si>
  <si>
    <t>FONCTIONNAIRES_JIRS_CRIMO</t>
  </si>
  <si>
    <t>FONCTIONNAIRES_JIRS_SS</t>
  </si>
  <si>
    <t>FONC_TJ_TUT_MAJ</t>
  </si>
  <si>
    <t>FONC_TJ_SURENDETTEMENT</t>
  </si>
  <si>
    <t>FONC_TJ_IP_SR</t>
  </si>
  <si>
    <t>FONC_CTX_GEN_INF_DIX_MIL</t>
  </si>
  <si>
    <t>FONC_P_SOC</t>
  </si>
  <si>
    <t>FONCTIONNAIRES_HORS_FONCT_SPEC</t>
  </si>
  <si>
    <t>JCP_TJ_TUT_MAJ</t>
  </si>
  <si>
    <t>JCP_TJ_SURENDETTEMENT</t>
  </si>
  <si>
    <t>J_INSTRUCTION</t>
  </si>
  <si>
    <t>J_INSTRUCTION_JIRS_ECOFI</t>
  </si>
  <si>
    <t>J_INSTRUCTION_JIRS_CRIMO</t>
  </si>
  <si>
    <t>J_INSTRUCTION_JIRS_SS</t>
  </si>
  <si>
    <t>JLD_JNS</t>
  </si>
  <si>
    <t>MAG_SIEGE_ASSISES</t>
  </si>
  <si>
    <t>JNS_COUR_CRIM</t>
  </si>
  <si>
    <t>MAG_SIEGE_JIRS_ECOFI</t>
  </si>
  <si>
    <t>MAG_SIEGE_JIRS_CRIMO</t>
  </si>
  <si>
    <t>MAG_SIEGE_JIRS_SS</t>
  </si>
  <si>
    <t>MAG_SIEGE_CONTRAV</t>
  </si>
  <si>
    <t>TI_ACT_J_DEPARTITEUR</t>
  </si>
  <si>
    <t>JUGE_CTX_GEN_INF_DIX_MIL</t>
  </si>
  <si>
    <t>JUGE_TJ_IP_SR</t>
  </si>
  <si>
    <t>JUGE_TASS_JNS</t>
  </si>
  <si>
    <t>JAF_JNS</t>
  </si>
  <si>
    <t>J_SPEC_ACT_NON_SPEC</t>
  </si>
  <si>
    <t>AUTRES_JNS</t>
  </si>
  <si>
    <t>PARQUET_ACTIVITE_CIV_COM</t>
  </si>
  <si>
    <t>PARQUET_EXE_APP_PEINES</t>
  </si>
  <si>
    <t>PARQUET_JIRS_ECOFI</t>
  </si>
  <si>
    <t>PARQUET_JIRS_CRIMO</t>
  </si>
  <si>
    <t>PARQUET_JIRS_SS</t>
  </si>
  <si>
    <t>PARQUET_ASSISES</t>
  </si>
  <si>
    <t>PQT_COUR_CRIM</t>
  </si>
  <si>
    <t>PARQUET_TI</t>
  </si>
  <si>
    <t>AUTRES_PARQUET</t>
  </si>
  <si>
    <t>UO</t>
  </si>
  <si>
    <t>Code de la juridiction</t>
  </si>
  <si>
    <t>Code sous action</t>
  </si>
  <si>
    <t>Action</t>
  </si>
  <si>
    <t>Fonctionnaires Catégorie C Technique spécialisés</t>
  </si>
  <si>
    <t>Fonctionnaires activité civile et commerciale du parquet</t>
  </si>
  <si>
    <t>Fonctionnaires exécution des peines</t>
  </si>
  <si>
    <t>Fonctionnaires Assises</t>
  </si>
  <si>
    <t>Fonctionnaires Cour criminelle</t>
  </si>
  <si>
    <t>Fonctionnaires JIRS éco-fi</t>
  </si>
  <si>
    <t>Fonctionnaires JIRS crim-org</t>
  </si>
  <si>
    <t>Fonctionnaires sections spécialisées</t>
  </si>
  <si>
    <t>Fonctionnaires TJ Tutelles majeurs</t>
  </si>
  <si>
    <t>Fonctionnaires TJ au surendettement et au hors surendettement</t>
  </si>
  <si>
    <t>Fonctionnaires affectés aux fonctions JI, JE, JAP, JLD</t>
  </si>
  <si>
    <t>Fonctionnaires TJ  IP_Saisies Rém</t>
  </si>
  <si>
    <t>Fonctionnaires TJ Contentieux général &lt; 10 000 EUR</t>
  </si>
  <si>
    <t>Fonctionnaires affectés aux pôles sociaux</t>
  </si>
  <si>
    <t xml:space="preserve">Fonctionnaires hors fonctions spécifiques </t>
  </si>
  <si>
    <t>JCP TJ Tutelles majeurs</t>
  </si>
  <si>
    <t>JCP TJ surendettement et hors surendettement</t>
  </si>
  <si>
    <t>Juges Instruction - service général</t>
  </si>
  <si>
    <t>Juges Instruction JIRS éco-fi</t>
  </si>
  <si>
    <t>Juges Instruction JIRS crim-org</t>
  </si>
  <si>
    <t>Juges Instruction sections spécialisées</t>
  </si>
  <si>
    <t>Juges des Enfants</t>
  </si>
  <si>
    <t>JLD</t>
  </si>
  <si>
    <t>Magistrats du Siège assises</t>
  </si>
  <si>
    <t>Magistrats du siège Cour criminelle</t>
  </si>
  <si>
    <t>Magistrat du siège JIRS éco-fi</t>
  </si>
  <si>
    <t>Magistrat du siège JIRS crim-org</t>
  </si>
  <si>
    <t>Magistrat du siège sections spécialisées</t>
  </si>
  <si>
    <t>Magistrats du Siège activité contraventionnelle</t>
  </si>
  <si>
    <t>Magistrats activité juge départiteur</t>
  </si>
  <si>
    <t>Juges TJ Contentieux général &lt; 10 000 EUR</t>
  </si>
  <si>
    <t>Juges TJ  IP et Saisies Rém</t>
  </si>
  <si>
    <t>Juges du Pôle social</t>
  </si>
  <si>
    <t>JAF</t>
  </si>
  <si>
    <t>Activités non spécialisés des juges spécialisés</t>
  </si>
  <si>
    <t>Autres Magistrats du Siège non spécialisés</t>
  </si>
  <si>
    <t>Magistrats du Parquet - activité civile et commerciale</t>
  </si>
  <si>
    <t>Magistrats du Parquet - exécution et appl. des peines</t>
  </si>
  <si>
    <t>Magistrats du Parquet JIRS éco-fi</t>
  </si>
  <si>
    <t>Magistrats du Parquet JIRS crim-org</t>
  </si>
  <si>
    <t>Magistrats du Parquet JIRS sections spécialisées</t>
  </si>
  <si>
    <t>Magistrats du Parquet assises</t>
  </si>
  <si>
    <t>Magistrats du Parquet Cour criminelle</t>
  </si>
  <si>
    <t>Magistrats du Parquet - activité contraventionnelle</t>
  </si>
  <si>
    <t>Autres Magistrats du Parquet</t>
  </si>
  <si>
    <t>ETPT_TJ</t>
  </si>
  <si>
    <t>166-01-NC</t>
  </si>
  <si>
    <t>Action 1 - Traitement et jugement des contentieux civils</t>
  </si>
  <si>
    <t>166-02-NC</t>
  </si>
  <si>
    <t>Action 2 - Traitement et jugement des affaires pénales</t>
  </si>
  <si>
    <t xml:space="preserve">
</t>
  </si>
  <si>
    <t>166-04-NC</t>
  </si>
  <si>
    <t>Action 4 - Conseil supérieur de la magistrature</t>
  </si>
  <si>
    <t xml:space="preserve">
</t>
  </si>
  <si>
    <t xml:space="preserve">
</t>
  </si>
  <si>
    <t>166-06-99</t>
  </si>
  <si>
    <t>Action 6 - Accueil du justiciable (inclus SAUJ)</t>
  </si>
  <si>
    <t>166-06-NC</t>
  </si>
  <si>
    <t>Action 6 - Soutien (Hors accueil du justiciable)</t>
  </si>
  <si>
    <t>166-07-NC</t>
  </si>
  <si>
    <t>Action 7 - Formation dispensée</t>
  </si>
  <si>
    <t>166-08-NC</t>
  </si>
  <si>
    <t>Action 8 - Support à l'accès au droit et à la justice</t>
  </si>
  <si>
    <t>166-99-NC</t>
  </si>
  <si>
    <t>Action 99 - Personnel concourant au programme - à reventiler</t>
  </si>
  <si>
    <t>166-NC-NC</t>
  </si>
  <si>
    <t>Etpt autres personnels à reventiler (dont droit local,commercial- rcs, mise à disposition)</t>
  </si>
  <si>
    <t>166-PA-NC</t>
  </si>
  <si>
    <t>Etpt placés additionnels</t>
  </si>
  <si>
    <t>166-PS-NC</t>
  </si>
  <si>
    <t>Etpt placés de substitution</t>
  </si>
  <si>
    <t>TOTAL ETPT</t>
  </si>
  <si>
    <t>Attention : par défaut, l'activité pénale recensée au niveau des TPR est comptabilisée sur le TJ</t>
  </si>
  <si>
    <t>Indisponibilité des placés à reporter sur le SAR, ligne "Etpt placés absents non affectés", colonne C-TECH</t>
  </si>
  <si>
    <t>Indisponibilité des placés à reporter sur le SAR, ligne "Etpt placés absents non affectés", colonne ABC-BUR</t>
  </si>
  <si>
    <t>Indisponibilité des placés à reporter sur la cour, ligne "Etpt placés absents non affectés", colonne "Autres Magistrats du Siège non spécialisés"</t>
  </si>
  <si>
    <t xml:space="preserve">DÉCLARATION ETPT TPRX
</t>
  </si>
  <si>
    <t>Total magistrats du siège activités spécifiques</t>
  </si>
  <si>
    <t>SIEGE  S</t>
  </si>
  <si>
    <t>Total magistrats du siège autres activités</t>
  </si>
  <si>
    <t>FONCTIONNAIRES_TI_DRT_LOCAL_RCS</t>
  </si>
  <si>
    <t>FONCTIONNAIRES_TI_AG_PACS_NAT</t>
  </si>
  <si>
    <t>FONCTIONNAIRES_TI_SURENDET</t>
  </si>
  <si>
    <t>FONCTIONNAIRES_TI_TUTELLES</t>
  </si>
  <si>
    <t>FONC_TPRX_JAF</t>
  </si>
  <si>
    <t>FONC_TPRX_TUT_MIN</t>
  </si>
  <si>
    <t>FONC_TPRX_CORREC</t>
  </si>
  <si>
    <t>FONC_TPRX_POLICE</t>
  </si>
  <si>
    <t>FONC_TPRX_AUT_CTX_TJ</t>
  </si>
  <si>
    <t>JUGE_LIVRE_FONCIER_JNS</t>
  </si>
  <si>
    <t>MAGISTRATS_TI_SR_IP</t>
  </si>
  <si>
    <t>MAGISTRATS_TI_SURENDET</t>
  </si>
  <si>
    <t>MAGISTRATS_TI_TUTELLES</t>
  </si>
  <si>
    <t>MAGISTRAT_TPRX_JAF</t>
  </si>
  <si>
    <t>MAGISTRAT_TPRX_TUT_MIN</t>
  </si>
  <si>
    <t>MAGISTRAT_TPRX_CORREC</t>
  </si>
  <si>
    <t>MAGISTRAT_TPRX_POLICE</t>
  </si>
  <si>
    <t>MAGISTRAT_TPRX_AUT_CTX_TJ</t>
  </si>
  <si>
    <t>MAGISTRATS_TGI_TI</t>
  </si>
  <si>
    <t>Fonctionnaires TPRX, Droit Local, Livre foncier, RCS,etc.</t>
  </si>
  <si>
    <t>Fonctionnaires TPRX IP, Saisies rém, Nationalité, actes de greffe, etc.</t>
  </si>
  <si>
    <t>Fonctionnaires TPRX affectés au surendettement et au Hors surendettement</t>
  </si>
  <si>
    <t>Fonctionnaires TPRX tutelles majeurs et vérification des comptes</t>
  </si>
  <si>
    <t>Fonctionnaires TPRX sur activité déléguée du TJ en matière : JAF</t>
  </si>
  <si>
    <t>Fonctionnaires TPRX sur activité déléguée du TJ en matière : Tutelles mineurs</t>
  </si>
  <si>
    <t>Fonctionnaires TPRX sur activité déléguée du TJ en matière  correctionnelle</t>
  </si>
  <si>
    <t>Fonctionnaires TPRX sur activité déléguée du TJ en matière de police</t>
  </si>
  <si>
    <t>Fonctionnaires TPRX sur activité déléguèe du TJ : Autres contentieux</t>
  </si>
  <si>
    <t>Juges du Livre Foncier + Juge d'Instance RCS et Droit Local</t>
  </si>
  <si>
    <t>Magistrats TPRX affectés aux saisies sur rémunération et IP</t>
  </si>
  <si>
    <t xml:space="preserve">Magistrats TPRX affectés au surendettement et au Hors surendettement </t>
  </si>
  <si>
    <t>Magistrats suivi tutelles majeurs et comptes</t>
  </si>
  <si>
    <t>Magistrat TPRX sur activité déléguée du TJ en matière : JAF</t>
  </si>
  <si>
    <t>Magistrat TPRX sur activité déléguée du TJ en matière : Tutelles mineurs</t>
  </si>
  <si>
    <t>Magistrat TPRX sur activité déléguée du TJ en matière correctionnelle</t>
  </si>
  <si>
    <t>Magistrat TPRX sur activité déléguée du TJ en matière de police</t>
  </si>
  <si>
    <t>Magistrat TPRX sur activité déléguée du TJ : Autres contentieux</t>
  </si>
  <si>
    <t>Magistrats du TJ affectés au TPRX</t>
  </si>
  <si>
    <t>ETPT_TPRX</t>
  </si>
  <si>
    <t>DÉCLARATION ETPT CPH</t>
  </si>
  <si>
    <t>JURISTE AS</t>
  </si>
  <si>
    <t>Total juristes assistants</t>
  </si>
  <si>
    <t>JUR_ASS_SIEGE</t>
  </si>
  <si>
    <t>Juristes assistants siège Autres</t>
  </si>
  <si>
    <t>ETPT_CPH</t>
  </si>
  <si>
    <t xml:space="preserve">                Agrégats DDG</t>
  </si>
  <si>
    <t xml:space="preserve">                 Déclaration des ETPT Attachés de Justice</t>
  </si>
  <si>
    <t>Total ETPT AJ_JA</t>
  </si>
  <si>
    <t>JUR_ASS_CH_SOC</t>
  </si>
  <si>
    <t>JA_CONT_A_JP</t>
  </si>
  <si>
    <t>JUR_ASS_TASS</t>
  </si>
  <si>
    <t>JUR_ASS_PARQUET</t>
  </si>
  <si>
    <t>CONT_A_JP_VIF_PARQUET</t>
  </si>
  <si>
    <t>JUR_ASS_JAP</t>
  </si>
  <si>
    <t>JUR_ASS_JE</t>
  </si>
  <si>
    <t>JUR_ASS_JINST</t>
  </si>
  <si>
    <t>JUR_ASS_JLD</t>
  </si>
  <si>
    <t>Sous action</t>
  </si>
  <si>
    <t>Contractuels A J Prox et A VIF</t>
  </si>
  <si>
    <t>Contractuels A J Prox et A VIF au Parquet</t>
  </si>
  <si>
    <t>Juristes assistants chambres sociales (CA)</t>
  </si>
  <si>
    <t>Juristes assistants au parquet</t>
  </si>
  <si>
    <t>Juristes assistants Pôle social (TJ)</t>
  </si>
  <si>
    <t>Juristes assistants affectés aux JAP</t>
  </si>
  <si>
    <t>Juristes assistants affectés aux JE</t>
  </si>
  <si>
    <t>Juristes assistants affectés aux Juge d'instruction</t>
  </si>
  <si>
    <t>Juristes assistants affectés aux JLD</t>
  </si>
  <si>
    <t>ETPT_ATTACHES_JUSTICE</t>
  </si>
  <si>
    <t xml:space="preserve">                 DÉCLARATION ETPT TJ</t>
  </si>
  <si>
    <t xml:space="preserve">Fonctionnaires Assises (inclus JIRS) </t>
  </si>
  <si>
    <t>Magistrats du Siège assises (inclus JIRS)</t>
  </si>
  <si>
    <t>Magistrats du Parquet JIRS éco-fi (correctionnel)</t>
  </si>
  <si>
    <t>Magistrats du Parquet JIRS crim-org (correctionnel)</t>
  </si>
  <si>
    <t>Magistrats du Parquet JIRS sections spécialisées (correctionnel)</t>
  </si>
  <si>
    <t xml:space="preserve">Magistrats du Parquet assises (inclus JIRS) </t>
  </si>
  <si>
    <r>
      <t xml:space="preserve">Attention : 
- par défaut, l'activité pénale recensée au niveau des TPRX est comptabilisée sur le TJ, tout comme les activités éventuellement déléguées dans les TPRX et le soutien des agents affectés au CPH</t>
    </r>
    <r>
      <rPr>
        <b/>
        <color rgb="FF002060"/>
        <family val="2"/>
        <sz val="10"/>
        <rFont val="Arial"/>
      </rPr>
      <t xml:space="preserve"> </t>
    </r>
    <r>
      <rPr>
        <color rgb="FF002060"/>
        <family val="2"/>
        <sz val="10"/>
        <rFont val="Arial"/>
      </rPr>
      <t>: si vous souhaitez affiner à ce niveau de détail, il vous appartient de déduire les ETPT concernés des rubriques afférentes du TJ pour les reporter manuellement dans les cases ad hoc du TPRX ou du CPH.</t>
    </r>
    <r>
      <rPr>
        <b/>
        <color rgb="FFFF0000"/>
        <family val="2"/>
        <sz val="10"/>
        <rFont val="Arial"/>
      </rPr>
      <t xml:space="preserve">
- les indisponibilités des fonctionnaires et magistrats placés figurant dans les cases vertes supra ne sont calculées qu'à titre indicatif </t>
    </r>
    <r>
      <rPr>
        <color rgb="FF002060"/>
        <family val="2"/>
        <sz val="10"/>
        <rFont val="Arial"/>
      </rPr>
      <t>pour pouvoir être éventuellement communiquées à la CA et au SAR, en charge de ces effectifs.</t>
    </r>
  </si>
  <si>
    <t xml:space="preserve">                 DÉCLARATION ETPT TPRX</t>
  </si>
  <si>
    <t>Fonctionnaires hors fonctions spécifiques</t>
  </si>
  <si>
    <t>Magistrats TPRX affectés au surendettement et au Hors surendettement</t>
  </si>
  <si>
    <t>Magistrats du TJ affectés au TPRX (contentieux civil &lt; 10 000 EUR)</t>
  </si>
  <si>
    <r>
      <rPr>
        <b/>
        <color rgb="FF2D46E0"/>
        <family val="2"/>
        <scheme val="minor"/>
        <sz val="12"/>
        <rFont val="Calibri"/>
      </rPr>
      <t>→ Sélectionner la juridiction souhaitée à partir du menu déroulant qui se trouve dans la cellule D5 identifiée en</t>
    </r>
    <r>
      <rPr>
        <b/>
        <color rgb="FF860000"/>
        <family val="2"/>
        <scheme val="minor"/>
        <sz val="12"/>
        <rFont val="Calibri"/>
      </rPr>
      <t xml:space="preserve"> </t>
    </r>
    <r>
      <rPr>
        <b/>
        <color theme="5"/>
        <family val="2"/>
        <scheme val="minor"/>
        <sz val="12"/>
        <rFont val="Calibri"/>
      </rPr>
      <t>orange.</t>
    </r>
  </si>
  <si>
    <r>
      <t xml:space="preserve">Attention : par défaut, l'activité pénale recensée au niveau des TPRX est comptabilisée sur le TJ, tout comme les activités éventuellement déléguées dans les TPRX. 
</t>
    </r>
    <r>
      <rPr>
        <color rgb="FF002060"/>
        <family val="2"/>
        <sz val="11"/>
        <rFont val="Arial"/>
      </rPr>
      <t>Si des activités sont formellement déléguées du TJ au TPRX, ou si vous voulez faire apparaitre dans ce fichier les ETPT dédiés à l'activité pénale du TPRX, les ETPT correspondant doivent être manuellement reportés dans ce tableau et corrélativement soustraits des cases afférentes de l'onglet ETPT_TJ_DDG.</t>
    </r>
  </si>
  <si>
    <t xml:space="preserve">                 DÉCLARATION ETPT CPH</t>
  </si>
  <si>
    <r>
      <t xml:space="preserve">Attention : Les actions 6, 7, 8 et 99 des agents affectés au CPH ne peuvent être automatiquement reportées dans ce tableau et figurent par défaut dans l'onglet ETPT-TJ-DDG.
</t>
    </r>
    <r>
      <rPr>
        <color rgb="FF002060"/>
        <family val="2"/>
        <sz val="11"/>
        <rFont val="Arial"/>
      </rPr>
      <t>Si vous souhaitez détailler ces actions pour les agents affectés au CPH, il convient de les reporter manuellement dans le tableau ci-dessus et de les soustraire corrélativement des ETPT du TJ</t>
    </r>
  </si>
  <si>
    <t xml:space="preserve">                 DÉCLARATION ETPT JURISTES ASSISTANTS (futur Attachés de justice)</t>
  </si>
  <si>
    <t>TJ</t>
  </si>
  <si>
    <t>TPROX</t>
  </si>
  <si>
    <t>CPH</t>
  </si>
  <si>
    <t>CPH détachés</t>
  </si>
  <si>
    <t>#! END_ROW</t>
  </si>
  <si>
    <t>#! FINISH</t>
  </si>
  <si>
    <r>
      <t xml:space="preserve">3.2 Protection des majeurs
</t>
    </r>
    <r>
      <rPr>
        <b/>
        <color rgb="FF0070C0"/>
        <family val="2"/>
        <sz val="7"/>
        <rFont val="Arial"/>
      </rPr>
      <t>(Pour Fonction recodée = Magistrats SIEGE S et NS)</t>
    </r>
    <r>
      <rPr>
        <family val="2"/>
        <sz val="7"/>
        <rFont val="Arial"/>
      </rPr>
      <t xml:space="preserve">
</t>
    </r>
    <r>
      <rPr>
        <b/>
        <color rgb="FFFF0000"/>
        <family val="2"/>
        <sz val="7"/>
        <rFont val="Arial"/>
      </rPr>
      <t xml:space="preserve">
Critère sur le TJ OU CPH</t>
    </r>
  </si>
  <si>
    <r>
      <t xml:space="preserve">3. Contentieux de la Protection - 3.2 Protection des majeurs - 3.43 Injonctions de payer - 3.44 Saisies des rémunérations
</t>
    </r>
    <r>
      <rPr>
        <b/>
        <color rgb="FF0070C0"/>
        <family val="2"/>
        <sz val="7"/>
        <rFont val="Arial"/>
      </rPr>
      <t xml:space="preserve">(Pour Fonction recodée = Magistrats SIEGE S et NS)
</t>
    </r>
    <r>
      <rPr>
        <b/>
        <color rgb="FFFF0000"/>
        <family val="2"/>
        <sz val="7"/>
        <rFont val="Arial"/>
      </rPr>
      <t>Critère sur le TJ OU CPH</t>
    </r>
  </si>
  <si>
    <r>
      <t xml:space="preserve">6.1 JE : activité civile
</t>
    </r>
    <r>
      <rPr>
        <b/>
        <color rgb="FF0070C0"/>
        <family val="2"/>
        <sz val="7"/>
        <rFont val="Arial"/>
      </rPr>
      <t xml:space="preserve">(Pour Fonction recodée = Magistrats SIEGE S et NS)
</t>
    </r>
    <r>
      <rPr>
        <family val="2"/>
        <sz val="7"/>
        <rFont val="Arial"/>
      </rPr>
      <t xml:space="preserve">
</t>
    </r>
    <r>
      <rPr>
        <b/>
        <color rgb="FFFF0000"/>
        <family val="2"/>
        <sz val="7"/>
        <rFont val="Arial"/>
      </rPr>
      <t>TJ et TPR ou CPH (donc pas de critère sur le TJ)</t>
    </r>
  </si>
  <si>
    <r>
      <t xml:space="preserve">5. TOTAL JLD CIVIL
</t>
    </r>
    <r>
      <rPr>
        <b/>
        <color rgb="FF0070C0"/>
        <family val="2"/>
        <sz val="7"/>
        <rFont val="Arial"/>
      </rPr>
      <t>(Pour Fonction recodée = Magistrats SIEGE S et NS)</t>
    </r>
    <r>
      <rPr>
        <family val="2"/>
        <sz val="7"/>
        <rFont val="Arial"/>
      </rPr>
      <t xml:space="preserve">
</t>
    </r>
    <r>
      <rPr>
        <b/>
        <color rgb="FFFF0000"/>
        <family val="2"/>
        <sz val="7"/>
        <rFont val="Arial"/>
      </rPr>
      <t xml:space="preserve">
TJ et TPR et CPH (donc pas de critère sur le TJ)</t>
    </r>
  </si>
  <si>
    <r>
      <rPr>
        <b/>
        <color rgb="FFFF0000"/>
        <family val="2"/>
        <sz val="7"/>
        <rFont val="Arial"/>
      </rPr>
      <t xml:space="preserve">1.1 Départage prud'homal 
</t>
    </r>
    <r>
      <rPr>
        <family val="2"/>
        <sz val="7"/>
        <rFont val="Arial"/>
      </rPr>
      <t xml:space="preserve">
</t>
    </r>
    <r>
      <rPr>
        <b/>
        <color rgb="FF0070C0"/>
        <family val="2"/>
        <sz val="7"/>
        <rFont val="Arial"/>
      </rPr>
      <t>(Pour Fonction recodée = Magistrats SIEGE S et NS)</t>
    </r>
    <r>
      <rPr>
        <family val="2"/>
        <sz val="7"/>
        <rFont val="Arial"/>
      </rPr>
      <t xml:space="preserve">
</t>
    </r>
    <r>
      <rPr>
        <b/>
        <color rgb="FFFF0000"/>
        <family val="2"/>
        <sz val="7"/>
        <rFont val="Arial"/>
      </rPr>
      <t xml:space="preserve">
Critère sur le TJ OU CPH</t>
    </r>
  </si>
  <si>
    <r>
      <t xml:space="preserve">4.0 Contentieux général &lt; 10000 euros
</t>
    </r>
    <r>
      <rPr>
        <b/>
        <color rgb="FF0070C0"/>
        <family val="2"/>
        <sz val="7"/>
        <rFont val="Arial"/>
      </rPr>
      <t xml:space="preserve">(Pour Fonction recodée = Magistrats SIEGE S et NS)
</t>
    </r>
    <r>
      <rPr>
        <b/>
        <color rgb="FFFF0000"/>
        <family val="2"/>
        <sz val="7"/>
        <rFont val="Arial"/>
      </rPr>
      <t xml:space="preserve">
Critère sur le TJ OU CPH</t>
    </r>
  </si>
  <si>
    <r>
      <t xml:space="preserve">3.43 Injonctions de payer + 3.44 Saisies des rémunérations
</t>
    </r>
    <r>
      <rPr>
        <b/>
        <color rgb="FF0070C0"/>
        <family val="2"/>
        <sz val="7"/>
        <rFont val="Arial"/>
      </rPr>
      <t>(Pour Fonction recodée = Magistrats SIEGE S et NS)</t>
    </r>
    <r>
      <rPr>
        <family val="2"/>
        <sz val="7"/>
        <rFont val="Arial"/>
      </rPr>
      <t xml:space="preserve">
</t>
    </r>
    <r>
      <rPr>
        <b/>
        <color rgb="FFFF0000"/>
        <family val="2"/>
        <sz val="7"/>
        <rFont val="Arial"/>
      </rPr>
      <t xml:space="preserve">
Critère sur le TJ OU CPH</t>
    </r>
  </si>
  <si>
    <r>
      <t xml:space="preserve">1. TOTAL CONTENTIEUX SOCIAL  
-
</t>
    </r>
    <r>
      <rPr>
        <b/>
        <color rgb="FFFF0000"/>
        <family val="2"/>
        <sz val="7"/>
        <rFont val="Arial"/>
      </rPr>
      <t xml:space="preserve">1.1 Départage prud'homal 
</t>
    </r>
    <r>
      <rPr>
        <family val="2"/>
        <sz val="7"/>
        <rFont val="Arial"/>
      </rPr>
      <t xml:space="preserve">
</t>
    </r>
    <r>
      <rPr>
        <b/>
        <color rgb="FF0070C0"/>
        <family val="2"/>
        <sz val="7"/>
        <rFont val="Arial"/>
      </rPr>
      <t xml:space="preserve">(Pour Fonction recodée = Magistrats SIEGE S et NS)
</t>
    </r>
    <r>
      <rPr>
        <b/>
        <color rgb="FFFF0000"/>
        <family val="2"/>
        <sz val="7"/>
        <rFont val="Arial"/>
      </rPr>
      <t>Critère sur le TJ OU CPH</t>
    </r>
  </si>
  <si>
    <r>
      <t xml:space="preserve">2. TOTAL CONTENTIEUX JAF
</t>
    </r>
    <r>
      <rPr>
        <b/>
        <color rgb="FF0070C0"/>
        <family val="2"/>
        <sz val="7"/>
        <rFont val="Arial"/>
      </rPr>
      <t>(Pour Fonction recodée = Magistrats SIEGE S et NS)</t>
    </r>
    <r>
      <rPr>
        <family val="2"/>
        <sz val="7"/>
        <rFont val="Arial"/>
      </rPr>
      <t xml:space="preserve">
</t>
    </r>
    <r>
      <rPr>
        <b/>
        <color rgb="FFFF0000"/>
        <family val="2"/>
        <sz val="7"/>
        <rFont val="Arial"/>
      </rPr>
      <t xml:space="preserve">
TJ et TPR et CPH (donc pas de critère sur le TJ)</t>
    </r>
  </si>
  <si>
    <r>
      <t xml:space="preserve">4. TOTAL CIVIL NON SPÉCIALISÉ 
-
4.0 Contentieux général &lt; 10000 euros
</t>
    </r>
    <r>
      <rPr>
        <b/>
        <color rgb="FF0070C0"/>
        <family val="2"/>
        <sz val="7"/>
        <rFont val="Arial"/>
      </rPr>
      <t xml:space="preserve">(Pour Fonction recodée = Magistrats SIEGE S)
</t>
    </r>
    <r>
      <rPr>
        <family val="2"/>
        <sz val="7"/>
        <rFont val="Arial"/>
      </rPr>
      <t xml:space="preserve">
</t>
    </r>
    <r>
      <rPr>
        <b/>
        <color rgb="FFFF0000"/>
        <family val="2"/>
        <sz val="7"/>
        <rFont val="Arial"/>
      </rPr>
      <t>Critère sur le TJ ou CPH</t>
    </r>
  </si>
  <si>
    <r>
      <t xml:space="preserve">4. TOTAL CIVIL NON SPÉCIALISÉ - 4.0 Contentieux général &lt; 10000 euros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ou CPH</t>
    </r>
  </si>
  <si>
    <r>
      <t xml:space="preserve">8.1 Service général
</t>
    </r>
    <r>
      <rPr>
        <b/>
        <color rgb="FF0070C0"/>
        <family val="2"/>
        <sz val="7"/>
        <rFont val="Arial"/>
      </rPr>
      <t>(Pour Fonction recodée = Magistrats SIEGE S et NS)</t>
    </r>
    <r>
      <rPr>
        <family val="2"/>
        <sz val="7"/>
        <rFont val="Arial"/>
      </rPr>
      <t xml:space="preserve">
</t>
    </r>
    <r>
      <rPr>
        <b/>
        <color rgb="FFFF0000"/>
        <family val="2"/>
        <sz val="7"/>
        <rFont val="Arial"/>
      </rPr>
      <t xml:space="preserve">
TJ et TPR et CPH  (donc pas de critère sur le TJ)</t>
    </r>
  </si>
  <si>
    <r>
      <t xml:space="preserve">8.2 JIRS eco-fi
</t>
    </r>
    <r>
      <rPr>
        <b/>
        <color rgb="FF0070C0"/>
        <family val="2"/>
        <sz val="7"/>
        <rFont val="Arial"/>
      </rPr>
      <t>(Pour Fonction recodée = Magistrats SIEGE S et NS)</t>
    </r>
    <r>
      <rPr>
        <family val="2"/>
        <sz val="7"/>
        <rFont val="Arial"/>
      </rPr>
      <t xml:space="preserve">
</t>
    </r>
    <r>
      <rPr>
        <b/>
        <color rgb="FFFF0000"/>
        <family val="2"/>
        <sz val="7"/>
        <rFont val="Arial"/>
      </rPr>
      <t xml:space="preserve">
TJ et TPR et CPH (donc pas de critère sur le TJ)</t>
    </r>
  </si>
  <si>
    <r>
      <t xml:space="preserve">8.3 JIRS crim-org
</t>
    </r>
    <r>
      <rPr>
        <b/>
        <color rgb="FF0070C0"/>
        <family val="2"/>
        <sz val="7"/>
        <rFont val="Arial"/>
      </rPr>
      <t xml:space="preserve">(Pour Fonction recodée = Magistrats SIEGE S et NS)
</t>
    </r>
    <r>
      <rPr>
        <family val="2"/>
        <sz val="7"/>
        <rFont val="Arial"/>
      </rPr>
      <t xml:space="preserve">
</t>
    </r>
    <r>
      <rPr>
        <b/>
        <color rgb="FFFF0000"/>
        <family val="2"/>
        <sz val="7"/>
        <rFont val="Arial"/>
      </rPr>
      <t>TJ et TPR et CPH (donc pas de critère sur le TJ)</t>
    </r>
  </si>
  <si>
    <r>
      <t xml:space="preserve">8.4 autres sections spécialisées
</t>
    </r>
    <r>
      <rPr>
        <color theme="1"/>
        <family val="2"/>
        <sz val="7"/>
        <rFont val="Arial"/>
      </rPr>
      <t xml:space="preserve">+
8.11 ECO-FI HORS JIRS
</t>
    </r>
    <r>
      <rPr>
        <family val="2"/>
        <sz val="7"/>
        <rFont val="Arial"/>
      </rPr>
      <t xml:space="preserve">
</t>
    </r>
    <r>
      <rPr>
        <b/>
        <color rgb="FF0070C0"/>
        <family val="2"/>
        <sz val="7"/>
        <rFont val="Arial"/>
      </rPr>
      <t xml:space="preserve">(Pour Fonction recodée = Magistrats SIEGE S et NS)
</t>
    </r>
    <r>
      <rPr>
        <family val="2"/>
        <sz val="7"/>
        <rFont val="Arial"/>
      </rPr>
      <t xml:space="preserve">
</t>
    </r>
    <r>
      <rPr>
        <b/>
        <color rgb="FFFF0000"/>
        <family val="2"/>
        <sz val="7"/>
        <rFont val="Arial"/>
      </rPr>
      <t>TJ et TPR et CPH (donc pas de critère sur le TJ)</t>
    </r>
  </si>
  <si>
    <r>
      <t xml:space="preserve">9. TOTAL JAP
</t>
    </r>
    <r>
      <rPr>
        <b/>
        <color rgb="FF0070C0"/>
        <family val="2"/>
        <sz val="7"/>
        <rFont val="Arial"/>
      </rPr>
      <t>(Pour Fonction recodée = Magistrats SIEGE S et NS)</t>
    </r>
    <r>
      <rPr>
        <b/>
        <family val="2"/>
        <sz val="7"/>
        <rFont val="Arial"/>
      </rPr>
      <t xml:space="preserve">
</t>
    </r>
    <r>
      <rPr>
        <b/>
        <color rgb="FFFF0000"/>
        <family val="2"/>
        <sz val="7"/>
        <rFont val="Arial"/>
      </rPr>
      <t xml:space="preserve">
TJ et TPR et CPH (donc pas de critère sur le TJ)</t>
    </r>
  </si>
  <si>
    <r>
      <t xml:space="preserve">6.2 JE : activité pénale
</t>
    </r>
    <r>
      <rPr>
        <b/>
        <color rgb="FF0070C0"/>
        <family val="2"/>
        <sz val="7"/>
        <rFont val="Arial"/>
      </rPr>
      <t>(Pour Fonction recodée = Magistrats SIEGE S et NS)</t>
    </r>
    <r>
      <rPr>
        <color rgb="FF0070C0"/>
        <family val="2"/>
        <sz val="7"/>
        <rFont val="Arial"/>
      </rPr>
      <t xml:space="preserve">
</t>
    </r>
    <r>
      <rPr>
        <b/>
        <color rgb="FFFF0000"/>
        <family val="2"/>
        <sz val="7"/>
        <rFont val="Arial"/>
      </rPr>
      <t xml:space="preserve">
TJ et TPR et CPH (donc pas de critère sur le TJ)</t>
    </r>
  </si>
  <si>
    <r>
      <t xml:space="preserve">10. TOTAL JLD PÉNAL
</t>
    </r>
    <r>
      <rPr>
        <b/>
        <color rgb="FF0070C0"/>
        <family val="2"/>
        <sz val="7"/>
        <rFont val="Arial"/>
      </rPr>
      <t xml:space="preserve">(Pour Fonction recodée = Magistrats SIEGE S et NS)
</t>
    </r>
    <r>
      <rPr>
        <family val="2"/>
        <sz val="7"/>
        <rFont val="Arial"/>
      </rPr>
      <t xml:space="preserve">
</t>
    </r>
    <r>
      <rPr>
        <b/>
        <color rgb="FFFF0000"/>
        <family val="2"/>
        <sz val="7"/>
        <rFont val="Arial"/>
      </rPr>
      <t>TJ et TPR (donc pas de critère sur le TJ)</t>
    </r>
  </si>
  <si>
    <r>
      <t xml:space="preserve">7.5 + 7.51 Cour d'assises JIRS et hors JIRS
</t>
    </r>
    <r>
      <rPr>
        <b/>
        <color theme="8" tint="-0.249977111117893"/>
        <family val="2"/>
        <sz val="7"/>
        <rFont val="Arial"/>
      </rPr>
      <t xml:space="preserve">(Pour Fonction recodée = Magistrats SIEGE S et NS)
</t>
    </r>
    <r>
      <rPr>
        <b/>
        <color rgb="FFFF0000"/>
        <family val="2"/>
        <sz val="7"/>
        <rFont val="Arial"/>
      </rPr>
      <t>TJ et TPR et CPH (donc pas de critère sur le TJ)</t>
    </r>
  </si>
  <si>
    <r>
      <t>7.52 cour criminelle</t>
    </r>
    <r>
      <rPr>
        <b/>
        <color rgb="FFFF0000"/>
        <family val="2"/>
        <sz val="7"/>
        <rFont val="Arial"/>
      </rPr>
      <t xml:space="preserve">
</t>
    </r>
    <r>
      <rPr>
        <family val="2"/>
        <sz val="7"/>
        <rFont val="Arial"/>
      </rPr>
      <t xml:space="preserve">
</t>
    </r>
    <r>
      <rPr>
        <b/>
        <color theme="8" tint="-0.249977111117893"/>
        <family val="2"/>
        <sz val="7"/>
        <rFont val="Arial"/>
      </rPr>
      <t xml:space="preserve"> (Pour Fonction recodée = Magistrats SIEGE S et NS)
</t>
    </r>
    <r>
      <rPr>
        <b/>
        <color rgb="FFFF0000"/>
        <family val="2"/>
        <sz val="7"/>
        <rFont val="Arial"/>
      </rPr>
      <t>TJ et TPR et CPH (donc pas de critère sur le TJ)</t>
    </r>
  </si>
  <si>
    <r>
      <t xml:space="preserve">7.121 Collégiales JIRS eco-fi POUR LES JURIDICTIONS JIRS
</t>
    </r>
    <r>
      <rPr>
        <b/>
        <color rgb="FFFF0000"/>
        <family val="2"/>
        <sz val="7"/>
        <rFont val="Arial"/>
      </rPr>
      <t xml:space="preserve">
</t>
    </r>
    <r>
      <rPr>
        <b/>
        <color rgb="FF0070C0"/>
        <family val="2"/>
        <sz val="7"/>
        <rFont val="Arial"/>
      </rPr>
      <t xml:space="preserve"> (Pour Fonction recodée = Magistrats SIEGE S et NS)
</t>
    </r>
    <r>
      <rPr>
        <b/>
        <color rgb="FFFF0000"/>
        <family val="2"/>
        <sz val="7"/>
        <rFont val="Arial"/>
      </rPr>
      <t xml:space="preserve">
TJ et TPR et CPH (donc pas de critère sur le TJ)</t>
    </r>
  </si>
  <si>
    <r>
      <t xml:space="preserve">7.12 Collégiales JIRS crim-org
</t>
    </r>
    <r>
      <rPr>
        <b/>
        <color rgb="FFFF0000"/>
        <family val="2"/>
        <sz val="7"/>
        <rFont val="Arial"/>
      </rPr>
      <t xml:space="preserve">
 </t>
    </r>
    <r>
      <rPr>
        <b/>
        <color rgb="FF0070C0"/>
        <family val="2"/>
        <sz val="7"/>
        <rFont val="Arial"/>
      </rPr>
      <t>(Pour Fonction recodée = Magistrats SIEGE S et NS)</t>
    </r>
    <r>
      <rPr>
        <b/>
        <color rgb="FFFF0000"/>
        <family val="2"/>
        <sz val="7"/>
        <rFont val="Arial"/>
      </rPr>
      <t xml:space="preserve">
TJ et TPR et CPH (donc pas de critère sur le TJ)</t>
    </r>
  </si>
  <si>
    <r>
      <t xml:space="preserve">7.122 Collégiales autres sections spécialisées + 7.121 Collégiales eco-fi POUR LES JURIDICTIONS NON JIRS
</t>
    </r>
    <r>
      <rPr>
        <b/>
        <color rgb="FFFF0000"/>
        <family val="2"/>
        <sz val="7"/>
        <rFont val="Arial"/>
      </rPr>
      <t xml:space="preserve">
 </t>
    </r>
    <r>
      <rPr>
        <b/>
        <color rgb="FF0070C0"/>
        <family val="2"/>
        <sz val="7"/>
        <rFont val="Arial"/>
      </rPr>
      <t>(Pour Fonction recodée = Magistrats SIEGE S et NS)</t>
    </r>
    <r>
      <rPr>
        <b/>
        <color rgb="FFFF0000"/>
        <family val="2"/>
        <sz val="7"/>
        <rFont val="Arial"/>
      </rPr>
      <t xml:space="preserve">
TJ et TPR et CPH (donc pas de critère sur le TJ)</t>
    </r>
  </si>
  <si>
    <r>
      <t xml:space="preserve">7.6 Tribunal de police + 7.7 OP contraventionnelles
</t>
    </r>
    <r>
      <rPr>
        <b/>
        <color rgb="FFFF0000"/>
        <family val="2"/>
        <sz val="7"/>
        <rFont val="Arial"/>
      </rPr>
      <t xml:space="preserve">
</t>
    </r>
    <r>
      <rPr>
        <b/>
        <color rgb="FF0070C0"/>
        <family val="2"/>
        <sz val="7"/>
        <rFont val="Arial"/>
      </rPr>
      <t xml:space="preserve"> (Pour Fonction recodée = Magistrats SIEGE S et NS)
</t>
    </r>
    <r>
      <rPr>
        <b/>
        <color rgb="FFFF0000"/>
        <family val="2"/>
        <sz val="7"/>
        <rFont val="Arial"/>
      </rPr>
      <t xml:space="preserve">
TJ et TPR et CPH (donc pas de critère sur le TJ)</t>
    </r>
  </si>
  <si>
    <r>
      <t>7. TOTAL SIÈGE PÉNAL - 7.5. COUR D'ASSISES HORS JIRS - 7.51. COUR D'ASSISES JIRS - 7.52. COUR CRIMINELLE - 7.121. COLLÉGIALES JIRS ÉCO-FI - 7.12. COLLÉGIALES JIRS CRIM-ORG - 7.122. COLLÉGIALES AUTRES SECTIONS SPÉCIALISÉES - 7.6. TRIBUNAL DE POLICE - 7.7. OP CONTRAVENTIONNELLES</t>
    </r>
    <r>
      <rPr>
        <b/>
        <color rgb="FFFF0000"/>
        <family val="2"/>
        <sz val="7"/>
        <rFont val="Arial"/>
      </rPr>
      <t xml:space="preserve">
</t>
    </r>
    <r>
      <rPr>
        <family val="2"/>
        <sz val="7"/>
        <rFont val="Arial"/>
      </rPr>
      <t xml:space="preserve">
</t>
    </r>
    <r>
      <rPr>
        <b/>
        <color rgb="FF0070C0"/>
        <family val="2"/>
        <sz val="7"/>
        <rFont val="Arial"/>
      </rPr>
      <t xml:space="preserve">(Pour Fonction recodée = Magistrats SIEGE S)
</t>
    </r>
    <r>
      <rPr>
        <b/>
        <color rgb="FFFF0000"/>
        <family val="2"/>
        <sz val="7"/>
        <rFont val="Arial"/>
      </rPr>
      <t xml:space="preserve">
TJ et TPR et CPH (donc pas de critère sur le TJ)</t>
    </r>
  </si>
  <si>
    <r>
      <t>7. TOTAL SIÈGE PÉNAL - 7.5. COUR D'ASSISES HORS JIRS - 7.51. COUR D'ASSISES JIRS - 7.52. COUR CRIMINELLE - 7.121. COLLÉGIALES JIRS ÉCO-FI - 7.12. COLLÉGIALES JIRS CRIM-ORG - 7.122. COLLÉGIALES AUTRES SECTIONS SPÉCIALISÉES - 7.6. TRIBUNAL DE POLICE - 7.7. OP CONTRAVENTIONNELLES</t>
    </r>
    <r>
      <rPr>
        <b/>
        <color rgb="FFFF0000"/>
        <family val="2"/>
        <sz val="7"/>
        <rFont val="Arial"/>
      </rPr>
      <t xml:space="preserve">
</t>
    </r>
    <r>
      <rPr>
        <family val="2"/>
        <sz val="7"/>
        <rFont val="Arial"/>
      </rPr>
      <t xml:space="preserve">
</t>
    </r>
    <r>
      <rPr>
        <b/>
        <color rgb="FF0070C0"/>
        <family val="2"/>
        <sz val="7"/>
        <rFont val="Arial"/>
      </rPr>
      <t xml:space="preserve">(Pour Fonction recodée = Magistrats SIEGE NS)
</t>
    </r>
    <r>
      <rPr>
        <b/>
        <color rgb="FFFF0000"/>
        <family val="2"/>
        <sz val="7"/>
        <rFont val="Arial"/>
      </rPr>
      <t xml:space="preserve">
TJ et TPR et CPH (donc pas de critère sur le TJ)</t>
    </r>
  </si>
  <si>
    <r>
      <t xml:space="preserve">11.5 CSM
</t>
    </r>
    <r>
      <rPr>
        <b/>
        <color rgb="FF0070C0"/>
        <family val="2"/>
        <sz val="7"/>
        <rFont val="Arial"/>
      </rPr>
      <t xml:space="preserve">(pour Fonction JCP seulement)
</t>
    </r>
    <r>
      <rPr>
        <family val="2"/>
        <sz val="7"/>
        <rFont val="Arial"/>
      </rPr>
      <t xml:space="preserve">
</t>
    </r>
    <r>
      <rPr>
        <b/>
        <color rgb="FFFF0000"/>
        <family val="2"/>
        <sz val="7"/>
        <rFont val="Arial"/>
      </rPr>
      <t>Critère sur le TJ et le CPH</t>
    </r>
  </si>
  <si>
    <r>
      <t xml:space="preserve">11.5 CSM
</t>
    </r>
    <r>
      <rPr>
        <b/>
        <color rgb="FF0070C0"/>
        <family val="2"/>
        <sz val="7"/>
        <rFont val="Arial"/>
      </rPr>
      <t>(pour Fonction JI seulement)</t>
    </r>
    <r>
      <rPr>
        <family val="2"/>
        <sz val="7"/>
        <rFont val="Arial"/>
      </rPr>
      <t xml:space="preserve">
</t>
    </r>
    <r>
      <rPr>
        <b/>
        <color rgb="FFFF0000"/>
        <family val="2"/>
        <sz val="7"/>
        <rFont val="Arial"/>
      </rPr>
      <t xml:space="preserve">
Critère sur le TJ et CPH</t>
    </r>
  </si>
  <si>
    <r>
      <t xml:space="preserve">11.5 CSM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</si>
  <si>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 xml:space="preserve">11.5 CSM
</t>
    </r>
    <r>
      <rPr>
        <b/>
        <color rgb="FF0070C0"/>
        <family val="2"/>
        <sz val="7"/>
        <rFont val="Arial"/>
      </rPr>
      <t>(pour Fonction JE seulement)</t>
    </r>
    <r>
      <rPr>
        <family val="2"/>
        <sz val="7"/>
        <rFont val="Arial"/>
      </rPr>
      <t xml:space="preserve">
</t>
    </r>
    <r>
      <rPr>
        <b/>
        <color rgb="FFFF0000"/>
        <family val="2"/>
        <sz val="7"/>
        <rFont val="Arial"/>
      </rPr>
      <t xml:space="preserve">
Critère sur le TJ et CPH</t>
    </r>
  </si>
  <si>
    <r>
      <t xml:space="preserve">11.5 CSM
</t>
    </r>
    <r>
      <rPr>
        <b/>
        <color rgb="FF0070C0"/>
        <family val="2"/>
        <sz val="7"/>
        <rFont val="Arial"/>
      </rPr>
      <t xml:space="preserve">(pour Fonction JLD seulement)
</t>
    </r>
    <r>
      <rPr>
        <family val="2"/>
        <sz val="7"/>
        <rFont val="Arial"/>
      </rPr>
      <t xml:space="preserve">
</t>
    </r>
    <r>
      <rPr>
        <b/>
        <color rgb="FFFF0000"/>
        <family val="2"/>
        <sz val="7"/>
        <rFont val="Arial"/>
      </rPr>
      <t>Critère sur le TJ et CPH</t>
    </r>
  </si>
  <si>
    <r>
      <t xml:space="preserve">11.5 CSM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</si>
  <si>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11.51 Accueil du justiciable
</t>
    </r>
    <r>
      <rPr>
        <b/>
        <color rgb="FF0070C0"/>
        <family val="2"/>
        <sz val="7"/>
        <rFont val="Arial"/>
      </rPr>
      <t xml:space="preserve">(pour Fonction JCP seulement)
</t>
    </r>
    <r>
      <rPr>
        <family val="2"/>
        <sz val="7"/>
        <rFont val="Arial"/>
      </rPr>
      <t xml:space="preserve">
</t>
    </r>
    <r>
      <rPr>
        <b/>
        <color rgb="FFFF0000"/>
        <family val="2"/>
        <sz val="7"/>
        <rFont val="Arial"/>
      </rPr>
      <t>Critère sur le TJ et CPH</t>
    </r>
  </si>
  <si>
    <r>
      <t xml:space="preserve">11.51 Accueil du justiciable
</t>
    </r>
    <r>
      <rPr>
        <b/>
        <color rgb="FF0070C0"/>
        <family val="2"/>
        <sz val="7"/>
        <rFont val="Arial"/>
      </rPr>
      <t xml:space="preserve">(pour Fonction JI seulement)
</t>
    </r>
    <r>
      <rPr>
        <family val="2"/>
        <sz val="7"/>
        <rFont val="Arial"/>
      </rPr>
      <t xml:space="preserve">
</t>
    </r>
    <r>
      <rPr>
        <b/>
        <color rgb="FFFF0000"/>
        <family val="2"/>
        <sz val="7"/>
        <rFont val="Arial"/>
      </rPr>
      <t>Critère sur le TJ et CPH</t>
    </r>
  </si>
  <si>
    <r>
      <t xml:space="preserve">11.51 Accueil du justiciable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</si>
  <si>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 xml:space="preserve">11.51 Accueil du justiciable
</t>
    </r>
    <r>
      <rPr>
        <b/>
        <color rgb="FF0070C0"/>
        <family val="2"/>
        <sz val="7"/>
        <rFont val="Arial"/>
      </rPr>
      <t>(pour Fonction JE seulement)</t>
    </r>
    <r>
      <rPr>
        <family val="2"/>
        <sz val="7"/>
        <rFont val="Arial"/>
      </rPr>
      <t xml:space="preserve">
</t>
    </r>
    <r>
      <rPr>
        <b/>
        <color rgb="FFFF0000"/>
        <family val="2"/>
        <sz val="7"/>
        <rFont val="Arial"/>
      </rPr>
      <t xml:space="preserve">
Critère sur le TJ et CPH</t>
    </r>
  </si>
  <si>
    <r>
      <t xml:space="preserve">11.51 Accueil du justiciable
</t>
    </r>
    <r>
      <rPr>
        <b/>
        <color rgb="FF0070C0"/>
        <family val="2"/>
        <sz val="7"/>
        <rFont val="Arial"/>
      </rPr>
      <t>(pour Fonction JLD seulement)</t>
    </r>
    <r>
      <rPr>
        <family val="2"/>
        <sz val="7"/>
        <rFont val="Arial"/>
      </rPr>
      <t xml:space="preserve">
</t>
    </r>
    <r>
      <rPr>
        <b/>
        <color rgb="FFFF0000"/>
        <family val="2"/>
        <sz val="7"/>
        <rFont val="Arial"/>
      </rPr>
      <t xml:space="preserve">
Critère sur le TJ et CPH</t>
    </r>
  </si>
  <si>
    <r>
      <t xml:space="preserve">11.51 Accueil du justiciable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</si>
  <si>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11.1 Soutien + 11.2 Formations suivies +</t>
    </r>
    <r>
      <rPr>
        <b/>
        <color rgb="FFFF0000"/>
        <family val="2"/>
        <sz val="7"/>
        <rFont val="Arial"/>
      </rPr>
      <t xml:space="preserve"> 11.6 Autres activités non juridictionnelles
 </t>
    </r>
    <r>
      <rPr>
        <family val="2"/>
        <sz val="7"/>
        <rFont val="Arial"/>
      </rPr>
      <t xml:space="preserve">
</t>
    </r>
    <r>
      <rPr>
        <b/>
        <color rgb="FF0070C0"/>
        <family val="2"/>
        <sz val="7"/>
        <rFont val="Arial"/>
      </rPr>
      <t xml:space="preserve">(pour Fonction JCP seulement)
</t>
    </r>
    <r>
      <rPr>
        <family val="2"/>
        <sz val="7"/>
        <rFont val="Arial"/>
      </rPr>
      <t xml:space="preserve">
</t>
    </r>
    <r>
      <rPr>
        <b/>
        <color rgb="FFFF0000"/>
        <family val="2"/>
        <sz val="7"/>
        <rFont val="Arial"/>
      </rPr>
      <t>Critère sur le TJ et CPH</t>
    </r>
  </si>
  <si>
    <r>
      <t xml:space="preserve">11.1 Soutien + 11.2 Formations suivies + </t>
    </r>
    <r>
      <rPr>
        <b/>
        <color rgb="FFFF0000"/>
        <family val="2"/>
        <sz val="7"/>
        <rFont val="Arial"/>
      </rPr>
      <t xml:space="preserve">11.6 Autres activités non juridictionnelles 
</t>
    </r>
    <r>
      <rPr>
        <family val="2"/>
        <sz val="7"/>
        <rFont val="Arial"/>
      </rPr>
      <t xml:space="preserve">
</t>
    </r>
    <r>
      <rPr>
        <b/>
        <color rgb="FF0070C0"/>
        <family val="2"/>
        <sz val="7"/>
        <rFont val="Arial"/>
      </rPr>
      <t xml:space="preserve">(pour Fonction JI seulement)
</t>
    </r>
    <r>
      <rPr>
        <family val="2"/>
        <sz val="7"/>
        <rFont val="Arial"/>
      </rPr>
      <t xml:space="preserve">
</t>
    </r>
    <r>
      <rPr>
        <b/>
        <color rgb="FFFF0000"/>
        <family val="2"/>
        <sz val="7"/>
        <rFont val="Arial"/>
      </rPr>
      <t>Critère sur le TJ et CPH</t>
    </r>
  </si>
  <si>
    <r>
      <t xml:space="preserve">11.1 Soutien + 11.2 Formations suivies + </t>
    </r>
    <r>
      <rPr>
        <b/>
        <color rgb="FFFF0000"/>
        <family val="2"/>
        <sz val="7"/>
        <rFont val="Arial"/>
      </rPr>
      <t>11.6 Autres activités non juridictionnelles</t>
    </r>
    <r>
      <rPr>
        <family val="2"/>
        <sz val="7"/>
        <rFont val="Arial"/>
      </rPr>
      <t xml:space="preserve">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</si>
  <si>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11.1 Soutien + 11.2 Formations suivies +</t>
    </r>
    <r>
      <rPr>
        <b/>
        <color rgb="FFFF0000"/>
        <family val="2"/>
        <sz val="7"/>
        <rFont val="Arial"/>
      </rPr>
      <t xml:space="preserve"> 11.6 Autres activités non juridictionnelles 
</t>
    </r>
    <r>
      <rPr>
        <family val="2"/>
        <sz val="7"/>
        <rFont val="Arial"/>
      </rPr>
      <t xml:space="preserve">
</t>
    </r>
    <r>
      <rPr>
        <b/>
        <color rgb="FF0070C0"/>
        <family val="2"/>
        <sz val="7"/>
        <rFont val="Arial"/>
      </rPr>
      <t xml:space="preserve">(pour Fonction JE seulement)
</t>
    </r>
    <r>
      <rPr>
        <family val="2"/>
        <sz val="7"/>
        <rFont val="Arial"/>
      </rPr>
      <t xml:space="preserve">
</t>
    </r>
    <r>
      <rPr>
        <b/>
        <color rgb="FFFF0000"/>
        <family val="2"/>
        <sz val="7"/>
        <rFont val="Arial"/>
      </rPr>
      <t>Critère sur le TJ et CPH</t>
    </r>
  </si>
  <si>
    <r>
      <t>11.1 Soutien + 11.2 Formations suivies +</t>
    </r>
    <r>
      <rPr>
        <b/>
        <color rgb="FFFF0000"/>
        <family val="2"/>
        <sz val="7"/>
        <rFont val="Arial"/>
      </rPr>
      <t xml:space="preserve"> 11.6 Autres activités non juridictionnelles 
</t>
    </r>
    <r>
      <rPr>
        <family val="2"/>
        <sz val="7"/>
        <rFont val="Arial"/>
      </rPr>
      <t xml:space="preserve">
</t>
    </r>
    <r>
      <rPr>
        <b/>
        <color rgb="FF0070C0"/>
        <family val="2"/>
        <sz val="7"/>
        <rFont val="Arial"/>
      </rPr>
      <t xml:space="preserve">(pour Fonction JLD seulement)
</t>
    </r>
    <r>
      <rPr>
        <family val="2"/>
        <sz val="7"/>
        <rFont val="Arial"/>
      </rPr>
      <t xml:space="preserve">
</t>
    </r>
    <r>
      <rPr>
        <b/>
        <color rgb="FFFF0000"/>
        <family val="2"/>
        <sz val="7"/>
        <rFont val="Arial"/>
      </rPr>
      <t>Critère sur le TJ et CPH</t>
    </r>
  </si>
  <si>
    <r>
      <t>11.1 Soutien + 11.2 Formations suivies +</t>
    </r>
    <r>
      <rPr>
        <b/>
        <color rgb="FFFF0000"/>
        <family val="2"/>
        <sz val="7"/>
        <rFont val="Arial"/>
      </rPr>
      <t xml:space="preserve"> 11.6 Autres activités non juridictionnelles
 </t>
    </r>
    <r>
      <rPr>
        <family val="2"/>
        <sz val="7"/>
        <rFont val="Arial"/>
      </rPr>
      <t xml:space="preserve">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</si>
  <si>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JCP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</si>
  <si>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JI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</si>
  <si>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</si>
  <si>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JE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</si>
  <si>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JLD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</si>
  <si>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</si>
  <si>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JCP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</si>
  <si>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JI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</si>
  <si>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</si>
  <si>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JE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</si>
  <si>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JLD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</si>
  <si>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</si>
  <si>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12. TOTAL des INDISPONIBILITÉS relevant de l'action 99
-
12.5 MISE A DISPOSITION
</t>
    </r>
    <r>
      <rPr>
        <b/>
        <color rgb="FF0070C0"/>
        <family val="2"/>
        <sz val="7"/>
        <rFont val="Arial"/>
      </rPr>
      <t xml:space="preserve">
(pour Fonction JCP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</si>
  <si>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
(pour Fonction JI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</si>
  <si>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
(pour Fonction JAP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</si>
  <si>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
(pour Fonction JE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</si>
  <si>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
(pour Fonction JLD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</si>
  <si>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</si>
  <si>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12.5 MISE A DISPOSITION
</t>
    </r>
    <r>
      <rPr>
        <b/>
        <color rgb="FF0070C0"/>
        <family val="2"/>
        <sz val="7"/>
        <rFont val="Arial"/>
      </rPr>
      <t xml:space="preserve">
(pour Fonction JCP seulement)</t>
    </r>
    <r>
      <rPr>
        <family val="2"/>
        <sz val="7"/>
        <rFont val="Arial"/>
      </rPr>
      <t xml:space="preserve">
</t>
    </r>
    <r>
      <rPr>
        <b/>
        <color rgb="FFFF0000"/>
        <family val="2"/>
        <sz val="7"/>
        <rFont val="Arial"/>
      </rPr>
      <t xml:space="preserve">
Critère sur le TJ et CPH</t>
    </r>
  </si>
  <si>
    <r>
      <t xml:space="preserve">12.5 MISE A DISPOSITION
</t>
    </r>
    <r>
      <rPr>
        <b/>
        <color rgb="FF0070C0"/>
        <family val="2"/>
        <sz val="7"/>
        <rFont val="Arial"/>
      </rPr>
      <t xml:space="preserve">
(pour Fonction JI seulement)</t>
    </r>
    <r>
      <rPr>
        <family val="2"/>
        <sz val="7"/>
        <rFont val="Arial"/>
      </rPr>
      <t xml:space="preserve">
</t>
    </r>
    <r>
      <rPr>
        <b/>
        <color rgb="FFFF0000"/>
        <family val="2"/>
        <sz val="7"/>
        <rFont val="Arial"/>
      </rPr>
      <t xml:space="preserve">
Critère sur le TJ et CPH</t>
    </r>
  </si>
  <si>
    <r>
      <t xml:space="preserve">12.5 MISE A DISPOSITION
</t>
    </r>
    <r>
      <rPr>
        <b/>
        <color rgb="FF0070C0"/>
        <family val="2"/>
        <sz val="7"/>
        <rFont val="Arial"/>
      </rPr>
      <t xml:space="preserve">
(pour Fonction JAP seulement)</t>
    </r>
    <r>
      <rPr>
        <family val="2"/>
        <sz val="7"/>
        <rFont val="Arial"/>
      </rPr>
      <t xml:space="preserve">
</t>
    </r>
    <r>
      <rPr>
        <b/>
        <color rgb="FFFF0000"/>
        <family val="2"/>
        <sz val="7"/>
        <rFont val="Arial"/>
      </rPr>
      <t xml:space="preserve">
Critère sur le TJ et CPH</t>
    </r>
  </si>
  <si>
    <r>
      <t xml:space="preserve">12.5 MISE A DISPOSITION
</t>
    </r>
    <r>
      <rPr>
        <b/>
        <color rgb="FF0070C0"/>
        <family val="2"/>
        <sz val="7"/>
        <rFont val="Arial"/>
      </rPr>
      <t xml:space="preserve">
(pour Fonction JE seulement)</t>
    </r>
    <r>
      <rPr>
        <family val="2"/>
        <sz val="7"/>
        <rFont val="Arial"/>
      </rPr>
      <t xml:space="preserve">
</t>
    </r>
    <r>
      <rPr>
        <b/>
        <color rgb="FFFF0000"/>
        <family val="2"/>
        <sz val="7"/>
        <rFont val="Arial"/>
      </rPr>
      <t xml:space="preserve">
Critère sur le TJ et CPH</t>
    </r>
  </si>
  <si>
    <r>
      <t xml:space="preserve">12.5 MISE A DISPOSITION
</t>
    </r>
    <r>
      <rPr>
        <b/>
        <color rgb="FF0070C0"/>
        <family val="2"/>
        <sz val="7"/>
        <rFont val="Arial"/>
      </rPr>
      <t xml:space="preserve">
(pour Fonction JLD seulement)</t>
    </r>
    <r>
      <rPr>
        <family val="2"/>
        <sz val="7"/>
        <rFont val="Arial"/>
      </rPr>
      <t xml:space="preserve">
</t>
    </r>
    <r>
      <rPr>
        <b/>
        <color rgb="FFFF0000"/>
        <family val="2"/>
        <sz val="7"/>
        <rFont val="Arial"/>
      </rPr>
      <t xml:space="preserve">
Critère sur le TJ et CPH</t>
    </r>
  </si>
  <si>
    <r>
      <t xml:space="preserve">13. Contentieux locaux spécifiques
</t>
    </r>
    <r>
      <rPr>
        <b/>
        <color rgb="FF0070C0"/>
        <family val="2"/>
        <sz val="7"/>
        <rFont val="Arial"/>
      </rPr>
      <t xml:space="preserve">
(Pour Fonction recodée = Magistrats SIEGE S)</t>
    </r>
    <r>
      <rPr>
        <family val="2"/>
        <sz val="7"/>
        <rFont val="Arial"/>
      </rPr>
      <t xml:space="preserve">
</t>
    </r>
    <r>
      <rPr>
        <b/>
        <color rgb="FFFF0000"/>
        <family val="2"/>
        <sz val="7"/>
        <rFont val="Arial"/>
      </rPr>
      <t xml:space="preserve">
Critère sur le TJ et CPH</t>
    </r>
  </si>
  <si>
    <r>
      <t xml:space="preserve">12.5 MISE A DISPOSITION 
+
13. Contentieux locaux spécifiques
</t>
    </r>
    <r>
      <rPr>
        <b/>
        <color rgb="FF0070C0"/>
        <family val="2"/>
        <sz val="7"/>
        <rFont val="Arial"/>
      </rPr>
      <t xml:space="preserve">
(Pour Fonction recodée = Magistrats SIEGE NS)</t>
    </r>
    <r>
      <rPr>
        <family val="2"/>
        <sz val="7"/>
        <rFont val="Arial"/>
      </rPr>
      <t xml:space="preserve">
</t>
    </r>
    <r>
      <rPr>
        <b/>
        <color rgb="FFFF0000"/>
        <family val="2"/>
        <sz val="7"/>
        <rFont val="Arial"/>
      </rPr>
      <t xml:space="preserve">
Critère sur le TJ et CPH</t>
    </r>
  </si>
  <si>
    <r>
      <rPr>
        <b/>
        <color rgb="FFFF0000"/>
        <family val="2"/>
        <sz val="7"/>
        <rFont val="Arial"/>
      </rPr>
      <t>3.2 Protection des majeurs*</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</si>
  <si>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3. Contentieux de la Protection - 3.2 Protection des majeurs - 3.43 Injonctions de payer - 3.44 Saisies des rémunérations*</t>
    </r>
    <r>
      <rPr>
        <family val="2"/>
        <sz val="7"/>
        <rFont val="Arial"/>
      </rPr>
      <t xml:space="preserve">
</t>
    </r>
    <r>
      <rPr>
        <b/>
        <color rgb="FF0070C0"/>
        <family val="2"/>
        <sz val="7"/>
        <rFont val="Arial"/>
      </rPr>
      <t xml:space="preserve">(Pour Fonction recodée = Magistrat Placé ADD)
</t>
    </r>
    <r>
      <rPr>
        <b/>
        <color rgb="FFFF0000"/>
        <family val="2"/>
        <sz val="7"/>
        <rFont val="Arial"/>
      </rPr>
      <t xml:space="preserve">Critère sur le TJ OU CPH
</t>
    </r>
    <r>
      <rPr>
        <color rgb="FFFF0000"/>
        <family val="2"/>
        <sz val="7"/>
        <rFont val="Arial"/>
      </rPr>
      <t xml:space="preserve">
*figurant dans l'onglet ETPT A-JUST</t>
    </r>
  </si>
  <si>
    <r>
      <rPr>
        <b/>
        <color rgb="FFFF0000"/>
        <family val="2"/>
        <sz val="7"/>
        <rFont val="Arial"/>
      </rPr>
      <t>8.1 Service général*</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</si>
  <si>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8.2 JIRS eco-fi*</t>
    </r>
    <r>
      <rPr>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</si>
  <si>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8.3 JIRS crim-org*</t>
    </r>
    <r>
      <rPr>
        <family val="2"/>
        <sz val="7"/>
        <rFont val="Arial"/>
      </rPr>
      <t xml:space="preserve">
</t>
    </r>
    <r>
      <rPr>
        <b/>
        <color rgb="FF0070C0"/>
        <family val="2"/>
        <sz val="7"/>
        <rFont val="Arial"/>
      </rPr>
      <t xml:space="preserve">(Pour Fonction recodée = Magistrat Placé ADD)
</t>
    </r>
    <r>
      <rPr>
        <family val="2"/>
        <sz val="7"/>
        <rFont val="Arial"/>
      </rPr>
      <t xml:space="preserve">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</si>
  <si>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 xml:space="preserve">8.4 autres sections spécialisées
+
8.11 ECO-FI HORS JIRS*
</t>
    </r>
    <r>
      <rPr>
        <family val="2"/>
        <sz val="7"/>
        <rFont val="Arial"/>
      </rPr>
      <t xml:space="preserve">
</t>
    </r>
    <r>
      <rPr>
        <b/>
        <color rgb="FF0070C0"/>
        <family val="2"/>
        <sz val="7"/>
        <rFont val="Arial"/>
      </rPr>
      <t xml:space="preserve">(Pour Fonction recodée = Magistrat Placé ADD)
</t>
    </r>
    <r>
      <rPr>
        <family val="2"/>
        <sz val="7"/>
        <rFont val="Arial"/>
      </rPr>
      <t xml:space="preserve">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</si>
  <si>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9. TOTAL JAP*</t>
    </r>
    <r>
      <rPr>
        <family val="2"/>
        <sz val="7"/>
        <rFont val="Arial"/>
      </rPr>
      <t xml:space="preserve">
</t>
    </r>
    <r>
      <rPr>
        <b/>
        <color rgb="FF0070C0"/>
        <family val="2"/>
        <sz val="7"/>
        <rFont val="Arial"/>
      </rPr>
      <t>(Pour Fonction recodée = Magistrat Placé ADD)</t>
    </r>
    <r>
      <rPr>
        <b/>
        <family val="2"/>
        <sz val="7"/>
        <rFont val="Arial"/>
      </rPr>
      <t xml:space="preserve">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</si>
  <si>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6.1 JE : activité civile + 6.2 JE : activité pénale*</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TJ et TPR et CPH  (donc pas de critère sur le TJ)</t>
    </r>
    <r>
      <rPr>
        <family val="2"/>
        <sz val="7"/>
        <rFont val="Arial"/>
      </rPr>
      <t xml:space="preserve">
</t>
    </r>
    <r>
      <rPr>
        <color rgb="FFFF0000"/>
        <family val="2"/>
        <sz val="7"/>
        <rFont val="Arial"/>
      </rPr>
      <t xml:space="preserve">
*figurant dans l'onglet ETPT A-JUST</t>
    </r>
  </si>
  <si>
    <r>
      <rPr>
        <b/>
        <color rgb="FFFF0000"/>
        <family val="2"/>
        <sz val="7"/>
        <rFont val="Arial"/>
      </rPr>
      <t>5. TOTAL JLD CIVIL +  10. TOTAL JLD PÉNAL*</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
</t>
    </r>
    <r>
      <rPr>
        <color rgb="FFFF0000"/>
        <family val="2"/>
        <sz val="7"/>
        <rFont val="Arial"/>
      </rPr>
      <t>*figurant dans l'onglet ETPT A-JUST</t>
    </r>
  </si>
  <si>
    <r>
      <rPr>
        <b/>
        <color rgb="FFFF0000"/>
        <family val="2"/>
        <sz val="7"/>
        <rFont val="Arial"/>
      </rPr>
      <t>7.5 + 7.51 Cour d'assises JIRS et hors JIRS*</t>
    </r>
    <r>
      <rPr>
        <family val="2"/>
        <sz val="7"/>
        <rFont val="Arial"/>
      </rPr>
      <t xml:space="preserve">
</t>
    </r>
    <r>
      <rPr>
        <b/>
        <color theme="8" tint="-0.249977111117893"/>
        <family val="2"/>
        <sz val="7"/>
        <rFont val="Arial"/>
      </rPr>
      <t xml:space="preserve">(Pour Fonction recodée = Magistrat Placé ADD)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</si>
  <si>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 xml:space="preserve">7.52 cour criminelle*
</t>
    </r>
    <r>
      <rPr>
        <family val="2"/>
        <sz val="7"/>
        <rFont val="Arial"/>
      </rPr>
      <t xml:space="preserve">
</t>
    </r>
    <r>
      <rPr>
        <b/>
        <color theme="8" tint="-0.249977111117893"/>
        <family val="2"/>
        <sz val="7"/>
        <rFont val="Arial"/>
      </rPr>
      <t xml:space="preserve">(Pour Fonction recodée = Magistrat Placé ADD)
</t>
    </r>
    <r>
      <rPr>
        <b/>
        <color rgb="FFFF0000"/>
        <family val="2"/>
        <sz val="7"/>
        <rFont val="Arial"/>
      </rPr>
      <t xml:space="preserve">TJ et TPR et CPH (donc pas de critère sur le TJ)
</t>
    </r>
    <r>
      <rPr>
        <color rgb="FFFF0000"/>
        <family val="2"/>
        <sz val="7"/>
        <rFont val="Arial"/>
      </rPr>
      <t>*figurant dans l'onglet ETPT A-JUST</t>
    </r>
  </si>
  <si>
    <r>
      <rPr>
        <b/>
        <color rgb="FFFF0000"/>
        <family val="2"/>
        <sz val="7"/>
        <rFont val="Arial"/>
      </rPr>
      <t>7.121 Collégiales JIRS eco-fi POUR LES JURIDICTIONS JIRS*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</si>
  <si>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7.12 Collégiales JIRS crim-org*</t>
    </r>
    <r>
      <rPr>
        <family val="2"/>
        <sz val="7"/>
        <rFont val="Arial"/>
      </rPr>
      <t xml:space="preserve">
</t>
    </r>
    <r>
      <rPr>
        <b/>
        <color rgb="FFFF0000"/>
        <family val="2"/>
        <sz val="7"/>
        <rFont val="Arial"/>
      </rPr>
      <t xml:space="preserve">
</t>
    </r>
    <r>
      <rPr>
        <b/>
        <color rgb="FF0070C0"/>
        <family val="2"/>
        <sz val="7"/>
        <rFont val="Arial"/>
      </rPr>
      <t>(Pour Fonction recodée = Magistrat Placé ADD)</t>
    </r>
    <r>
      <rPr>
        <b/>
        <color rgb="FFFF0000"/>
        <family val="2"/>
        <sz val="7"/>
        <rFont val="Arial"/>
      </rPr>
      <t xml:space="preserve">
TJ et TPR et CPH (donc pas de critère sur le TJ)</t>
    </r>
    <r>
      <rPr>
        <family val="2"/>
        <sz val="7"/>
        <rFont val="Arial"/>
      </rPr>
      <t xml:space="preserve">
</t>
    </r>
    <r>
      <rPr>
        <color rgb="FFFF0000"/>
        <family val="2"/>
        <sz val="7"/>
        <rFont val="Arial"/>
      </rPr>
      <t xml:space="preserve">
*figurant dans l'onglet ETPT A-JUST</t>
    </r>
  </si>
  <si>
    <r>
      <rPr>
        <b/>
        <color rgb="FFFF0000"/>
        <family val="2"/>
        <sz val="7"/>
        <rFont val="Arial"/>
      </rPr>
      <t>7.122 Collégiales autres sections spécialisées + 7.121 Collégiales eco-fi POUR LES JURIDICTIONS NON JIRS*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t>
    </r>
    <r>
      <rPr>
        <color rgb="FFFF0000"/>
        <family val="2"/>
        <sz val="7"/>
        <rFont val="Arial"/>
      </rPr>
      <t xml:space="preserve">
*figurant dans l'onglet ETPT A-JUST</t>
    </r>
  </si>
  <si>
    <r>
      <rPr>
        <b/>
        <color rgb="FFFF0000"/>
        <family val="2"/>
        <sz val="7"/>
        <rFont val="Arial"/>
      </rPr>
      <t>7.6 Tribunal de police + 7.7 OP contraventionnelles*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
</t>
    </r>
    <r>
      <rPr>
        <color rgb="FFFF0000"/>
        <family val="2"/>
        <sz val="7"/>
        <rFont val="Arial"/>
      </rPr>
      <t xml:space="preserve">
*figurant dans l'onglet ETPT A-JUST</t>
    </r>
  </si>
  <si>
    <r>
      <rPr>
        <b/>
        <color rgb="FFFF0000"/>
        <family val="2"/>
        <sz val="7"/>
        <rFont val="Arial"/>
      </rPr>
      <t xml:space="preserve">1.1 Départage prud'homal* 
</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</si>
  <si>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4.0 Contentieux général &lt; 10000 euros*</t>
    </r>
    <r>
      <rPr>
        <family val="2"/>
        <sz val="7"/>
        <rFont val="Arial"/>
      </rPr>
      <t xml:space="preserve">
</t>
    </r>
    <r>
      <rPr>
        <b/>
        <color rgb="FF0070C0"/>
        <family val="2"/>
        <sz val="7"/>
        <rFont val="Arial"/>
      </rPr>
      <t xml:space="preserve">(Pour Fonction recodée = Magistrat Placé ADD)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</si>
  <si>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3.43 Injonctions de payer + 3.44 Saisies des rémunérations*</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 xml:space="preserve">
Critère sur le TJ OU CPH</t>
    </r>
    <r>
      <rPr>
        <family val="2"/>
        <sz val="7"/>
        <rFont val="Arial"/>
      </rPr>
      <t xml:space="preserve">
</t>
    </r>
    <r>
      <rPr>
        <color rgb="FFFF0000"/>
        <family val="2"/>
        <sz val="7"/>
        <rFont val="Arial"/>
      </rPr>
      <t>*figurant dans l'onglet ETPT A-JUST</t>
    </r>
  </si>
  <si>
    <r>
      <rPr>
        <b/>
        <color rgb="FFFF0000"/>
        <family val="2"/>
        <sz val="7"/>
        <rFont val="Arial"/>
      </rPr>
      <t xml:space="preserve">1. TOTAL CONTENTIEUX SOCIAL  
-
1.1 Départage prud'homal* 
</t>
    </r>
    <r>
      <rPr>
        <family val="2"/>
        <sz val="7"/>
        <rFont val="Arial"/>
      </rPr>
      <t xml:space="preserve">
</t>
    </r>
    <r>
      <rPr>
        <b/>
        <color rgb="FF0070C0"/>
        <family val="2"/>
        <sz val="7"/>
        <rFont val="Arial"/>
      </rPr>
      <t xml:space="preserve">(Pour Fonction recodée = Magistrat Placé ADD)
</t>
    </r>
    <r>
      <rPr>
        <b/>
        <color rgb="FFFF0000"/>
        <family val="2"/>
        <sz val="7"/>
        <rFont val="Arial"/>
      </rPr>
      <t>Critère sur le TJ OU CPH</t>
    </r>
    <r>
      <rPr>
        <family val="2"/>
        <sz val="7"/>
        <rFont val="Arial"/>
      </rPr>
      <t xml:space="preserve">
</t>
    </r>
    <r>
      <rPr>
        <color rgb="FFFF0000"/>
        <family val="2"/>
        <sz val="7"/>
        <rFont val="Arial"/>
      </rPr>
      <t>*figurant dans l'onglet ETPT A-JUST</t>
    </r>
  </si>
  <si>
    <r>
      <rPr>
        <b/>
        <color rgb="FFFF0000"/>
        <family val="2"/>
        <sz val="7"/>
        <rFont val="Arial"/>
      </rPr>
      <t>2. TOTAL CONTENTIEUX JAF*</t>
    </r>
    <r>
      <rPr>
        <family val="2"/>
        <sz val="7"/>
        <rFont val="Arial"/>
      </rPr>
      <t xml:space="preserve">
</t>
    </r>
    <r>
      <rPr>
        <color rgb="FF0070C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
</t>
    </r>
    <r>
      <rPr>
        <color rgb="FFFF0000"/>
        <family val="2"/>
        <sz val="7"/>
        <rFont val="Arial"/>
      </rPr>
      <t>*figurant dans l'onglet ETPT A-JUST</t>
    </r>
  </si>
  <si>
    <r>
      <rPr>
        <b/>
        <color rgb="FFFF0000"/>
        <family val="2"/>
        <sz val="7"/>
        <rFont val="Arial"/>
      </rPr>
      <t xml:space="preserve">4. TOTAL CIVIL NON SPÉCIALISÉ - 4.0 Contentieux général &lt; 10000 euros*
+
13. Contentieux locaux spécifiques *
+ 
11.51. ACCUEIL DU JUSTICIABLE (DONT SAUJ) + 11.1. SOUTIEN (HORS FORMATIONS SUIVIES) + 11.2. FORMATIONS SUIVIES + 11.6. AUTRES ACTIVITÉS NON JURIDICTIONNELLES + 11.3. FORMATIONS DISPENSÉES + 11.4. ACCÈS AU DROIT ET À LA JUSTICE + 11.5. CSM*
</t>
    </r>
    <r>
      <rPr>
        <family val="2"/>
        <sz val="7"/>
        <rFont val="Arial"/>
      </rPr>
      <t xml:space="preserve">
</t>
    </r>
    <r>
      <rPr>
        <b/>
        <color rgb="FF0070C0"/>
        <family val="2"/>
        <sz val="7"/>
        <rFont val="Arial"/>
      </rPr>
      <t>(Pour Fonction recodée = Magistrat placé ADD)</t>
    </r>
    <r>
      <rPr>
        <b/>
        <color rgb="FFFF0000"/>
        <family val="2"/>
        <sz val="7"/>
        <rFont val="Arial"/>
      </rPr>
      <t xml:space="preserve">
</t>
    </r>
    <r>
      <rPr>
        <family val="2"/>
        <sz val="7"/>
        <rFont val="Arial"/>
      </rPr>
      <t xml:space="preserve">
</t>
    </r>
    <r>
      <rPr>
        <b/>
        <color rgb="FFFF0000"/>
        <family val="2"/>
        <sz val="7"/>
        <rFont val="Arial"/>
      </rPr>
      <t xml:space="preserve">Critère sur le TJ ou CPH
+
7. TOTAL SIÈGE PÉNAL - 7.5. COUR D'ASSISES HORS JIRS - 7.51. COUR D'ASSISES JIRS - 7.52. COUR CRIMINELLE - 7.121. COLLÉGIALES JIRS ÉCO-FI - 7.12. COLLÉGIALES JIRS CRIM-ORG - 7.122. COLLÉGIALES AUTRES SECTIONS SPÉCIALISÉES - 7.6. TRIBUNAL DE POLICE - 7.7. OP CONTRAVENTIONNELLES*
</t>
    </r>
    <r>
      <rPr>
        <family val="2"/>
        <sz val="7"/>
        <rFont val="Arial"/>
      </rPr>
      <t xml:space="preserve">
</t>
    </r>
    <r>
      <rPr>
        <b/>
        <color rgb="FF0070C0"/>
        <family val="2"/>
        <sz val="7"/>
        <rFont val="Arial"/>
      </rPr>
      <t xml:space="preserve">(Pour Fonction recodée = Magistrat placé ADD)
</t>
    </r>
    <r>
      <rPr>
        <family val="2"/>
        <sz val="7"/>
        <rFont val="Arial"/>
      </rPr>
      <t xml:space="preserve">
</t>
    </r>
    <r>
      <rPr>
        <b/>
        <color rgb="FFFF0000"/>
        <family val="2"/>
        <sz val="7"/>
        <rFont val="Arial"/>
      </rPr>
      <t xml:space="preserve">TJ et TPR et CPH (donc pas de critère sur le TJ)
</t>
    </r>
    <r>
      <rPr>
        <color rgb="FFFF0000"/>
        <family val="2"/>
        <sz val="7"/>
        <rFont val="Arial"/>
      </rPr>
      <t>*figurant dans l'onglet ETPT A-JUST</t>
    </r>
  </si>
  <si>
    <r>
      <rPr>
        <b/>
        <color rgb="FFFF0000"/>
        <family val="2"/>
        <sz val="7"/>
        <rFont val="Arial"/>
      </rPr>
      <t>3.2 Protection des majeurs*</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</si>
  <si>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3. Contentieux de la Protection - 3.2 Protection des majeurs - 3.43 Injonctions de payer - 3.44 Saisies des rémunérations*</t>
    </r>
    <r>
      <rPr>
        <family val="2"/>
        <sz val="7"/>
        <rFont val="Arial"/>
      </rPr>
      <t xml:space="preserve">
</t>
    </r>
    <r>
      <rPr>
        <b/>
        <color rgb="FF0070C0"/>
        <family val="2"/>
        <sz val="7"/>
        <rFont val="Arial"/>
      </rPr>
      <t xml:space="preserve">(Pour Fonction recodée = Magistrat Placé SUB)
</t>
    </r>
    <r>
      <rPr>
        <b/>
        <color rgb="FFFF0000"/>
        <family val="2"/>
        <sz val="7"/>
        <rFont val="Arial"/>
      </rPr>
      <t xml:space="preserve">Critère sur le TJ OU CPH
</t>
    </r>
    <r>
      <rPr>
        <color rgb="FFFF0000"/>
        <family val="2"/>
        <sz val="7"/>
        <rFont val="Arial"/>
      </rPr>
      <t xml:space="preserve">
*figurant dans l'onglet ETPT A-JUST</t>
    </r>
  </si>
  <si>
    <r>
      <rPr>
        <b/>
        <color rgb="FFFF0000"/>
        <family val="2"/>
        <sz val="7"/>
        <rFont val="Arial"/>
      </rPr>
      <t>8.1 Service général*</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</si>
  <si>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8.2 JIRS eco-fi*</t>
    </r>
    <r>
      <rPr>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</si>
  <si>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8.3 JIRS crim-org*</t>
    </r>
    <r>
      <rPr>
        <family val="2"/>
        <sz val="7"/>
        <rFont val="Arial"/>
      </rPr>
      <t xml:space="preserve">
</t>
    </r>
    <r>
      <rPr>
        <b/>
        <color rgb="FF0070C0"/>
        <family val="2"/>
        <sz val="7"/>
        <rFont val="Arial"/>
      </rPr>
      <t xml:space="preserve">(Pour Fonction recodée = Magistrat Placé SUB)
</t>
    </r>
    <r>
      <rPr>
        <family val="2"/>
        <sz val="7"/>
        <rFont val="Arial"/>
      </rPr>
      <t xml:space="preserve">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</si>
  <si>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 xml:space="preserve">8.4 autres sections spécialisées
+
8.11 ECO-FI HORS JIRS*
</t>
    </r>
    <r>
      <rPr>
        <family val="2"/>
        <sz val="7"/>
        <rFont val="Arial"/>
      </rPr>
      <t xml:space="preserve">
</t>
    </r>
    <r>
      <rPr>
        <b/>
        <color rgb="FF0070C0"/>
        <family val="2"/>
        <sz val="7"/>
        <rFont val="Arial"/>
      </rPr>
      <t xml:space="preserve">(Pour Fonction recodée = Magistrat Placé SUB)
</t>
    </r>
    <r>
      <rPr>
        <family val="2"/>
        <sz val="7"/>
        <rFont val="Arial"/>
      </rPr>
      <t xml:space="preserve">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</si>
  <si>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9. TOTAL JAP*</t>
    </r>
    <r>
      <rPr>
        <family val="2"/>
        <sz val="7"/>
        <rFont val="Arial"/>
      </rPr>
      <t xml:space="preserve">
</t>
    </r>
    <r>
      <rPr>
        <b/>
        <color rgb="FF0070C0"/>
        <family val="2"/>
        <sz val="7"/>
        <rFont val="Arial"/>
      </rPr>
      <t>(Pour Fonction recodée = Magistrat Placé SUB)</t>
    </r>
    <r>
      <rPr>
        <b/>
        <family val="2"/>
        <sz val="7"/>
        <rFont val="Arial"/>
      </rPr>
      <t xml:space="preserve">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</si>
  <si>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6.1 JE : activité civile + 6.2 JE : activité pénale*</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TJ et TPR et CPH  (donc pas de critère sur le TJ)</t>
    </r>
    <r>
      <rPr>
        <family val="2"/>
        <sz val="7"/>
        <rFont val="Arial"/>
      </rPr>
      <t xml:space="preserve">
</t>
    </r>
    <r>
      <rPr>
        <color rgb="FFFF0000"/>
        <family val="2"/>
        <sz val="7"/>
        <rFont val="Arial"/>
      </rPr>
      <t xml:space="preserve">
*figurant dans l'onglet ETPT A-JUST</t>
    </r>
  </si>
  <si>
    <r>
      <rPr>
        <b/>
        <color rgb="FFFF0000"/>
        <family val="2"/>
        <sz val="7"/>
        <rFont val="Arial"/>
      </rPr>
      <t>5. TOTAL JLD CIVIL +  10. TOTAL JLD PÉNAL*</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
</t>
    </r>
    <r>
      <rPr>
        <color rgb="FFFF0000"/>
        <family val="2"/>
        <sz val="7"/>
        <rFont val="Arial"/>
      </rPr>
      <t>*figurant dans l'onglet ETPT A-JUST</t>
    </r>
  </si>
  <si>
    <r>
      <rPr>
        <b/>
        <color rgb="FFFF0000"/>
        <family val="2"/>
        <sz val="7"/>
        <rFont val="Arial"/>
      </rPr>
      <t>7.5 + 7.51 Cour d'assises JIRS et hors JIRS*</t>
    </r>
    <r>
      <rPr>
        <family val="2"/>
        <sz val="7"/>
        <rFont val="Arial"/>
      </rPr>
      <t xml:space="preserve">
</t>
    </r>
    <r>
      <rPr>
        <b/>
        <color theme="8" tint="-0.249977111117893"/>
        <family val="2"/>
        <sz val="7"/>
        <rFont val="Arial"/>
      </rPr>
      <t xml:space="preserve">(Pour Fonction recodée = Magistrat Placé SUB)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</si>
  <si>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 xml:space="preserve">7.52 cour criminelle*
</t>
    </r>
    <r>
      <rPr>
        <family val="2"/>
        <sz val="7"/>
        <rFont val="Arial"/>
      </rPr>
      <t xml:space="preserve">
</t>
    </r>
    <r>
      <rPr>
        <b/>
        <color theme="8" tint="-0.249977111117893"/>
        <family val="2"/>
        <sz val="7"/>
        <rFont val="Arial"/>
      </rPr>
      <t xml:space="preserve">(Pour Fonction recodée = Magistrat Placé SUB)
</t>
    </r>
    <r>
      <rPr>
        <b/>
        <color rgb="FFFF0000"/>
        <family val="2"/>
        <sz val="7"/>
        <rFont val="Arial"/>
      </rPr>
      <t xml:space="preserve">TJ et TPR et CPH (donc pas de critère sur le TJ)
</t>
    </r>
    <r>
      <rPr>
        <color rgb="FFFF0000"/>
        <family val="2"/>
        <sz val="7"/>
        <rFont val="Arial"/>
      </rPr>
      <t>*figurant dans l'onglet ETPT A-JUST</t>
    </r>
  </si>
  <si>
    <r>
      <rPr>
        <b/>
        <color rgb="FFFF0000"/>
        <family val="2"/>
        <sz val="7"/>
        <rFont val="Arial"/>
      </rPr>
      <t>7.121 Collégiales JIRS eco-fi POUR LES JURIDICTIONS JIRS*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</si>
  <si>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7.12 Collégiales JIRS crim-org*</t>
    </r>
    <r>
      <rPr>
        <family val="2"/>
        <sz val="7"/>
        <rFont val="Arial"/>
      </rPr>
      <t xml:space="preserve">
</t>
    </r>
    <r>
      <rPr>
        <b/>
        <color rgb="FFFF0000"/>
        <family val="2"/>
        <sz val="7"/>
        <rFont val="Arial"/>
      </rPr>
      <t xml:space="preserve">
</t>
    </r>
    <r>
      <rPr>
        <b/>
        <color rgb="FF0070C0"/>
        <family val="2"/>
        <sz val="7"/>
        <rFont val="Arial"/>
      </rPr>
      <t>(Pour Fonction recodée = Magistrat Placé SUB)</t>
    </r>
    <r>
      <rPr>
        <b/>
        <color rgb="FFFF0000"/>
        <family val="2"/>
        <sz val="7"/>
        <rFont val="Arial"/>
      </rPr>
      <t xml:space="preserve">
TJ et TPR et CPH (donc pas de critère sur le TJ)</t>
    </r>
    <r>
      <rPr>
        <family val="2"/>
        <sz val="7"/>
        <rFont val="Arial"/>
      </rPr>
      <t xml:space="preserve">
</t>
    </r>
    <r>
      <rPr>
        <color rgb="FFFF0000"/>
        <family val="2"/>
        <sz val="7"/>
        <rFont val="Arial"/>
      </rPr>
      <t xml:space="preserve">
*figurant dans l'onglet ETPT A-JUST</t>
    </r>
  </si>
  <si>
    <r>
      <rPr>
        <b/>
        <color rgb="FFFF0000"/>
        <family val="2"/>
        <sz val="7"/>
        <rFont val="Arial"/>
      </rPr>
      <t>7.122 Collégiales autres sections spécialisées + 7.121 Collégiales eco-fi POUR LES JURIDICTIONS NON JIRS*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t>
    </r>
    <r>
      <rPr>
        <color rgb="FFFF0000"/>
        <family val="2"/>
        <sz val="7"/>
        <rFont val="Arial"/>
      </rPr>
      <t xml:space="preserve">
*figurant dans l'onglet ETPT A-JUST</t>
    </r>
  </si>
  <si>
    <r>
      <rPr>
        <b/>
        <color rgb="FFFF0000"/>
        <family val="2"/>
        <sz val="7"/>
        <rFont val="Arial"/>
      </rPr>
      <t>7.6 Tribunal de police + 7.7 OP contraventionnelles*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
</t>
    </r>
    <r>
      <rPr>
        <color rgb="FFFF0000"/>
        <family val="2"/>
        <sz val="7"/>
        <rFont val="Arial"/>
      </rPr>
      <t xml:space="preserve">
*figurant dans l'onglet ETPT A-JUST</t>
    </r>
  </si>
  <si>
    <r>
      <rPr>
        <b/>
        <color rgb="FFFF0000"/>
        <family val="2"/>
        <sz val="7"/>
        <rFont val="Arial"/>
      </rPr>
      <t xml:space="preserve">1.1 Départage prud'homal* 
</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</si>
  <si>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4.0 Contentieux général &lt; 10000 euros*</t>
    </r>
    <r>
      <rPr>
        <family val="2"/>
        <sz val="7"/>
        <rFont val="Arial"/>
      </rPr>
      <t xml:space="preserve">
</t>
    </r>
    <r>
      <rPr>
        <b/>
        <color rgb="FF0070C0"/>
        <family val="2"/>
        <sz val="7"/>
        <rFont val="Arial"/>
      </rPr>
      <t xml:space="preserve">(Pour Fonction recodée = Magistrat Placé SUB)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</si>
  <si>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3.43 Injonctions de payer + 3.44 Saisies des rémunérations*</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 xml:space="preserve">
Critère sur le TJ OU CPH</t>
    </r>
    <r>
      <rPr>
        <family val="2"/>
        <sz val="7"/>
        <rFont val="Arial"/>
      </rPr>
      <t xml:space="preserve">
</t>
    </r>
    <r>
      <rPr>
        <color rgb="FFFF0000"/>
        <family val="2"/>
        <sz val="7"/>
        <rFont val="Arial"/>
      </rPr>
      <t>*figurant dans l'onglet ETPT A-JUST</t>
    </r>
  </si>
  <si>
    <r>
      <rPr>
        <b/>
        <color rgb="FFFF0000"/>
        <family val="2"/>
        <sz val="7"/>
        <rFont val="Arial"/>
      </rPr>
      <t xml:space="preserve">1. TOTAL CONTENTIEUX SOCIAL  
-
1.1 Départage prud'homal* 
</t>
    </r>
    <r>
      <rPr>
        <family val="2"/>
        <sz val="7"/>
        <rFont val="Arial"/>
      </rPr>
      <t xml:space="preserve">
</t>
    </r>
    <r>
      <rPr>
        <b/>
        <color rgb="FF0070C0"/>
        <family val="2"/>
        <sz val="7"/>
        <rFont val="Arial"/>
      </rPr>
      <t xml:space="preserve">(Pour Fonction recodée = Magistrat Placé SUB)
</t>
    </r>
    <r>
      <rPr>
        <b/>
        <color rgb="FFFF0000"/>
        <family val="2"/>
        <sz val="7"/>
        <rFont val="Arial"/>
      </rPr>
      <t>Critère sur le TJ OU CPH</t>
    </r>
    <r>
      <rPr>
        <family val="2"/>
        <sz val="7"/>
        <rFont val="Arial"/>
      </rPr>
      <t xml:space="preserve">
</t>
    </r>
    <r>
      <rPr>
        <color rgb="FFFF0000"/>
        <family val="2"/>
        <sz val="7"/>
        <rFont val="Arial"/>
      </rPr>
      <t>*figurant dans l'onglet ETPT A-JUST</t>
    </r>
  </si>
  <si>
    <r>
      <rPr>
        <b/>
        <color rgb="FFFF0000"/>
        <family val="2"/>
        <sz val="7"/>
        <rFont val="Arial"/>
      </rPr>
      <t>2. TOTAL CONTENTIEUX JAF*</t>
    </r>
    <r>
      <rPr>
        <family val="2"/>
        <sz val="7"/>
        <rFont val="Arial"/>
      </rPr>
      <t xml:space="preserve">
</t>
    </r>
    <r>
      <rPr>
        <color rgb="FF0070C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
</t>
    </r>
    <r>
      <rPr>
        <color rgb="FFFF0000"/>
        <family val="2"/>
        <sz val="7"/>
        <rFont val="Arial"/>
      </rPr>
      <t>*figurant dans l'onglet ETPT A-JUST</t>
    </r>
  </si>
  <si>
    <r>
      <rPr>
        <b/>
        <color rgb="FFFF0000"/>
        <family val="2"/>
        <sz val="7"/>
        <rFont val="Arial"/>
      </rPr>
      <t xml:space="preserve">4. TOTAL CIVIL NON SPÉCIALISÉ - 4.0 Contentieux général &lt; 10000 euros*
+
13. Contentieux locaux spécifiques *
+ 
11.51. ACCUEIL DU JUSTICIABLE (DONT SAUJ) + 11.1. SOUTIEN (HORS FORMATIONS SUIVIES) + 11.2. FORMATIONS SUIVIES + 11.6. AUTRES ACTIVITÉS NON JURIDICTIONNELLES + 11.3. FORMATIONS DISPENSÉES + 11.4. ACCÈS AU DROIT ET À LA JUSTICE + 11.5. CSM*
</t>
    </r>
    <r>
      <rPr>
        <family val="2"/>
        <sz val="7"/>
        <rFont val="Arial"/>
      </rPr>
      <t xml:space="preserve">
</t>
    </r>
    <r>
      <rPr>
        <b/>
        <color rgb="FF0070C0"/>
        <family val="2"/>
        <sz val="7"/>
        <rFont val="Arial"/>
      </rPr>
      <t>(Pour Fonction recodée = Magistrat placé SUB)</t>
    </r>
    <r>
      <rPr>
        <b/>
        <color rgb="FFFF0000"/>
        <family val="2"/>
        <sz val="7"/>
        <rFont val="Arial"/>
      </rPr>
      <t xml:space="preserve">
</t>
    </r>
    <r>
      <rPr>
        <family val="2"/>
        <sz val="7"/>
        <rFont val="Arial"/>
      </rPr>
      <t xml:space="preserve">
</t>
    </r>
    <r>
      <rPr>
        <b/>
        <color rgb="FFFF0000"/>
        <family val="2"/>
        <sz val="7"/>
        <rFont val="Arial"/>
      </rPr>
      <t xml:space="preserve">Critère sur le TJ ou CPH
+
7. TOTAL SIÈGE PÉNAL - 7.5. COUR D'ASSISES HORS JIRS - 7.51. COUR D'ASSISES JIRS - 7.52. COUR CRIMINELLE - 7.121. COLLÉGIALES JIRS ÉCO-FI - 7.12. COLLÉGIALES JIRS CRIM-ORG - 7.122. COLLÉGIALES AUTRES SECTIONS SPÉCIALISÉES - 7.6. TRIBUNAL DE POLICE - 7.7. OP CONTRAVENTIONNELLES*
</t>
    </r>
    <r>
      <rPr>
        <family val="2"/>
        <sz val="7"/>
        <rFont val="Arial"/>
      </rPr>
      <t xml:space="preserve">
</t>
    </r>
    <r>
      <rPr>
        <b/>
        <color rgb="FF0070C0"/>
        <family val="2"/>
        <sz val="7"/>
        <rFont val="Arial"/>
      </rPr>
      <t xml:space="preserve">(Pour Fonction recodée = Magistrat placé SUB)
</t>
    </r>
    <r>
      <rPr>
        <family val="2"/>
        <sz val="7"/>
        <rFont val="Arial"/>
      </rPr>
      <t xml:space="preserve">
</t>
    </r>
    <r>
      <rPr>
        <b/>
        <color rgb="FFFF0000"/>
        <family val="2"/>
        <sz val="7"/>
        <rFont val="Arial"/>
      </rPr>
      <t xml:space="preserve">TJ et TPR et CPH (donc pas de critère sur le TJ)
</t>
    </r>
    <r>
      <rPr>
        <color rgb="FFFF0000"/>
        <family val="2"/>
        <sz val="7"/>
        <rFont val="Arial"/>
      </rPr>
      <t>*figurant dans l'onglet ETPT A-JUST</t>
    </r>
  </si>
  <si>
    <r>
      <rPr>
        <b/>
        <color rgb="FFFF0000"/>
        <family val="2"/>
        <sz val="7"/>
        <rFont val="Arial"/>
      </rPr>
      <t>12. TOTAL INDISPONIBILITÉ*</t>
    </r>
    <r>
      <rPr>
        <family val="2"/>
        <sz val="7"/>
        <rFont val="Arial"/>
      </rPr>
      <t xml:space="preserve">
</t>
    </r>
    <r>
      <rPr>
        <b/>
        <color rgb="FF0070C0"/>
        <family val="2"/>
        <sz val="7"/>
        <rFont val="Arial"/>
      </rPr>
      <t xml:space="preserve">(Pour Fonctions recodées = Magistrats placé ADD  ou Magistrat placé SUB)
</t>
    </r>
    <r>
      <rPr>
        <b/>
        <color rgb="FFFF0000"/>
        <family val="2"/>
        <sz val="7"/>
        <rFont val="Arial"/>
      </rPr>
      <t xml:space="preserve">Critère sur le TJ ou CPH
</t>
    </r>
    <r>
      <rPr>
        <color rgb="FFFF0000"/>
        <family val="2"/>
        <sz val="7"/>
        <rFont val="Arial"/>
      </rPr>
      <t>*figurant dans l'onglet ETPT A-JUST</t>
    </r>
  </si>
  <si>
    <r>
      <t xml:space="preserve">3.43 Injonctions de payer + 3.44 Saisies des rémunérations
</t>
    </r>
    <r>
      <rPr>
        <b/>
        <color rgb="FF0070C0"/>
        <family val="2"/>
        <sz val="7"/>
        <rFont val="Arial"/>
      </rPr>
      <t>(Pour Fonction recodée = Magistrats SIEGE S + Magistrats SIEGE NS)</t>
    </r>
    <r>
      <rPr>
        <b/>
        <color rgb="FFFF0000"/>
        <family val="2"/>
        <sz val="7"/>
        <rFont val="Arial"/>
      </rPr>
      <t xml:space="preserve">
</t>
    </r>
    <r>
      <rPr>
        <family val="2"/>
        <sz val="7"/>
        <rFont val="Arial"/>
      </rPr>
      <t xml:space="preserve">
</t>
    </r>
    <r>
      <rPr>
        <b/>
        <color rgb="FFFF0000"/>
        <family val="2"/>
        <sz val="7"/>
        <rFont val="Arial"/>
      </rPr>
      <t>Critère sur le TPRX</t>
    </r>
  </si>
  <si>
    <r>
      <t xml:space="preserve">3. Contentieux de la Protection - 3.2 Protection des majeurs - 3.43 Injonctions de payer - 3.44 Saisies des rémunérations
</t>
    </r>
    <r>
      <rPr>
        <b/>
        <color rgb="FF0070C0"/>
        <family val="2"/>
        <sz val="7"/>
        <rFont val="Arial"/>
      </rPr>
      <t xml:space="preserve">
(Pour Fonction recodée = Magistrats SIEGE S + Magistrats SIEGE NS)
</t>
    </r>
    <r>
      <rPr>
        <b/>
        <color rgb="FFFF0000"/>
        <family val="2"/>
        <sz val="7"/>
        <rFont val="Arial"/>
      </rPr>
      <t>Critère sur le TPRX</t>
    </r>
  </si>
  <si>
    <r>
      <t xml:space="preserve">3.2 Protection des majeurs
</t>
    </r>
    <r>
      <rPr>
        <b/>
        <color rgb="FF0070C0"/>
        <family val="2"/>
        <sz val="7"/>
        <rFont val="Arial"/>
      </rPr>
      <t xml:space="preserve">
(Pour Fonction recodée = Magistrats SIEGE S + Magistrats SIEGE NS)</t>
    </r>
    <r>
      <rPr>
        <b/>
        <color rgb="FFFF0000"/>
        <family val="2"/>
        <sz val="7"/>
        <rFont val="Arial"/>
      </rPr>
      <t xml:space="preserve">
</t>
    </r>
    <r>
      <rPr>
        <family val="2"/>
        <sz val="7"/>
        <rFont val="Arial"/>
      </rPr>
      <t xml:space="preserve">
</t>
    </r>
    <r>
      <rPr>
        <b/>
        <color rgb="FFFF0000"/>
        <family val="2"/>
        <sz val="7"/>
        <rFont val="Arial"/>
      </rPr>
      <t>Critère sur le TPRX</t>
    </r>
  </si>
  <si>
    <t>Pas identifiable avec A-JUST (à reporter à la la main s'il existe une délégation formelle - dans ce cas, penser à les ôter des ETPT JAF du TJ = AA5)</t>
  </si>
  <si>
    <t>Pas identifiable avec A-JUST (à reporter à la la main s'il existe une délégation formelle - dans ce cas, penser à les ôter des ETPT du TJ dans la rubrique correspondante)</t>
  </si>
  <si>
    <r>
      <t>Magistrats du TJ qui sont délégués au TPROX pour faire autre chose que du JCP ou du départage ou une activité formellement déléguée</t>
    </r>
    <r>
      <rPr>
        <b/>
        <color rgb="FFFF66CC"/>
        <family val="2"/>
        <sz val="7"/>
        <rFont val="Arial"/>
      </rPr>
      <t xml:space="preserve">
</t>
    </r>
    <r>
      <rPr>
        <family val="2"/>
        <sz val="7"/>
        <rFont val="Arial"/>
      </rPr>
      <t xml:space="preserve">
 Pas identifiable avec A-JUST (à reporter à la la main)</t>
    </r>
  </si>
  <si>
    <r>
      <t xml:space="preserve">1.1 Départage prud'homal </t>
    </r>
    <r>
      <rPr>
        <b/>
        <color rgb="FFFF0000"/>
        <family val="2"/>
        <sz val="7"/>
        <rFont val="Arial"/>
      </rPr>
      <t xml:space="preserve">
</t>
    </r>
    <r>
      <rPr>
        <family val="2"/>
        <sz val="7"/>
        <rFont val="Arial"/>
      </rPr>
      <t xml:space="preserve">
</t>
    </r>
    <r>
      <rPr>
        <b/>
        <color rgb="FF0070C0"/>
        <family val="2"/>
        <sz val="7"/>
        <rFont val="Arial"/>
      </rPr>
      <t>(Pour Fonction recodée = Magistrats SIEGE S  + Magistrats SIEGE NS)</t>
    </r>
    <r>
      <rPr>
        <b/>
        <color rgb="FFFF0000"/>
        <family val="2"/>
        <sz val="7"/>
        <rFont val="Arial"/>
      </rPr>
      <t xml:space="preserve">
</t>
    </r>
    <r>
      <rPr>
        <family val="2"/>
        <sz val="7"/>
        <rFont val="Arial"/>
      </rPr>
      <t xml:space="preserve">
</t>
    </r>
    <r>
      <rPr>
        <b/>
        <color rgb="FFFF0000"/>
        <family val="2"/>
        <sz val="7"/>
        <rFont val="Arial"/>
      </rPr>
      <t>Critère sur le TPRX</t>
    </r>
  </si>
  <si>
    <r>
      <t xml:space="preserve">1. TOTAL CONTENTIEUX SOCIAL - 1.1 DEPARTAGE PRUD'HOMAL + 4. TOTAL CIVIL NON SPÉCIALISÉ
</t>
    </r>
    <r>
      <rPr>
        <b/>
        <color rgb="FF0070C0"/>
        <family val="2"/>
        <sz val="7"/>
        <rFont val="Arial"/>
      </rPr>
      <t xml:space="preserve">
(Pour Fonction recodée = Mag
istrats SIEGE S et NS)</t>
    </r>
    <r>
      <rPr>
        <family val="2"/>
        <sz val="7"/>
        <rFont val="Arial"/>
      </rPr>
      <t xml:space="preserve">
</t>
    </r>
    <r>
      <rPr>
        <b/>
        <color rgb="FFFF0000"/>
        <family val="2"/>
        <sz val="7"/>
        <rFont val="Arial"/>
      </rPr>
      <t xml:space="preserve">
Critère sur le TPRX</t>
    </r>
  </si>
  <si>
    <t>Pas identifiable avec A-JUST (à reporter à la la main s'il existe une délégation formelle - dans ce cas, penser à les ôter des ETPT du TJ affectés à l'activité correctionnelle = AB6 pour les juges spécialisés et AC6 pour les non spécialisés)</t>
  </si>
  <si>
    <t>Pas identifiable avec A-JUST (à reporter à la la main s'il existe une délégation formelle - dans ce cas, penser à les ôter des ETPT du TJ affectés à l'activité contraventionnelle = V6)</t>
  </si>
  <si>
    <r>
      <t>Magistrats du TJ qui sont délégués au TPROX pour faire autre chose que du JCP ou du départage ou une activité formellement déléguée</t>
    </r>
    <r>
      <rPr>
        <b/>
        <color rgb="FFFF66CC"/>
        <family val="2"/>
        <sz val="7"/>
        <rFont val="Arial"/>
      </rPr>
      <t xml:space="preserve">
</t>
    </r>
    <r>
      <rPr>
        <family val="2"/>
        <sz val="7"/>
        <rFont val="Arial"/>
      </rPr>
      <t xml:space="preserve">
 Pas identifiable avec A-JUST (à reporter à la la main) dans ce cas, penser à les ôter des ETPT du TJ dans la rubrique correspondante)</t>
    </r>
  </si>
  <si>
    <r>
      <t xml:space="preserve">11.5 CSM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</si>
  <si>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11.51 Accueil du justiciable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</si>
  <si>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11.1 Soutien + 11.2 Formations suivies + 11.6 Autres activités non juridictionnelles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</si>
  <si>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11.3. Formations dispensées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</si>
  <si>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11.4 Accès au droit et à la justice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</si>
  <si>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12. TOTAL des INDISPONIBILITÉS relevant de l'action 99 - 12.5 MISE A DISPOSITN
</t>
    </r>
    <r>
      <rPr>
        <b/>
        <color rgb="FF0070C0"/>
        <family val="2"/>
        <sz val="7"/>
        <rFont val="Arial"/>
      </rPr>
      <t xml:space="preserve">
(Pour Fonction recodée = Magistrats SIEGE S  + Magistrats SIEGE NS)</t>
    </r>
    <r>
      <rPr>
        <b/>
        <color rgb="FFFF0000"/>
        <family val="2"/>
        <sz val="7"/>
        <rFont val="Arial"/>
      </rPr>
      <t xml:space="preserve">
</t>
    </r>
    <r>
      <rPr>
        <color rgb="FFFF0000"/>
        <family val="2"/>
        <sz val="7"/>
        <rFont val="Arial"/>
      </rPr>
      <t xml:space="preserve">
</t>
    </r>
    <r>
      <rPr>
        <b/>
        <color rgb="FFFF0000"/>
        <family val="2"/>
        <sz val="7"/>
        <rFont val="Arial"/>
      </rPr>
      <t>Critère sur le TPRX</t>
    </r>
  </si>
  <si>
    <r>
      <rPr>
        <family val="2"/>
        <sz val="7"/>
        <rFont val="Arial"/>
      </rPr>
      <t>13. Contentieux locaux spécifiques</t>
    </r>
    <r>
      <rPr>
        <b/>
        <color rgb="FFFF0000"/>
        <family val="2"/>
        <sz val="7"/>
        <rFont val="Arial"/>
      </rPr>
      <t xml:space="preserve">
</t>
    </r>
    <r>
      <rPr>
        <b/>
        <color rgb="FF0070C0"/>
        <family val="2"/>
        <sz val="7"/>
        <rFont val="Arial"/>
      </rPr>
      <t>(Pour Fonction recodée = Magistrats SIEGE S  + Magistrats SIEGE NS)</t>
    </r>
    <r>
      <rPr>
        <b/>
        <color rgb="FFFF0000"/>
        <family val="2"/>
        <sz val="7"/>
        <rFont val="Arial"/>
      </rPr>
      <t xml:space="preserve"> 
Critère sur le TPRX</t>
    </r>
  </si>
  <si>
    <r>
      <t xml:space="preserve">12.5 MISE A DISPOSITION
</t>
    </r>
    <r>
      <rPr>
        <b/>
        <color rgb="FF0070C0"/>
        <family val="2"/>
        <sz val="7"/>
        <rFont val="Arial"/>
      </rPr>
      <t xml:space="preserve">(Pour Fonction recodée = Magistrats SIEGE S  + Magistrats SIEGE NS) </t>
    </r>
    <r>
      <rPr>
        <b/>
        <color rgb="FFFF0000"/>
        <family val="2"/>
        <sz val="7"/>
        <rFont val="Arial"/>
      </rPr>
      <t xml:space="preserve">
</t>
    </r>
    <r>
      <rPr>
        <color rgb="FFFFFF00"/>
        <family val="2"/>
        <sz val="7"/>
        <rFont val="Arial"/>
      </rPr>
      <t xml:space="preserve">
</t>
    </r>
    <r>
      <rPr>
        <b/>
        <color rgb="FFFF0000"/>
        <family val="2"/>
        <sz val="7"/>
        <rFont val="Arial"/>
      </rPr>
      <t>Critère sur le TPRX</t>
    </r>
  </si>
  <si>
    <r>
      <t xml:space="preserve">13. Contentieux locaux spécifiques*
</t>
    </r>
    <r>
      <rPr>
        <b/>
        <color rgb="FF0070C0"/>
        <family val="2"/>
        <sz val="7"/>
        <rFont val="Arial"/>
      </rPr>
      <t xml:space="preserve">(Pour Fonction recodée = Magistrat placé ADD)
</t>
    </r>
    <r>
      <rPr>
        <b/>
        <color rgb="FFFF0000"/>
        <family val="2"/>
        <sz val="7"/>
        <rFont val="Arial"/>
      </rPr>
      <t xml:space="preserve">
Critère sur le TPRX
</t>
    </r>
    <r>
      <rPr>
        <color rgb="FFFF0000"/>
        <family val="2"/>
        <sz val="7"/>
        <rFont val="Arial"/>
      </rPr>
      <t>*figurant dans l'onglet ETPT A-JUST</t>
    </r>
  </si>
  <si>
    <r>
      <rPr>
        <b/>
        <color rgb="FFFF0000"/>
        <family val="2"/>
        <sz val="7"/>
        <rFont val="Arial"/>
      </rPr>
      <t xml:space="preserve">3.43 Injonctions de payer + 3.44 Saisies des rémunérations* </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</si>
  <si>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 xml:space="preserve">3. Contentieux de la Protection - 3.2 Protection des majeurs - 3.43 Injonctions de payer - 3.44 Saisies des rémunérations*
</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</si>
  <si>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3.2 Protection des majeurs*</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</si>
  <si>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1.1 Départage prud'homal *</t>
    </r>
    <r>
      <rPr>
        <color theme="1"/>
        <family val="2"/>
        <sz val="7"/>
        <rFont val="Arial"/>
      </rPr>
      <t xml:space="preserve">
</t>
    </r>
    <r>
      <rPr>
        <family val="2"/>
        <sz val="7"/>
        <rFont val="Arial"/>
      </rPr>
      <t xml:space="preserve">
</t>
    </r>
    <r>
      <rPr>
        <b/>
        <color rgb="FF0070C0"/>
        <family val="2"/>
        <sz val="7"/>
        <rFont val="Arial"/>
      </rPr>
      <t>(Pour Fonction recodée = Magistrat placé ADD)</t>
    </r>
    <r>
      <rPr>
        <b/>
        <color rgb="FFFF0000"/>
        <family val="2"/>
        <sz val="7"/>
        <rFont val="Arial"/>
      </rPr>
      <t xml:space="preserve">
</t>
    </r>
    <r>
      <rPr>
        <family val="2"/>
        <sz val="7"/>
        <rFont val="Arial"/>
      </rPr>
      <t xml:space="preserve">
</t>
    </r>
    <r>
      <rPr>
        <b/>
        <color rgb="FFFF0000"/>
        <family val="2"/>
        <sz val="7"/>
        <rFont val="Arial"/>
      </rPr>
      <t xml:space="preserve">Critère sur le TPRX
</t>
    </r>
    <r>
      <rPr>
        <color rgb="FFFF0000"/>
        <family val="2"/>
        <sz val="7"/>
        <rFont val="Arial"/>
      </rPr>
      <t xml:space="preserve">
*figurant dans l'onglet ETPT A-JUST</t>
    </r>
  </si>
  <si>
    <r>
      <rPr>
        <b/>
        <color rgb="FFFF0000"/>
        <family val="2"/>
        <sz val="7"/>
        <rFont val="Arial"/>
      </rPr>
      <t>Temps ventilés sur la période (absentéisme et action 99 déduits)*</t>
    </r>
    <r>
      <rPr>
        <family val="2"/>
        <sz val="7"/>
        <rFont val="Arial"/>
      </rPr>
      <t xml:space="preserve"> 
-
somme colonnes précédentes
</t>
    </r>
    <r>
      <rPr>
        <b/>
        <color rgb="FF0070C0"/>
        <family val="2"/>
        <sz val="7"/>
        <rFont val="Arial"/>
      </rPr>
      <t>(Pour Fonction recodée = Magistrat placé ADD)</t>
    </r>
    <r>
      <rPr>
        <b/>
        <color rgb="FFFF0000"/>
        <family val="2"/>
        <sz val="7"/>
        <rFont val="Arial"/>
      </rPr>
      <t xml:space="preserve">
</t>
    </r>
    <r>
      <rPr>
        <family val="2"/>
        <sz val="7"/>
        <rFont val="Arial"/>
      </rPr>
      <t xml:space="preserve">
</t>
    </r>
    <r>
      <rPr>
        <b/>
        <color rgb="FFFF0000"/>
        <family val="2"/>
        <sz val="7"/>
        <rFont val="Arial"/>
      </rPr>
      <t xml:space="preserve">Critère sur le TPRX
</t>
    </r>
    <r>
      <rPr>
        <color rgb="FFFF0000"/>
        <family val="2"/>
        <sz val="7"/>
        <rFont val="Arial"/>
      </rPr>
      <t>*figurant dans l'onglet ETPT A-JUST</t>
    </r>
  </si>
  <si>
    <r>
      <t xml:space="preserve">13. Contentieux locaux spécifiques*
</t>
    </r>
    <r>
      <rPr>
        <b/>
        <color rgb="FF0070C0"/>
        <family val="2"/>
        <sz val="7"/>
        <rFont val="Arial"/>
      </rPr>
      <t xml:space="preserve">(Pour Fonction recodée = Magistrat placé SUB)
</t>
    </r>
    <r>
      <rPr>
        <b/>
        <color rgb="FFFF0000"/>
        <family val="2"/>
        <sz val="7"/>
        <rFont val="Arial"/>
      </rPr>
      <t xml:space="preserve">
Critère sur le TPRX
</t>
    </r>
    <r>
      <rPr>
        <color rgb="FFFF0000"/>
        <family val="2"/>
        <sz val="7"/>
        <rFont val="Arial"/>
      </rPr>
      <t>*figurant dans l'onglet ETPT A-JUST</t>
    </r>
  </si>
  <si>
    <r>
      <rPr>
        <b/>
        <color rgb="FFFF0000"/>
        <family val="2"/>
        <sz val="7"/>
        <rFont val="Arial"/>
      </rPr>
      <t xml:space="preserve">3.43 Injonctions de payer + 3.44 Saisies des rémunérations* </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</si>
  <si>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 xml:space="preserve">3. Contentieux de la Protection - 3.2 Protection des majeurs - 3.43 Injonctions de payer - 3.44 Saisies des rémunérations*
</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</si>
  <si>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3.2 Protection des majeurs*</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</si>
  <si>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1.1 Départage prud'homal *</t>
    </r>
    <r>
      <rPr>
        <color theme="1"/>
        <family val="2"/>
        <sz val="7"/>
        <rFont val="Arial"/>
      </rPr>
      <t xml:space="preserve">
</t>
    </r>
    <r>
      <rPr>
        <family val="2"/>
        <sz val="7"/>
        <rFont val="Arial"/>
      </rPr>
      <t xml:space="preserve">
</t>
    </r>
    <r>
      <rPr>
        <b/>
        <color rgb="FF0070C0"/>
        <family val="2"/>
        <sz val="7"/>
        <rFont val="Arial"/>
      </rPr>
      <t>(Pour Fonction recodée = Magistrat placé SUB)</t>
    </r>
    <r>
      <rPr>
        <b/>
        <color rgb="FFFF0000"/>
        <family val="2"/>
        <sz val="7"/>
        <rFont val="Arial"/>
      </rPr>
      <t xml:space="preserve">
</t>
    </r>
    <r>
      <rPr>
        <family val="2"/>
        <sz val="7"/>
        <rFont val="Arial"/>
      </rPr>
      <t xml:space="preserve">
</t>
    </r>
    <r>
      <rPr>
        <b/>
        <color rgb="FFFF0000"/>
        <family val="2"/>
        <sz val="7"/>
        <rFont val="Arial"/>
      </rPr>
      <t xml:space="preserve">Critère sur le TPRX
</t>
    </r>
    <r>
      <rPr>
        <color rgb="FFFF0000"/>
        <family val="2"/>
        <sz val="7"/>
        <rFont val="Arial"/>
      </rPr>
      <t xml:space="preserve">
*figurant dans l'onglet ETPT A-JUST</t>
    </r>
  </si>
  <si>
    <r>
      <rPr>
        <b/>
        <color rgb="FFFF0000"/>
        <family val="2"/>
        <sz val="7"/>
        <rFont val="Arial"/>
      </rPr>
      <t>Temps ventilés sur la période (absentéisme et action 99 déduits)*</t>
    </r>
    <r>
      <rPr>
        <family val="2"/>
        <sz val="7"/>
        <rFont val="Arial"/>
      </rPr>
      <t xml:space="preserve"> 
-
somme colonnes précédentes
</t>
    </r>
    <r>
      <rPr>
        <b/>
        <color rgb="FF0070C0"/>
        <family val="2"/>
        <sz val="7"/>
        <rFont val="Arial"/>
      </rPr>
      <t>(Pour Fonction recodée = Magistrat placé SUB)</t>
    </r>
    <r>
      <rPr>
        <b/>
        <color rgb="FFFF0000"/>
        <family val="2"/>
        <sz val="7"/>
        <rFont val="Arial"/>
      </rPr>
      <t xml:space="preserve">
</t>
    </r>
    <r>
      <rPr>
        <family val="2"/>
        <sz val="7"/>
        <rFont val="Arial"/>
      </rPr>
      <t xml:space="preserve">
</t>
    </r>
    <r>
      <rPr>
        <b/>
        <color rgb="FFFF0000"/>
        <family val="2"/>
        <sz val="7"/>
        <rFont val="Arial"/>
      </rPr>
      <t xml:space="preserve">Critère sur le TPRX
</t>
    </r>
    <r>
      <rPr>
        <color rgb="FFFF0000"/>
        <family val="2"/>
        <sz val="7"/>
        <rFont val="Arial"/>
      </rPr>
      <t>*figurant dans l'onglet ETPT A-JUST</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</si>
  <si>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color rgb="FF0070C0"/>
        <family val="2"/>
        <sz val="10"/>
        <rFont val="Arial"/>
      </rPr>
      <t>(Pour Fonction recodée = Fonctionnaire CTECH)</t>
    </r>
    <r>
      <rPr>
        <family val="2"/>
        <sz val="10"/>
        <rFont val="Arial"/>
      </rPr>
      <t xml:space="preserve">
</t>
    </r>
    <r>
      <rPr>
        <b/>
        <color rgb="FFFF0000"/>
        <family val="2"/>
        <sz val="10"/>
        <rFont val="Arial"/>
      </rPr>
      <t>Critère sur le TJ OU CPH</t>
    </r>
  </si>
  <si>
    <r>
      <t xml:space="preserve">11.8. FONCTIONNAIRES AFFECTÉS AUX ACTIVITÉS CIVILES ET COMMERCIALES DU PARQUET
</t>
    </r>
    <r>
      <rPr>
        <b/>
        <color rgb="FF0070C0"/>
        <family val="2"/>
        <sz val="10"/>
        <rFont val="Arial"/>
      </rPr>
      <t>(Pour Fonction recodée = Fonctionnaire A-B-CBUR)</t>
    </r>
    <r>
      <rPr>
        <family val="2"/>
        <sz val="10"/>
        <rFont val="Arial"/>
      </rPr>
      <t xml:space="preserve">
</t>
    </r>
    <r>
      <rPr>
        <b/>
        <color rgb="FFFF0000"/>
        <family val="2"/>
        <sz val="10"/>
        <rFont val="Arial"/>
      </rPr>
      <t>Critère sur le TJ OU CPH</t>
    </r>
  </si>
  <si>
    <r>
      <t xml:space="preserve">3.2 Protection des majeurs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</si>
  <si>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3. Contentieux de la Protection - 3.2 Protection des majeurs - 3.43 IP - 3.44 Saisies rémunérations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</si>
  <si>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5. TOTAL JLD CIVIL + 6.1. ACTIVITÉ CIVILE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</si>
  <si>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3.43 Injonctions de payer + 3.44 Saisies des rémunérations
</t>
    </r>
    <r>
      <rPr>
        <b/>
        <color rgb="FF0070C0"/>
        <family val="2"/>
        <sz val="10"/>
        <rFont val="Arial"/>
      </rPr>
      <t>(Pour Fonction recodée = Fonctionnaire A-B-CBUR)</t>
    </r>
    <r>
      <rPr>
        <family val="2"/>
        <sz val="10"/>
        <rFont val="Arial"/>
      </rPr>
      <t xml:space="preserve">
</t>
    </r>
    <r>
      <rPr>
        <b/>
        <color rgb="FFFF0000"/>
        <family val="2"/>
        <sz val="10"/>
        <rFont val="Arial"/>
      </rPr>
      <t>Critère sur le TJ OU CPH</t>
    </r>
  </si>
  <si>
    <r>
      <t xml:space="preserve">4.0 Contentieux général &lt; 10000 euros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</si>
  <si>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1. TOTAL CONTENTIEUX SOCIAL
</t>
    </r>
    <r>
      <rPr>
        <color rgb="FF0070C0"/>
        <family val="2"/>
        <sz val="10"/>
        <rFont val="Arial"/>
      </rPr>
      <t xml:space="preserve">
</t>
    </r>
    <r>
      <rPr>
        <b/>
        <color rgb="FF0070C0"/>
        <family val="2"/>
        <sz val="10"/>
        <rFont val="Arial"/>
      </rPr>
      <t xml:space="preserve">(Pour Fonction recodée = Fonctionnaire A-B-CBUR)
</t>
    </r>
    <r>
      <rPr>
        <family val="2"/>
        <sz val="10"/>
        <rFont val="Arial"/>
      </rPr>
      <t xml:space="preserve">
</t>
    </r>
    <r>
      <rPr>
        <b/>
        <color rgb="FFFF0000"/>
        <family val="2"/>
        <sz val="10"/>
        <rFont val="Arial"/>
      </rPr>
      <t>Critère sur le TJ OU CPH</t>
    </r>
  </si>
  <si>
    <r>
      <t xml:space="preserve">2. TOTAL CONTENTIEUX JAF  + 4. TOTAL CIVIL NON SPÉCIALISÉ 
-
4.0. Contentieux général &lt; 10000 euros
</t>
    </r>
    <r>
      <rPr>
        <b/>
        <u/>
        <family val="2"/>
        <sz val="10"/>
        <rFont val="Arial"/>
      </rPr>
      <t xml:space="preserve">
</t>
    </r>
    <r>
      <rPr>
        <b/>
        <color rgb="FF0070C0"/>
        <family val="2"/>
        <sz val="10"/>
        <rFont val="Arial"/>
      </rPr>
      <t>(Pour Fonction recodée = Fonctionnaire A-B-CBUR)</t>
    </r>
    <r>
      <rPr>
        <b/>
        <u/>
        <family val="2"/>
        <sz val="10"/>
        <rFont val="Arial"/>
      </rPr>
      <t xml:space="preserve">
</t>
    </r>
    <r>
      <rPr>
        <family val="2"/>
        <sz val="10"/>
        <rFont val="Arial"/>
      </rPr>
      <t xml:space="preserve">
</t>
    </r>
    <r>
      <rPr>
        <b/>
        <color rgb="FFFF0000"/>
        <family val="2"/>
        <sz val="10"/>
        <rFont val="Arial"/>
      </rPr>
      <t>Critère sur le TJ OU CPH</t>
    </r>
  </si>
  <si>
    <r>
      <t xml:space="preserve">6.2. ACTIVITÉ PÉNALE + 7. TOTAL SIÈGE PÉNAL + 8. TOTAL JUGES D'INSTRUCTION + 
9. TOTAL JAP + 10. TOTAL JLD PÉNAL + 11.9 Fonctionnaires affectés à l'exécution des peines + 11.10 AUTRES FONCTIONNAIRES AFFECTÉS AU PARQUET 
</t>
    </r>
    <r>
      <rPr>
        <b/>
        <color rgb="FF0070C0"/>
        <family val="2"/>
        <sz val="10"/>
        <rFont val="Arial"/>
      </rPr>
      <t>(Pour Fonction recodée = Fonctionnaire CTECH)</t>
    </r>
    <r>
      <rPr>
        <b/>
        <color rgb="FFFF0000"/>
        <family val="2"/>
        <sz val="10"/>
        <rFont val="Arial"/>
      </rPr>
      <t xml:space="preserve">
TJ et TPR et CPH (donc pas de critère sur le TJ)</t>
    </r>
  </si>
  <si>
    <r>
      <t xml:space="preserve">11.9 Fonctionnaires affectés à l'exécution des peines
</t>
    </r>
    <r>
      <rPr>
        <b/>
        <color rgb="FF0070C0"/>
        <family val="2"/>
        <sz val="10"/>
        <rFont val="Arial"/>
      </rPr>
      <t xml:space="preserve">(Pour Fonction recodée = Fonctionnaire A-B-CBUR)
</t>
    </r>
    <r>
      <rPr>
        <family val="2"/>
        <sz val="10"/>
        <rFont val="Arial"/>
      </rPr>
      <t xml:space="preserve">
</t>
    </r>
    <r>
      <rPr>
        <b/>
        <color rgb="FFFF0000"/>
        <family val="2"/>
        <sz val="10"/>
        <rFont val="Arial"/>
      </rPr>
      <t>TJ et TPR  et CPH (donc pas de critère sur le TJ)</t>
    </r>
  </si>
  <si>
    <r>
      <t xml:space="preserve">7.5 + 7.51 Cour d'assises JIRS et hors JIRS
</t>
    </r>
    <r>
      <rPr>
        <b/>
        <color rgb="FF0070C0"/>
        <family val="2"/>
        <sz val="10"/>
        <rFont val="Arial"/>
      </rPr>
      <t xml:space="preserve">(Pour Fonction recodée = Fonctionnaire A-B-CBUR)
</t>
    </r>
    <r>
      <rPr>
        <family val="2"/>
        <sz val="10"/>
        <rFont val="Arial"/>
      </rPr>
      <t xml:space="preserve">
</t>
    </r>
    <r>
      <rPr>
        <b/>
        <color rgb="FFFF0000"/>
        <family val="2"/>
        <sz val="10"/>
        <rFont val="Arial"/>
      </rPr>
      <t>TJ et TPR et CPH (donc pas de critère sur le TJ)</t>
    </r>
  </si>
  <si>
    <r>
      <t xml:space="preserve">7.52 cour criminelle
</t>
    </r>
    <r>
      <rPr>
        <b/>
        <color rgb="FF0070C0"/>
        <family val="2"/>
        <sz val="10"/>
        <rFont val="Arial"/>
      </rPr>
      <t xml:space="preserve">(Pour Fonction recodée = Fonctionnaire A-B-CBUR)
</t>
    </r>
    <r>
      <rPr>
        <family val="2"/>
        <sz val="10"/>
        <rFont val="Arial"/>
      </rPr>
      <t xml:space="preserve">
</t>
    </r>
    <r>
      <rPr>
        <b/>
        <color rgb="FFFF0000"/>
        <family val="2"/>
        <sz val="10"/>
        <rFont val="Arial"/>
      </rPr>
      <t>TJ et TPR et CPH (donc pas de critère sur le TJ)</t>
    </r>
  </si>
  <si>
    <r>
      <t xml:space="preserve">7.121. COLLÉGIALES JIRS ÉCO-FI POUR LES JURIDICTIONS JIRS
</t>
    </r>
    <r>
      <rPr>
        <b/>
        <color rgb="FF0070C0"/>
        <family val="2"/>
        <sz val="10"/>
        <rFont val="Arial"/>
      </rPr>
      <t>(Pour Fonction recodée = Fonctionnaire A-B-CBUR)</t>
    </r>
    <r>
      <rPr>
        <family val="2"/>
        <sz val="10"/>
        <rFont val="Arial"/>
      </rPr>
      <t xml:space="preserve">
</t>
    </r>
    <r>
      <rPr>
        <b/>
        <color rgb="FFFF0000"/>
        <family val="2"/>
        <sz val="10"/>
        <rFont val="Arial"/>
      </rPr>
      <t>TJ et TPR et CPH (donc pas de critère sur le TJ)</t>
    </r>
  </si>
  <si>
    <r>
      <t xml:space="preserve"> 7.12 Collégiales JIRS crim-org
</t>
    </r>
    <r>
      <rPr>
        <b/>
        <color rgb="FF0070C0"/>
        <family val="2"/>
        <sz val="10"/>
        <rFont val="Arial"/>
      </rPr>
      <t xml:space="preserve">(Pour Fonction recodée = Fonctionnaire A-B-CBUR)
</t>
    </r>
    <r>
      <rPr>
        <family val="2"/>
        <sz val="10"/>
        <rFont val="Arial"/>
      </rPr>
      <t xml:space="preserve">
</t>
    </r>
    <r>
      <rPr>
        <b/>
        <color rgb="FFFF0000"/>
        <family val="2"/>
        <sz val="10"/>
        <rFont val="Arial"/>
      </rPr>
      <t>TJ et TPR et CPH (donc pas de critère sur le TJ)</t>
    </r>
  </si>
  <si>
    <r>
      <t>7.122 Collégiales autres sections spécialisées + 7.121 Collégiales eco-fi POUR LES JURIDICTIONS NON JIRS</t>
    </r>
    <r>
      <rPr>
        <b/>
        <color rgb="FFFF0000"/>
        <family val="2"/>
        <sz val="10"/>
        <rFont val="Arial"/>
      </rPr>
      <t xml:space="preserve">
</t>
    </r>
    <r>
      <rPr>
        <family val="2"/>
        <sz val="10"/>
        <rFont val="Arial"/>
      </rPr>
      <t xml:space="preserve">
</t>
    </r>
    <r>
      <rPr>
        <b/>
        <color rgb="FF0070C0"/>
        <family val="2"/>
        <sz val="10"/>
        <rFont val="Arial"/>
      </rPr>
      <t>(Pour Fonction recodée = Fonctionnaire A-B-CBUR)</t>
    </r>
    <r>
      <rPr>
        <family val="2"/>
        <sz val="10"/>
        <rFont val="Arial"/>
      </rPr>
      <t xml:space="preserve">
</t>
    </r>
    <r>
      <rPr>
        <b/>
        <color rgb="FFFF0000"/>
        <family val="2"/>
        <sz val="10"/>
        <rFont val="Arial"/>
      </rPr>
      <t>TJ et TPR et CPH (donc pas de critère sur le TJ)</t>
    </r>
  </si>
  <si>
    <r>
      <t>6.2 Activité pénale + 8. Juge d'instruction + 9. JAP + 10. JLD pénal</t>
    </r>
    <r>
      <rPr>
        <b/>
        <color rgb="FFFF0000"/>
        <family val="2"/>
        <sz val="10"/>
        <rFont val="Arial"/>
      </rPr>
      <t xml:space="preserve">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TJ et TPR et CPH (donc pas de critère sur le TJ)</t>
    </r>
  </si>
  <si>
    <r>
      <rPr>
        <family val="2"/>
        <sz val="10"/>
        <rFont val="Arial"/>
      </rPr>
      <t>7. TOTAL SIÈGE PÉNAL + 11.10 AUTRES FONCTIONNAIRES AFFECTÉS AU PARQUET - 7.5. COUR D'ASSISES HORS JIRS - 7.51. COUR D'ASSISES JIRS - 7.52. COUR CRIMINELLE - 7.121. COLLÉGIALES JIRS ÉCO-FI - 7.12. COLLÉGIALES JIRS CRIM-ORG - 7.122. COLLÉGIALES AUTRES SECTIONS SPÉCIALISÉES</t>
    </r>
    <r>
      <rPr>
        <u/>
        <family val="2"/>
        <sz val="10"/>
        <rFont val="Arial"/>
      </rPr>
      <t xml:space="preserve">
</t>
    </r>
    <r>
      <rPr>
        <b/>
        <u/>
        <color rgb="FFFF0000"/>
        <family val="2"/>
        <sz val="10"/>
        <rFont val="Arial"/>
      </rPr>
      <t xml:space="preserve"> 
</t>
    </r>
    <r>
      <rPr>
        <b/>
        <color rgb="FF0070C0"/>
        <family val="2"/>
        <sz val="10"/>
        <rFont val="Arial"/>
      </rPr>
      <t>(Pour Fonction recodée = Fonctionnaire A-B-CBUR)</t>
    </r>
    <r>
      <rPr>
        <b/>
        <color rgb="FFFF0000"/>
        <family val="2"/>
        <sz val="10"/>
        <rFont val="Arial"/>
      </rPr>
      <t xml:space="preserve">
TJ et TPR et CPH (donc pas de critère sur le TJ)</t>
    </r>
  </si>
  <si>
    <r>
      <t xml:space="preserve">11.51 Accueil du justiciable
</t>
    </r>
    <r>
      <rPr>
        <b/>
        <color rgb="FF0070C0"/>
        <family val="2"/>
        <sz val="10"/>
        <rFont val="Arial"/>
      </rPr>
      <t>(Pour Fonction recodée = Fonctionnaire CTECH)</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</si>
  <si>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11.51 Accueil du justiciable
</t>
    </r>
    <r>
      <rPr>
        <color rgb="FF0070C0"/>
        <family val="2"/>
        <sz val="10"/>
        <rFont val="Arial"/>
      </rPr>
      <t xml:space="preserve">
</t>
    </r>
    <r>
      <rPr>
        <b/>
        <color rgb="FF0070C0"/>
        <family val="2"/>
        <sz val="10"/>
        <rFont val="Arial"/>
      </rPr>
      <t xml:space="preserve">(Pour Fonction recodée = Fonctionnaire A-B-CBUR)
</t>
    </r>
    <r>
      <rPr>
        <family val="2"/>
        <sz val="10"/>
        <rFont val="Arial"/>
      </rPr>
      <t xml:space="preserve">
</t>
    </r>
    <r>
      <rPr>
        <b/>
        <color rgb="FFFF0000"/>
        <family val="2"/>
        <sz val="10"/>
        <rFont val="Arial"/>
      </rPr>
      <t>Critère sur le TJ et CPH</t>
    </r>
  </si>
  <si>
    <r>
      <t xml:space="preserve">11.1 Soutien + 11.2 Formations suivies + 11.6 Autres activités non juridictionnelles
</t>
    </r>
    <r>
      <rPr>
        <b/>
        <color rgb="FF0070C0"/>
        <family val="2"/>
        <sz val="10"/>
        <rFont val="Arial"/>
      </rPr>
      <t xml:space="preserve">(Pour Fonction recodée = Fonctionnaire CTECH)
</t>
    </r>
    <r>
      <rPr>
        <family val="2"/>
        <sz val="10"/>
        <rFont val="Arial"/>
      </rPr>
      <t xml:space="preserve">
</t>
    </r>
    <r>
      <rPr>
        <b/>
        <color rgb="FFFF0000"/>
        <family val="2"/>
        <sz val="10"/>
        <rFont val="Arial"/>
      </rPr>
      <t>Critère sur le TJ OU CPH</t>
    </r>
  </si>
  <si>
    <r>
      <t xml:space="preserve">11.1 Soutien + 11.2 Formations suivies + 11.6 Autres activités non juridictionnelles
</t>
    </r>
    <r>
      <rPr>
        <b/>
        <color rgb="FF0070C0"/>
        <family val="2"/>
        <sz val="10"/>
        <rFont val="Arial"/>
      </rPr>
      <t>(Pour Fonction recodée = Fonctionnaire A-B-CBUR )</t>
    </r>
    <r>
      <rPr>
        <family val="2"/>
        <sz val="10"/>
        <rFont val="Arial"/>
      </rPr>
      <t xml:space="preserve">
</t>
    </r>
    <r>
      <rPr>
        <b/>
        <color rgb="FFFF0000"/>
        <family val="2"/>
        <sz val="10"/>
        <rFont val="Arial"/>
      </rPr>
      <t>Critère sur le TJ et CPH</t>
    </r>
  </si>
  <si>
    <r>
      <t xml:space="preserve">11.3 Formations dispensées
</t>
    </r>
    <r>
      <rPr>
        <b/>
        <color rgb="FF0070C0"/>
        <family val="2"/>
        <sz val="10"/>
        <rFont val="Arial"/>
      </rPr>
      <t>(Pour Fonction recodée = Fonctionnaire CTECH)</t>
    </r>
    <r>
      <rPr>
        <family val="2"/>
        <sz val="10"/>
        <rFont val="Arial"/>
      </rPr>
      <t xml:space="preserve">
</t>
    </r>
    <r>
      <rPr>
        <b/>
        <color rgb="FFFF0000"/>
        <family val="2"/>
        <sz val="10"/>
        <rFont val="Arial"/>
      </rPr>
      <t>Critère sur le TJ OU CPH</t>
    </r>
  </si>
  <si>
    <r>
      <t xml:space="preserve">11.3 Formations dispensées
</t>
    </r>
    <r>
      <rPr>
        <color rgb="FF0070C0"/>
        <family val="2"/>
        <sz val="10"/>
        <rFont val="Arial"/>
      </rPr>
      <t xml:space="preserve">
</t>
    </r>
    <r>
      <rPr>
        <b/>
        <color rgb="FF0070C0"/>
        <family val="2"/>
        <sz val="10"/>
        <rFont val="Arial"/>
      </rPr>
      <t>(Pour Fonction recodée = Fonctionnaire A-B-CBUR )</t>
    </r>
    <r>
      <rPr>
        <color rgb="FF0070C0"/>
        <family val="2"/>
        <sz val="10"/>
        <rFont val="Arial"/>
      </rPr>
      <t xml:space="preserve">
</t>
    </r>
    <r>
      <rPr>
        <family val="2"/>
        <sz val="10"/>
        <rFont val="Arial"/>
      </rPr>
      <t xml:space="preserve">
</t>
    </r>
    <r>
      <rPr>
        <b/>
        <color rgb="FFFF0000"/>
        <family val="2"/>
        <sz val="10"/>
        <rFont val="Arial"/>
      </rPr>
      <t>Critère sur le TJ et CPH</t>
    </r>
  </si>
  <si>
    <r>
      <t xml:space="preserve">11.4 Accès au droit et à la justice
</t>
    </r>
    <r>
      <rPr>
        <b/>
        <color rgb="FF0070C0"/>
        <family val="2"/>
        <sz val="10"/>
        <rFont val="Arial"/>
      </rPr>
      <t>(Pour Fonction recodée = Fonctionnaire CTECH)</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</si>
  <si>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11.4 Accès au droit et à la justice
</t>
    </r>
    <r>
      <rPr>
        <b/>
        <color rgb="FF0070C0"/>
        <family val="2"/>
        <sz val="10"/>
        <rFont val="Arial"/>
      </rPr>
      <t xml:space="preserve">
(Pour Fonction recodée = Fonctionnaire A-B-CBUR )
</t>
    </r>
    <r>
      <rPr>
        <b/>
        <color rgb="FFFF0000"/>
        <family val="2"/>
        <sz val="10"/>
        <rFont val="Arial"/>
      </rPr>
      <t xml:space="preserve">
Critère sur le TJ et CPH</t>
    </r>
  </si>
  <si>
    <r>
      <t xml:space="preserve">12. TOTAL des INDISPONIBILITÉS relevant de l'action 99 - 12.5 Mise à disposition
</t>
    </r>
    <r>
      <rPr>
        <b/>
        <color rgb="FF0070C0"/>
        <family val="2"/>
        <sz val="10"/>
        <rFont val="Arial"/>
      </rPr>
      <t>(Pour Fonction recodée = Fonctionnaire CTECH)</t>
    </r>
    <r>
      <rPr>
        <family val="2"/>
        <sz val="10"/>
        <rFont val="Arial"/>
      </rPr>
      <t xml:space="preserve">
</t>
    </r>
    <r>
      <rPr>
        <b/>
        <color rgb="FFFF0000"/>
        <family val="2"/>
        <sz val="10"/>
        <rFont val="Arial"/>
      </rPr>
      <t>Critère sur le TJ OU CPH</t>
    </r>
  </si>
  <si>
    <r>
      <t xml:space="preserve">12. TOTAL des INDISPONIBILITÉS relevant de l'action 99 - 12.5 Mise à disposition
</t>
    </r>
    <r>
      <rPr>
        <b/>
        <color rgb="FFFF0000"/>
        <family val="2"/>
        <sz val="10"/>
        <rFont val="Arial"/>
      </rPr>
      <t xml:space="preserve">
</t>
    </r>
    <r>
      <rPr>
        <b/>
        <color rgb="FF0070C0"/>
        <family val="2"/>
        <sz val="10"/>
        <rFont val="Arial"/>
      </rPr>
      <t>(Pour Fonction recodée = Fonctionnaire A-B-CBUR )</t>
    </r>
    <r>
      <rPr>
        <b/>
        <color rgb="FFFF0000"/>
        <family val="2"/>
        <sz val="10"/>
        <rFont val="Arial"/>
      </rPr>
      <t xml:space="preserve">
Critère sur le TJ et CPH</t>
    </r>
  </si>
  <si>
    <r>
      <t xml:space="preserve">12.5 Mise à disposition + 13. Contentieux locaux spécifiques
</t>
    </r>
    <r>
      <rPr>
        <b/>
        <color rgb="FF0070C0"/>
        <family val="2"/>
        <sz val="10"/>
        <rFont val="Arial"/>
      </rPr>
      <t>(Pour Fonction recodée = Fonctionnaire CTECH)</t>
    </r>
    <r>
      <rPr>
        <family val="2"/>
        <sz val="10"/>
        <rFont val="Arial"/>
      </rPr>
      <t xml:space="preserve">
</t>
    </r>
    <r>
      <rPr>
        <b/>
        <color rgb="FFFF0000"/>
        <family val="2"/>
        <sz val="10"/>
        <rFont val="Arial"/>
      </rPr>
      <t>Critère sur le TJ OU CPH</t>
    </r>
  </si>
  <si>
    <r>
      <t xml:space="preserve">12.5 Mise à disposition + 13. Contentieux locaux spécifiques
</t>
    </r>
    <r>
      <rPr>
        <b/>
        <color rgb="FFFF0000"/>
        <family val="2"/>
        <sz val="10"/>
        <rFont val="Arial"/>
      </rPr>
      <t xml:space="preserve">
</t>
    </r>
    <r>
      <rPr>
        <b/>
        <color rgb="FF0070C0"/>
        <family val="2"/>
        <sz val="10"/>
        <rFont val="Arial"/>
      </rPr>
      <t>(Pour Fonction recodée = Fonctionnaire A-B-CBUR )</t>
    </r>
    <r>
      <rPr>
        <b/>
        <color rgb="FFFF0000"/>
        <family val="2"/>
        <sz val="10"/>
        <rFont val="Arial"/>
      </rPr>
      <t xml:space="preserve">
Critère sur le TJ et CPH</t>
    </r>
  </si>
  <si>
    <r>
      <rPr>
        <b/>
        <color rgb="FFFF0000"/>
        <family val="2"/>
        <sz val="10"/>
        <rFont val="Arial"/>
      </rPr>
      <t>Temps ventilé sur la période A-JUST*</t>
    </r>
    <r>
      <rPr>
        <family val="2"/>
        <sz val="10"/>
        <rFont val="Arial"/>
      </rPr>
      <t xml:space="preserve"> (absentéisme et action 99 déduits)
</t>
    </r>
    <r>
      <rPr>
        <b/>
        <color rgb="FF0070C0"/>
        <family val="2"/>
        <sz val="10"/>
        <rFont val="Arial"/>
      </rPr>
      <t>(Pour fonction recodée = Fonctionnaire CTECH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</si>
  <si>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11.8. FONCTIONNAIRES AFFECTÉS AUX ACTIVITÉS CIVILES ET COMMERCIALES DU PARQUET*</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</si>
  <si>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11.9 Fonctionnaires affectés à l'exécution des peines*</t>
    </r>
    <r>
      <rPr>
        <family val="2"/>
        <sz val="10"/>
        <rFont val="Arial"/>
      </rPr>
      <t xml:space="preserve">
</t>
    </r>
    <r>
      <rPr>
        <b/>
        <color rgb="FF0070C0"/>
        <family val="2"/>
        <sz val="10"/>
        <rFont val="Arial"/>
      </rPr>
      <t>(Pour fonction recodée =Fonctionnaire A-B-CBUR placé ADD)</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</si>
  <si>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7.5 + 7.51 Cour d'assises JIRS et hors JIRS*</t>
    </r>
    <r>
      <rPr>
        <family val="2"/>
        <sz val="10"/>
        <rFont val="Arial"/>
      </rPr>
      <t xml:space="preserve">
</t>
    </r>
    <r>
      <rPr>
        <b/>
        <color rgb="FF0070C0"/>
        <family val="2"/>
        <sz val="10"/>
        <rFont val="Arial"/>
      </rPr>
      <t>(Pour fonction recodée =Fonctionnaire A-B-CBUR placé ADD)</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</si>
  <si>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7.52 cour criminelle*</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</si>
  <si>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7.121. COLLÉGIALES JIRS ÉCO-FI POUR LES JURIDICTIONS JIRS*</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ADD)</t>
    </r>
    <r>
      <rPr>
        <b/>
        <color rgb="FFFF0000"/>
        <family val="2"/>
        <sz val="10"/>
        <rFont val="Arial"/>
      </rPr>
      <t xml:space="preserve">
TJ ET TPROX ET CPH (pas de critère sur le TJ)</t>
    </r>
    <r>
      <rPr>
        <family val="2"/>
        <sz val="10"/>
        <rFont val="Arial"/>
      </rPr>
      <t xml:space="preserve">
</t>
    </r>
    <r>
      <rPr>
        <color rgb="FFFF0000"/>
        <family val="2"/>
        <sz val="10"/>
        <rFont val="Arial"/>
      </rPr>
      <t>*figurant dans l'onglet ETPT A-JUST</t>
    </r>
  </si>
  <si>
    <r>
      <rPr>
        <b/>
        <color rgb="FFFF0000"/>
        <family val="2"/>
        <sz val="10"/>
        <rFont val="Arial"/>
      </rPr>
      <t xml:space="preserve">7.12 Collégiales JIRS crim-org* </t>
    </r>
    <r>
      <rPr>
        <family val="2"/>
        <sz val="10"/>
        <rFont val="Arial"/>
      </rPr>
      <t xml:space="preserve">
</t>
    </r>
    <r>
      <rPr>
        <b/>
        <color rgb="FFFF0000"/>
        <family val="2"/>
        <sz val="10"/>
        <rFont val="Arial"/>
      </rPr>
      <t xml:space="preserve">
</t>
    </r>
    <r>
      <rPr>
        <b/>
        <color rgb="FF0070C0"/>
        <family val="2"/>
        <sz val="10"/>
        <rFont val="Arial"/>
      </rPr>
      <t xml:space="preserve">(Pour fonction recodée =Fonctionnaire A-B-CBUR placé ADD)
</t>
    </r>
    <r>
      <rPr>
        <b/>
        <color rgb="FFFF0000"/>
        <family val="2"/>
        <sz val="10"/>
        <rFont val="Arial"/>
      </rPr>
      <t xml:space="preserve">
TJ ET TPROX ET CPH (pas de critère sur le TJ)
</t>
    </r>
    <r>
      <rPr>
        <color rgb="FFFF0000"/>
        <family val="2"/>
        <sz val="10"/>
        <rFont val="Arial"/>
      </rPr>
      <t xml:space="preserve">
*figurant dans l'onglet ETPT A-JUST</t>
    </r>
  </si>
  <si>
    <r>
      <rPr>
        <b/>
        <color rgb="FFFF0000"/>
        <family val="2"/>
        <sz val="10"/>
        <rFont val="Arial"/>
      </rPr>
      <t>7.122 Collégiales autres sections spécialisées + 7.121 Collégiales eco-fi POUR LES JURIDICTIONS NON JIRS*</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ADD)</t>
    </r>
    <r>
      <rPr>
        <b/>
        <color rgb="FFFF0000"/>
        <family val="2"/>
        <sz val="10"/>
        <rFont val="Arial"/>
      </rPr>
      <t xml:space="preserve">
TJ ET TPROX ET CPH (pas de critère sur le TJ)</t>
    </r>
    <r>
      <rPr>
        <family val="2"/>
        <sz val="10"/>
        <rFont val="Arial"/>
      </rPr>
      <t xml:space="preserve">
</t>
    </r>
    <r>
      <rPr>
        <color rgb="FFFF0000"/>
        <family val="2"/>
        <sz val="10"/>
        <rFont val="Arial"/>
      </rPr>
      <t xml:space="preserve">
*figurant dans l'onglet ETPT A-JUST</t>
    </r>
  </si>
  <si>
    <r>
      <rPr>
        <b/>
        <color rgb="FFFF0000"/>
        <family val="2"/>
        <sz val="10"/>
        <rFont val="Arial"/>
      </rPr>
      <t>3.2 Protection des majeurs*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</si>
  <si>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3. Contentieux de la Protection - 3.2 Protection des majeurs - 3.43 IP - 3.44 Saisies rémunérations*
</t>
    </r>
    <r>
      <rPr>
        <color rgb="FF0070C0"/>
        <family val="2"/>
        <sz val="10"/>
        <rFont val="Arial"/>
      </rPr>
      <t xml:space="preserve">
</t>
    </r>
    <r>
      <rPr>
        <family val="2"/>
        <sz val="10"/>
        <rFont val="Arial"/>
      </rPr>
      <t>(</t>
    </r>
    <r>
      <rPr>
        <b/>
        <color rgb="FF0070C0"/>
        <family val="2"/>
        <sz val="10"/>
        <rFont val="Arial"/>
      </rPr>
      <t>Pour fonction recodée =Fonctionnaire A-B-CBUR placé ADD</t>
    </r>
    <r>
      <rPr>
        <family val="2"/>
        <sz val="10"/>
        <rFont val="Arial"/>
      </rPr>
      <t>)</t>
    </r>
    <r>
      <rPr>
        <color rgb="FF0070C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</si>
  <si>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5. TOTAL JLD CIVIL + 6.Juge des enfants + 8. Juge d'instruction + 9. JAP + 10. JLD pénal*
</t>
    </r>
    <r>
      <rPr>
        <b/>
        <color rgb="FF0070C0"/>
        <family val="2"/>
        <sz val="10"/>
        <rFont val="Arial"/>
      </rPr>
      <t>(Pour fonction recodée =Fonctionnaire A-B-CBUR placé ADD)</t>
    </r>
    <r>
      <rPr>
        <b/>
        <color rgb="FFFF0000"/>
        <family val="2"/>
        <sz val="10"/>
        <rFont val="Arial"/>
      </rPr>
      <t xml:space="preserve">
TJ ET TPROX ET CPH (pas de critère sur le TJ)
</t>
    </r>
    <r>
      <rPr>
        <color rgb="FFFF0000"/>
        <family val="2"/>
        <sz val="10"/>
        <rFont val="Arial"/>
      </rPr>
      <t>*figurant dans l'onglet ETPT A-JUST</t>
    </r>
  </si>
  <si>
    <r>
      <rPr>
        <b/>
        <color rgb="FFFF0000"/>
        <family val="2"/>
        <sz val="10"/>
        <rFont val="Arial"/>
      </rPr>
      <t>3.43 Injonctions de payer + 3.44 Saisies des rémunérations*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</si>
  <si>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4.0 Contentieux général &lt; 10000 euros*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</si>
  <si>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1. TOTAL CONTENTIEUX SOCIAL*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</si>
  <si>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2. TOTAL CONTENTIEUX JAF + 4. TOTAL CIVIL NON SPÉCIALISÉ + 6.1. ACTIVITÉ CIVILE + 13. Contentieux locaux spécifiques - 4.0 Contentieux général &lt; 10000 euros *</t>
    </r>
    <r>
      <rPr>
        <family val="2"/>
        <sz val="10"/>
        <rFont val="Arial"/>
      </rPr>
      <t xml:space="preserve">
+
</t>
    </r>
    <r>
      <rPr>
        <b/>
        <color rgb="FFFF0000"/>
        <family val="2"/>
        <sz val="10"/>
        <rFont val="Arial"/>
      </rPr>
      <t>11.51. ACCUEIL DU JUSTICIABLE (DONT SAUJ) + 11.1. SOUTIEN (HORS FORMATIONS SUIVIES) + 11.2. FORMATIONS SUIVIES + 11.6. AUTRES ACTIVITÉS NON JURIDICTIONNELLES + 11.3. FORMATIONS DISPENSÉES + 11.4. ACCÈS AU DROIT ET À LA JUSTICE*</t>
    </r>
    <r>
      <rPr>
        <family val="2"/>
        <sz val="10"/>
        <rFont val="Arial"/>
      </rPr>
      <t xml:space="preserve">
</t>
    </r>
    <r>
      <rPr>
        <b/>
        <color rgb="FF0070C0"/>
        <family val="2"/>
        <sz val="10"/>
        <rFont val="Arial"/>
      </rPr>
      <t>(Pour fonction recodée =Fonctionnaire A-B-CBUR placé ADD)</t>
    </r>
    <r>
      <rPr>
        <color rgb="FF0070C0"/>
        <family val="2"/>
        <sz val="10"/>
        <rFont val="Arial"/>
      </rPr>
      <t xml:space="preserve">
</t>
    </r>
    <r>
      <rPr>
        <family val="2"/>
        <sz val="10"/>
        <rFont val="Arial"/>
      </rPr>
      <t xml:space="preserve">
</t>
    </r>
    <r>
      <rPr>
        <b/>
        <color rgb="FFFF0000"/>
        <family val="2"/>
        <sz val="10"/>
        <rFont val="Arial"/>
      </rPr>
      <t>Critère sur le TJ OU CPH</t>
    </r>
    <r>
      <rPr>
        <family val="2"/>
        <sz val="10"/>
        <rFont val="Arial"/>
      </rPr>
      <t xml:space="preserve">
+ 
</t>
    </r>
    <r>
      <rPr>
        <b/>
        <color rgb="FFFF0000"/>
        <family val="2"/>
        <sz val="10"/>
        <rFont val="Arial"/>
      </rPr>
      <t xml:space="preserve">7. TOTAL SIÈGE PÉNAL + 11.10 AUTRES FONCTIONNAIRES AFFECTÉS AU PARQUET - 7.5. COUR D'ASSISES HORS JIRS - 7.51. COUR D'ASSISES JIRS - 7.52. COUR CRIMINELLE - 7.121. COLLÉGIALES JIRS ÉCO-FI - 7.12. COLLÉGIALES JIRS CRIM-ORG - 7.122. COLLÉGIALES AUTRES SECTIONS SPÉCIALISÉES*
</t>
    </r>
    <r>
      <rPr>
        <family val="2"/>
        <sz val="10"/>
        <rFont val="Arial"/>
      </rPr>
      <t xml:space="preserve">
</t>
    </r>
    <r>
      <rPr>
        <b/>
        <color rgb="FF0070C0"/>
        <family val="2"/>
        <sz val="10"/>
        <rFont val="Arial"/>
      </rPr>
      <t>(Fonction recodée = fonctionnaire A-B-CBUR placé ADD)</t>
    </r>
    <r>
      <rPr>
        <family val="2"/>
        <sz val="10"/>
        <rFont val="Arial"/>
      </rPr>
      <t xml:space="preserve">
</t>
    </r>
    <r>
      <rPr>
        <b/>
        <color rgb="FFFF0000"/>
        <family val="2"/>
        <sz val="10"/>
        <rFont val="Arial"/>
      </rPr>
      <t xml:space="preserve">TJ et TPRX et CPH (pas de critère sur le TJ)
</t>
    </r>
    <r>
      <rPr>
        <color rgb="FFFF0000"/>
        <family val="2"/>
        <sz val="10"/>
        <rFont val="Arial"/>
      </rPr>
      <t xml:space="preserve">
*figurant dans l'onglet ETPT A-JUST</t>
    </r>
  </si>
  <si>
    <r>
      <rPr>
        <b/>
        <color rgb="FFFF0000"/>
        <family val="2"/>
        <sz val="10"/>
        <rFont val="Arial"/>
      </rPr>
      <t>Temps ventilé sur la période A-JUST*</t>
    </r>
    <r>
      <rPr>
        <family val="2"/>
        <sz val="10"/>
        <rFont val="Arial"/>
      </rPr>
      <t xml:space="preserve"> (absentéisme et action 99 déduits)
</t>
    </r>
    <r>
      <rPr>
        <b/>
        <color rgb="FF0070C0"/>
        <family val="2"/>
        <sz val="10"/>
        <rFont val="Arial"/>
      </rPr>
      <t>(Pour fonction recodée = Fonctionnaire CTECH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</si>
  <si>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11.8. FONCTIONNAIRES AFFECTÉS AUX ACTIVITÉS CIVILES ET COMMERCIALES DU PARQUET*</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</si>
  <si>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11.9 Fonctionnaires affectés à l'exécution des peines*</t>
    </r>
    <r>
      <rPr>
        <family val="2"/>
        <sz val="10"/>
        <rFont val="Arial"/>
      </rPr>
      <t xml:space="preserve">
</t>
    </r>
    <r>
      <rPr>
        <b/>
        <color rgb="FF0070C0"/>
        <family val="2"/>
        <sz val="10"/>
        <rFont val="Arial"/>
      </rPr>
      <t>(Pour fonction recodée =Fonctionnaire A-B-CBUR placé SUB)</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</si>
  <si>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7.5 + 7.51 Cour d'assises JIRS et hors JIRS*</t>
    </r>
    <r>
      <rPr>
        <family val="2"/>
        <sz val="10"/>
        <rFont val="Arial"/>
      </rPr>
      <t xml:space="preserve">
</t>
    </r>
    <r>
      <rPr>
        <b/>
        <color rgb="FF0070C0"/>
        <family val="2"/>
        <sz val="10"/>
        <rFont val="Arial"/>
      </rPr>
      <t>(Pour fonction recodée =Fonctionnaire A-B-CBUR placé SUB)</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</si>
  <si>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7.52 cour criminelle*</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</si>
  <si>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7.121. COLLÉGIALES JIRS ÉCO-FI POUR LES JURIDICTIONS JIRS*</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SUB)</t>
    </r>
    <r>
      <rPr>
        <b/>
        <color rgb="FFFF0000"/>
        <family val="2"/>
        <sz val="10"/>
        <rFont val="Arial"/>
      </rPr>
      <t xml:space="preserve">
TJ ET TPROX ET CPH (pas de critère sur le TJ)</t>
    </r>
    <r>
      <rPr>
        <family val="2"/>
        <sz val="10"/>
        <rFont val="Arial"/>
      </rPr>
      <t xml:space="preserve">
</t>
    </r>
    <r>
      <rPr>
        <color rgb="FFFF0000"/>
        <family val="2"/>
        <sz val="10"/>
        <rFont val="Arial"/>
      </rPr>
      <t>*figurant dans l'onglet ETPT A-JUST</t>
    </r>
  </si>
  <si>
    <r>
      <rPr>
        <b/>
        <color rgb="FFFF0000"/>
        <family val="2"/>
        <sz val="10"/>
        <rFont val="Arial"/>
      </rPr>
      <t xml:space="preserve">7.12 Collégiales JIRS crim-org* </t>
    </r>
    <r>
      <rPr>
        <family val="2"/>
        <sz val="10"/>
        <rFont val="Arial"/>
      </rPr>
      <t xml:space="preserve">
</t>
    </r>
    <r>
      <rPr>
        <b/>
        <color rgb="FFFF0000"/>
        <family val="2"/>
        <sz val="10"/>
        <rFont val="Arial"/>
      </rPr>
      <t xml:space="preserve">
</t>
    </r>
    <r>
      <rPr>
        <b/>
        <color rgb="FF0070C0"/>
        <family val="2"/>
        <sz val="10"/>
        <rFont val="Arial"/>
      </rPr>
      <t xml:space="preserve">(Pour fonction recodée =Fonctionnaire A-B-CBUR placé SUB)
</t>
    </r>
    <r>
      <rPr>
        <b/>
        <color rgb="FFFF0000"/>
        <family val="2"/>
        <sz val="10"/>
        <rFont val="Arial"/>
      </rPr>
      <t xml:space="preserve">
TJ ET TPROX ET CPH (pas de critère sur le TJ)
</t>
    </r>
    <r>
      <rPr>
        <color rgb="FFFF0000"/>
        <family val="2"/>
        <sz val="10"/>
        <rFont val="Arial"/>
      </rPr>
      <t xml:space="preserve">
*figurant dans l'onglet ETPT A-JUST</t>
    </r>
  </si>
  <si>
    <r>
      <rPr>
        <b/>
        <color rgb="FFFF0000"/>
        <family val="2"/>
        <sz val="10"/>
        <rFont val="Arial"/>
      </rPr>
      <t>7.122 Collégiales autres sections spécialisées + 7.121 Collégiales eco-fi POUR LES JURIDICTIONS NON JIRS*</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SUB)</t>
    </r>
    <r>
      <rPr>
        <b/>
        <color rgb="FFFF0000"/>
        <family val="2"/>
        <sz val="10"/>
        <rFont val="Arial"/>
      </rPr>
      <t xml:space="preserve">
TJ ET TPROX ET CPH (pas de critère sur le TJ)</t>
    </r>
    <r>
      <rPr>
        <family val="2"/>
        <sz val="10"/>
        <rFont val="Arial"/>
      </rPr>
      <t xml:space="preserve">
</t>
    </r>
    <r>
      <rPr>
        <color rgb="FFFF0000"/>
        <family val="2"/>
        <sz val="10"/>
        <rFont val="Arial"/>
      </rPr>
      <t xml:space="preserve">
*figurant dans l'onglet ETPT A-JUST</t>
    </r>
  </si>
  <si>
    <r>
      <rPr>
        <b/>
        <color rgb="FFFF0000"/>
        <family val="2"/>
        <sz val="10"/>
        <rFont val="Arial"/>
      </rPr>
      <t>3.2 Protection des majeurs*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</si>
  <si>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3. Contentieux de la Protection - 3.2 Protection des majeurs - 3.43 IP - 3.44 Saisies rémunérations*
</t>
    </r>
    <r>
      <rPr>
        <color rgb="FF0070C0"/>
        <family val="2"/>
        <sz val="10"/>
        <rFont val="Arial"/>
      </rPr>
      <t xml:space="preserve">
</t>
    </r>
    <r>
      <rPr>
        <family val="2"/>
        <sz val="10"/>
        <rFont val="Arial"/>
      </rPr>
      <t>(</t>
    </r>
    <r>
      <rPr>
        <b/>
        <color rgb="FF0070C0"/>
        <family val="2"/>
        <sz val="10"/>
        <rFont val="Arial"/>
      </rPr>
      <t>Pour fonction recodée =Fonctionnaire A-B-CBUR placé SUB</t>
    </r>
    <r>
      <rPr>
        <family val="2"/>
        <sz val="10"/>
        <rFont val="Arial"/>
      </rPr>
      <t>)</t>
    </r>
    <r>
      <rPr>
        <color rgb="FF0070C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</si>
  <si>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5. TOTAL JLD CIVIL + 6.Juge des enfants + 8. Juge d'instruction + 9. JAP + 10. JLD pénal*
</t>
    </r>
    <r>
      <rPr>
        <b/>
        <color rgb="FF0070C0"/>
        <family val="2"/>
        <sz val="10"/>
        <rFont val="Arial"/>
      </rPr>
      <t>(Pour fonction recodée =Fonctionnaire A-B-CBUR placé SUB)</t>
    </r>
    <r>
      <rPr>
        <b/>
        <color rgb="FFFF0000"/>
        <family val="2"/>
        <sz val="10"/>
        <rFont val="Arial"/>
      </rPr>
      <t xml:space="preserve">
TJ ET TPROX ET CPH (pas de critère sur le TJ)
</t>
    </r>
    <r>
      <rPr>
        <color rgb="FFFF0000"/>
        <family val="2"/>
        <sz val="10"/>
        <rFont val="Arial"/>
      </rPr>
      <t>*figurant dans l'onglet ETPT A-JUST</t>
    </r>
  </si>
  <si>
    <r>
      <rPr>
        <b/>
        <color rgb="FFFF0000"/>
        <family val="2"/>
        <sz val="10"/>
        <rFont val="Arial"/>
      </rPr>
      <t>3.43 Injonctions de payer + 3.44 Saisies des rémunérations*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</si>
  <si>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4.0 Contentieux général &lt; 10000 euros*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</si>
  <si>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1. TOTAL CONTENTIEUX SOCIAL*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</si>
  <si>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2. TOTAL CONTENTIEUX JAF + 4. TOTAL CIVIL NON SPÉCIALISÉ + 6.1. ACTIVITÉ CIVILE + 13. Contentieux locaux spécifiques - 4.0 Contentieux général &lt; 10000 euros *</t>
    </r>
    <r>
      <rPr>
        <family val="2"/>
        <sz val="10"/>
        <rFont val="Arial"/>
      </rPr>
      <t xml:space="preserve">
+
</t>
    </r>
    <r>
      <rPr>
        <b/>
        <color rgb="FFFF0000"/>
        <family val="2"/>
        <sz val="10"/>
        <rFont val="Arial"/>
      </rPr>
      <t>11.51. ACCUEIL DU JUSTICIABLE (DONT SAUJ) + 11.1. SOUTIEN (HORS FORMATIONS SUIVIES) + 11.2. FORMATIONS SUIVIES + 11.6. AUTRES ACTIVITÉS NON JURIDICTIONNELLES + 11.3. FORMATIONS DISPENSÉES + 11.4. ACCÈS AU DROIT ET À LA JUSTICE*</t>
    </r>
    <r>
      <rPr>
        <family val="2"/>
        <sz val="10"/>
        <rFont val="Arial"/>
      </rPr>
      <t xml:space="preserve">
</t>
    </r>
    <r>
      <rPr>
        <b/>
        <color rgb="FF0070C0"/>
        <family val="2"/>
        <sz val="10"/>
        <rFont val="Arial"/>
      </rPr>
      <t>(Pour fonction recodée =Fonctionnaire A-B-CBUR placé SUB)</t>
    </r>
    <r>
      <rPr>
        <color rgb="FF0070C0"/>
        <family val="2"/>
        <sz val="10"/>
        <rFont val="Arial"/>
      </rPr>
      <t xml:space="preserve">
</t>
    </r>
    <r>
      <rPr>
        <family val="2"/>
        <sz val="10"/>
        <rFont val="Arial"/>
      </rPr>
      <t xml:space="preserve">
</t>
    </r>
    <r>
      <rPr>
        <b/>
        <color rgb="FFFF0000"/>
        <family val="2"/>
        <sz val="10"/>
        <rFont val="Arial"/>
      </rPr>
      <t>Critère sur le TJ OU CPH</t>
    </r>
    <r>
      <rPr>
        <family val="2"/>
        <sz val="10"/>
        <rFont val="Arial"/>
      </rPr>
      <t xml:space="preserve">
+ 
</t>
    </r>
    <r>
      <rPr>
        <b/>
        <color rgb="FFFF0000"/>
        <family val="2"/>
        <sz val="10"/>
        <rFont val="Arial"/>
      </rPr>
      <t xml:space="preserve">7. TOTAL SIÈGE PÉNAL + 11.10 AUTRES FONCTIONNAIRES AFFECTÉS AU PARQUET - 7.5. COUR D'ASSISES HORS JIRS - 7.51. COUR D'ASSISES JIRS - 7.52. COUR CRIMINELLE - 7.121. COLLÉGIALES JIRS ÉCO-FI - 7.12. COLLÉGIALES JIRS CRIM-ORG - 7.122. COLLÉGIALES AUTRES SECTIONS SPÉCIALISÉES*
</t>
    </r>
    <r>
      <rPr>
        <family val="2"/>
        <sz val="10"/>
        <rFont val="Arial"/>
      </rPr>
      <t xml:space="preserve">
</t>
    </r>
    <r>
      <rPr>
        <b/>
        <color rgb="FF0070C0"/>
        <family val="2"/>
        <sz val="10"/>
        <rFont val="Arial"/>
      </rPr>
      <t>(Fonction recodée = fonctionnaire A-B-CBUR placé SUB)</t>
    </r>
    <r>
      <rPr>
        <family val="2"/>
        <sz val="10"/>
        <rFont val="Arial"/>
      </rPr>
      <t xml:space="preserve">
</t>
    </r>
    <r>
      <rPr>
        <b/>
        <color rgb="FFFF0000"/>
        <family val="2"/>
        <sz val="10"/>
        <rFont val="Arial"/>
      </rPr>
      <t xml:space="preserve">TJ et TPRX et CPH (pas de critère sur le TJ)
</t>
    </r>
    <r>
      <rPr>
        <color rgb="FFFF0000"/>
        <family val="2"/>
        <sz val="10"/>
        <rFont val="Arial"/>
      </rPr>
      <t xml:space="preserve">
*figurant dans l'onglet ETPT A-JUST</t>
    </r>
  </si>
  <si>
    <r>
      <rPr>
        <b/>
        <color rgb="FFFF0000"/>
        <family val="2"/>
        <sz val="10"/>
        <rFont val="Arial"/>
      </rPr>
      <t xml:space="preserve">12. TOTAL INDISPONIBILITÉ*
</t>
    </r>
    <r>
      <rPr>
        <family val="2"/>
        <sz val="10"/>
        <rFont val="Arial"/>
      </rPr>
      <t xml:space="preserve">
</t>
    </r>
    <r>
      <rPr>
        <b/>
        <color rgb="FF0070C0"/>
        <family val="2"/>
        <sz val="10"/>
        <rFont val="Arial"/>
      </rPr>
      <t>(Pour Fonctions recodées = Fonctionnaire CTECH placé ADD  ou Fonctionnaire Fonctionnaire CTECH placé SUB)</t>
    </r>
    <r>
      <rPr>
        <family val="2"/>
        <sz val="10"/>
        <rFont val="Arial"/>
      </rPr>
      <t xml:space="preserve">
</t>
    </r>
    <r>
      <rPr>
        <b/>
        <color rgb="FFFF0000"/>
        <family val="2"/>
        <sz val="10"/>
        <rFont val="Arial"/>
      </rPr>
      <t>Critère sur le TJ</t>
    </r>
    <r>
      <rPr>
        <b/>
        <family val="2"/>
        <sz val="10"/>
        <rFont val="Arial"/>
      </rPr>
      <t xml:space="preserve"> </t>
    </r>
    <r>
      <rPr>
        <b/>
        <color rgb="FFFF0000"/>
        <family val="2"/>
        <sz val="10"/>
        <rFont val="Arial"/>
      </rPr>
      <t>OU CPH</t>
    </r>
    <r>
      <rPr>
        <family val="2"/>
        <sz val="10"/>
        <rFont val="Arial"/>
      </rPr>
      <t xml:space="preserve">
</t>
    </r>
    <r>
      <rPr>
        <color rgb="FFFF0000"/>
        <family val="2"/>
        <sz val="10"/>
        <rFont val="Arial"/>
      </rPr>
      <t>*figurant dans l'onglet ETPT A-JUST</t>
    </r>
  </si>
  <si>
    <r>
      <rPr>
        <b/>
        <color rgb="FFFF0000"/>
        <family val="2"/>
        <sz val="10"/>
        <rFont val="Arial"/>
      </rPr>
      <t>12. TOTAL INDISPONIBILITÉ*</t>
    </r>
    <r>
      <rPr>
        <family val="2"/>
        <sz val="10"/>
        <rFont val="Arial"/>
      </rPr>
      <t xml:space="preserve">
</t>
    </r>
    <r>
      <rPr>
        <b/>
        <color rgb="FF0070C0"/>
        <family val="2"/>
        <sz val="10"/>
        <rFont val="Arial"/>
      </rPr>
      <t xml:space="preserve">(Pour Fonctions recodées = Fonctionnaire A-B-CBUR placé ADD  ou Fonctionnaire A-B-CBUR placé SUB)
</t>
    </r>
    <r>
      <rPr>
        <b/>
        <color rgb="FFFF0000"/>
        <family val="2"/>
        <sz val="10"/>
        <rFont val="Arial"/>
      </rPr>
      <t>Critère sur le TJ ou CPH</t>
    </r>
    <r>
      <rPr>
        <family val="2"/>
        <sz val="10"/>
        <rFont val="Arial"/>
      </rPr>
      <t xml:space="preserve">
</t>
    </r>
    <r>
      <rPr>
        <color rgb="FFFF0000"/>
        <family val="2"/>
        <sz val="10"/>
        <rFont val="Arial"/>
      </rPr>
      <t>*figurant dans l'onglet ETPT A-JUST</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</si>
  <si>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color rgb="FF0070C0"/>
        <family val="2"/>
        <sz val="10"/>
        <rFont val="Arial"/>
      </rPr>
      <t>(Pour Fonction recodée = Fonctionnaire CTECH)</t>
    </r>
    <r>
      <rPr>
        <family val="2"/>
        <sz val="10"/>
        <rFont val="Arial"/>
      </rPr>
      <t xml:space="preserve">
</t>
    </r>
    <r>
      <rPr>
        <b/>
        <color rgb="FFFF0000"/>
        <family val="2"/>
        <sz val="10"/>
        <rFont val="Arial"/>
      </rPr>
      <t>Critère sur le TPRX</t>
    </r>
  </si>
  <si>
    <r>
      <t xml:space="preserve">3.43 Injonctions de payer + 3.44 Saisies des rémunérations
</t>
    </r>
    <r>
      <rPr>
        <b/>
        <color rgb="FF0070C0"/>
        <family val="2"/>
        <sz val="10"/>
        <rFont val="Arial"/>
      </rPr>
      <t>(Pour Fonction recodée = Fonctionnaire A-B-CBUR)</t>
    </r>
    <r>
      <rPr>
        <family val="2"/>
        <sz val="10"/>
        <rFont val="Arial"/>
      </rPr>
      <t xml:space="preserve">
</t>
    </r>
    <r>
      <rPr>
        <b/>
        <color rgb="FFFF0000"/>
        <family val="2"/>
        <sz val="10"/>
        <rFont val="Arial"/>
      </rPr>
      <t>Critère sur le TPRX</t>
    </r>
  </si>
  <si>
    <r>
      <t xml:space="preserve">Soustraction
3. Contentieux de la Protection - 3.2 Protection des majeurs - 3.43 IP - 3.44 Saisies rémunérations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TPRX</t>
    </r>
  </si>
  <si>
    <r>
      <t xml:space="preserve">3.2 Protection des majeurs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TPRX</t>
    </r>
  </si>
  <si>
    <r>
      <t xml:space="preserve">1. TOTAL CONTENTIEUX SOCIAL + 2. TOTAL CONTENTIEUX JAF + 4. TOTAL CIVIL NON SPÉCIALISÉ + 5. TOTAL JLD CIVIL + 6.1. ACTIVITÉ CIVILE + 11.8. FONCTIONNAIRES AFFECTÉS AUX ACTIVITÉS CIVILES ET COMMERCIALES DU PARQUET
</t>
    </r>
    <r>
      <rPr>
        <b/>
        <u/>
        <family val="2"/>
        <sz val="10"/>
        <rFont val="Arial"/>
      </rPr>
      <t xml:space="preserve">
</t>
    </r>
    <r>
      <rPr>
        <b/>
        <color rgb="FF0070C0"/>
        <family val="2"/>
        <sz val="10"/>
        <rFont val="Arial"/>
      </rPr>
      <t>(Pour Fonction recodée = Fonctionnaire A-B-CBUR)</t>
    </r>
    <r>
      <rPr>
        <b/>
        <u/>
        <family val="2"/>
        <sz val="10"/>
        <rFont val="Arial"/>
      </rPr>
      <t xml:space="preserve">
</t>
    </r>
    <r>
      <rPr>
        <family val="2"/>
        <sz val="10"/>
        <rFont val="Arial"/>
      </rPr>
      <t xml:space="preserve">
</t>
    </r>
    <r>
      <rPr>
        <b/>
        <color rgb="FFFF0000"/>
        <family val="2"/>
        <sz val="10"/>
        <rFont val="Arial"/>
      </rPr>
      <t>Critère sur le TPRX</t>
    </r>
  </si>
  <si>
    <r>
      <t xml:space="preserve">11.51 Accueil du justiciable
</t>
    </r>
    <r>
      <rPr>
        <color rgb="FF0070C0"/>
        <family val="2"/>
        <sz val="10"/>
        <rFont val="Arial"/>
      </rPr>
      <t xml:space="preserve">
</t>
    </r>
    <r>
      <rPr>
        <b/>
        <color rgb="FF0070C0"/>
        <family val="2"/>
        <sz val="10"/>
        <rFont val="Arial"/>
      </rPr>
      <t xml:space="preserve">(Pour Fonction recodée = Fonctionnaire CTECH)
</t>
    </r>
    <r>
      <rPr>
        <family val="2"/>
        <sz val="10"/>
        <rFont val="Arial"/>
      </rPr>
      <t xml:space="preserve">
</t>
    </r>
    <r>
      <rPr>
        <b/>
        <color rgb="FFFF0000"/>
        <family val="2"/>
        <sz val="10"/>
        <rFont val="Arial"/>
      </rPr>
      <t>Critère sur le TPRX</t>
    </r>
  </si>
  <si>
    <r>
      <t xml:space="preserve">11.51 Accueil du justiciable
</t>
    </r>
    <r>
      <rPr>
        <b/>
        <color rgb="FF0070C0"/>
        <family val="2"/>
        <sz val="10"/>
        <rFont val="Arial"/>
      </rPr>
      <t xml:space="preserve">(Pour Fonction recodée = Fonctionnaire A-B-CBUR)
</t>
    </r>
    <r>
      <rPr>
        <family val="2"/>
        <sz val="10"/>
        <rFont val="Arial"/>
      </rPr>
      <t xml:space="preserve">
</t>
    </r>
    <r>
      <rPr>
        <b/>
        <color rgb="FFFF0000"/>
        <family val="2"/>
        <sz val="10"/>
        <rFont val="Arial"/>
      </rPr>
      <t>Critère sur le TPRX</t>
    </r>
  </si>
  <si>
    <r>
      <t xml:space="preserve">11.1 Soutien + 11.2 Formations suivies + 11.6 Autres activités non juridictionnelles
</t>
    </r>
    <r>
      <rPr>
        <b/>
        <color rgb="FF0070C0"/>
        <family val="2"/>
        <sz val="10"/>
        <rFont val="Arial"/>
      </rPr>
      <t>(Pour Fonction recodée = Fonctionnaire CTECH)</t>
    </r>
    <r>
      <rPr>
        <b/>
        <color rgb="FFFF0000"/>
        <family val="2"/>
        <sz val="10"/>
        <rFont val="Arial"/>
      </rPr>
      <t xml:space="preserve">
</t>
    </r>
    <r>
      <rPr>
        <family val="2"/>
        <sz val="10"/>
        <rFont val="Arial"/>
      </rPr>
      <t xml:space="preserve">
</t>
    </r>
    <r>
      <rPr>
        <b/>
        <color rgb="FFFF0000"/>
        <family val="2"/>
        <sz val="10"/>
        <rFont val="Arial"/>
      </rPr>
      <t>Critère sur le TPRX</t>
    </r>
  </si>
  <si>
    <r>
      <t xml:space="preserve">11.1 Soutien + 11.2 Formations suivies + 11.6 Autres activités non juridictionnelles
</t>
    </r>
    <r>
      <rPr>
        <b/>
        <color rgb="FF0070C0"/>
        <family val="2"/>
        <sz val="10"/>
        <rFont val="Arial"/>
      </rPr>
      <t xml:space="preserve">(Pour Fonction recodée = Fonctionnaire A-B-CBUR )
</t>
    </r>
    <r>
      <rPr>
        <b/>
        <color rgb="FFFF0000"/>
        <family val="2"/>
        <sz val="10"/>
        <rFont val="Arial"/>
      </rPr>
      <t>Critère sur le TPRX</t>
    </r>
  </si>
  <si>
    <r>
      <t xml:space="preserve">11.3 Formations dispensées
</t>
    </r>
    <r>
      <rPr>
        <b/>
        <color rgb="FF0070C0"/>
        <family val="2"/>
        <sz val="10"/>
        <rFont val="Arial"/>
      </rPr>
      <t>(Pour Fonction recodée = Fonctionnaire CTECH)</t>
    </r>
    <r>
      <rPr>
        <family val="2"/>
        <sz val="10"/>
        <rFont val="Arial"/>
      </rPr>
      <t xml:space="preserve">
</t>
    </r>
    <r>
      <rPr>
        <b/>
        <color rgb="FFFF0000"/>
        <family val="2"/>
        <sz val="10"/>
        <rFont val="Arial"/>
      </rPr>
      <t>Critère sur le TPRX</t>
    </r>
  </si>
  <si>
    <r>
      <t xml:space="preserve">11.3 Formations dispensées
</t>
    </r>
    <r>
      <rPr>
        <b/>
        <color rgb="FF0070C0"/>
        <family val="2"/>
        <sz val="10"/>
        <rFont val="Arial"/>
      </rPr>
      <t>(Pour Fonction recodée = Fonctionnaire A-B-CBUR )</t>
    </r>
    <r>
      <rPr>
        <family val="2"/>
        <sz val="10"/>
        <rFont val="Arial"/>
      </rPr>
      <t xml:space="preserve">
</t>
    </r>
    <r>
      <rPr>
        <b/>
        <color rgb="FFFF0000"/>
        <family val="2"/>
        <sz val="10"/>
        <rFont val="Arial"/>
      </rPr>
      <t>Critère sur le TPRX</t>
    </r>
  </si>
  <si>
    <r>
      <t xml:space="preserve">11.4 Accès au droit et à la justice
</t>
    </r>
    <r>
      <rPr>
        <b/>
        <color rgb="FF0070C0"/>
        <family val="2"/>
        <sz val="10"/>
        <rFont val="Arial"/>
      </rPr>
      <t>(Pour Fonction recodée = Fonctionnaire CTECH)</t>
    </r>
    <r>
      <rPr>
        <b/>
        <color rgb="FFFF0000"/>
        <family val="2"/>
        <sz val="10"/>
        <rFont val="Arial"/>
      </rPr>
      <t xml:space="preserve">
</t>
    </r>
    <r>
      <rPr>
        <family val="2"/>
        <sz val="10"/>
        <rFont val="Arial"/>
      </rPr>
      <t xml:space="preserve">
</t>
    </r>
    <r>
      <rPr>
        <b/>
        <color rgb="FFFF0000"/>
        <family val="2"/>
        <sz val="10"/>
        <rFont val="Arial"/>
      </rPr>
      <t>Critère sur le TPRX</t>
    </r>
  </si>
  <si>
    <r>
      <t xml:space="preserve">11.4 Accès au droit et à la justice
</t>
    </r>
    <r>
      <rPr>
        <b/>
        <color rgb="FFFF0000"/>
        <family val="2"/>
        <sz val="10"/>
        <rFont val="Arial"/>
      </rPr>
      <t xml:space="preserve">
</t>
    </r>
    <r>
      <rPr>
        <b/>
        <color rgb="FF0070C0"/>
        <family val="2"/>
        <sz val="10"/>
        <rFont val="Arial"/>
      </rPr>
      <t>(Pour Fonction recodée = Fonctionnaire A-B-CBUR )</t>
    </r>
    <r>
      <rPr>
        <b/>
        <color rgb="FFFF0000"/>
        <family val="2"/>
        <sz val="10"/>
        <rFont val="Arial"/>
      </rPr>
      <t xml:space="preserve">
Critère sur le TPRX</t>
    </r>
  </si>
  <si>
    <r>
      <t xml:space="preserve">12. TOTAL INDISPONIBILITÉ - 12.5 Mise à disposition
</t>
    </r>
    <r>
      <rPr>
        <b/>
        <color rgb="FF0070C0"/>
        <family val="2"/>
        <sz val="10"/>
        <rFont val="Arial"/>
      </rPr>
      <t>(Pour Fonction recodée = Fonctionnaire CTECH)</t>
    </r>
    <r>
      <rPr>
        <family val="2"/>
        <sz val="10"/>
        <rFont val="Arial"/>
      </rPr>
      <t xml:space="preserve">
</t>
    </r>
    <r>
      <rPr>
        <b/>
        <color rgb="FFFF0000"/>
        <family val="2"/>
        <sz val="10"/>
        <rFont val="Arial"/>
      </rPr>
      <t>Critère sur le TJ</t>
    </r>
  </si>
  <si>
    <r>
      <t xml:space="preserve">12. TOTAL INDISPONIBILITÉ - 12.5 Mise à disposition
</t>
    </r>
    <r>
      <rPr>
        <b/>
        <color rgb="FFFF0000"/>
        <family val="2"/>
        <sz val="10"/>
        <rFont val="Arial"/>
      </rPr>
      <t xml:space="preserve">
(Pour Fonction recodée = Fonctionnaire A-B-CBUR )
Critère sur le TPRX</t>
    </r>
  </si>
  <si>
    <r>
      <t xml:space="preserve">12.5 Mise à disposition +
13. Contentieux locaux spécifiques
</t>
    </r>
    <r>
      <rPr>
        <b/>
        <color rgb="FF0070C0"/>
        <family val="2"/>
        <sz val="10"/>
        <rFont val="Arial"/>
      </rPr>
      <t>(Pour Fonction recodée = Fonctionnaire CTECH)</t>
    </r>
    <r>
      <rPr>
        <family val="2"/>
        <sz val="10"/>
        <rFont val="Arial"/>
      </rPr>
      <t xml:space="preserve">
</t>
    </r>
    <r>
      <rPr>
        <b/>
        <color rgb="FFFF0000"/>
        <family val="2"/>
        <sz val="10"/>
        <rFont val="Arial"/>
      </rPr>
      <t>Critère sur le TPRX</t>
    </r>
  </si>
  <si>
    <r>
      <t xml:space="preserve">13. Contentieux locaux spécifiques
</t>
    </r>
    <r>
      <rPr>
        <b/>
        <color rgb="FF0070C0"/>
        <family val="2"/>
        <sz val="10"/>
        <rFont val="Arial"/>
      </rPr>
      <t>(Pour Fonction recodée = Fonctionnaire A-B-CBUR )</t>
    </r>
    <r>
      <rPr>
        <family val="2"/>
        <sz val="10"/>
        <rFont val="Arial"/>
      </rPr>
      <t xml:space="preserve">
</t>
    </r>
    <r>
      <rPr>
        <b/>
        <color rgb="FFFF0000"/>
        <family val="2"/>
        <sz val="10"/>
        <rFont val="Arial"/>
      </rPr>
      <t>Critère sur le TPRX</t>
    </r>
  </si>
  <si>
    <r>
      <t xml:space="preserve">12.5 Mise à disposition
</t>
    </r>
    <r>
      <rPr>
        <b/>
        <color rgb="FFFF0000"/>
        <family val="2"/>
        <sz val="10"/>
        <rFont val="Arial"/>
      </rPr>
      <t xml:space="preserve">
</t>
    </r>
    <r>
      <rPr>
        <b/>
        <color rgb="FF0070C0"/>
        <family val="2"/>
        <sz val="10"/>
        <rFont val="Arial"/>
      </rPr>
      <t>(Pour Fonction recodée = Fonctionnaire A-B-CBUR )</t>
    </r>
    <r>
      <rPr>
        <b/>
        <color rgb="FFFF0000"/>
        <family val="2"/>
        <sz val="10"/>
        <rFont val="Arial"/>
      </rPr>
      <t xml:space="preserve">
Critère sur le TPRX</t>
    </r>
  </si>
  <si>
    <r>
      <rPr>
        <b/>
        <color rgb="FFFF0000"/>
        <family val="2"/>
        <sz val="10"/>
        <rFont val="Arial"/>
      </rPr>
      <t>Temps ventilé sur la période A-JUST*</t>
    </r>
    <r>
      <rPr>
        <family val="2"/>
        <sz val="10"/>
        <rFont val="Arial"/>
      </rPr>
      <t xml:space="preserve"> (absentéisme et action 99 déduits)
</t>
    </r>
    <r>
      <rPr>
        <b/>
        <color rgb="FF0070C0"/>
        <family val="2"/>
        <sz val="10"/>
        <rFont val="Arial"/>
      </rPr>
      <t>(Pour fonction recodée = Fonctionnaire CTECH placé ADD)</t>
    </r>
    <r>
      <rPr>
        <b/>
        <color rgb="FFFF0000"/>
        <family val="2"/>
        <sz val="10"/>
        <rFont val="Arial"/>
      </rPr>
      <t xml:space="preserve">
</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</si>
  <si>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13. Contentieux locaux spécifiques*</t>
    </r>
    <r>
      <rPr>
        <family val="2"/>
        <sz val="10"/>
        <rFont val="Arial"/>
      </rPr>
      <t xml:space="preserve">
</t>
    </r>
    <r>
      <rPr>
        <b/>
        <color rgb="FF0070C0"/>
        <family val="2"/>
        <sz val="10"/>
        <rFont val="Arial"/>
      </rPr>
      <t>(Pour fonction recodée =Fonctionnaire A-B-CBUR placé ADD)</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</si>
  <si>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3.43 Injonctions de payer + 3.44 Saisies des rémunérations*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</si>
  <si>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 xml:space="preserve">3. Contentieux de la Protection - 3.2 Protection des majeurs - 3.43 IP - 3.44 Saisies rémunérations*
</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</si>
  <si>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3.2 Protection des majeurs*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</si>
  <si>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 xml:space="preserve">1. TOTAL CONTENTIEUX SOCIAL + 2. TOTAL CONTENTIEUX JAF + 4. TOTAL CIVIL NON SPÉCIALISÉ + 5. TOTAL JLD CIVIL + 6.1. ACTIVITÉ CIVILE + 11.8. FONCTIONNAIRES AFFECTÉS AUX ACTIVITÉS CIVILES ET COMMERCIALES DU PARQUET*
+
11.51. ACCUEIL DU JUSTICIABLE (DONT SAUJ) + 11.1. SOUTIEN (HORS FORMATIONS SUIVIES) + 11.2. FORMATIONS SUIVIES + 11.6. AUTRES ACTIVITÉS NON JURIDICTIONNELLES + 11.3. FORMATIONS DISPENSÉES + 11.4. ACCÈS AU DROIT ET À LA JUSTICE*
</t>
    </r>
    <r>
      <rPr>
        <b/>
        <u/>
        <family val="2"/>
        <sz val="10"/>
        <rFont val="Arial"/>
      </rPr>
      <t xml:space="preserve">
</t>
    </r>
    <r>
      <rPr>
        <b/>
        <color rgb="FF0070C0"/>
        <family val="2"/>
        <sz val="10"/>
        <rFont val="Arial"/>
      </rPr>
      <t>(Pour fonction recodée =Fonctionnaire A-B-CBUR placé ADD)</t>
    </r>
    <r>
      <rPr>
        <b/>
        <u/>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</si>
  <si>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Temps ventilé sur la période A-JUST*</t>
    </r>
    <r>
      <rPr>
        <family val="2"/>
        <sz val="10"/>
        <rFont val="Arial"/>
      </rPr>
      <t xml:space="preserve"> (absentéisme et action 99 déduits)
</t>
    </r>
    <r>
      <rPr>
        <b/>
        <color rgb="FF0070C0"/>
        <family val="2"/>
        <sz val="10"/>
        <rFont val="Arial"/>
      </rPr>
      <t>(Pour fonction recodée = Fonctionnaire CTECH placé SUB)</t>
    </r>
    <r>
      <rPr>
        <b/>
        <color rgb="FFFF0000"/>
        <family val="2"/>
        <sz val="10"/>
        <rFont val="Arial"/>
      </rPr>
      <t xml:space="preserve">
</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</si>
  <si>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13. Contentieux locaux spécifiques*</t>
    </r>
    <r>
      <rPr>
        <family val="2"/>
        <sz val="10"/>
        <rFont val="Arial"/>
      </rPr>
      <t xml:space="preserve">
</t>
    </r>
    <r>
      <rPr>
        <b/>
        <color rgb="FF0070C0"/>
        <family val="2"/>
        <sz val="10"/>
        <rFont val="Arial"/>
      </rPr>
      <t>(Pour fonction recodée =Fonctionnaire A-B-CBUR placé SUB)</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</si>
  <si>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3.43 Injonctions de payer + 3.44 Saisies des rémunérations*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</si>
  <si>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 xml:space="preserve">3. Contentieux de la Protection - 3.2 Protection des majeurs - 3.43 IP - 3.44 Saisies rémunérations*
</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</si>
  <si>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3.2 Protection des majeurs*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</si>
  <si>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 xml:space="preserve">1. TOTAL CONTENTIEUX SOCIAL + 2. TOTAL CONTENTIEUX JAF + 4. TOTAL CIVIL NON SPÉCIALISÉ + 5. TOTAL JLD CIVIL + 6.1. ACTIVITÉ CIVILE + 11.8. FONCTIONNAIRES AFFECTÉS AUX ACTIVITÉS CIVILES ET COMMERCIALES DU PARQUET*
+
11.51. ACCUEIL DU JUSTICIABLE (DONT SAUJ) + 11.1. SOUTIEN (HORS FORMATIONS SUIVIES) + 11.2. FORMATIONS SUIVIES + 11.6. AUTRES ACTIVITÉS NON JURIDICTIONNELLES + 11.3. FORMATIONS DISPENSÉES + 11.4. ACCÈS AU DROIT ET À LA JUSTICE*
</t>
    </r>
    <r>
      <rPr>
        <b/>
        <u/>
        <family val="2"/>
        <sz val="10"/>
        <rFont val="Arial"/>
      </rPr>
      <t xml:space="preserve">
</t>
    </r>
    <r>
      <rPr>
        <b/>
        <color rgb="FF0070C0"/>
        <family val="2"/>
        <sz val="10"/>
        <rFont val="Arial"/>
      </rPr>
      <t>(Pour fonction recodée =Fonctionnaire A-B-CBUR placé SUB)</t>
    </r>
    <r>
      <rPr>
        <b/>
        <u/>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</si>
  <si>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 xml:space="preserve">12. TOTAL INDISPONIBILITÉ*
</t>
    </r>
    <r>
      <rPr>
        <family val="2"/>
        <sz val="10"/>
        <rFont val="Arial"/>
      </rPr>
      <t xml:space="preserve">
</t>
    </r>
    <r>
      <rPr>
        <b/>
        <color rgb="FF0070C0"/>
        <family val="2"/>
        <sz val="10"/>
        <rFont val="Arial"/>
      </rPr>
      <t>(Pour Fonctions recodées = Fonctionnaire CTECH placé ADD  ou Fonctionnaire Fonctionnaire CTECH placé SUB)</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</si>
  <si>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12. TOTAL INDISPONIBILITÉ*</t>
    </r>
    <r>
      <rPr>
        <family val="2"/>
        <sz val="10"/>
        <rFont val="Arial"/>
      </rPr>
      <t xml:space="preserve">
</t>
    </r>
    <r>
      <rPr>
        <b/>
        <color rgb="FF0070C0"/>
        <family val="2"/>
        <sz val="10"/>
        <rFont val="Arial"/>
      </rPr>
      <t xml:space="preserve">(Pour Fonctions recodées = Fonctionnaire A-B-CBUR placé ADD  ou Fonctionnaire A-B-CBUR placé SUB)
</t>
    </r>
    <r>
      <rPr>
        <b/>
        <color rgb="FFFF0000"/>
        <family val="2"/>
        <sz val="10"/>
        <rFont val="Arial"/>
      </rPr>
      <t>Critère sur le TPRX</t>
    </r>
    <r>
      <rPr>
        <family val="2"/>
        <sz val="10"/>
        <rFont val="Arial"/>
      </rPr>
      <t xml:space="preserve">
</t>
    </r>
    <r>
      <rPr>
        <color rgb="FFFF0000"/>
        <family val="2"/>
        <sz val="10"/>
        <rFont val="Arial"/>
      </rPr>
      <t>*figurant dans l'onglet ETPT A-JUST</t>
    </r>
  </si>
  <si>
    <r>
      <t xml:space="preserve">11.7 Fonctionnaires affectés au CPH
</t>
    </r>
    <r>
      <rPr>
        <b/>
        <color rgb="FF0070C0"/>
        <family val="2"/>
        <sz val="7"/>
        <rFont val="Arial"/>
      </rPr>
      <t>(Pour Fonction recodée = Fonctionnaire A-B-CBUR)</t>
    </r>
    <r>
      <rPr>
        <color rgb="FF333333"/>
        <family val="2"/>
        <sz val="7"/>
        <rFont val="Arial"/>
      </rPr>
      <t xml:space="preserve">
</t>
    </r>
    <r>
      <rPr>
        <b/>
        <color rgb="FFFF0000"/>
        <family val="2"/>
        <sz val="7"/>
        <rFont val="Arial"/>
      </rPr>
      <t>Critère sur le TJ OU TPRX OU CPH</t>
    </r>
  </si>
  <si>
    <r>
      <rPr>
        <b/>
        <color rgb="FFFF0000"/>
        <family val="2"/>
        <sz val="7"/>
        <rFont val="Arial"/>
      </rPr>
      <t>11.7 Fonctionnaires affectés au CPH*</t>
    </r>
    <r>
      <rPr>
        <color rgb="FF333333"/>
        <family val="2"/>
        <sz val="7"/>
        <rFont val="Arial"/>
      </rPr>
      <t xml:space="preserve">
</t>
    </r>
    <r>
      <rPr>
        <b/>
        <color rgb="FFFF0000"/>
        <family val="2"/>
        <sz val="7"/>
        <rFont val="Arial"/>
      </rPr>
      <t xml:space="preserve">
</t>
    </r>
    <r>
      <rPr>
        <b/>
        <color rgb="FF0070C0"/>
        <family val="2"/>
        <sz val="7"/>
        <rFont val="Arial"/>
      </rPr>
      <t>(Pour fonction recodée =Fonctionnaire A-B-CBUR placé ADD)</t>
    </r>
    <r>
      <rPr>
        <color rgb="FF333333"/>
        <family val="2"/>
        <sz val="7"/>
        <rFont val="Arial"/>
      </rPr>
      <t xml:space="preserve">
</t>
    </r>
    <r>
      <rPr>
        <b/>
        <color rgb="FFFF0000"/>
        <family val="2"/>
        <sz val="7"/>
        <rFont val="Arial"/>
      </rPr>
      <t xml:space="preserve">Critère sur le TJ OU TPRX OU CPH
</t>
    </r>
    <r>
      <rPr>
        <color rgb="FFFF0000"/>
        <family val="2"/>
        <sz val="7"/>
        <rFont val="Arial"/>
      </rPr>
      <t>*figurant dans l'onglet ETPT A-JUST</t>
    </r>
  </si>
  <si>
    <r>
      <rPr>
        <b/>
        <color rgb="FFFF0000"/>
        <family val="2"/>
        <sz val="7"/>
        <rFont val="Arial"/>
      </rPr>
      <t>11.7 Fonctionnaires affectés au CPH*</t>
    </r>
    <r>
      <rPr>
        <color rgb="FF333333"/>
        <family val="2"/>
        <sz val="7"/>
        <rFont val="Arial"/>
      </rPr>
      <t xml:space="preserve">
</t>
    </r>
    <r>
      <rPr>
        <b/>
        <color rgb="FF0070C0"/>
        <family val="2"/>
        <sz val="7"/>
        <rFont val="Arial"/>
      </rPr>
      <t>(Pour fonction recodée =Fonctionnaire A-B-CBUR placé SUB)</t>
    </r>
    <r>
      <rPr>
        <b/>
        <color rgb="FFFF0000"/>
        <family val="2"/>
        <sz val="7"/>
        <rFont val="Arial"/>
      </rPr>
      <t xml:space="preserve">
</t>
    </r>
    <r>
      <rPr>
        <color rgb="FF333333"/>
        <family val="2"/>
        <sz val="7"/>
        <rFont val="Arial"/>
      </rPr>
      <t xml:space="preserve">
</t>
    </r>
    <r>
      <rPr>
        <b/>
        <color rgb="FFFF0000"/>
        <family val="2"/>
        <sz val="7"/>
        <rFont val="Arial"/>
      </rPr>
      <t xml:space="preserve">Critère sur le TJ OU TPRX OU CPH
</t>
    </r>
    <r>
      <rPr>
        <color rgb="FFFF0000"/>
        <family val="2"/>
        <sz val="7"/>
        <rFont val="Arial"/>
      </rPr>
      <t>*figurant dans l'onglet ETPT A-JUST</t>
    </r>
  </si>
  <si>
    <t>DÉCLARATION ETPT ATTACHES DE JUSTICE (JURISTES ASSISTANTS)</t>
  </si>
  <si>
    <t>ETPT juristes assistants chambres sociales</t>
  </si>
  <si>
    <t>ETPT de contractuels a j prox et a vif</t>
  </si>
  <si>
    <t>ETPT juristes assistants siège autres</t>
  </si>
  <si>
    <t>ETPT juristes assistants pôle social</t>
  </si>
  <si>
    <t>ETPT juristes assistants au parquet</t>
  </si>
  <si>
    <t>ETPT de contractuels a j prox et a vif au parquet</t>
  </si>
  <si>
    <t>ETPT juristes assistants affectés aux jap</t>
  </si>
  <si>
    <t>ETPT juristes assistants affectés aux je</t>
  </si>
  <si>
    <t>ETPT juristes assistants affectés aux juge d'instruction</t>
  </si>
  <si>
    <t>ETPT juristes assistants affectés aux jld</t>
  </si>
  <si>
    <t xml:space="preserve">Fonctions recodées :
- CONT A JP SIEGE
- CONT A VIF SIEGE
- CONT A JP PARQUET
- CONT A VIF PARQUET
- Att.J/JA PARQUET
- Att.J/JA SIEGE AUTRES
- Att.J/JA SOCIAL
- Att.J/JA JAP
- Att.J/JA JE
- Att.J/JA JI
- Att.J/AJ JLD</t>
  </si>
  <si>
    <r>
      <t xml:space="preserve">1. TOTAL CONTENTIEUX SOCIAL + 2. TOTAL CONTENTIEUX JAF + 3. TOTAL CONTENTIEUX DE LA PROTECTION + 4. TOTAL CIVIL NON SPÉCIALISÉ + 5. TOTAL JLD CIVIL + 6.1. ACTIVITÉ CIVILE +  11.7. FONCTIONNAIRES AFFECTÉS AU CPH
</t>
    </r>
    <r>
      <rPr>
        <b/>
        <color rgb="FF0070C0"/>
        <family val="2"/>
        <sz val="10"/>
        <rFont val="Arial"/>
      </rPr>
      <t xml:space="preserve">Fonction recodée = CONT A JP SIEGE + CONT A VIF SIEGE + CONT A JP PARQUET + CONT A VIF PARQUET
</t>
    </r>
    <r>
      <rPr>
        <color theme="1"/>
        <family val="2"/>
        <sz val="10"/>
        <rFont val="Arial"/>
      </rPr>
      <t xml:space="preserve">
</t>
    </r>
    <r>
      <rPr>
        <b/>
        <color rgb="FFFF0000"/>
        <family val="2"/>
        <sz val="10"/>
        <rFont val="Arial"/>
      </rPr>
      <t>Critère sur le TJ ou le TPROX ou le CPH</t>
    </r>
  </si>
  <si>
    <r>
      <t xml:space="preserve">2. TOTAL CONTENTIEUX JAF + 3. TOTAL CONTENTIEUX DE LA PROTECTION + 4. TOTAL CIVIL NON SPÉCIALISÉ + 11.7. FONCTIONNAIRES AFFECTÉS AU CPH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 xml:space="preserve">
Critère sur le TJ ou le TPROX ou le CPH</t>
    </r>
  </si>
  <si>
    <r>
      <t xml:space="preserve">1. TOTAL CONTENTIEUX SOCIAL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</si>
  <si>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11.8. FONCTIONNAIRES AFFECTÉS AUX ACTIVITÉS CIVILES ET COMMERCIALES DU PARQUET
</t>
    </r>
    <r>
      <rPr>
        <b/>
        <color rgb="FF0070C0"/>
        <family val="2"/>
        <sz val="10"/>
        <rFont val="Arial"/>
      </rPr>
      <t xml:space="preserve">Fonction recodée = Att.J/JA PARQUET + Att.J/JA SIEGE AUTRES + Att.J/JA SOCIAL + Att.J/JA JAP + Att.J/JA JE + Att.J/JA JI + Att.J/AJ JLD </t>
    </r>
    <r>
      <rPr>
        <color theme="1"/>
        <family val="2"/>
        <sz val="10"/>
        <rFont val="Arial"/>
      </rPr>
      <t xml:space="preserve">
</t>
    </r>
    <r>
      <rPr>
        <b/>
        <color rgb="FFFF0000"/>
        <family val="2"/>
        <sz val="10"/>
        <rFont val="Arial"/>
      </rPr>
      <t xml:space="preserve">
Critère sur le TJ ou le TPROX ou le CPH</t>
    </r>
  </si>
  <si>
    <r>
      <t xml:space="preserve">11.8. FONCTIONNAIRES AFFECTÉS AUX ACTIVITÉS CIVILES ET COMMERCIALES DU PARQUET
</t>
    </r>
    <r>
      <rPr>
        <b/>
        <color rgb="FF0070C0"/>
        <family val="2"/>
        <sz val="10"/>
        <rFont val="Arial"/>
      </rPr>
      <t>Fonction recodée = CONT A JP SIEGE + CONT A VIF SIEGE + CONT A JP PARQUET + CONT A VIF PARQUET</t>
    </r>
    <r>
      <rPr>
        <color theme="1"/>
        <family val="2"/>
        <sz val="10"/>
        <rFont val="Arial"/>
      </rPr>
      <t xml:space="preserve">
</t>
    </r>
    <r>
      <rPr>
        <b/>
        <color rgb="FFFF0000"/>
        <family val="2"/>
        <sz val="10"/>
        <rFont val="Arial"/>
      </rPr>
      <t xml:space="preserve">
Critère sur le TJ ou le TPROX ou le CPH</t>
    </r>
  </si>
  <si>
    <r>
      <t xml:space="preserve">6.1. ACTIVITÉ CIVILE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</si>
  <si>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5. TOTAL JLD CIVIL
</t>
    </r>
    <r>
      <rPr>
        <b/>
        <color rgb="FF0070C0"/>
        <family val="2"/>
        <sz val="10"/>
        <rFont val="Arial"/>
      </rPr>
      <t xml:space="preserve">Fonction recodée = Att.J/JA PARQUET + Att.J/JA SIEGE AUTRES + Att.J/JA SOCIAL + Att.J/JA JAP + Att.J/JA JE + Att.J/JA JI + Att.J/AJ JLD
</t>
    </r>
    <r>
      <rPr>
        <b/>
        <color rgb="FFFF0000"/>
        <family val="2"/>
        <sz val="10"/>
        <rFont val="Arial"/>
      </rPr>
      <t>Critère sur le TJ ou le TPROX ou le CPH</t>
    </r>
  </si>
  <si>
    <r>
      <t xml:space="preserve">6.2. ACTIVITÉ PÉNALE + 7. TOTAL SIÈGE PÉNAL + 8. TOTAL JUGES D'INSTRUCTION + 
9. TOTAL JAP + 10. TOTAL JLD PÉNAL 
</t>
    </r>
    <r>
      <rPr>
        <b/>
        <color rgb="FF0070C0"/>
        <family val="2"/>
        <sz val="10"/>
        <rFont val="Arial"/>
      </rPr>
      <t xml:space="preserve">
Fonction recodée = CONT A JP SIEGE + CONT A VIF SIEGE + CONT A JP PARQUET + CONT A VIF PARQUET
</t>
    </r>
    <r>
      <rPr>
        <color theme="1"/>
        <family val="2"/>
        <sz val="10"/>
        <rFont val="Arial"/>
      </rPr>
      <t xml:space="preserve">
</t>
    </r>
    <r>
      <rPr>
        <b/>
        <color rgb="FFFF0000"/>
        <family val="2"/>
        <sz val="10"/>
        <rFont val="Arial"/>
      </rPr>
      <t>Critère sur le TJ ou le TPROX ou le CPH</t>
    </r>
  </si>
  <si>
    <r>
      <t xml:space="preserve">7. TOTAL SIÈGE PÉNAL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</si>
  <si>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 11.9. FONCTIONNAIRES AFFECTÉS À L'EXÉCUTION DES PEINES + 11.10 AUTRES FONCTIONNAIRES AFFECTÉS AU PARQUET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</si>
  <si>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11.9. FONCTIONNAIRES AFFECTÉS À L'EXÉCUTION DES PEINES + 11.10 AUTRES FONCTIONNAIRES AFFECTÉS AU PARQUET 
</t>
    </r>
    <r>
      <rPr>
        <b/>
        <color rgb="FF0070C0"/>
        <family val="2"/>
        <sz val="10"/>
        <rFont val="Arial"/>
      </rPr>
      <t>Fonction recodée = CONT A JP SIEGE + CONT A VIF SIEGE + CONT A JP PARQUET + CONT A VIF PARQUET</t>
    </r>
    <r>
      <rPr>
        <color theme="1"/>
        <family val="2"/>
        <sz val="10"/>
        <rFont val="Arial"/>
      </rPr>
      <t xml:space="preserve">
</t>
    </r>
    <r>
      <rPr>
        <b/>
        <color rgb="FFFF0000"/>
        <family val="2"/>
        <sz val="10"/>
        <rFont val="Arial"/>
      </rPr>
      <t>Critère sur le TJ ou le TPROX ou le CPH</t>
    </r>
  </si>
  <si>
    <r>
      <t xml:space="preserve">9. TOTAL JAP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</si>
  <si>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6.2. ACTIVITÉ PÉNALE
</t>
    </r>
    <r>
      <rPr>
        <b/>
        <color rgb="FF0070C0"/>
        <family val="2"/>
        <sz val="10"/>
        <rFont val="Arial"/>
      </rPr>
      <t xml:space="preserve">
Fonction recodée = Att.J/JA PARQUET + Att.J/JA SIEGE AUTRES + Att.J/JA SOCIAL + Att.J/JA JAP + Att.J/JA JE + Att.J/JA JI + Att.J/AJ JLD
</t>
    </r>
    <r>
      <rPr>
        <color theme="1"/>
        <family val="2"/>
        <sz val="10"/>
        <rFont val="Arial"/>
      </rPr>
      <t xml:space="preserve">
</t>
    </r>
    <r>
      <rPr>
        <b/>
        <color rgb="FFFF0000"/>
        <family val="2"/>
        <sz val="10"/>
        <rFont val="Arial"/>
      </rPr>
      <t>Critère sur le TJ ou le TPROX ou le CPH</t>
    </r>
  </si>
  <si>
    <r>
      <t xml:space="preserve"> 8. TOTAL JUGES D'INSTRUCTION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</si>
  <si>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10. TOTAL JLD PÉNAL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</si>
  <si>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CONT A JP SIEGE + CONT A VIF SIEGE</t>
    </r>
    <r>
      <rPr>
        <b/>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</si>
  <si>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</si>
  <si>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</si>
  <si>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</si>
  <si>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CONT A JP PARQUET + CONT A VIF PARQUET</t>
    </r>
    <r>
      <rPr>
        <b/>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</si>
  <si>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</si>
  <si>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</si>
  <si>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</si>
  <si>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</si>
  <si>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 xml:space="preserve">Fonction recodée = CONT A JP SIEGE + CONT A VIF SIEGE
</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</si>
  <si>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</si>
  <si>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</si>
  <si>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</si>
  <si>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</si>
  <si>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</si>
  <si>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</si>
  <si>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</si>
  <si>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</si>
  <si>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 xml:space="preserve">Fonction recodée = CONT A JP SIEGE + CONT A VIF SIEGE
</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</si>
  <si>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</si>
  <si>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</si>
  <si>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</si>
  <si>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</si>
  <si>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</si>
  <si>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</si>
  <si>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</si>
  <si>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</si>
  <si>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CONT A JP SIEGE + CONT A VIF SIEGE</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</si>
  <si>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</si>
  <si>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</si>
  <si>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</si>
  <si>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</si>
  <si>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</si>
  <si>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</si>
  <si>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</si>
  <si>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</si>
  <si>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CONT A JP SIEGE + CONT A VIF SIEGE</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</si>
  <si>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</si>
  <si>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</si>
  <si>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</si>
  <si>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</si>
  <si>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</si>
  <si>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</si>
  <si>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</si>
  <si>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</si>
  <si>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CONT A JP SIEGE + CONT A VIF SIEGE</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</si>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</sst>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_-* #,##0.000_-;-* #,##0.000_-;_-* &quot;-&quot;??_-;_-@_-"/>
    <numFmt numFmtId="166" formatCode="0.0%"/>
    <numFmt numFmtId="167" formatCode="#,##0.00_ ;[Red]-#,##0.00 "/>
  </numFmts>
  <fonts count="62" x14ac:knownFonts="1">
    <font>
      <color theme="1"/>
      <family val="2"/>
      <scheme val="minor"/>
      <sz val="11"/>
      <name val="Calibri"/>
    </font>
    <font>
      <b/>
      <color theme="0"/>
      <family val="2"/>
      <scheme val="minor"/>
      <sz val="22"/>
      <name val="Calibri"/>
    </font>
    <font>
      <color theme="1"/>
      <family val="2"/>
      <scheme val="minor"/>
      <sz val="10"/>
      <name val="Calibri"/>
    </font>
    <font>
      <color theme="0"/>
      <family val="2"/>
      <scheme val="minor"/>
      <sz val="10"/>
      <name val="Calibri"/>
    </font>
    <font>
      <b/>
      <color theme="1"/>
      <family val="2"/>
      <scheme val="minor"/>
      <sz val="12"/>
      <name val="Calibri"/>
    </font>
    <font>
      <b/>
      <color theme="0"/>
      <family val="2"/>
      <scheme val="minor"/>
      <sz val="12"/>
      <name val="Calibri"/>
    </font>
    <font>
      <b/>
      <color theme="0"/>
      <family val="2"/>
      <scheme val="minor"/>
      <sz val="11"/>
      <name val="Calibri"/>
    </font>
    <font>
      <u/>
      <color theme="4"/>
      <family val="2"/>
      <scheme val="minor"/>
      <sz val="11"/>
      <name val="Calibri"/>
    </font>
    <font>
      <b/>
      <color theme="0" tint="-0.0499893185216834"/>
      <family val="2"/>
      <scheme val="minor"/>
      <sz val="22"/>
      <name val="Calibri"/>
    </font>
    <font>
      <b/>
      <i/>
      <color theme="0" tint="-0.0499893185216834"/>
      <family val="2"/>
      <scheme val="minor"/>
      <sz val="16"/>
      <name val="Calibri"/>
    </font>
    <font>
      <color theme="0"/>
      <family val="2"/>
      <scheme val="minor"/>
      <sz val="11"/>
      <name val="Calibri"/>
    </font>
    <font>
      <b/>
      <color theme="1"/>
      <family val="2"/>
      <scheme val="minor"/>
      <sz val="11"/>
      <name val="Calibri"/>
    </font>
    <font>
      <color theme="1"/>
      <family val="2"/>
      <scheme val="minor"/>
      <sz val="8"/>
      <name val="Calibri"/>
    </font>
    <font>
      <b/>
      <color rgb="FFFF0000"/>
      <family val="2"/>
      <scheme val="minor"/>
      <sz val="11"/>
      <name val="Calibri"/>
    </font>
    <font>
      <b/>
      <color theme="1"/>
      <family val="2"/>
      <scheme val="minor"/>
      <sz val="14"/>
      <name val="Calibri"/>
    </font>
    <font>
      <i/>
      <color theme="1"/>
      <family val="2"/>
      <scheme val="minor"/>
      <sz val="11"/>
      <name val="Calibri"/>
    </font>
    <font>
      <color rgb="FF000000"/>
      <family val="2"/>
      <scheme val="minor"/>
      <sz val="11"/>
      <name val="Calibri"/>
    </font>
    <font>
      <color rgb="FFFF0000"/>
      <family val="2"/>
      <scheme val="minor"/>
      <sz val="11"/>
      <name val="Calibri"/>
    </font>
    <font>
      <color theme="1"/>
      <family val="2"/>
      <scheme val="minor"/>
      <sz val="12"/>
      <name val="Calibri"/>
    </font>
    <font>
      <color rgb="FF333333"/>
      <family val="2"/>
      <sz val="9"/>
      <name val="Arial"/>
    </font>
    <font>
      <b/>
      <color rgb="FF333333"/>
      <family val="2"/>
      <sz val="8"/>
      <name val="Arial"/>
    </font>
    <font>
      <b/>
      <color rgb="FF333333"/>
      <family val="2"/>
      <sz val="7"/>
      <name val="Arial"/>
    </font>
    <font>
      <b/>
      <color rgb="FF000000"/>
      <family val="2"/>
      <sz val="7"/>
      <name val="Arial"/>
    </font>
    <font>
      <b/>
      <u/>
      <color rgb="FF000000"/>
      <family val="2"/>
      <sz val="7"/>
      <name val="Arial"/>
    </font>
    <font>
      <color rgb="FF000000"/>
      <family val="2"/>
      <sz val="7"/>
      <name val="Arial"/>
    </font>
    <font>
      <family val="2"/>
      <sz val="7"/>
      <name val="Arial"/>
    </font>
    <font>
      <b/>
      <family val="2"/>
      <sz val="7"/>
      <name val="Arial"/>
    </font>
    <font>
      <color rgb="FFFF0000"/>
      <family val="2"/>
      <sz val="7"/>
      <name val="Arial"/>
    </font>
    <font>
      <b/>
      <color rgb="FFFF0000"/>
      <family val="2"/>
      <scheme val="minor"/>
      <sz val="12"/>
      <name val="Calibri"/>
    </font>
    <font>
      <color theme="1"/>
      <family val="2"/>
      <sz val="10"/>
      <name val="Arial"/>
    </font>
    <font>
      <color theme="1"/>
      <family val="2"/>
      <scheme val="minor"/>
      <sz val="7"/>
      <name val="Calibri"/>
    </font>
    <font>
      <color theme="1"/>
      <family val="2"/>
      <sz val="7"/>
      <name val="Arial"/>
    </font>
    <font>
      <color rgb="FF333333"/>
      <family val="2"/>
      <sz val="8"/>
      <name val="Arial"/>
    </font>
    <font>
      <b/>
      <color rgb="FF333333"/>
      <family val="2"/>
      <sz val="9"/>
      <name val="Arial"/>
    </font>
    <font>
      <color rgb="FF333333"/>
      <family val="2"/>
      <sz val="7"/>
      <name val="Arial"/>
    </font>
    <font>
      <b/>
      <color rgb="FF333333"/>
      <family val="2"/>
      <sz val="10"/>
      <name val="Arial"/>
    </font>
    <font>
      <color rgb="FF000000"/>
      <family val="2"/>
      <sz val="10"/>
      <name val="Arial"/>
    </font>
    <font>
      <b/>
      <u/>
      <color rgb="FF000000"/>
      <family val="2"/>
      <sz val="10"/>
      <name val="Arial"/>
    </font>
    <font>
      <b/>
      <color theme="1"/>
      <family val="2"/>
      <sz val="7"/>
      <name val="Arial"/>
    </font>
    <font>
      <b/>
      <color rgb="FFFF0000"/>
      <family val="2"/>
      <sz val="7"/>
      <name val="Arial"/>
    </font>
    <font>
      <color theme="0"/>
      <family val="2"/>
      <sz val="7"/>
      <name val="Arial"/>
    </font>
    <font>
      <b/>
      <color rgb="FFFF0000"/>
      <family val="2"/>
      <sz val="10"/>
      <name val="Arial"/>
    </font>
    <font>
      <b/>
      <color rgb="FF860000"/>
      <family val="2"/>
      <sz val="7"/>
      <name val="Arial"/>
    </font>
    <font>
      <b/>
      <color rgb="FF860000"/>
      <family val="2"/>
      <scheme val="minor"/>
      <sz val="12"/>
      <name val="Calibri"/>
    </font>
    <font>
      <color rgb="FF860000"/>
      <family val="2"/>
      <sz val="10"/>
      <name val="Arial"/>
    </font>
    <font>
      <b/>
      <color theme="1"/>
      <family val="2"/>
      <sz val="10"/>
      <name val="Arial"/>
    </font>
    <font>
      <b/>
      <color rgb="FFFF0000"/>
      <family val="2"/>
      <sz val="8"/>
      <name val="Arial"/>
    </font>
    <font>
      <color rgb="FFFF0000"/>
      <family val="2"/>
      <scheme val="minor"/>
      <sz val="12"/>
      <name val="Calibri"/>
    </font>
    <font>
      <color theme="1"/>
      <family val="2"/>
      <sz val="9"/>
      <name val="Arial"/>
    </font>
    <font>
      <b/>
      <color rgb="FFFF66CC"/>
      <family val="2"/>
      <sz val="7"/>
      <name val="Arial"/>
    </font>
    <font>
      <color rgb="FF333333"/>
      <family val="2"/>
      <sz val="10"/>
      <name val="Arial"/>
    </font>
    <font>
      <b/>
      <color rgb="FF000000"/>
      <family val="2"/>
      <sz val="10"/>
      <name val="Arial"/>
    </font>
    <font>
      <b/>
      <family val="2"/>
      <sz val="10"/>
      <name val="Arial"/>
    </font>
    <font>
      <family val="2"/>
      <sz val="10"/>
      <name val="Arial"/>
    </font>
    <font>
      <color rgb="FFFF0000"/>
      <family val="2"/>
      <sz val="10"/>
      <name val="Arial"/>
    </font>
    <font>
      <family val="2"/>
      <sz val="8"/>
      <name val="Arial"/>
    </font>
    <font>
      <color rgb="FFFF0000"/>
      <family val="2"/>
      <sz val="8"/>
      <name val="Arial"/>
    </font>
    <font>
      <b/>
      <color rgb="FFFF0000"/>
      <family val="2"/>
      <scheme val="minor"/>
      <sz val="10"/>
      <name val="Calibri"/>
    </font>
    <font>
      <color rgb="FF000000"/>
      <family val="2"/>
      <sz val="8"/>
      <name val="Arial"/>
    </font>
    <font>
      <b/>
      <color rgb="FF000000"/>
      <family val="2"/>
      <sz val="8"/>
      <name val="Arial"/>
    </font>
    <font>
      <b/>
      <color rgb="FF0070C0"/>
      <family val="2"/>
      <sz val="11"/>
      <name val="Arial"/>
    </font>
    <font>
      <color theme="2" tint="-0.0999786370433668"/>
      <family val="2"/>
      <sz val="7"/>
      <name val="Arial"/>
    </font>
  </fonts>
  <fills count="31">
    <fill>
      <patternFill patternType="none"/>
    </fill>
    <fill>
      <patternFill patternType="gray125"/>
    </fill>
    <fill>
      <patternFill patternType="solid">
        <fgColor rgb="FF333F4F"/>
        <bgColor indexed="64"/>
      </patternFill>
    </fill>
    <fill>
      <patternFill patternType="solid">
        <fgColor rgb="FFE64B85"/>
        <bgColor indexed="64"/>
      </patternFill>
    </fill>
    <fill>
      <patternFill patternType="solid">
        <fgColor rgb="FF2D46E0"/>
        <bgColor indexed="64"/>
      </patternFill>
    </fill>
    <fill>
      <patternFill patternType="solid">
        <fgColor rgb="FF0B0B97"/>
        <bgColor indexed="64"/>
      </patternFill>
    </fill>
    <fill>
      <patternFill patternType="solid">
        <fgColor rgb="FFFF0000"/>
        <bgColor indexed="64"/>
      </patternFill>
    </fill>
    <fill>
      <patternFill patternType="solid">
        <fgColor rgb="FFF7F02D"/>
        <bgColor indexed="64"/>
      </patternFill>
    </fill>
    <fill>
      <patternFill patternType="solid">
        <fgColor rgb="FF00B252"/>
        <bgColor indexed="64"/>
      </patternFill>
    </fill>
    <fill>
      <patternFill patternType="solid">
        <fgColor rgb="FF0070C0"/>
        <bgColor indexed="64"/>
      </patternFill>
    </fill>
    <fill>
      <patternFill patternType="solid">
        <fgColor theme="3" tint="-0.249977111117893"/>
        <bgColor indexed="64"/>
      </patternFill>
    </fill>
    <fill>
      <patternFill patternType="solid">
        <fgColor theme="3" tint="0.5999938962981048"/>
        <bgColor indexed="64"/>
      </patternFill>
    </fill>
    <fill>
      <patternFill patternType="solid">
        <fgColor theme="8" tint="0.7999816888943144"/>
        <bgColor indexed="64"/>
      </patternFill>
    </fill>
    <fill>
      <patternFill patternType="solid">
        <fgColor theme="1" tint="0.3499862666707358"/>
        <bgColor indexed="64"/>
      </patternFill>
    </fill>
    <fill>
      <patternFill patternType="solid">
        <fgColor theme="7" tint="0.7999816888943144"/>
        <bgColor indexed="64"/>
      </patternFill>
    </fill>
    <fill>
      <patternFill patternType="solid">
        <fgColor rgb="FFFFFFFF"/>
        <bgColor rgb="FFFFFFFF"/>
      </patternFill>
    </fill>
    <fill>
      <patternFill patternType="solid">
        <fgColor rgb="FFCCFFFF"/>
        <bgColor rgb="FFFFFFFF"/>
      </patternFill>
    </fill>
    <fill>
      <patternFill patternType="solid">
        <fgColor theme="4" tint="0.7999816888943144"/>
        <bgColor rgb="FFFFFFFF"/>
      </patternFill>
    </fill>
    <fill>
      <patternFill patternType="solid">
        <fgColor theme="5" tint="0.7999816888943144"/>
        <bgColor rgb="FFFFFFFF"/>
      </patternFill>
    </fill>
    <fill>
      <patternFill patternType="solid">
        <fgColor theme="9" tint="0.7999816888943144"/>
        <bgColor rgb="FFFFFFFF"/>
      </patternFill>
    </fill>
    <fill>
      <patternFill patternType="solid">
        <fgColor rgb="FFFFC000"/>
        <bgColor rgb="FFFFFFFF"/>
      </patternFill>
    </fill>
    <fill>
      <patternFill patternType="solid">
        <fgColor rgb="FF92D050"/>
        <bgColor indexed="64"/>
      </patternFill>
    </fill>
    <fill>
      <patternFill patternType="solid">
        <fgColor theme="1" tint="0.249977111117893"/>
        <bgColor rgb="FFFFFFFF"/>
      </patternFill>
    </fill>
    <fill>
      <patternFill patternType="solid">
        <fgColor rgb="FF92D050"/>
        <bgColor rgb="FFFFFFFF"/>
      </patternFill>
    </fill>
    <fill>
      <patternFill patternType="solid">
        <fgColor rgb="FFCEFFFF"/>
        <bgColor rgb="FFFFFFFF"/>
      </patternFill>
    </fill>
    <fill>
      <patternFill patternType="solid">
        <fgColor theme="0" tint="-0.1499984740745262"/>
        <bgColor indexed="64"/>
      </patternFill>
    </fill>
    <fill>
      <patternFill patternType="solid">
        <fgColor theme="0" tint="-0.1499984740745262"/>
        <bgColor rgb="FFFFFFFF"/>
      </patternFill>
    </fill>
    <fill>
      <patternFill patternType="solid">
        <fgColor rgb="FFFCFDFD"/>
        <bgColor rgb="FFFFFFFF"/>
      </patternFill>
    </fill>
    <fill>
      <patternFill patternType="solid">
        <fgColor theme="5"/>
        <bgColor rgb="FFFFFFFF"/>
      </patternFill>
    </fill>
    <fill>
      <patternFill patternType="solid">
        <fgColor rgb="FFCCFFFF"/>
        <bgColor indexed="64"/>
      </patternFill>
    </fill>
    <fill>
      <patternFill patternType="solid">
        <fgColor theme="1" tint="0.249977111117893"/>
        <bgColor indexed="64"/>
      </patternFill>
    </fill>
  </fills>
  <borders count="32">
    <border>
      <left/>
      <right/>
      <top/>
      <bottom/>
      <diagonal/>
    </border>
    <border>
      <left style="medium">
        <color rgb="FF333F4F"/>
      </left>
      <right/>
      <top style="medium">
        <color rgb="FF333F4F"/>
      </top>
      <bottom style="medium">
        <color rgb="FF333F4F"/>
      </bottom>
      <diagonal/>
    </border>
    <border>
      <left/>
      <right/>
      <top style="medium">
        <color rgb="FF333F4F"/>
      </top>
      <bottom style="medium">
        <color rgb="FF333F4F"/>
      </bottom>
      <diagonal/>
    </border>
    <border>
      <left/>
      <right/>
      <top style="medium">
        <color rgb="FF333F4F"/>
      </top>
      <bottom/>
      <diagonal/>
    </border>
    <border>
      <left style="medium">
        <color rgb="FF333F4F"/>
      </left>
      <right/>
      <top/>
      <bottom/>
      <diagonal/>
    </border>
    <border>
      <left style="medium">
        <color rgb="FF333F4F"/>
      </left>
      <right/>
      <top/>
      <bottom style="thin">
        <color rgb="FF333F4F"/>
      </bottom>
      <diagonal/>
    </border>
    <border>
      <left/>
      <right/>
      <top/>
      <bottom style="thin">
        <color rgb="FF333F4F"/>
      </bottom>
      <diagonal/>
    </border>
    <border>
      <left/>
      <right/>
      <top/>
      <bottom style="thin">
        <color indexed="64"/>
      </bottom>
      <diagonal/>
    </border>
    <border>
      <left style="medium">
        <color indexed="64"/>
      </left>
      <right/>
      <top/>
      <bottom/>
      <diagonal/>
    </border>
    <border>
      <left style="medium">
        <color rgb="FF333F4F"/>
      </left>
      <right/>
      <top style="thin">
        <color rgb="FF333F4F"/>
      </top>
      <bottom style="thin">
        <color rgb="FF333F4F"/>
      </bottom>
      <diagonal/>
    </border>
    <border>
      <left/>
      <right/>
      <top style="thin">
        <color rgb="FF333F4F"/>
      </top>
      <bottom style="thin">
        <color rgb="FF333F4F"/>
      </bottom>
      <diagonal/>
    </border>
    <border>
      <left/>
      <right/>
      <top style="thin">
        <color indexed="64"/>
      </top>
      <bottom style="thin">
        <color indexed="64"/>
      </bottom>
      <diagonal/>
    </border>
    <border>
      <left/>
      <right/>
      <top style="thin">
        <color rgb="FF333F4F"/>
      </top>
      <bottom/>
      <diagonal/>
    </border>
    <border>
      <left/>
      <right/>
      <top style="thin">
        <color indexed="64"/>
      </top>
      <bottom/>
      <diagonal/>
    </border>
    <border>
      <left style="medium">
        <color rgb="FF333F4F"/>
      </left>
      <right/>
      <top/>
      <bottom style="medium">
        <color rgb="FF333F4F"/>
      </bottom>
      <diagonal/>
    </border>
    <border>
      <left/>
      <right style="medium">
        <color rgb="FF333F4F"/>
      </right>
      <top style="medium">
        <color rgb="FF333F4F"/>
      </top>
      <bottom style="medium">
        <color rgb="FF333F4F"/>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7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1" fillId="2" borderId="0" xfId="0" applyFont="1" applyFill="1" applyAlignment="1">
      <alignment vertical="center" wrapText="1"/>
    </xf>
    <xf numFmtId="0" fontId="1" fillId="2" borderId="0" xfId="0" applyFont="1" applyFill="1" applyAlignment="1">
      <alignment vertical="center"/>
    </xf>
    <xf numFmtId="0" fontId="1" fillId="2" borderId="0" xfId="0" applyFont="1" applyFill="1" applyAlignment="1">
      <alignment horizontal="center"/>
    </xf>
    <xf numFmtId="0" fontId="1" fillId="2" borderId="0" xfId="0" applyFont="1" applyFill="1" applyAlignment="1">
      <alignment horizontal="left" vertical="center"/>
    </xf>
    <xf numFmtId="0" fontId="2" fillId="0" borderId="0" xfId="0" applyFont="1" applyAlignment="1">
      <alignment wrapText="1"/>
    </xf>
    <xf numFmtId="0" fontId="2" fillId="2" borderId="0" xfId="0" applyFont="1" applyFill="1" applyAlignment="1">
      <alignment horizontal="right" wrapText="1"/>
    </xf>
    <xf numFmtId="0" fontId="2" fillId="2" borderId="0" xfId="0" applyFont="1" applyFill="1"/>
    <xf numFmtId="0" fontId="3" fillId="2" borderId="0" xfId="0" applyFont="1" applyFill="1" applyAlignment="1">
      <alignment horizontal="center" vertical="center"/>
    </xf>
    <xf numFmtId="0" fontId="2" fillId="2" borderId="0" xfId="0" applyFont="1" applyFill="1" applyAlignment="1">
      <alignment horizontal="left" vertical="center" wrapText="1"/>
    </xf>
    <xf numFmtId="0" fontId="0" fillId="0" borderId="0" xfId="0" applyAlignment="1">
      <alignment horizontal="right" vertical="center" wrapText="1"/>
    </xf>
    <xf numFmtId="0" fontId="4" fillId="0" borderId="0" xfId="0" applyFont="1" applyAlignment="1">
      <alignment vertical="center" wrapText="1"/>
    </xf>
    <xf numFmtId="0" fontId="4" fillId="0" borderId="0" xfId="0" applyFont="1" applyAlignment="1">
      <alignment horizontal="right" vertical="center" wrapText="1"/>
    </xf>
    <xf numFmtId="0" fontId="5" fillId="2" borderId="1" xfId="0" applyFont="1" applyFill="1" applyBorder="1" applyAlignment="1">
      <alignment horizontal="left" vertical="center" wrapText="1" indent="1"/>
    </xf>
    <xf numFmtId="0" fontId="5" fillId="2" borderId="2" xfId="0" applyFont="1" applyFill="1" applyBorder="1" applyAlignment="1">
      <alignment horizontal="left" vertical="center" wrapText="1" indent="1"/>
    </xf>
    <xf numFmtId="0" fontId="5" fillId="2" borderId="3" xfId="0" applyFont="1" applyFill="1" applyBorder="1" applyAlignment="1">
      <alignment horizontal="left" vertical="center" wrapText="1" indent="1"/>
    </xf>
    <xf numFmtId="0" fontId="4" fillId="0" borderId="4" xfId="0" applyFont="1" applyBorder="1" applyAlignment="1">
      <alignment vertical="center" wrapText="1"/>
    </xf>
    <xf numFmtId="0" fontId="6" fillId="3" borderId="5" xfId="0" applyFont="1" applyFill="1" applyBorder="1" applyAlignment="1">
      <alignment horizontal="left" vertical="center" wrapText="1" indent="1"/>
    </xf>
    <xf numFmtId="0" fontId="0" fillId="0" borderId="6" xfId="0" applyBorder="1" applyAlignment="1">
      <alignment horizontal="left" vertical="center" wrapText="1" indent="1"/>
    </xf>
    <xf numFmtId="0" fontId="7" fillId="0" borderId="7" xfId="0" applyFont="1" applyBorder="1" applyAlignment="1">
      <alignment horizontal="left" vertical="center" wrapText="1"/>
    </xf>
    <xf numFmtId="0" fontId="0" fillId="0" borderId="8" xfId="0" applyBorder="1" applyAlignment="1">
      <alignment vertical="center" wrapText="1"/>
    </xf>
    <xf numFmtId="0" fontId="6" fillId="4" borderId="9" xfId="0" applyFont="1" applyFill="1" applyBorder="1" applyAlignment="1">
      <alignment horizontal="left" vertical="center" wrapText="1" indent="1"/>
    </xf>
    <xf numFmtId="0" fontId="0" fillId="0" borderId="10" xfId="0" applyBorder="1" applyAlignment="1">
      <alignment horizontal="left" vertical="center" wrapText="1" indent="1"/>
    </xf>
    <xf numFmtId="0" fontId="7" fillId="0" borderId="11" xfId="0" applyFont="1" applyBorder="1" applyAlignment="1">
      <alignment horizontal="left" vertical="center" wrapText="1"/>
    </xf>
    <xf numFmtId="0" fontId="6" fillId="5" borderId="9" xfId="0" applyFont="1" applyFill="1" applyBorder="1" applyAlignment="1">
      <alignment horizontal="left" vertical="center" wrapText="1" indent="1"/>
    </xf>
    <xf numFmtId="0" fontId="6" fillId="6" borderId="4" xfId="0" applyFont="1" applyFill="1" applyBorder="1" applyAlignment="1">
      <alignment horizontal="left" vertical="center" wrapText="1" indent="1"/>
    </xf>
    <xf numFmtId="0" fontId="0" fillId="0" borderId="12" xfId="0" applyBorder="1" applyAlignment="1">
      <alignment horizontal="left" vertical="center" wrapText="1"/>
    </xf>
    <xf numFmtId="0" fontId="7" fillId="0" borderId="13" xfId="0" applyFont="1" applyBorder="1" applyAlignment="1">
      <alignment horizontal="left" vertical="center" wrapText="1"/>
    </xf>
    <xf numFmtId="0" fontId="6" fillId="7" borderId="4" xfId="0" applyFont="1" applyFill="1" applyBorder="1" applyAlignment="1">
      <alignment horizontal="left" vertical="center" wrapText="1" indent="1"/>
    </xf>
    <xf numFmtId="0" fontId="6" fillId="8" borderId="4" xfId="0" applyFont="1" applyFill="1" applyBorder="1" applyAlignment="1">
      <alignment horizontal="left" vertical="center" wrapText="1" indent="1"/>
    </xf>
    <xf numFmtId="0" fontId="6" fillId="9" borderId="14" xfId="0" applyFont="1" applyFill="1" applyBorder="1" applyAlignment="1">
      <alignment horizontal="center" vertical="center" wrapText="1"/>
    </xf>
    <xf numFmtId="0" fontId="0" fillId="0" borderId="13" xfId="0" applyBorder="1" applyAlignment="1">
      <alignment vertical="top"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15" xfId="0" applyBorder="1" applyAlignment="1">
      <alignment vertical="center" wrapText="1"/>
    </xf>
    <xf numFmtId="0" fontId="0" fillId="0" borderId="0" xfId="0" applyAlignment="1">
      <alignment horizontal="right" vertical="top" wrapText="1"/>
    </xf>
    <xf numFmtId="0" fontId="5" fillId="2" borderId="0" xfId="0" applyFont="1" applyFill="1" applyAlignment="1">
      <alignment horizontal="center" vertical="center" wrapText="1"/>
    </xf>
    <xf numFmtId="0" fontId="0" fillId="0" borderId="0" xfId="0" applyAlignment="1">
      <alignment vertical="center"/>
    </xf>
    <xf numFmtId="0" fontId="8" fillId="10" borderId="0" xfId="0" applyFont="1" applyFill="1" applyAlignment="1">
      <alignment vertical="center"/>
    </xf>
    <xf numFmtId="0" fontId="0" fillId="10" borderId="0" xfId="0" applyFill="1" applyAlignment="1">
      <alignment horizontal="right" vertical="center"/>
    </xf>
    <xf numFmtId="0" fontId="0" fillId="10" borderId="0" xfId="0" applyFill="1" applyAlignment="1">
      <alignment horizontal="center" vertical="center"/>
    </xf>
    <xf numFmtId="0" fontId="9" fillId="10" borderId="0" xfId="0" applyFont="1" applyFill="1" applyAlignment="1">
      <alignment horizontal="right"/>
    </xf>
    <xf numFmtId="0" fontId="10" fillId="0" borderId="0" xfId="0" applyFont="1" applyAlignment="1">
      <alignment vertical="center"/>
    </xf>
    <xf numFmtId="0" fontId="11" fillId="11" borderId="0" xfId="0" applyFont="1" applyFill="1" applyAlignment="1">
      <alignment horizontal="center" vertical="center" wrapText="1"/>
    </xf>
    <xf numFmtId="164" fontId="0" fillId="0" borderId="0" xfId="0" applyNumberFormat="1" applyAlignment="1">
      <alignment horizontal="left" vertical="top"/>
    </xf>
    <xf numFmtId="0" fontId="10" fillId="0" borderId="0" xfId="0" applyFont="1"/>
    <xf numFmtId="0" fontId="0" fillId="0" borderId="0" xfId="0" applyAlignment="1">
      <alignment horizontal="right"/>
    </xf>
    <xf numFmtId="0" fontId="0" fillId="0" borderId="0" xfId="0" applyAlignment="1">
      <alignment horizontal="center"/>
    </xf>
    <xf numFmtId="0" fontId="8" fillId="10" borderId="0" xfId="0" applyFont="1" applyFill="1" applyAlignment="1">
      <alignment horizontal="left" vertical="center" wrapText="1"/>
    </xf>
    <xf numFmtId="0" fontId="0" fillId="0" borderId="0" xfId="0" applyProtection="1">
      <protection locked="0"/>
    </xf>
    <xf numFmtId="0" fontId="1" fillId="10" borderId="0" xfId="0" applyFont="1" applyFill="1" applyAlignment="1">
      <alignment horizontal="left" vertical="center"/>
    </xf>
    <xf numFmtId="0" fontId="11" fillId="12" borderId="16" xfId="0" applyFont="1" applyFill="1" applyBorder="1" applyAlignment="1">
      <alignment horizontal="center" vertical="center" wrapText="1"/>
    </xf>
    <xf numFmtId="0" fontId="12" fillId="13" borderId="0" xfId="0" applyFont="1" applyFill="1" applyAlignment="1">
      <alignment wrapText="1"/>
    </xf>
    <xf numFmtId="0" fontId="0" fillId="12" borderId="0" xfId="0" applyFill="1" applyAlignment="1">
      <alignment horizontal="center" vertical="center"/>
    </xf>
    <xf numFmtId="0" fontId="12" fillId="13" borderId="0" xfId="0" applyFont="1" applyFill="1" applyAlignment="1">
      <alignment horizontal="center" vertical="center"/>
    </xf>
    <xf numFmtId="0" fontId="13" fillId="0" borderId="0" xfId="0" applyFont="1" applyAlignment="1">
      <alignment horizontal="left" vertical="center" indent="1"/>
    </xf>
    <xf numFmtId="0" fontId="0" fillId="0" borderId="0" xfId="0" applyAlignment="1">
      <alignment horizontal="center" vertical="center"/>
    </xf>
    <xf numFmtId="40" fontId="11" fillId="0" borderId="0" xfId="0" applyNumberFormat="1" applyFont="1" applyAlignment="1">
      <alignment horizontal="center" vertical="center"/>
    </xf>
    <xf numFmtId="0" fontId="14" fillId="0" borderId="17" xfId="0" applyFont="1" applyBorder="1" applyAlignment="1">
      <alignment horizontal="center" vertical="center" wrapText="1"/>
    </xf>
    <xf numFmtId="0" fontId="14" fillId="0" borderId="18" xfId="0" applyFont="1" applyBorder="1" applyAlignment="1">
      <alignment horizontal="center" vertical="center" wrapText="1"/>
    </xf>
    <xf numFmtId="0" fontId="0" fillId="0" borderId="19" xfId="0" applyBorder="1"/>
    <xf numFmtId="165" fontId="11" fillId="0" borderId="18" xfId="0" applyNumberFormat="1" applyFont="1" applyBorder="1" applyAlignment="1">
      <alignment horizontal="center" vertical="center" wrapText="1"/>
    </xf>
    <xf numFmtId="165" fontId="15" fillId="0" borderId="13" xfId="0" applyNumberFormat="1" applyFont="1" applyBorder="1" applyAlignment="1">
      <alignment horizontal="center" vertical="center" wrapText="1"/>
    </xf>
    <xf numFmtId="165" fontId="11" fillId="0" borderId="13" xfId="0" applyNumberFormat="1" applyFont="1" applyBorder="1" applyAlignment="1">
      <alignment horizontal="center" vertical="center" wrapText="1"/>
    </xf>
    <xf numFmtId="165" fontId="15" fillId="0" borderId="20" xfId="0" applyNumberFormat="1" applyFont="1" applyBorder="1" applyAlignment="1">
      <alignment horizontal="center" vertical="center" wrapText="1"/>
    </xf>
    <xf numFmtId="0" fontId="11" fillId="14" borderId="0" xfId="0" applyFont="1" applyFill="1" applyAlignment="1">
      <alignment horizontal="left"/>
    </xf>
    <xf numFmtId="0" fontId="0" fillId="14" borderId="0" xfId="0" applyFill="1" applyAlignment="1">
      <alignment horizontal="left"/>
    </xf>
    <xf numFmtId="0" fontId="0" fillId="14" borderId="0" xfId="0" applyFill="1" applyAlignment="1">
      <alignment horizontal="left" vertical="center" wrapText="1"/>
    </xf>
    <xf numFmtId="165" fontId="11" fillId="0" borderId="19" xfId="0" applyNumberFormat="1" applyFont="1" applyBorder="1" applyAlignment="1">
      <alignment horizontal="center" vertical="center"/>
    </xf>
    <xf numFmtId="166" fontId="15" fillId="0" borderId="0" xfId="0" applyNumberFormat="1" applyFont="1" applyAlignment="1">
      <alignment horizontal="center" vertical="center"/>
    </xf>
    <xf numFmtId="165" fontId="11" fillId="0" borderId="0" xfId="0" applyNumberFormat="1" applyFont="1" applyAlignment="1">
      <alignment horizontal="center" vertical="center"/>
    </xf>
    <xf numFmtId="166" fontId="15" fillId="0" borderId="21" xfId="0" applyNumberFormat="1" applyFont="1" applyBorder="1" applyAlignment="1">
      <alignment horizontal="center" vertical="center"/>
    </xf>
    <xf numFmtId="0" fontId="0" fillId="0" borderId="13" xfId="0" applyBorder="1"/>
    <xf numFmtId="0" fontId="11" fillId="0" borderId="0" xfId="0" applyFont="1" applyAlignment="1">
      <alignment horizontal="center" vertical="center"/>
    </xf>
    <xf numFmtId="0" fontId="11" fillId="0" borderId="0" xfId="0" applyFont="1" applyAlignment="1">
      <alignment horizontal="center" vertical="center" wrapText="1"/>
    </xf>
    <xf numFmtId="0" fontId="16" fillId="0" borderId="0" xfId="0" applyFont="1" applyAlignment="1">
      <alignment vertical="center" wrapText="1"/>
    </xf>
    <xf numFmtId="0" fontId="17" fillId="0" borderId="0" xfId="0" applyFont="1" applyAlignment="1">
      <alignment vertical="center" wrapText="1"/>
    </xf>
    <xf numFmtId="0" fontId="18" fillId="0" borderId="0" xfId="0" applyFont="1" applyProtection="1">
      <protection hidden="1"/>
    </xf>
    <xf numFmtId="0" fontId="19" fillId="15" borderId="0" xfId="0" applyFont="1" applyFill="1" applyAlignment="1" applyProtection="1">
      <alignment horizontal="left"/>
      <protection hidden="1"/>
    </xf>
    <xf numFmtId="0" fontId="20" fillId="15" borderId="0" xfId="0" applyFont="1" applyFill="1" applyAlignment="1" applyProtection="1">
      <alignment horizontal="left" vertical="top"/>
      <protection hidden="1"/>
    </xf>
    <xf numFmtId="0" fontId="21" fillId="15" borderId="0" xfId="0" applyFont="1" applyFill="1" applyAlignment="1" applyProtection="1">
      <alignment horizontal="center" vertical="center" wrapText="1"/>
      <protection hidden="1"/>
    </xf>
    <xf numFmtId="0" fontId="22" fillId="15" borderId="22" xfId="0" applyFont="1" applyFill="1" applyBorder="1" applyAlignment="1" applyProtection="1">
      <alignment horizontal="center" vertical="center" wrapText="1"/>
      <protection hidden="1"/>
    </xf>
    <xf numFmtId="0" fontId="23" fillId="16" borderId="22" xfId="0" applyFont="1" applyFill="1" applyBorder="1" applyAlignment="1" applyProtection="1">
      <alignment horizontal="center" vertical="center" wrapText="1"/>
      <protection hidden="1"/>
    </xf>
    <xf numFmtId="0" fontId="22" fillId="17" borderId="22" xfId="0" applyFont="1" applyFill="1" applyBorder="1" applyAlignment="1" applyProtection="1">
      <alignment horizontal="center" vertical="center" wrapText="1"/>
      <protection hidden="1"/>
    </xf>
    <xf numFmtId="0" fontId="22" fillId="18" borderId="22" xfId="0" applyFont="1" applyFill="1" applyBorder="1" applyAlignment="1" applyProtection="1">
      <alignment horizontal="center" vertical="center" wrapText="1"/>
      <protection hidden="1"/>
    </xf>
    <xf numFmtId="0" fontId="22" fillId="19" borderId="22" xfId="0" applyFont="1" applyFill="1" applyBorder="1" applyAlignment="1" applyProtection="1">
      <alignment horizontal="center" vertical="center" wrapText="1"/>
      <protection hidden="1"/>
    </xf>
    <xf numFmtId="49" fontId="21" fillId="15" borderId="0" xfId="0" applyNumberFormat="1" applyFont="1" applyFill="1" applyAlignment="1" applyProtection="1">
      <alignment horizontal="center" vertical="center" wrapText="1"/>
      <protection hidden="1"/>
    </xf>
    <xf numFmtId="0" fontId="21" fillId="15" borderId="22" xfId="0" applyFont="1" applyFill="1" applyBorder="1" applyAlignment="1" applyProtection="1">
      <alignment horizontal="center" vertical="center" wrapText="1"/>
      <protection hidden="1"/>
    </xf>
    <xf numFmtId="49" fontId="24" fillId="15" borderId="23" xfId="0" applyNumberFormat="1" applyFont="1" applyFill="1" applyBorder="1" applyAlignment="1" applyProtection="1">
      <alignment horizontal="left"/>
      <protection hidden="1"/>
    </xf>
    <xf numFmtId="0" fontId="24" fillId="15" borderId="22" xfId="0" applyFont="1" applyFill="1" applyBorder="1" applyAlignment="1" applyProtection="1">
      <alignment horizontal="left"/>
      <protection hidden="1"/>
    </xf>
    <xf numFmtId="0" fontId="24" fillId="20" borderId="22" xfId="0" applyFont="1" applyFill="1" applyBorder="1" applyAlignment="1" applyProtection="1">
      <alignment horizontal="left" vertical="center"/>
      <protection hidden="1"/>
    </xf>
    <xf numFmtId="167" fontId="25" fillId="21" borderId="22" xfId="0" applyNumberFormat="1" applyFont="1" applyFill="1" applyBorder="1" applyAlignment="1" applyProtection="1">
      <alignment wrapText="1"/>
      <protection hidden="1"/>
    </xf>
    <xf numFmtId="167" fontId="26" fillId="16" borderId="22" xfId="0" applyNumberFormat="1" applyFont="1" applyFill="1" applyBorder="1" applyProtection="1">
      <protection hidden="1"/>
    </xf>
    <xf numFmtId="167" fontId="25" fillId="21" borderId="22" xfId="0" applyNumberFormat="1" applyFont="1" applyFill="1" applyBorder="1" applyAlignment="1" applyProtection="1">
      <alignment horizontal="right"/>
      <protection hidden="1"/>
    </xf>
    <xf numFmtId="167" fontId="25" fillId="22" borderId="22" xfId="0" applyNumberFormat="1" applyFont="1" applyFill="1" applyBorder="1" applyAlignment="1" applyProtection="1">
      <alignment horizontal="right"/>
      <protection hidden="1"/>
    </xf>
    <xf numFmtId="167" fontId="22" fillId="16" borderId="22" xfId="0" applyNumberFormat="1" applyFont="1" applyFill="1" applyBorder="1" applyProtection="1">
      <protection hidden="1"/>
    </xf>
    <xf numFmtId="167" fontId="25" fillId="23" borderId="22" xfId="0" applyNumberFormat="1" applyFont="1" applyFill="1" applyBorder="1" applyAlignment="1" applyProtection="1">
      <alignment horizontal="right" vertical="center" wrapText="1"/>
      <protection hidden="1"/>
    </xf>
    <xf numFmtId="167" fontId="25" fillId="23" borderId="22" xfId="0" applyNumberFormat="1" applyFont="1" applyFill="1" applyBorder="1" applyAlignment="1" applyProtection="1">
      <alignment horizontal="right"/>
      <protection hidden="1"/>
    </xf>
    <xf numFmtId="167" fontId="27" fillId="22" borderId="22" xfId="0" applyNumberFormat="1" applyFont="1" applyFill="1" applyBorder="1" applyAlignment="1" applyProtection="1">
      <alignment horizontal="right" vertical="center" wrapText="1"/>
      <protection hidden="1"/>
    </xf>
    <xf numFmtId="167" fontId="24" fillId="22" borderId="22" xfId="0" applyNumberFormat="1" applyFont="1" applyFill="1" applyBorder="1" applyProtection="1">
      <protection hidden="1"/>
    </xf>
    <xf numFmtId="167" fontId="24" fillId="22" borderId="22" xfId="0" applyNumberFormat="1" applyFont="1" applyFill="1" applyBorder="1" applyAlignment="1" applyProtection="1">
      <alignment horizontal="center" vertical="center" wrapText="1"/>
      <protection hidden="1"/>
    </xf>
    <xf numFmtId="0" fontId="24" fillId="15" borderId="22" xfId="0" applyFont="1" applyFill="1" applyBorder="1" applyAlignment="1" applyProtection="1">
      <alignment horizontal="left" vertical="center"/>
      <protection hidden="1"/>
    </xf>
    <xf numFmtId="167" fontId="25" fillId="23" borderId="22" xfId="0" applyNumberFormat="1" applyFont="1" applyFill="1" applyBorder="1" applyAlignment="1" applyProtection="1">
      <alignment horizontal="right" wrapText="1"/>
      <protection hidden="1"/>
    </xf>
    <xf numFmtId="167" fontId="27" fillId="22" borderId="22" xfId="0" applyNumberFormat="1" applyFont="1" applyFill="1" applyBorder="1" applyAlignment="1" applyProtection="1">
      <alignment horizontal="right"/>
      <protection hidden="1"/>
    </xf>
    <xf numFmtId="167" fontId="27" fillId="22" borderId="22" xfId="0" applyNumberFormat="1" applyFont="1" applyFill="1" applyBorder="1" applyAlignment="1" applyProtection="1">
      <alignment horizontal="right" wrapText="1"/>
      <protection hidden="1"/>
    </xf>
    <xf numFmtId="167" fontId="25" fillId="21" borderId="22" xfId="0" applyNumberFormat="1" applyFont="1" applyFill="1" applyBorder="1" applyAlignment="1" applyProtection="1">
      <alignment horizontal="right" wrapText="1"/>
      <protection hidden="1"/>
    </xf>
    <xf numFmtId="167" fontId="25" fillId="21" borderId="22" xfId="0" applyNumberFormat="1" applyFont="1" applyFill="1" applyBorder="1" applyAlignment="1" applyProtection="1">
      <alignment horizontal="right" vertical="center" wrapText="1"/>
      <protection hidden="1"/>
    </xf>
    <xf numFmtId="167" fontId="25" fillId="0" borderId="22" xfId="0" applyNumberFormat="1" applyFont="1" applyBorder="1" applyAlignment="1" applyProtection="1">
      <alignment wrapText="1"/>
      <protection hidden="1"/>
    </xf>
    <xf numFmtId="167" fontId="27" fillId="15" borderId="22" xfId="0" applyNumberFormat="1" applyFont="1" applyFill="1" applyBorder="1" applyAlignment="1" applyProtection="1">
      <alignment horizontal="right"/>
      <protection hidden="1"/>
    </xf>
    <xf numFmtId="167" fontId="27" fillId="15" borderId="22" xfId="0" applyNumberFormat="1" applyFont="1" applyFill="1" applyBorder="1" applyAlignment="1" applyProtection="1">
      <alignment horizontal="right" wrapText="1"/>
      <protection hidden="1"/>
    </xf>
    <xf numFmtId="167" fontId="25" fillId="15" borderId="22" xfId="0" applyNumberFormat="1" applyFont="1" applyFill="1" applyBorder="1" applyAlignment="1" applyProtection="1">
      <alignment horizontal="right"/>
      <protection hidden="1"/>
    </xf>
    <xf numFmtId="167" fontId="27" fillId="0" borderId="22" xfId="0" applyNumberFormat="1" applyFont="1" applyBorder="1" applyAlignment="1" applyProtection="1">
      <alignment horizontal="right"/>
      <protection hidden="1"/>
    </xf>
    <xf numFmtId="0" fontId="22" fillId="15" borderId="22" xfId="0" applyFont="1" applyFill="1" applyBorder="1" applyAlignment="1" applyProtection="1">
      <alignment horizontal="left"/>
      <protection hidden="1"/>
    </xf>
    <xf numFmtId="0" fontId="23" fillId="24" borderId="22" xfId="0" applyFont="1" applyFill="1" applyBorder="1" applyAlignment="1" applyProtection="1">
      <alignment horizontal="left"/>
      <protection hidden="1"/>
    </xf>
    <xf numFmtId="167" fontId="22" fillId="24" borderId="22" xfId="0" applyNumberFormat="1" applyFont="1" applyFill="1" applyBorder="1" applyProtection="1">
      <protection hidden="1"/>
    </xf>
    <xf numFmtId="0" fontId="24" fillId="15" borderId="0" xfId="0" applyFont="1" applyFill="1" applyAlignment="1" applyProtection="1">
      <alignment horizontal="left"/>
      <protection hidden="1"/>
    </xf>
    <xf numFmtId="0" fontId="22" fillId="15" borderId="0" xfId="0" applyFont="1" applyFill="1" applyAlignment="1" applyProtection="1">
      <alignment horizontal="left"/>
      <protection hidden="1"/>
    </xf>
    <xf numFmtId="0" fontId="23" fillId="15" borderId="0" xfId="0" applyFont="1" applyFill="1" applyAlignment="1" applyProtection="1">
      <alignment horizontal="left"/>
      <protection hidden="1"/>
    </xf>
    <xf numFmtId="167" fontId="22" fillId="15" borderId="0" xfId="0" applyNumberFormat="1" applyFont="1" applyFill="1" applyProtection="1">
      <protection hidden="1"/>
    </xf>
    <xf numFmtId="167" fontId="28" fillId="0" borderId="0" xfId="0" applyNumberFormat="1" applyFont="1" applyProtection="1">
      <protection hidden="1"/>
    </xf>
    <xf numFmtId="0" fontId="28" fillId="0" borderId="0" xfId="0" applyFont="1" applyProtection="1">
      <protection hidden="1"/>
    </xf>
    <xf numFmtId="167" fontId="18" fillId="0" borderId="0" xfId="0" applyNumberFormat="1" applyFont="1" applyProtection="1">
      <protection hidden="1"/>
    </xf>
    <xf numFmtId="0" fontId="29" fillId="0" borderId="0" xfId="0" applyFont="1" applyAlignment="1">
      <alignment vertical="center" wrapText="1"/>
    </xf>
    <xf numFmtId="167" fontId="25" fillId="23" borderId="22" xfId="0" applyNumberFormat="1" applyFont="1" applyFill="1" applyBorder="1" applyAlignment="1">
      <alignment horizontal="right" wrapText="1"/>
    </xf>
    <xf numFmtId="0" fontId="30" fillId="0" borderId="0" xfId="0" applyFont="1" applyAlignment="1" applyProtection="1">
      <alignment horizontal="right"/>
      <protection hidden="1"/>
    </xf>
    <xf numFmtId="0" fontId="31" fillId="0" borderId="0" xfId="0" applyFont="1" applyAlignment="1">
      <alignment horizontal="right"/>
    </xf>
    <xf numFmtId="167" fontId="30" fillId="0" borderId="0" xfId="0" applyNumberFormat="1" applyFont="1" applyAlignment="1" applyProtection="1">
      <alignment horizontal="right"/>
      <protection hidden="1"/>
    </xf>
    <xf numFmtId="0" fontId="20" fillId="15" borderId="0" xfId="0" applyFont="1" applyFill="1" applyAlignment="1" applyProtection="1">
      <alignment horizontal="left" vertical="top" wrapText="1"/>
      <protection hidden="1"/>
    </xf>
    <xf numFmtId="0" fontId="19" fillId="0" borderId="0" xfId="0" applyFont="1" applyAlignment="1" applyProtection="1">
      <alignment horizontal="left"/>
      <protection hidden="1"/>
    </xf>
    <xf numFmtId="0" fontId="22" fillId="0" borderId="22" xfId="0" applyFont="1" applyBorder="1" applyAlignment="1" applyProtection="1">
      <alignment horizontal="center" vertical="center" wrapText="1"/>
      <protection hidden="1"/>
    </xf>
    <xf numFmtId="0" fontId="24" fillId="15" borderId="23" xfId="0" applyFont="1" applyFill="1" applyBorder="1" applyAlignment="1" applyProtection="1">
      <alignment horizontal="center" vertical="center"/>
      <protection hidden="1"/>
    </xf>
    <xf numFmtId="167" fontId="22" fillId="16" borderId="22" xfId="0" applyNumberFormat="1" applyFont="1" applyFill="1" applyBorder="1" applyAlignment="1" applyProtection="1">
      <alignment horizontal="right"/>
      <protection hidden="1"/>
    </xf>
    <xf numFmtId="167" fontId="24" fillId="15" borderId="22" xfId="0" applyNumberFormat="1" applyFont="1" applyFill="1" applyBorder="1" applyAlignment="1" applyProtection="1">
      <alignment horizontal="right"/>
      <protection hidden="1"/>
    </xf>
    <xf numFmtId="167" fontId="25" fillId="25" borderId="22" xfId="0" applyNumberFormat="1" applyFont="1" applyFill="1" applyBorder="1" applyAlignment="1" applyProtection="1">
      <alignment horizontal="right"/>
      <protection hidden="1"/>
    </xf>
    <xf numFmtId="167" fontId="27" fillId="26" borderId="22" xfId="0" applyNumberFormat="1" applyFont="1" applyFill="1" applyBorder="1" applyAlignment="1" applyProtection="1">
      <alignment horizontal="right"/>
      <protection hidden="1"/>
    </xf>
    <xf numFmtId="167" fontId="27" fillId="25" borderId="22" xfId="0" applyNumberFormat="1" applyFont="1" applyFill="1" applyBorder="1" applyAlignment="1" applyProtection="1">
      <alignment horizontal="right"/>
      <protection hidden="1"/>
    </xf>
    <xf numFmtId="0" fontId="24" fillId="0" borderId="23" xfId="0" applyFont="1" applyBorder="1" applyAlignment="1" applyProtection="1">
      <alignment horizontal="center" vertical="center"/>
      <protection hidden="1"/>
    </xf>
    <xf numFmtId="0" fontId="24" fillId="0" borderId="22" xfId="0" applyFont="1" applyBorder="1" applyAlignment="1" applyProtection="1">
      <alignment horizontal="left" vertical="center"/>
      <protection hidden="1"/>
    </xf>
    <xf numFmtId="167" fontId="25" fillId="0" borderId="22" xfId="0" applyNumberFormat="1" applyFont="1" applyBorder="1" applyAlignment="1" applyProtection="1">
      <alignment horizontal="right"/>
      <protection hidden="1"/>
    </xf>
    <xf numFmtId="167" fontId="24" fillId="0" borderId="22" xfId="0" applyNumberFormat="1" applyFont="1" applyBorder="1" applyAlignment="1" applyProtection="1">
      <alignment horizontal="right"/>
      <protection hidden="1"/>
    </xf>
    <xf numFmtId="0" fontId="22" fillId="15" borderId="22" xfId="0" applyFont="1" applyFill="1" applyBorder="1" applyAlignment="1" applyProtection="1">
      <alignment horizontal="left" vertical="center"/>
      <protection hidden="1"/>
    </xf>
    <xf numFmtId="0" fontId="23" fillId="24" borderId="22" xfId="0" applyFont="1" applyFill="1" applyBorder="1" applyAlignment="1" applyProtection="1">
      <alignment horizontal="left" vertical="center"/>
      <protection hidden="1"/>
    </xf>
    <xf numFmtId="0" fontId="31" fillId="0" borderId="0" xfId="0" applyFont="1" applyAlignment="1" applyProtection="1">
      <alignment horizontal="right"/>
      <protection hidden="1"/>
    </xf>
    <xf numFmtId="0" fontId="31" fillId="0" borderId="0" xfId="0" applyFont="1" applyAlignment="1">
      <alignment horizontal="right" wrapText="1"/>
    </xf>
    <xf numFmtId="167" fontId="31" fillId="0" borderId="0" xfId="0" applyNumberFormat="1" applyFont="1" applyAlignment="1" applyProtection="1">
      <alignment horizontal="right"/>
      <protection hidden="1"/>
    </xf>
    <xf numFmtId="49" fontId="20" fillId="15" borderId="0" xfId="0" applyNumberFormat="1" applyFont="1" applyFill="1" applyAlignment="1" applyProtection="1">
      <alignment horizontal="left" vertical="top"/>
      <protection hidden="1"/>
    </xf>
    <xf numFmtId="0" fontId="32" fillId="15" borderId="0" xfId="0" applyFont="1" applyFill="1" applyAlignment="1" applyProtection="1">
      <alignment horizontal="center" vertical="center"/>
      <protection hidden="1"/>
    </xf>
    <xf numFmtId="0" fontId="33" fillId="15" borderId="0" xfId="0" applyFont="1" applyFill="1" applyAlignment="1" applyProtection="1">
      <alignment horizontal="center" vertical="center" wrapText="1"/>
      <protection hidden="1"/>
    </xf>
    <xf numFmtId="0" fontId="30" fillId="0" borderId="0" xfId="0" applyFont="1" applyProtection="1">
      <protection hidden="1"/>
    </xf>
    <xf numFmtId="49" fontId="34" fillId="15" borderId="0" xfId="0" applyNumberFormat="1" applyFont="1" applyFill="1" applyAlignment="1" applyProtection="1">
      <alignment horizontal="center" vertical="center"/>
      <protection hidden="1"/>
    </xf>
    <xf numFmtId="49" fontId="21" fillId="15" borderId="22" xfId="0" applyNumberFormat="1" applyFont="1" applyFill="1" applyBorder="1" applyAlignment="1" applyProtection="1">
      <alignment horizontal="center" vertical="center" wrapText="1"/>
      <protection hidden="1"/>
    </xf>
    <xf numFmtId="49" fontId="24" fillId="15" borderId="0" xfId="0" applyNumberFormat="1" applyFont="1" applyFill="1" applyAlignment="1" applyProtection="1">
      <alignment horizontal="center" vertical="center"/>
      <protection hidden="1"/>
    </xf>
    <xf numFmtId="49" fontId="24" fillId="15" borderId="22" xfId="0" applyNumberFormat="1" applyFont="1" applyFill="1" applyBorder="1" applyAlignment="1" applyProtection="1">
      <alignment horizontal="left" vertical="center"/>
      <protection hidden="1"/>
    </xf>
    <xf numFmtId="49" fontId="24" fillId="20" borderId="22" xfId="0" applyNumberFormat="1" applyFont="1" applyFill="1" applyBorder="1" applyAlignment="1" applyProtection="1">
      <alignment horizontal="left" vertical="center"/>
      <protection hidden="1"/>
    </xf>
    <xf numFmtId="167" fontId="34" fillId="21" borderId="22" xfId="0" applyNumberFormat="1" applyFont="1" applyFill="1" applyBorder="1" applyAlignment="1" applyProtection="1">
      <alignment horizontal="right"/>
      <protection hidden="1"/>
    </xf>
    <xf numFmtId="167" fontId="21" fillId="16" borderId="22" xfId="0" applyNumberFormat="1" applyFont="1" applyFill="1" applyBorder="1" applyAlignment="1" applyProtection="1">
      <alignment horizontal="right"/>
      <protection hidden="1"/>
    </xf>
    <xf numFmtId="167" fontId="34" fillId="15" borderId="22" xfId="0" applyNumberFormat="1" applyFont="1" applyFill="1" applyBorder="1" applyAlignment="1" applyProtection="1">
      <alignment horizontal="right"/>
      <protection hidden="1"/>
    </xf>
    <xf numFmtId="167" fontId="34" fillId="0" borderId="22" xfId="0" applyNumberFormat="1" applyFont="1" applyBorder="1" applyAlignment="1" applyProtection="1">
      <alignment horizontal="right"/>
      <protection hidden="1"/>
    </xf>
    <xf numFmtId="167" fontId="34" fillId="27" borderId="22" xfId="0" applyNumberFormat="1" applyFont="1" applyFill="1" applyBorder="1" applyAlignment="1" applyProtection="1">
      <alignment horizontal="right"/>
      <protection hidden="1"/>
    </xf>
    <xf numFmtId="0" fontId="24" fillId="15" borderId="0" xfId="0" applyFont="1" applyFill="1" applyAlignment="1" applyProtection="1">
      <alignment horizontal="center" vertical="center"/>
      <protection hidden="1"/>
    </xf>
    <xf numFmtId="49" fontId="23" fillId="24" borderId="22" xfId="0" applyNumberFormat="1" applyFont="1" applyFill="1" applyBorder="1" applyAlignment="1" applyProtection="1">
      <alignment horizontal="left" vertical="center"/>
      <protection hidden="1"/>
    </xf>
    <xf numFmtId="0" fontId="20" fillId="15" borderId="0" xfId="0" applyFont="1" applyFill="1" applyAlignment="1">
      <alignment horizontal="center" vertical="center"/>
    </xf>
    <xf numFmtId="0" fontId="21" fillId="15" borderId="0" xfId="0" applyFont="1" applyFill="1" applyAlignment="1">
      <alignment horizontal="center" vertical="center" wrapText="1"/>
    </xf>
    <xf numFmtId="0" fontId="22" fillId="15" borderId="22" xfId="0" applyFont="1" applyFill="1" applyBorder="1" applyAlignment="1">
      <alignment horizontal="center" vertical="center" wrapText="1"/>
    </xf>
    <xf numFmtId="0" fontId="23" fillId="24" borderId="22" xfId="0" applyFont="1" applyFill="1" applyBorder="1" applyAlignment="1">
      <alignment horizontal="center" vertical="center" wrapText="1"/>
    </xf>
    <xf numFmtId="49" fontId="35" fillId="15" borderId="0" xfId="0" applyNumberFormat="1" applyFont="1" applyFill="1" applyAlignment="1">
      <alignment horizontal="center" vertical="center"/>
    </xf>
    <xf numFmtId="49" fontId="35" fillId="15" borderId="22" xfId="0" applyNumberFormat="1" applyFont="1" applyFill="1" applyBorder="1" applyAlignment="1">
      <alignment horizontal="center" vertical="center" wrapText="1"/>
    </xf>
    <xf numFmtId="49" fontId="21" fillId="15" borderId="22" xfId="0" applyNumberFormat="1" applyFont="1" applyFill="1" applyBorder="1" applyAlignment="1">
      <alignment horizontal="center" vertical="center" wrapText="1"/>
    </xf>
    <xf numFmtId="49" fontId="24" fillId="15" borderId="0" xfId="0" applyNumberFormat="1" applyFont="1" applyFill="1" applyAlignment="1">
      <alignment horizontal="center" vertical="center"/>
    </xf>
    <xf numFmtId="49" fontId="24" fillId="15" borderId="22" xfId="0" applyNumberFormat="1" applyFont="1" applyFill="1" applyBorder="1" applyAlignment="1">
      <alignment horizontal="left" vertical="center"/>
    </xf>
    <xf numFmtId="49" fontId="36" fillId="15" borderId="22" xfId="0" applyNumberFormat="1" applyFont="1" applyFill="1" applyBorder="1" applyAlignment="1">
      <alignment horizontal="left" vertical="center" wrapText="1"/>
    </xf>
    <xf numFmtId="167" fontId="31" fillId="23" borderId="22" xfId="0" applyNumberFormat="1" applyFont="1" applyFill="1" applyBorder="1" applyAlignment="1">
      <alignment horizontal="right" wrapText="1"/>
    </xf>
    <xf numFmtId="0" fontId="30" fillId="0" borderId="0" xfId="0" applyFont="1" applyAlignment="1">
      <alignment horizontal="right"/>
    </xf>
    <xf numFmtId="167" fontId="31" fillId="19" borderId="22" xfId="0" applyNumberFormat="1" applyFont="1" applyFill="1" applyBorder="1" applyAlignment="1">
      <alignment horizontal="right" wrapText="1"/>
    </xf>
    <xf numFmtId="167" fontId="21" fillId="16" borderId="22" xfId="0" applyNumberFormat="1" applyFont="1" applyFill="1" applyBorder="1" applyAlignment="1">
      <alignment horizontal="right"/>
    </xf>
    <xf numFmtId="0" fontId="36" fillId="0" borderId="0" xfId="0" applyFont="1" applyAlignment="1">
      <alignment wrapText="1"/>
    </xf>
    <xf numFmtId="0" fontId="18" fillId="0" borderId="0" xfId="0" applyFont="1"/>
    <xf numFmtId="49" fontId="37" fillId="24" borderId="22" xfId="0" applyNumberFormat="1" applyFont="1" applyFill="1" applyBorder="1" applyAlignment="1">
      <alignment horizontal="left" vertical="center" wrapText="1"/>
    </xf>
    <xf numFmtId="0" fontId="31" fillId="0" borderId="0" xfId="0" applyFont="1" applyProtection="1">
      <protection hidden="1"/>
    </xf>
    <xf numFmtId="0" fontId="38" fillId="0" borderId="22" xfId="0" applyFont="1" applyBorder="1" applyAlignment="1" applyProtection="1">
      <alignment horizontal="left" vertical="center"/>
      <protection hidden="1"/>
    </xf>
    <xf numFmtId="167" fontId="24" fillId="0" borderId="22" xfId="0" applyNumberFormat="1" applyFont="1" applyBorder="1" applyProtection="1">
      <protection hidden="1"/>
    </xf>
    <xf numFmtId="0" fontId="38" fillId="15" borderId="22" xfId="0" applyFont="1" applyFill="1" applyBorder="1" applyAlignment="1" applyProtection="1">
      <alignment horizontal="left" vertical="center"/>
      <protection hidden="1"/>
    </xf>
    <xf numFmtId="167" fontId="39" fillId="0" borderId="0" xfId="0" applyNumberFormat="1" applyFont="1" applyProtection="1">
      <protection hidden="1"/>
    </xf>
    <xf numFmtId="40" fontId="40" fillId="0" borderId="0" xfId="0" applyNumberFormat="1" applyFont="1" applyProtection="1">
      <protection hidden="1"/>
    </xf>
    <xf numFmtId="0" fontId="31" fillId="0" borderId="0" xfId="0" applyFont="1" applyAlignment="1">
      <alignment vertical="center" wrapText="1"/>
    </xf>
    <xf numFmtId="167" fontId="25" fillId="23" borderId="22" xfId="0" applyNumberFormat="1" applyFont="1" applyFill="1" applyBorder="1" applyAlignment="1">
      <alignment horizontal="center" vertical="center" wrapText="1"/>
    </xf>
    <xf numFmtId="0" fontId="31" fillId="0" borderId="0" xfId="0" applyFont="1" applyAlignment="1">
      <alignment horizontal="right" vertical="center"/>
    </xf>
    <xf numFmtId="167" fontId="31" fillId="0" borderId="0" xfId="0" applyNumberFormat="1" applyFont="1" applyProtection="1">
      <protection hidden="1"/>
    </xf>
    <xf numFmtId="0" fontId="41" fillId="0" borderId="24" xfId="0" applyFont="1" applyBorder="1" applyAlignment="1" applyProtection="1">
      <alignment horizontal="left" vertical="center" wrapText="1" indent="1"/>
      <protection hidden="1"/>
    </xf>
    <xf numFmtId="0" fontId="41" fillId="0" borderId="25" xfId="0" applyFont="1" applyBorder="1" applyAlignment="1" applyProtection="1">
      <alignment horizontal="left" vertical="center" wrapText="1" indent="1"/>
      <protection hidden="1"/>
    </xf>
    <xf numFmtId="0" fontId="41" fillId="0" borderId="26" xfId="0" applyFont="1" applyBorder="1" applyAlignment="1" applyProtection="1">
      <alignment horizontal="left" vertical="center" wrapText="1" indent="1"/>
      <protection hidden="1"/>
    </xf>
    <xf numFmtId="0" fontId="23" fillId="16" borderId="22" xfId="0" applyFont="1" applyFill="1" applyBorder="1" applyAlignment="1">
      <alignment horizontal="center" vertical="center" wrapText="1"/>
    </xf>
    <xf numFmtId="0" fontId="40" fillId="28" borderId="22" xfId="0" applyFont="1" applyFill="1" applyBorder="1" applyAlignment="1" applyProtection="1">
      <alignment horizontal="left" vertical="center"/>
      <protection hidden="1"/>
    </xf>
    <xf numFmtId="0" fontId="24" fillId="15" borderId="22" xfId="0" applyFont="1" applyFill="1" applyBorder="1" applyAlignment="1">
      <alignment horizontal="left" vertical="center"/>
    </xf>
    <xf numFmtId="0" fontId="23" fillId="24" borderId="22" xfId="0" applyFont="1" applyFill="1" applyBorder="1" applyAlignment="1">
      <alignment horizontal="left" vertical="center"/>
    </xf>
    <xf numFmtId="0" fontId="42" fillId="0" borderId="0" xfId="0" applyFont="1" applyAlignment="1">
      <alignment horizontal="left"/>
    </xf>
    <xf numFmtId="0" fontId="31" fillId="0" borderId="0" xfId="0" applyFont="1"/>
    <xf numFmtId="0" fontId="43" fillId="0" borderId="0" xfId="0" applyFont="1" applyAlignment="1">
      <alignment horizontal="left" indent="1"/>
    </xf>
    <xf numFmtId="49" fontId="40" fillId="28" borderId="22" xfId="0" applyNumberFormat="1" applyFont="1" applyFill="1" applyBorder="1" applyAlignment="1" applyProtection="1">
      <alignment horizontal="left" vertical="center"/>
      <protection hidden="1"/>
    </xf>
    <xf numFmtId="167" fontId="21" fillId="16" borderId="22" xfId="0" applyNumberFormat="1" applyFont="1" applyFill="1" applyBorder="1" applyProtection="1">
      <protection hidden="1"/>
    </xf>
    <xf numFmtId="49" fontId="23" fillId="24" borderId="22" xfId="0" applyNumberFormat="1" applyFont="1" applyFill="1" applyBorder="1" applyAlignment="1">
      <alignment horizontal="left" vertical="center"/>
    </xf>
    <xf numFmtId="0" fontId="21" fillId="15" borderId="0" xfId="0" applyFont="1" applyFill="1" applyAlignment="1">
      <alignment horizontal="center" vertical="center"/>
    </xf>
    <xf numFmtId="49" fontId="21" fillId="15" borderId="0" xfId="0" applyNumberFormat="1" applyFont="1" applyFill="1" applyAlignment="1">
      <alignment horizontal="center" vertical="center"/>
    </xf>
    <xf numFmtId="0" fontId="40" fillId="28" borderId="22" xfId="0" applyFont="1" applyFill="1" applyBorder="1" applyAlignment="1">
      <alignment horizontal="left" vertical="center"/>
    </xf>
    <xf numFmtId="49" fontId="24" fillId="15" borderId="22" xfId="0" applyNumberFormat="1" applyFont="1" applyFill="1" applyBorder="1" applyAlignment="1">
      <alignment horizontal="left" vertical="center" wrapText="1"/>
    </xf>
    <xf numFmtId="167" fontId="31" fillId="0" borderId="22" xfId="0" applyNumberFormat="1" applyFont="1" applyBorder="1" applyAlignment="1">
      <alignment horizontal="right" wrapText="1"/>
    </xf>
    <xf numFmtId="167" fontId="21" fillId="16" borderId="22" xfId="0" applyNumberFormat="1" applyFont="1" applyFill="1" applyBorder="1"/>
    <xf numFmtId="0" fontId="24" fillId="15" borderId="27" xfId="0" applyFont="1" applyFill="1" applyBorder="1" applyAlignment="1">
      <alignment horizontal="left" vertical="center"/>
    </xf>
    <xf numFmtId="49" fontId="24" fillId="15" borderId="27" xfId="0" applyNumberFormat="1" applyFont="1" applyFill="1" applyBorder="1" applyAlignment="1">
      <alignment horizontal="left" vertical="center"/>
    </xf>
    <xf numFmtId="0" fontId="24" fillId="0" borderId="0" xfId="0" applyFont="1" applyAlignment="1">
      <alignment wrapText="1"/>
    </xf>
    <xf numFmtId="0" fontId="24" fillId="0" borderId="28" xfId="0" applyFont="1" applyBorder="1" applyAlignment="1">
      <alignment wrapText="1"/>
    </xf>
    <xf numFmtId="0" fontId="30" fillId="0" borderId="28" xfId="0" applyFont="1" applyBorder="1"/>
    <xf numFmtId="49" fontId="23" fillId="24" borderId="29" xfId="0" applyNumberFormat="1" applyFont="1" applyFill="1" applyBorder="1" applyAlignment="1">
      <alignment horizontal="left" vertical="center" wrapText="1"/>
    </xf>
    <xf numFmtId="0" fontId="29" fillId="0" borderId="0" xfId="0" applyFont="1" applyProtection="1">
      <protection hidden="1"/>
    </xf>
    <xf numFmtId="0" fontId="44" fillId="0" borderId="0" xfId="0" applyFont="1" applyProtection="1">
      <protection locked="0"/>
    </xf>
    <xf numFmtId="0" fontId="29" fillId="0" borderId="0" xfId="0" applyFont="1" applyAlignment="1" applyProtection="1">
      <alignment horizontal="left"/>
      <protection hidden="1"/>
    </xf>
    <xf numFmtId="0" fontId="45" fillId="0" borderId="0" xfId="0" applyFont="1" applyAlignment="1" applyProtection="1">
      <alignment horizontal="left"/>
      <protection hidden="1"/>
    </xf>
    <xf numFmtId="0" fontId="11" fillId="0" borderId="0" xfId="0" applyFont="1"/>
    <xf numFmtId="0" fontId="44" fillId="0" borderId="0" xfId="0" applyFont="1" applyAlignment="1" applyProtection="1">
      <alignment horizontal="left" vertical="center"/>
      <protection locked="0"/>
    </xf>
    <xf numFmtId="49" fontId="44" fillId="0" borderId="0" xfId="0" applyNumberFormat="1" applyFont="1" applyAlignment="1" applyProtection="1">
      <alignment horizontal="left" vertical="center"/>
      <protection locked="0"/>
    </xf>
    <xf numFmtId="0" fontId="18" fillId="0" borderId="0" xfId="0" applyFont="1" applyAlignment="1">
      <alignment vertical="center"/>
    </xf>
    <xf numFmtId="0" fontId="19" fillId="15" borderId="0" xfId="0" applyFont="1" applyFill="1" applyAlignment="1">
      <alignment horizontal="left"/>
    </xf>
    <xf numFmtId="0" fontId="19" fillId="0" borderId="0" xfId="0" applyFont="1" applyAlignment="1">
      <alignment horizontal="left" vertical="center"/>
    </xf>
    <xf numFmtId="0" fontId="20" fillId="0" borderId="0" xfId="0" applyFont="1" applyAlignment="1">
      <alignment horizontal="left" vertical="top"/>
    </xf>
    <xf numFmtId="0" fontId="46" fillId="0" borderId="0" xfId="0" applyFont="1" applyAlignment="1">
      <alignment horizontal="center" vertical="center" wrapText="1"/>
    </xf>
    <xf numFmtId="0" fontId="19" fillId="0" borderId="0" xfId="0" applyFont="1" applyAlignment="1">
      <alignment horizontal="left"/>
    </xf>
    <xf numFmtId="0" fontId="21" fillId="0" borderId="0" xfId="0" applyFont="1" applyAlignment="1">
      <alignment horizontal="center" vertical="center" wrapText="1"/>
    </xf>
    <xf numFmtId="0" fontId="22" fillId="0" borderId="22" xfId="0" applyFont="1" applyBorder="1" applyAlignment="1">
      <alignment horizontal="center" vertical="center" wrapText="1"/>
    </xf>
    <xf numFmtId="0" fontId="23" fillId="29" borderId="22" xfId="0" applyFont="1" applyFill="1" applyBorder="1" applyAlignment="1">
      <alignment horizontal="center" vertical="center" wrapText="1"/>
    </xf>
    <xf numFmtId="0" fontId="23" fillId="29" borderId="27" xfId="0" applyFont="1" applyFill="1" applyBorder="1" applyAlignment="1">
      <alignment horizontal="center" vertical="center" wrapText="1"/>
    </xf>
    <xf numFmtId="0" fontId="22" fillId="19" borderId="22" xfId="0" applyFont="1" applyFill="1" applyBorder="1" applyAlignment="1">
      <alignment horizontal="center" vertical="center" wrapText="1"/>
    </xf>
    <xf numFmtId="0" fontId="23" fillId="29" borderId="30" xfId="0" applyFont="1" applyFill="1" applyBorder="1" applyAlignment="1">
      <alignment horizontal="center" vertical="center" wrapText="1"/>
    </xf>
    <xf numFmtId="49" fontId="21" fillId="0" borderId="0" xfId="0" applyNumberFormat="1" applyFont="1" applyAlignment="1">
      <alignment horizontal="center" vertical="center" wrapText="1"/>
    </xf>
    <xf numFmtId="0" fontId="21" fillId="0" borderId="22" xfId="0" applyFont="1" applyBorder="1" applyAlignment="1">
      <alignment horizontal="center" vertical="center" wrapText="1"/>
    </xf>
    <xf numFmtId="0" fontId="23" fillId="29" borderId="31" xfId="0" applyFont="1" applyFill="1" applyBorder="1" applyAlignment="1">
      <alignment horizontal="center" vertical="center" wrapText="1"/>
    </xf>
    <xf numFmtId="49" fontId="24" fillId="0" borderId="23" xfId="0" applyNumberFormat="1" applyFont="1" applyBorder="1" applyAlignment="1">
      <alignment horizontal="left" vertical="center"/>
    </xf>
    <xf numFmtId="0" fontId="24" fillId="0" borderId="22" xfId="0" applyFont="1" applyBorder="1" applyAlignment="1">
      <alignment horizontal="left"/>
    </xf>
    <xf numFmtId="0" fontId="24" fillId="0" borderId="22" xfId="0" applyFont="1" applyBorder="1" applyAlignment="1">
      <alignment horizontal="left" vertical="center" wrapText="1"/>
    </xf>
    <xf numFmtId="167" fontId="25" fillId="0" borderId="22" xfId="0" applyNumberFormat="1" applyFont="1" applyBorder="1" applyAlignment="1">
      <alignment horizontal="center" vertical="center" wrapText="1"/>
    </xf>
    <xf numFmtId="167" fontId="27" fillId="0" borderId="22" xfId="0" applyNumberFormat="1" applyFont="1" applyBorder="1" applyAlignment="1">
      <alignment horizontal="center" vertical="center" wrapText="1"/>
    </xf>
    <xf numFmtId="167" fontId="22" fillId="29" borderId="22" xfId="0" applyNumberFormat="1" applyFont="1" applyFill="1" applyBorder="1" applyAlignment="1">
      <alignment vertical="center"/>
    </xf>
    <xf numFmtId="167" fontId="22" fillId="29" borderId="22" xfId="0" applyNumberFormat="1" applyFont="1" applyFill="1" applyBorder="1"/>
    <xf numFmtId="167" fontId="24" fillId="30" borderId="22" xfId="0" applyNumberFormat="1" applyFont="1" applyFill="1" applyBorder="1"/>
    <xf numFmtId="167" fontId="24" fillId="30" borderId="22" xfId="0" applyNumberFormat="1" applyFont="1" applyFill="1" applyBorder="1" applyAlignment="1">
      <alignment horizontal="center" vertical="center" wrapText="1"/>
    </xf>
    <xf numFmtId="167" fontId="24" fillId="22" borderId="22" xfId="0" applyNumberFormat="1" applyFont="1" applyFill="1" applyBorder="1"/>
    <xf numFmtId="167" fontId="24" fillId="22" borderId="22" xfId="0" applyNumberFormat="1" applyFont="1" applyFill="1" applyBorder="1" applyAlignment="1">
      <alignment horizontal="center" vertical="center" wrapText="1"/>
    </xf>
    <xf numFmtId="167" fontId="22" fillId="16" borderId="22" xfId="0" applyNumberFormat="1" applyFont="1" applyFill="1" applyBorder="1"/>
    <xf numFmtId="167" fontId="24" fillId="30" borderId="22" xfId="0" applyNumberFormat="1" applyFont="1" applyFill="1" applyBorder="1" applyAlignment="1">
      <alignment horizontal="center" vertical="center"/>
    </xf>
    <xf numFmtId="167" fontId="24" fillId="22" borderId="22" xfId="0" applyNumberFormat="1" applyFont="1" applyFill="1" applyBorder="1" applyAlignment="1">
      <alignment horizontal="center" vertical="center"/>
    </xf>
    <xf numFmtId="167" fontId="27" fillId="0" borderId="27" xfId="0" applyNumberFormat="1" applyFont="1" applyBorder="1" applyAlignment="1">
      <alignment horizontal="center" vertical="center" wrapText="1"/>
    </xf>
    <xf numFmtId="167" fontId="27" fillId="0" borderId="28" xfId="0" applyNumberFormat="1" applyFont="1" applyBorder="1" applyAlignment="1">
      <alignment horizontal="center" vertical="center" wrapText="1"/>
    </xf>
    <xf numFmtId="0" fontId="47" fillId="0" borderId="28" xfId="0" applyFont="1" applyBorder="1" applyAlignment="1">
      <alignment horizontal="center" vertical="center" wrapText="1"/>
    </xf>
    <xf numFmtId="167" fontId="22" fillId="29" borderId="29" xfId="0" applyNumberFormat="1" applyFont="1" applyFill="1" applyBorder="1" applyAlignment="1">
      <alignment vertical="center"/>
    </xf>
    <xf numFmtId="167" fontId="27" fillId="0" borderId="31" xfId="0" applyNumberFormat="1" applyFont="1" applyBorder="1" applyAlignment="1">
      <alignment horizontal="center" vertical="center" wrapText="1"/>
    </xf>
    <xf numFmtId="0" fontId="22" fillId="0" borderId="22" xfId="0" applyFont="1" applyBorder="1" applyAlignment="1">
      <alignment horizontal="left"/>
    </xf>
    <xf numFmtId="0" fontId="22" fillId="0" borderId="22" xfId="0" applyFont="1" applyBorder="1" applyAlignment="1">
      <alignment horizontal="left" vertical="center" wrapText="1"/>
    </xf>
    <xf numFmtId="0" fontId="23" fillId="29" borderId="22" xfId="0" applyFont="1" applyFill="1" applyBorder="1" applyAlignment="1">
      <alignment horizontal="left" vertical="center" wrapText="1"/>
    </xf>
    <xf numFmtId="167" fontId="22" fillId="24" borderId="22" xfId="0" applyNumberFormat="1" applyFont="1" applyFill="1" applyBorder="1"/>
    <xf numFmtId="0" fontId="48" fillId="0" borderId="0" xfId="0" applyFont="1" applyAlignment="1">
      <alignment horizontal="right" vertical="center"/>
    </xf>
    <xf numFmtId="0" fontId="20" fillId="0" borderId="0" xfId="0" applyFont="1" applyAlignment="1" applyProtection="1">
      <alignment horizontal="left" vertical="center" wrapText="1"/>
      <protection hidden="1"/>
    </xf>
    <xf numFmtId="0" fontId="19" fillId="0" borderId="0" xfId="0" applyFont="1" applyAlignment="1" applyProtection="1">
      <alignment horizontal="left" vertical="center" wrapText="1"/>
      <protection hidden="1"/>
    </xf>
    <xf numFmtId="0" fontId="21" fillId="0" borderId="0" xfId="0" applyFont="1" applyAlignment="1" applyProtection="1">
      <alignment horizontal="center" vertical="center" wrapText="1"/>
      <protection hidden="1"/>
    </xf>
    <xf numFmtId="0" fontId="23" fillId="29" borderId="22" xfId="0" applyFont="1" applyFill="1" applyBorder="1" applyAlignment="1" applyProtection="1">
      <alignment horizontal="center" vertical="center" wrapText="1"/>
      <protection hidden="1"/>
    </xf>
    <xf numFmtId="0" fontId="21" fillId="0" borderId="22" xfId="0" applyFont="1" applyBorder="1" applyAlignment="1" applyProtection="1">
      <alignment horizontal="center" vertical="center" wrapText="1"/>
      <protection hidden="1"/>
    </xf>
    <xf numFmtId="0" fontId="24" fillId="0" borderId="23" xfId="0" applyFont="1" applyBorder="1" applyAlignment="1" applyProtection="1">
      <alignment horizontal="center" vertical="center" wrapText="1"/>
      <protection hidden="1"/>
    </xf>
    <xf numFmtId="0" fontId="24" fillId="0" borderId="22" xfId="0" applyFont="1" applyBorder="1" applyAlignment="1" applyProtection="1">
      <alignment horizontal="left" vertical="center" wrapText="1"/>
      <protection hidden="1"/>
    </xf>
    <xf numFmtId="167" fontId="27" fillId="0" borderId="22" xfId="0" applyNumberFormat="1" applyFont="1" applyBorder="1" applyAlignment="1" applyProtection="1">
      <alignment vertical="center" wrapText="1"/>
      <protection hidden="1"/>
    </xf>
    <xf numFmtId="167" fontId="25" fillId="0" borderId="22" xfId="0" applyNumberFormat="1" applyFont="1" applyBorder="1" applyAlignment="1" applyProtection="1">
      <alignment horizontal="center" vertical="center" wrapText="1"/>
      <protection hidden="1"/>
    </xf>
    <xf numFmtId="167" fontId="22" fillId="29" borderId="22" xfId="0" applyNumberFormat="1" applyFont="1" applyFill="1" applyBorder="1" applyAlignment="1" applyProtection="1">
      <alignment horizontal="right" vertical="center" wrapText="1"/>
      <protection hidden="1"/>
    </xf>
    <xf numFmtId="167" fontId="27" fillId="0" borderId="22" xfId="0" applyNumberFormat="1" applyFont="1" applyBorder="1" applyAlignment="1" applyProtection="1">
      <alignment horizontal="right" vertical="center" wrapText="1"/>
      <protection hidden="1"/>
    </xf>
    <xf numFmtId="167" fontId="39" fillId="0" borderId="22" xfId="0" applyNumberFormat="1" applyFont="1" applyBorder="1" applyAlignment="1" applyProtection="1">
      <alignment horizontal="right" vertical="center" wrapText="1"/>
      <protection hidden="1"/>
    </xf>
    <xf numFmtId="167" fontId="49" fillId="0" borderId="22" xfId="0" applyNumberFormat="1" applyFont="1" applyBorder="1" applyAlignment="1" applyProtection="1">
      <alignment horizontal="right" vertical="center" wrapText="1"/>
      <protection hidden="1"/>
    </xf>
    <xf numFmtId="167" fontId="39" fillId="0" borderId="22" xfId="0" applyNumberFormat="1" applyFont="1" applyBorder="1" applyAlignment="1" applyProtection="1">
      <alignment horizontal="center" vertical="center" wrapText="1"/>
      <protection hidden="1"/>
    </xf>
    <xf numFmtId="167" fontId="25" fillId="0" borderId="22" xfId="0" applyNumberFormat="1" applyFont="1" applyBorder="1" applyAlignment="1" applyProtection="1">
      <alignment horizontal="right" vertical="center" wrapText="1"/>
      <protection hidden="1"/>
    </xf>
    <xf numFmtId="0" fontId="22" fillId="0" borderId="22" xfId="0" applyFont="1" applyBorder="1" applyAlignment="1" applyProtection="1">
      <alignment horizontal="left" vertical="center" wrapText="1"/>
      <protection hidden="1"/>
    </xf>
    <xf numFmtId="0" fontId="23" fillId="29" borderId="22" xfId="0" applyFont="1" applyFill="1" applyBorder="1" applyAlignment="1" applyProtection="1">
      <alignment horizontal="left" vertical="center" wrapText="1"/>
      <protection hidden="1"/>
    </xf>
    <xf numFmtId="167" fontId="22" fillId="29" borderId="22" xfId="0" applyNumberFormat="1" applyFont="1" applyFill="1" applyBorder="1" applyAlignment="1" applyProtection="1">
      <alignment vertical="center" wrapText="1"/>
      <protection hidden="1"/>
    </xf>
    <xf numFmtId="0" fontId="18" fillId="0" borderId="0" xfId="0" applyFont="1" applyAlignment="1">
      <alignment wrapText="1"/>
    </xf>
    <xf numFmtId="0" fontId="50" fillId="0" borderId="0" xfId="0" applyFont="1" applyAlignment="1">
      <alignment horizontal="left" vertical="center"/>
    </xf>
    <xf numFmtId="0" fontId="35" fillId="0" borderId="0" xfId="0" applyFont="1" applyAlignment="1">
      <alignment horizontal="left" vertical="center"/>
    </xf>
    <xf numFmtId="0" fontId="50" fillId="0" borderId="0" xfId="0" applyFont="1" applyAlignment="1">
      <alignment horizontal="center" vertical="center"/>
    </xf>
    <xf numFmtId="0" fontId="35" fillId="0" borderId="0" xfId="0" applyFont="1" applyAlignment="1">
      <alignment horizontal="center" vertical="center" wrapText="1"/>
    </xf>
    <xf numFmtId="0" fontId="51" fillId="0" borderId="22" xfId="0" applyFont="1" applyBorder="1" applyAlignment="1">
      <alignment horizontal="center" vertical="center" wrapText="1"/>
    </xf>
    <xf numFmtId="0" fontId="37" fillId="29" borderId="22" xfId="0" applyFont="1" applyFill="1" applyBorder="1" applyAlignment="1">
      <alignment horizontal="center" vertical="center" wrapText="1"/>
    </xf>
    <xf numFmtId="49" fontId="35" fillId="0" borderId="0" xfId="0" applyNumberFormat="1" applyFont="1" applyAlignment="1">
      <alignment horizontal="center" vertical="center" wrapText="1"/>
    </xf>
    <xf numFmtId="0" fontId="35" fillId="0" borderId="22" xfId="0" applyFont="1" applyBorder="1" applyAlignment="1">
      <alignment horizontal="center" vertical="center" wrapText="1"/>
    </xf>
    <xf numFmtId="0" fontId="52" fillId="0" borderId="22" xfId="0" applyFont="1" applyBorder="1" applyAlignment="1">
      <alignment horizontal="center" vertical="center" wrapText="1"/>
    </xf>
    <xf numFmtId="49" fontId="36" fillId="0" borderId="23" xfId="0" applyNumberFormat="1" applyFont="1" applyBorder="1" applyAlignment="1">
      <alignment horizontal="left" vertical="center"/>
    </xf>
    <xf numFmtId="0" fontId="36" fillId="0" borderId="22" xfId="0" applyFont="1" applyBorder="1" applyAlignment="1">
      <alignment horizontal="left" vertical="center"/>
    </xf>
    <xf numFmtId="0" fontId="36" fillId="0" borderId="22" xfId="0" applyFont="1" applyBorder="1" applyAlignment="1">
      <alignment horizontal="left" vertical="center" wrapText="1"/>
    </xf>
    <xf numFmtId="167" fontId="53" fillId="0" borderId="22" xfId="0" applyNumberFormat="1" applyFont="1" applyBorder="1" applyAlignment="1">
      <alignment horizontal="center" vertical="center" wrapText="1"/>
    </xf>
    <xf numFmtId="167" fontId="51" fillId="29" borderId="22" xfId="0" applyNumberFormat="1" applyFont="1" applyFill="1" applyBorder="1" applyAlignment="1">
      <alignment horizontal="center" vertical="center" wrapText="1"/>
    </xf>
    <xf numFmtId="167" fontId="53" fillId="0" borderId="22" xfId="0" applyNumberFormat="1" applyFont="1" applyBorder="1" applyAlignment="1">
      <alignment horizontal="center" wrapText="1"/>
    </xf>
    <xf numFmtId="167" fontId="54" fillId="0" borderId="22" xfId="0" applyNumberFormat="1" applyFont="1" applyBorder="1" applyAlignment="1">
      <alignment horizontal="center" wrapText="1"/>
    </xf>
    <xf numFmtId="167" fontId="41" fillId="0" borderId="22" xfId="0" applyNumberFormat="1" applyFont="1" applyBorder="1" applyAlignment="1">
      <alignment horizontal="center" vertical="center" wrapText="1"/>
    </xf>
    <xf numFmtId="167" fontId="54" fillId="0" borderId="22" xfId="0" applyNumberFormat="1" applyFont="1" applyBorder="1" applyAlignment="1">
      <alignment horizontal="center" vertical="center" wrapText="1"/>
    </xf>
    <xf numFmtId="167" fontId="36" fillId="0" borderId="22" xfId="0" applyNumberFormat="1" applyFont="1" applyBorder="1" applyAlignment="1">
      <alignment horizontal="center" vertical="center" wrapText="1"/>
    </xf>
    <xf numFmtId="167" fontId="52" fillId="0" borderId="22" xfId="0" applyNumberFormat="1" applyFont="1" applyBorder="1" applyAlignment="1">
      <alignment horizontal="center" vertical="center" wrapText="1"/>
    </xf>
    <xf numFmtId="0" fontId="51" fillId="0" borderId="22" xfId="0" applyFont="1" applyBorder="1" applyAlignment="1">
      <alignment horizontal="left" vertical="center"/>
    </xf>
    <xf numFmtId="0" fontId="51" fillId="0" borderId="22" xfId="0" applyFont="1" applyBorder="1" applyAlignment="1">
      <alignment horizontal="left" vertical="center" wrapText="1"/>
    </xf>
    <xf numFmtId="0" fontId="37" fillId="0" borderId="22" xfId="0" applyFont="1" applyBorder="1" applyAlignment="1">
      <alignment horizontal="left" vertical="center" wrapText="1"/>
    </xf>
    <xf numFmtId="167" fontId="51" fillId="16" borderId="22" xfId="0" applyNumberFormat="1" applyFont="1" applyFill="1" applyBorder="1" applyAlignment="1" applyProtection="1">
      <alignment vertical="center"/>
      <protection hidden="1"/>
    </xf>
    <xf numFmtId="0" fontId="2" fillId="0" borderId="0" xfId="0" applyFont="1" applyAlignment="1">
      <alignment vertical="center"/>
    </xf>
    <xf numFmtId="0" fontId="2" fillId="0" borderId="0" xfId="0" applyFont="1" applyAlignment="1">
      <alignment horizontal="center" vertical="center"/>
    </xf>
    <xf numFmtId="0" fontId="29" fillId="0" borderId="0" xfId="0" applyFont="1" applyAlignment="1">
      <alignment horizontal="right" vertical="center"/>
    </xf>
    <xf numFmtId="0" fontId="35" fillId="0" borderId="0" xfId="0" applyFont="1" applyAlignment="1" applyProtection="1">
      <alignment horizontal="center" vertical="center" wrapText="1"/>
      <protection hidden="1"/>
    </xf>
    <xf numFmtId="0" fontId="50" fillId="0" borderId="0" xfId="0" applyFont="1" applyAlignment="1" applyProtection="1">
      <alignment horizontal="center" vertical="center"/>
      <protection hidden="1"/>
    </xf>
    <xf numFmtId="0" fontId="50" fillId="15" borderId="0" xfId="0" applyFont="1" applyFill="1" applyAlignment="1" applyProtection="1">
      <alignment horizontal="center" vertical="center"/>
      <protection hidden="1"/>
    </xf>
    <xf numFmtId="0" fontId="51" fillId="0" borderId="22" xfId="0" applyFont="1" applyBorder="1" applyAlignment="1" applyProtection="1">
      <alignment horizontal="center" vertical="center" wrapText="1"/>
      <protection hidden="1"/>
    </xf>
    <xf numFmtId="0" fontId="37" fillId="29" borderId="22" xfId="0" applyFont="1" applyFill="1" applyBorder="1" applyAlignment="1" applyProtection="1">
      <alignment horizontal="center" vertical="center" wrapText="1"/>
      <protection hidden="1"/>
    </xf>
    <xf numFmtId="0" fontId="35" fillId="0" borderId="22" xfId="0" applyFont="1" applyBorder="1" applyAlignment="1" applyProtection="1">
      <alignment horizontal="center" vertical="center" wrapText="1"/>
      <protection hidden="1"/>
    </xf>
    <xf numFmtId="0" fontId="36" fillId="0" borderId="23" xfId="0" applyFont="1" applyBorder="1" applyAlignment="1" applyProtection="1">
      <alignment horizontal="center" vertical="center"/>
      <protection hidden="1"/>
    </xf>
    <xf numFmtId="0" fontId="36" fillId="0" borderId="22" xfId="0" applyFont="1" applyBorder="1" applyAlignment="1" applyProtection="1">
      <alignment horizontal="center" vertical="center"/>
      <protection hidden="1"/>
    </xf>
    <xf numFmtId="0" fontId="36" fillId="0" borderId="22" xfId="0" applyFont="1" applyBorder="1" applyAlignment="1" applyProtection="1">
      <alignment horizontal="center" vertical="center" wrapText="1"/>
      <protection hidden="1"/>
    </xf>
    <xf numFmtId="167" fontId="51" fillId="29" borderId="22" xfId="0" applyNumberFormat="1" applyFont="1" applyFill="1" applyBorder="1" applyAlignment="1" applyProtection="1">
      <alignment horizontal="center" vertical="center"/>
      <protection hidden="1"/>
    </xf>
    <xf numFmtId="167" fontId="36" fillId="0" borderId="22" xfId="0" applyNumberFormat="1" applyFont="1" applyBorder="1" applyAlignment="1" applyProtection="1">
      <alignment horizontal="center" vertical="center"/>
      <protection hidden="1"/>
    </xf>
    <xf numFmtId="167" fontId="55" fillId="0" borderId="22" xfId="0" applyNumberFormat="1" applyFont="1" applyBorder="1" applyAlignment="1" applyProtection="1">
      <alignment horizontal="center" vertical="center" wrapText="1"/>
      <protection hidden="1"/>
    </xf>
    <xf numFmtId="0" fontId="12" fillId="0" borderId="0" xfId="0" applyFont="1"/>
    <xf numFmtId="167" fontId="53" fillId="0" borderId="22" xfId="0" applyNumberFormat="1" applyFont="1" applyBorder="1" applyAlignment="1" applyProtection="1">
      <alignment horizontal="center" vertical="center"/>
      <protection hidden="1"/>
    </xf>
    <xf numFmtId="167" fontId="54" fillId="0" borderId="22" xfId="0" applyNumberFormat="1" applyFont="1" applyBorder="1" applyAlignment="1" applyProtection="1">
      <alignment horizontal="center" vertical="center"/>
      <protection hidden="1"/>
    </xf>
    <xf numFmtId="167" fontId="56" fillId="0" borderId="22" xfId="0" applyNumberFormat="1" applyFont="1" applyBorder="1" applyAlignment="1" applyProtection="1">
      <alignment horizontal="center" vertical="center"/>
      <protection hidden="1"/>
    </xf>
    <xf numFmtId="167" fontId="55" fillId="0" borderId="22" xfId="0" applyNumberFormat="1" applyFont="1" applyBorder="1" applyAlignment="1" applyProtection="1">
      <alignment horizontal="center" vertical="center"/>
      <protection hidden="1"/>
    </xf>
    <xf numFmtId="0" fontId="51" fillId="0" borderId="22" xfId="0" applyFont="1" applyBorder="1" applyAlignment="1" applyProtection="1">
      <alignment horizontal="center" vertical="center"/>
      <protection hidden="1"/>
    </xf>
    <xf numFmtId="0" fontId="2" fillId="0" borderId="0" xfId="0" applyFont="1" applyAlignment="1" applyProtection="1">
      <alignment horizontal="center" vertical="center"/>
      <protection hidden="1"/>
    </xf>
    <xf numFmtId="0" fontId="2" fillId="0" borderId="0" xfId="0" applyFont="1" applyAlignment="1" applyProtection="1">
      <alignment horizontal="center" vertical="center" wrapText="1"/>
      <protection hidden="1"/>
    </xf>
    <xf numFmtId="167" fontId="57" fillId="0" borderId="0" xfId="0" applyNumberFormat="1" applyFont="1" applyAlignment="1" applyProtection="1">
      <alignment horizontal="center" vertical="center"/>
      <protection hidden="1"/>
    </xf>
    <xf numFmtId="167" fontId="2" fillId="0" borderId="0" xfId="0" applyNumberFormat="1" applyFont="1" applyAlignment="1" applyProtection="1">
      <alignment horizontal="center" vertical="center"/>
      <protection hidden="1"/>
    </xf>
    <xf numFmtId="0" fontId="29" fillId="0" borderId="0" xfId="0" applyFont="1" applyAlignment="1" applyProtection="1">
      <alignment horizontal="center" vertical="center"/>
      <protection hidden="1"/>
    </xf>
    <xf numFmtId="0" fontId="41" fillId="0" borderId="0" xfId="0" applyFont="1" applyAlignment="1" applyProtection="1">
      <alignment horizontal="center" vertical="center"/>
      <protection hidden="1"/>
    </xf>
    <xf numFmtId="49" fontId="20" fillId="0" borderId="0" xfId="0" applyNumberFormat="1" applyFont="1" applyAlignment="1" applyProtection="1">
      <alignment horizontal="left" vertical="top"/>
      <protection hidden="1"/>
    </xf>
    <xf numFmtId="49" fontId="20" fillId="0" borderId="0" xfId="0" applyNumberFormat="1" applyFont="1" applyAlignment="1" applyProtection="1">
      <alignment horizontal="left" vertical="top" wrapText="1"/>
      <protection hidden="1"/>
    </xf>
    <xf numFmtId="0" fontId="32" fillId="0" borderId="0" xfId="0" applyFont="1" applyAlignment="1" applyProtection="1">
      <alignment horizontal="center" vertical="center"/>
      <protection hidden="1"/>
    </xf>
    <xf numFmtId="0" fontId="33" fillId="0" borderId="0" xfId="0" applyFont="1" applyAlignment="1" applyProtection="1">
      <alignment horizontal="center" vertical="center" wrapText="1"/>
      <protection hidden="1"/>
    </xf>
    <xf numFmtId="0" fontId="23" fillId="0" borderId="22" xfId="0" applyFont="1" applyBorder="1" applyAlignment="1" applyProtection="1">
      <alignment horizontal="center" vertical="center" wrapText="1"/>
      <protection hidden="1"/>
    </xf>
    <xf numFmtId="49" fontId="32" fillId="15" borderId="0" xfId="0" applyNumberFormat="1" applyFont="1" applyFill="1" applyAlignment="1" applyProtection="1">
      <alignment horizontal="center" vertical="center"/>
      <protection hidden="1"/>
    </xf>
    <xf numFmtId="49" fontId="32" fillId="0" borderId="0" xfId="0" applyNumberFormat="1" applyFont="1" applyAlignment="1" applyProtection="1">
      <alignment horizontal="center" vertical="center"/>
      <protection hidden="1"/>
    </xf>
    <xf numFmtId="49" fontId="21" fillId="0" borderId="22" xfId="0" applyNumberFormat="1" applyFont="1" applyBorder="1" applyAlignment="1" applyProtection="1">
      <alignment horizontal="center" vertical="center" wrapText="1"/>
      <protection hidden="1"/>
    </xf>
    <xf numFmtId="49" fontId="24" fillId="0" borderId="22" xfId="0" applyNumberFormat="1" applyFont="1" applyBorder="1" applyAlignment="1" applyProtection="1">
      <alignment horizontal="left" vertical="center"/>
      <protection hidden="1"/>
    </xf>
    <xf numFmtId="49" fontId="24" fillId="0" borderId="0" xfId="0" applyNumberFormat="1" applyFont="1" applyAlignment="1" applyProtection="1">
      <alignment horizontal="center" vertical="center"/>
      <protection hidden="1"/>
    </xf>
    <xf numFmtId="49" fontId="24" fillId="0" borderId="22" xfId="0" applyNumberFormat="1" applyFont="1" applyBorder="1" applyAlignment="1" applyProtection="1">
      <alignment horizontal="left" vertical="center" wrapText="1"/>
      <protection hidden="1"/>
    </xf>
    <xf numFmtId="167" fontId="34" fillId="0" borderId="22" xfId="0" applyNumberFormat="1" applyFont="1" applyBorder="1" applyAlignment="1" applyProtection="1">
      <alignment horizontal="center" vertical="center" wrapText="1"/>
      <protection hidden="1"/>
    </xf>
    <xf numFmtId="167" fontId="21" fillId="29" borderId="22" xfId="0" applyNumberFormat="1" applyFont="1" applyFill="1" applyBorder="1" applyProtection="1">
      <protection hidden="1"/>
    </xf>
    <xf numFmtId="167" fontId="34" fillId="15" borderId="22" xfId="0" applyNumberFormat="1" applyFont="1" applyFill="1" applyBorder="1" applyProtection="1">
      <protection hidden="1"/>
    </xf>
    <xf numFmtId="167" fontId="34" fillId="0" borderId="22" xfId="0" applyNumberFormat="1" applyFont="1" applyBorder="1" applyProtection="1">
      <protection hidden="1"/>
    </xf>
    <xf numFmtId="167" fontId="34" fillId="27" borderId="22" xfId="0" applyNumberFormat="1" applyFont="1" applyFill="1" applyBorder="1" applyProtection="1">
      <protection hidden="1"/>
    </xf>
    <xf numFmtId="0" fontId="58" fillId="15" borderId="0" xfId="0" applyFont="1" applyFill="1" applyAlignment="1" applyProtection="1">
      <alignment horizontal="center" vertical="center"/>
      <protection hidden="1"/>
    </xf>
    <xf numFmtId="0" fontId="58" fillId="15" borderId="22" xfId="0" applyFont="1" applyFill="1" applyBorder="1" applyAlignment="1" applyProtection="1">
      <alignment horizontal="left" vertical="center"/>
      <protection hidden="1"/>
    </xf>
    <xf numFmtId="0" fontId="58" fillId="0" borderId="0" xfId="0" applyFont="1" applyAlignment="1" applyProtection="1">
      <alignment horizontal="center" vertical="center"/>
      <protection hidden="1"/>
    </xf>
    <xf numFmtId="0" fontId="58" fillId="0" borderId="22" xfId="0" applyFont="1" applyBorder="1" applyAlignment="1" applyProtection="1">
      <alignment horizontal="left" vertical="center"/>
      <protection hidden="1"/>
    </xf>
    <xf numFmtId="0" fontId="59" fillId="0" borderId="22" xfId="0" applyFont="1" applyBorder="1" applyAlignment="1" applyProtection="1">
      <alignment horizontal="left" vertical="center"/>
      <protection hidden="1"/>
    </xf>
    <xf numFmtId="49" fontId="23" fillId="0" borderId="22" xfId="0" applyNumberFormat="1" applyFont="1" applyBorder="1" applyAlignment="1" applyProtection="1">
      <alignment horizontal="left" vertical="center" wrapText="1"/>
      <protection hidden="1"/>
    </xf>
    <xf numFmtId="49" fontId="20" fillId="0" borderId="0" xfId="0" applyNumberFormat="1" applyFont="1" applyAlignment="1">
      <alignment horizontal="left" vertical="top"/>
    </xf>
    <xf numFmtId="0" fontId="50" fillId="0" borderId="0" xfId="0" applyFont="1" applyAlignment="1">
      <alignment horizontal="left" wrapText="1"/>
    </xf>
    <xf numFmtId="0" fontId="20" fillId="0" borderId="0" xfId="0" applyFont="1" applyAlignment="1">
      <alignment horizontal="center" vertical="center"/>
    </xf>
    <xf numFmtId="0" fontId="23" fillId="0" borderId="22" xfId="0" applyFont="1" applyBorder="1" applyAlignment="1">
      <alignment horizontal="center" vertical="center" wrapText="1"/>
    </xf>
    <xf numFmtId="49" fontId="35" fillId="0" borderId="0" xfId="0" applyNumberFormat="1" applyFont="1" applyAlignment="1">
      <alignment horizontal="center" vertical="center"/>
    </xf>
    <xf numFmtId="49" fontId="35" fillId="0" borderId="22" xfId="0" applyNumberFormat="1" applyFont="1" applyBorder="1" applyAlignment="1">
      <alignment horizontal="center" vertical="center" wrapText="1"/>
    </xf>
    <xf numFmtId="49" fontId="24" fillId="0" borderId="0" xfId="0" applyNumberFormat="1" applyFont="1" applyAlignment="1">
      <alignment horizontal="center" vertical="center"/>
    </xf>
    <xf numFmtId="49" fontId="24" fillId="0" borderId="22" xfId="0" applyNumberFormat="1" applyFont="1" applyBorder="1" applyAlignment="1">
      <alignment horizontal="left" vertical="center"/>
    </xf>
    <xf numFmtId="49" fontId="36" fillId="0" borderId="22" xfId="0" applyNumberFormat="1" applyFont="1" applyBorder="1" applyAlignment="1">
      <alignment horizontal="left" vertical="center" wrapText="1"/>
    </xf>
    <xf numFmtId="167" fontId="60" fillId="0" borderId="22" xfId="0" applyNumberFormat="1" applyFont="1" applyBorder="1" applyAlignment="1">
      <alignment vertical="center" wrapText="1"/>
    </xf>
    <xf numFmtId="167" fontId="29" fillId="0" borderId="22" xfId="0" applyNumberFormat="1" applyFont="1" applyBorder="1" applyAlignment="1">
      <alignment horizontal="center" vertical="center" wrapText="1"/>
    </xf>
    <xf numFmtId="167" fontId="21" fillId="0" borderId="22" xfId="0" applyNumberFormat="1" applyFont="1" applyBorder="1"/>
    <xf numFmtId="167" fontId="61" fillId="0" borderId="22" xfId="0" applyNumberFormat="1" applyFont="1" applyBorder="1"/>
    <xf numFmtId="0" fontId="24" fillId="0" borderId="0" xfId="0" applyFont="1" applyAlignment="1">
      <alignment horizontal="center" vertical="center"/>
    </xf>
    <xf numFmtId="0" fontId="24" fillId="0" borderId="0" xfId="0" applyFont="1" applyAlignment="1">
      <alignment horizontal="left" vertical="center"/>
    </xf>
    <xf numFmtId="49" fontId="24" fillId="0" borderId="0" xfId="0" applyNumberFormat="1" applyFont="1" applyAlignment="1">
      <alignment horizontal="left" vertical="center"/>
    </xf>
    <xf numFmtId="49" fontId="37" fillId="0" borderId="22" xfId="0" applyNumberFormat="1" applyFont="1" applyBorder="1" applyAlignment="1">
      <alignment horizontal="left" vertical="center" wrapText="1"/>
    </xf>
  </cellXfs>
  <cellStyles count="1">
    <cellStyle name="Normal" xfId="0" builtinId="0"/>
  </cellStyles>
  <dxfs count="17">
    <dxf>
      <font>
        <color rgb="FF9C0006"/>
      </font>
      <fill>
        <patternFill>
          <bgColor rgb="FFFFC7CE"/>
        </patternFill>
      </fill>
    </dxf>
    <dxf>
      <font>
        <color theme="0"/>
      </font>
    </dxf>
    <dxf>
      <fill>
        <patternFill>
          <fgColor theme="5" tint="0.7999816888943144"/>
          <bgColor theme="5" tint="0.799981688894314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3.xml"/><Relationship Id="rId5" Type="http://schemas.openxmlformats.org/officeDocument/2006/relationships/worksheet" Target="worksheets/sheet1.xml"/><Relationship Id="rId6" Type="http://schemas.openxmlformats.org/officeDocument/2006/relationships/worksheet" Target="worksheets/sheet9.xml"/><Relationship Id="rId7" Type="http://schemas.openxmlformats.org/officeDocument/2006/relationships/worksheet" Target="worksheets/sheet10.xml"/><Relationship Id="rId8" Type="http://schemas.openxmlformats.org/officeDocument/2006/relationships/worksheet" Target="worksheets/sheet19.xml"/><Relationship Id="rId9" Type="http://schemas.openxmlformats.org/officeDocument/2006/relationships/worksheet" Target="worksheets/sheet25.xml"/><Relationship Id="rId10" Type="http://schemas.openxmlformats.org/officeDocument/2006/relationships/worksheet" Target="worksheets/sheet26.xml"/><Relationship Id="rId11" Type="http://schemas.openxmlformats.org/officeDocument/2006/relationships/worksheet" Target="worksheets/sheet27.xml"/><Relationship Id="rId12" Type="http://schemas.openxmlformats.org/officeDocument/2006/relationships/worksheet" Target="worksheets/sheet38.xml"/><Relationship Id="rId13" Type="http://schemas.openxmlformats.org/officeDocument/2006/relationships/worksheet" Target="worksheets/sheet28.xml"/><Relationship Id="rId14" Type="http://schemas.openxmlformats.org/officeDocument/2006/relationships/worksheet" Target="worksheets/sheet29.xml"/><Relationship Id="rId15" Type="http://schemas.openxmlformats.org/officeDocument/2006/relationships/worksheet" Target="worksheets/sheet30.xml"/><Relationship Id="rId16" Type="http://schemas.openxmlformats.org/officeDocument/2006/relationships/worksheet" Target="worksheets/sheet39.xml"/><Relationship Id="rId17" Type="http://schemas.openxmlformats.org/officeDocument/2006/relationships/worksheet" Target="worksheets/sheet17.xml"/><Relationship Id="rId18" Type="http://schemas.openxmlformats.org/officeDocument/2006/relationships/worksheet" Target="worksheets/sheet24.xml"/><Relationship Id="rId19" Type="http://schemas.openxmlformats.org/officeDocument/2006/relationships/worksheet" Target="worksheets/sheet34.xml"/><Relationship Id="rId20" Type="http://schemas.openxmlformats.org/officeDocument/2006/relationships/worksheet" Target="worksheets/sheet35.xml"/><Relationship Id="rId21" Type="http://schemas.openxmlformats.org/officeDocument/2006/relationships/worksheet" Target="worksheets/sheet36.xml"/><Relationship Id="rId22" Type="http://schemas.openxmlformats.org/officeDocument/2006/relationships/worksheet" Target="worksheets/sheet37.xml"/><Relationship Id="rId23" Type="http://schemas.openxmlformats.org/officeDocument/2006/relationships/worksheet" Target="worksheets/sheet4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editAs="oneCell">
    <xdr:from>
      <xdr:col>1</xdr:col>
      <xdr:colOff>632166</xdr:colOff>
      <xdr:row>12</xdr:row>
      <xdr:rowOff>199927</xdr:rowOff>
    </xdr:from>
    <xdr:ext cx="389621" cy="478116"/>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5</xdr:col>
      <xdr:colOff>173580</xdr:colOff>
      <xdr:row>12</xdr:row>
      <xdr:rowOff>190844</xdr:rowOff>
    </xdr:from>
    <xdr:ext cx="513642" cy="428121"/>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oneCellAnchor editAs="oneCell">
    <xdr:from>
      <xdr:col>1</xdr:col>
      <xdr:colOff>227016</xdr:colOff>
      <xdr:row>0</xdr:row>
      <xdr:rowOff>14635</xdr:rowOff>
    </xdr:from>
    <xdr:ext cx="960661" cy="902640"/>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92364</xdr:colOff>
      <xdr:row>0</xdr:row>
      <xdr:rowOff>48382</xdr:rowOff>
    </xdr:from>
    <xdr:to>
      <xdr:col>0</xdr:col>
      <xdr:colOff>1027546</xdr:colOff>
      <xdr:row>0</xdr:row>
      <xdr:rowOff>923637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101600</xdr:colOff>
      <xdr:row>0</xdr:row>
      <xdr:rowOff>88900</xdr:rowOff>
    </xdr:from>
    <xdr:to>
      <xdr:col>3</xdr:col>
      <xdr:colOff>806450</xdr:colOff>
      <xdr:row>0</xdr:row>
      <xdr:rowOff>964155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239888</xdr:colOff>
      <xdr:row>0</xdr:row>
      <xdr:rowOff>28222</xdr:rowOff>
    </xdr:from>
    <xdr:to>
      <xdr:col>0</xdr:col>
      <xdr:colOff>1326444</xdr:colOff>
      <xdr:row>0</xdr:row>
      <xdr:rowOff>976232</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224081</xdr:colOff>
      <xdr:row>0</xdr:row>
      <xdr:rowOff>932488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20881</xdr:colOff>
      <xdr:row>0</xdr:row>
      <xdr:rowOff>932488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92927</xdr:colOff>
      <xdr:row>0</xdr:row>
      <xdr:rowOff>46464</xdr:rowOff>
    </xdr:from>
    <xdr:to>
      <xdr:col>3</xdr:col>
      <xdr:colOff>1051723</xdr:colOff>
      <xdr:row>0</xdr:row>
      <xdr:rowOff>923919</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33.xml.rels><?xml version="1.0" encoding="UTF-8" standalone="yes"?>
<Relationships xmlns="http://schemas.openxmlformats.org/package/2006/relationships"><Relationship Id="rId1" Type="http://schemas.openxmlformats.org/officeDocument/2006/relationships/hyperlink" Target="https://docs.a-just.beta.gouv.fr/guide-dutilisateur-a-just/ventilateur/extraire-ses-donnees-deeffectifs/le-fichier-excel-de-lextracteur-deeffectifs" TargetMode="External"/><Relationship Id="rId2" Type="http://schemas.openxmlformats.org/officeDocument/2006/relationships/hyperlink" Target="https://docs.a-just.beta.gouv.fr/guide-dutilisateur-a-just/ventilateur/extraire-ses-donnees-deeffectifs/remplir-ses-tableaux-detpt-pour-les-ddg-en-quelques-minutes" TargetMode="External"/><Relationship Id="rId3" Type="http://schemas.openxmlformats.org/officeDocument/2006/relationships/hyperlink" Target="https://docs.a-just.beta.gouv.fr/guide-dutilisateur-a-just/ventilateur/extraire-ses-donnees-deeffectifs/le-fichier-excel-de-lextracteur-deeffectifs" TargetMode="External"/><Relationship Id="rId4" Type="http://schemas.openxmlformats.org/officeDocument/2006/relationships/hyperlink" Target="https://docs.a-just.beta.gouv.fr/guide-dutilisateur-a-just/ventilateur/extraire-ses-donnees-deeffectifs/remplir-ses-tableaux-detpt-pour-les-ddg-en-quelques-minutes" TargetMode="External"/><Relationship Id="rId5" Type="http://schemas.openxmlformats.org/officeDocument/2006/relationships/drawing" Target="../drawings/drawing1.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E4275"/>
  </sheetPr>
  <dimension ref="A1:DV8"/>
  <sheetViews>
    <sheetView workbookViewId="0" zoomScale="110" zoomScaleNormal="110">
      <selection activeCell="AC136" sqref="AC136"/>
    </sheetView>
  </sheetViews>
  <sheetFormatPr defaultRowHeight="15" outlineLevelRow="0" outlineLevelCol="0" x14ac:dyDescent="0.2" defaultColWidth="8.83203125"/>
  <cols>
    <col min="1" max="1" width="16" customWidth="1"/>
    <col min="2" max="2" width="15.5" customWidth="1"/>
    <col min="3" max="4" width="7" customWidth="1"/>
    <col min="5" max="5" width="10.5" customWidth="1"/>
    <col min="6" max="6" width="19" customWidth="1"/>
    <col min="7" max="7" width="15" customWidth="1"/>
    <col min="8" max="11" customWidth="1"/>
    <col min="12" max="124" width="27" customWidth="1"/>
  </cols>
  <sheetData>
    <row r="1" ht="80" customHeight="1" spans="1:126" s="40" customFormat="1" x14ac:dyDescent="0.25">
      <c r="A1" s="41" t="s">
        <v>27</v>
      </c>
      <c r="B1" s="42"/>
      <c r="C1" s="42"/>
      <c r="D1" s="43"/>
      <c r="E1" s="43"/>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4"/>
      <c r="CJ1" s="44"/>
      <c r="CK1" s="44"/>
      <c r="CL1" s="44"/>
      <c r="CM1" s="44"/>
      <c r="CN1" s="44"/>
      <c r="CO1" s="44"/>
      <c r="CP1" s="44"/>
      <c r="CQ1" s="44"/>
      <c r="CR1" s="44"/>
      <c r="CS1" s="44"/>
      <c r="CT1" s="44"/>
      <c r="CU1" s="44"/>
      <c r="CV1" s="44"/>
      <c r="CW1" s="44"/>
      <c r="CX1" s="44"/>
      <c r="CY1" s="44"/>
      <c r="CZ1" s="44"/>
      <c r="DA1" s="44"/>
      <c r="DB1" s="44"/>
      <c r="DC1" s="44"/>
      <c r="DD1" s="44"/>
      <c r="DE1" s="44"/>
      <c r="DF1" s="44"/>
      <c r="DG1" s="44"/>
      <c r="DH1" s="44"/>
      <c r="DI1" s="44"/>
      <c r="DJ1" s="44"/>
      <c r="DK1" s="44"/>
      <c r="DL1" s="44"/>
      <c r="DM1" s="44"/>
      <c r="DN1" s="44"/>
      <c r="DO1" s="44"/>
      <c r="DP1" s="44"/>
      <c r="DQ1" s="44"/>
      <c r="DR1" s="44"/>
      <c r="DS1" s="44"/>
      <c r="DT1" s="44"/>
      <c r="DV1" s="45"/>
    </row>
    <row r="2" ht="66" customHeight="1" spans="1:126" x14ac:dyDescent="0.25">
      <c r="A2" s="46" t="s">
        <v>28</v>
      </c>
      <c r="B2" s="46" t="s">
        <v>29</v>
      </c>
      <c r="C2" s="46" t="s">
        <v>30</v>
      </c>
      <c r="D2" s="46" t="s">
        <v>31</v>
      </c>
      <c r="E2" s="46" t="s">
        <v>32</v>
      </c>
      <c r="F2" s="46" t="s">
        <v>33</v>
      </c>
      <c r="G2" s="46" t="s">
        <v>34</v>
      </c>
      <c r="H2" s="46" t="s">
        <v>35</v>
      </c>
      <c r="I2" s="46" t="s">
        <v>36</v>
      </c>
      <c r="J2" s="46" t="s">
        <v>37</v>
      </c>
      <c r="K2" s="46" t="s">
        <v>38</v>
      </c>
      <c r="L2" s="46" t="s">
        <v>39</v>
      </c>
      <c r="M2" s="46" t="s">
        <v>40</v>
      </c>
      <c r="N2" s="46" t="s">
        <v>41</v>
      </c>
      <c r="O2" s="46" t="s">
        <v>42</v>
      </c>
      <c r="P2" s="46" t="s">
        <v>43</v>
      </c>
      <c r="Q2" s="46" t="s">
        <v>44</v>
      </c>
      <c r="R2" s="46" t="s">
        <v>45</v>
      </c>
      <c r="S2" s="46" t="s">
        <v>46</v>
      </c>
      <c r="T2" s="46" t="s">
        <v>47</v>
      </c>
      <c r="U2" s="46" t="s">
        <v>48</v>
      </c>
      <c r="V2" s="46" t="s">
        <v>49</v>
      </c>
      <c r="W2" s="46" t="s">
        <v>50</v>
      </c>
      <c r="X2" s="46" t="s">
        <v>51</v>
      </c>
      <c r="Y2" s="46" t="s">
        <v>52</v>
      </c>
      <c r="Z2" s="46" t="s">
        <v>53</v>
      </c>
      <c r="AA2" s="46" t="s">
        <v>54</v>
      </c>
      <c r="AB2" s="46" t="s">
        <v>55</v>
      </c>
      <c r="AC2" s="46" t="s">
        <v>56</v>
      </c>
      <c r="AD2" s="46" t="s">
        <v>57</v>
      </c>
      <c r="AE2" s="46" t="s">
        <v>58</v>
      </c>
      <c r="AF2" s="46" t="s">
        <v>59</v>
      </c>
      <c r="AG2" s="46" t="s">
        <v>60</v>
      </c>
      <c r="AH2" s="46" t="s">
        <v>61</v>
      </c>
      <c r="AI2" s="46" t="s">
        <v>62</v>
      </c>
      <c r="AJ2" s="46" t="s">
        <v>63</v>
      </c>
      <c r="AK2" s="46" t="s">
        <v>64</v>
      </c>
      <c r="AL2" s="46" t="s">
        <v>65</v>
      </c>
      <c r="AM2" s="46" t="s">
        <v>66</v>
      </c>
      <c r="AN2" s="46" t="s">
        <v>67</v>
      </c>
      <c r="AO2" s="46" t="s">
        <v>68</v>
      </c>
      <c r="AP2" s="46" t="s">
        <v>69</v>
      </c>
      <c r="AQ2" s="46" t="s">
        <v>70</v>
      </c>
      <c r="AR2" s="46" t="s">
        <v>71</v>
      </c>
      <c r="AS2" s="46" t="s">
        <v>72</v>
      </c>
      <c r="AT2" s="46" t="s">
        <v>73</v>
      </c>
      <c r="AU2" s="46" t="s">
        <v>74</v>
      </c>
      <c r="AV2" s="46" t="s">
        <v>75</v>
      </c>
      <c r="AW2" s="46" t="s">
        <v>76</v>
      </c>
      <c r="AX2" s="46" t="s">
        <v>77</v>
      </c>
      <c r="AY2" s="46" t="s">
        <v>78</v>
      </c>
      <c r="AZ2" s="46" t="s">
        <v>79</v>
      </c>
      <c r="BA2" s="46" t="s">
        <v>80</v>
      </c>
      <c r="BB2" s="46" t="s">
        <v>81</v>
      </c>
      <c r="BC2" s="46" t="s">
        <v>82</v>
      </c>
      <c r="BD2" s="46" t="s">
        <v>83</v>
      </c>
      <c r="BE2" s="46" t="s">
        <v>84</v>
      </c>
      <c r="BF2" s="46" t="s">
        <v>85</v>
      </c>
      <c r="BG2" s="46" t="s">
        <v>86</v>
      </c>
      <c r="BH2" s="46" t="s">
        <v>87</v>
      </c>
      <c r="BI2" s="46" t="s">
        <v>88</v>
      </c>
      <c r="BJ2" s="46" t="s">
        <v>89</v>
      </c>
      <c r="BK2" s="46" t="s">
        <v>90</v>
      </c>
      <c r="BL2" s="46" t="s">
        <v>91</v>
      </c>
      <c r="BM2" s="46" t="s">
        <v>92</v>
      </c>
      <c r="BN2" s="46" t="s">
        <v>93</v>
      </c>
      <c r="BO2" s="46" t="s">
        <v>94</v>
      </c>
      <c r="BP2" s="46" t="s">
        <v>95</v>
      </c>
      <c r="BQ2" s="46" t="s">
        <v>96</v>
      </c>
      <c r="BR2" s="46" t="s">
        <v>97</v>
      </c>
      <c r="BS2" s="46" t="s">
        <v>98</v>
      </c>
      <c r="BT2" s="46" t="s">
        <v>99</v>
      </c>
      <c r="BU2" s="46" t="s">
        <v>100</v>
      </c>
      <c r="BV2" s="46" t="s">
        <v>101</v>
      </c>
      <c r="BW2" s="46" t="s">
        <v>102</v>
      </c>
      <c r="BX2" s="46" t="s">
        <v>103</v>
      </c>
      <c r="BY2" s="46" t="s">
        <v>104</v>
      </c>
      <c r="BZ2" s="46" t="s">
        <v>105</v>
      </c>
      <c r="CA2" s="46" t="s">
        <v>106</v>
      </c>
      <c r="CB2" s="46" t="s">
        <v>107</v>
      </c>
      <c r="CC2" s="46" t="s">
        <v>108</v>
      </c>
      <c r="CD2" s="46" t="s">
        <v>109</v>
      </c>
      <c r="CE2" s="46" t="s">
        <v>110</v>
      </c>
      <c r="CF2" s="46" t="s">
        <v>111</v>
      </c>
      <c r="CG2" s="46" t="s">
        <v>112</v>
      </c>
      <c r="CH2" s="46" t="s">
        <v>113</v>
      </c>
      <c r="CI2" s="46" t="s">
        <v>114</v>
      </c>
      <c r="CJ2" s="46" t="s">
        <v>115</v>
      </c>
      <c r="CK2" s="46" t="s">
        <v>116</v>
      </c>
      <c r="CL2" s="46" t="s">
        <v>117</v>
      </c>
      <c r="CM2" s="46" t="s">
        <v>118</v>
      </c>
      <c r="CN2" s="46" t="s">
        <v>119</v>
      </c>
      <c r="CO2" s="46" t="s">
        <v>120</v>
      </c>
      <c r="CP2" s="46" t="s">
        <v>121</v>
      </c>
      <c r="CQ2" s="46" t="s">
        <v>122</v>
      </c>
      <c r="CR2" s="46" t="s">
        <v>123</v>
      </c>
      <c r="CS2" s="46" t="s">
        <v>124</v>
      </c>
      <c r="CT2" s="46" t="s">
        <v>125</v>
      </c>
      <c r="CU2" s="46" t="s">
        <v>126</v>
      </c>
      <c r="CV2" s="46" t="s">
        <v>127</v>
      </c>
      <c r="CW2" s="46" t="s">
        <v>128</v>
      </c>
      <c r="CX2" s="46" t="s">
        <v>129</v>
      </c>
      <c r="CY2" s="46" t="s">
        <v>130</v>
      </c>
      <c r="CZ2" s="46" t="s">
        <v>131</v>
      </c>
      <c r="DA2" s="46" t="s">
        <v>132</v>
      </c>
      <c r="DB2" s="46" t="s">
        <v>133</v>
      </c>
      <c r="DC2" s="46" t="s">
        <v>134</v>
      </c>
      <c r="DD2" s="46" t="s">
        <v>135</v>
      </c>
      <c r="DE2" s="46" t="s">
        <v>136</v>
      </c>
      <c r="DF2" s="46" t="s">
        <v>137</v>
      </c>
      <c r="DG2" s="46" t="s">
        <v>138</v>
      </c>
      <c r="DH2" s="46" t="s">
        <v>139</v>
      </c>
      <c r="DI2" s="46" t="s">
        <v>140</v>
      </c>
      <c r="DJ2" s="46" t="s">
        <v>141</v>
      </c>
      <c r="DK2" s="46" t="s">
        <v>142</v>
      </c>
      <c r="DL2" s="46" t="s">
        <v>143</v>
      </c>
      <c r="DM2" s="46" t="s">
        <v>144</v>
      </c>
      <c r="DN2" s="46" t="s">
        <v>145</v>
      </c>
      <c r="DO2" s="46" t="s">
        <v>146</v>
      </c>
      <c r="DP2" s="46" t="s">
        <v>147</v>
      </c>
      <c r="DQ2" s="46" t="s">
        <v>148</v>
      </c>
      <c r="DR2" s="46" t="s">
        <v>149</v>
      </c>
      <c r="DS2" s="46" t="s">
        <v>150</v>
      </c>
      <c r="DT2" s="46" t="s">
        <v>151</v>
      </c>
      <c r="DV2" s="1"/>
    </row>
    <row r="3" spans="1:126" x14ac:dyDescent="0.25">
      <c r="A3" s="47" t="s">
        <v>152</v>
      </c>
      <c r="B3" s="47" t="s">
        <v>153</v>
      </c>
      <c r="C3" s="47" t="s">
        <v>154</v>
      </c>
      <c r="D3" s="47" t="s">
        <v>154</v>
      </c>
      <c r="E3" s="47"/>
      <c r="F3" s="47" t="s">
        <v>155</v>
      </c>
      <c r="G3" s="47" t="s">
        <v>156</v>
      </c>
      <c r="H3" s="47" t="str">
        <f>=IFERROR(VLOOKUP(A3,'ETPT Format DDG'!A:J,10,FALSE),"")</f>
        <v>0</v>
      </c>
      <c r="I3" s="47" t="str">
        <f>='ETPT Format DDG'!M3</f>
        <v/>
      </c>
      <c r="J3" s="47" t="str">
        <f>='ETPT Format DDG'!D3</f>
        <v/>
      </c>
      <c r="K3" s="47" t="s">
        <v>157</v>
      </c>
      <c r="L3" s="47" t="s">
        <v>158</v>
      </c>
      <c r="M3" s="47"/>
      <c r="N3" s="47">
        <v>0.25526315789473686</v>
      </c>
      <c r="O3" s="47">
        <v>0.25526315789473686</v>
      </c>
      <c r="P3" s="47">
        <v>0</v>
      </c>
      <c r="Q3" s="47">
        <v>0</v>
      </c>
      <c r="R3" s="47">
        <v>0</v>
      </c>
      <c r="S3" s="47">
        <v>0</v>
      </c>
      <c r="T3" s="47">
        <v>0</v>
      </c>
      <c r="U3" s="47">
        <v>0</v>
      </c>
      <c r="V3" s="47">
        <v>0</v>
      </c>
      <c r="W3" s="47">
        <v>0</v>
      </c>
      <c r="X3" s="47">
        <v>0</v>
      </c>
      <c r="Y3" s="47">
        <v>0</v>
      </c>
      <c r="Z3" s="47">
        <v>0</v>
      </c>
      <c r="AA3" s="47">
        <v>0</v>
      </c>
      <c r="AB3" s="47">
        <v>0</v>
      </c>
      <c r="AC3" s="47">
        <v>0</v>
      </c>
      <c r="AD3" s="47">
        <v>0</v>
      </c>
      <c r="AE3" s="47">
        <v>0</v>
      </c>
      <c r="AF3" s="47">
        <v>0</v>
      </c>
      <c r="AG3" s="47">
        <v>0</v>
      </c>
      <c r="AH3" s="47">
        <v>0</v>
      </c>
      <c r="AI3" s="47">
        <v>0</v>
      </c>
      <c r="AJ3" s="47">
        <v>0</v>
      </c>
      <c r="AK3" s="47">
        <v>0</v>
      </c>
      <c r="AL3" s="47">
        <v>0</v>
      </c>
      <c r="AM3" s="47">
        <v>0</v>
      </c>
      <c r="AN3" s="47">
        <v>0</v>
      </c>
      <c r="AO3" s="47">
        <v>0</v>
      </c>
      <c r="AP3" s="47">
        <v>0</v>
      </c>
      <c r="AQ3" s="47">
        <v>0</v>
      </c>
      <c r="AR3" s="47">
        <v>0</v>
      </c>
      <c r="AS3" s="47">
        <v>0</v>
      </c>
      <c r="AT3" s="47">
        <v>0</v>
      </c>
      <c r="AU3" s="47">
        <v>0</v>
      </c>
      <c r="AV3" s="47">
        <v>0</v>
      </c>
      <c r="AW3" s="47">
        <v>0</v>
      </c>
      <c r="AX3" s="47">
        <v>0</v>
      </c>
      <c r="AY3" s="47">
        <v>0</v>
      </c>
      <c r="AZ3" s="47">
        <v>0</v>
      </c>
      <c r="BA3" s="47">
        <v>0</v>
      </c>
      <c r="BB3" s="47">
        <v>0</v>
      </c>
      <c r="BC3" s="47">
        <v>0</v>
      </c>
      <c r="BD3" s="47">
        <v>0</v>
      </c>
      <c r="BE3" s="47">
        <v>0</v>
      </c>
      <c r="BF3" s="47">
        <v>0</v>
      </c>
      <c r="BG3" s="47">
        <v>0</v>
      </c>
      <c r="BH3" s="47">
        <v>0</v>
      </c>
      <c r="BI3" s="47">
        <v>0</v>
      </c>
      <c r="BJ3" s="47">
        <v>0</v>
      </c>
      <c r="BK3" s="47">
        <v>0</v>
      </c>
      <c r="BL3" s="47">
        <v>0</v>
      </c>
      <c r="BM3" s="47">
        <v>0</v>
      </c>
      <c r="BN3" s="47">
        <v>0</v>
      </c>
      <c r="BO3" s="47">
        <v>0</v>
      </c>
      <c r="BP3" s="47">
        <v>0</v>
      </c>
      <c r="BQ3" s="47">
        <v>0</v>
      </c>
      <c r="BR3" s="47">
        <v>0</v>
      </c>
      <c r="BS3" s="47">
        <v>0</v>
      </c>
      <c r="BT3" s="47">
        <v>0</v>
      </c>
      <c r="BU3" s="47">
        <v>0</v>
      </c>
      <c r="BV3" s="47">
        <v>0</v>
      </c>
      <c r="BW3" s="47">
        <v>0</v>
      </c>
      <c r="BX3" s="47">
        <v>0</v>
      </c>
      <c r="BY3" s="47">
        <v>0</v>
      </c>
      <c r="BZ3" s="47">
        <v>0</v>
      </c>
      <c r="CA3" s="47">
        <v>0</v>
      </c>
      <c r="CB3" s="47">
        <v>0</v>
      </c>
      <c r="CC3" s="47">
        <v>0</v>
      </c>
      <c r="CD3" s="47">
        <v>0</v>
      </c>
      <c r="CE3" s="47">
        <v>0</v>
      </c>
      <c r="CF3" s="47">
        <v>0</v>
      </c>
      <c r="CG3" s="47">
        <v>0</v>
      </c>
      <c r="CH3" s="47">
        <v>0</v>
      </c>
      <c r="CI3" s="47">
        <v>0</v>
      </c>
      <c r="CJ3" s="47">
        <v>0</v>
      </c>
      <c r="CK3" s="47">
        <v>0</v>
      </c>
      <c r="CL3" s="47">
        <v>0</v>
      </c>
      <c r="CM3" s="47">
        <v>0</v>
      </c>
      <c r="CN3" s="47">
        <v>0</v>
      </c>
      <c r="CO3" s="47">
        <v>0</v>
      </c>
      <c r="CP3" s="47">
        <v>0</v>
      </c>
      <c r="CQ3" s="47">
        <v>0</v>
      </c>
      <c r="CR3" s="47">
        <v>0</v>
      </c>
      <c r="CS3" s="47">
        <v>0</v>
      </c>
      <c r="CT3" s="47">
        <v>0.25526315789473686</v>
      </c>
      <c r="CU3" s="47">
        <v>0</v>
      </c>
      <c r="CV3" s="47">
        <v>0</v>
      </c>
      <c r="CW3" s="47">
        <v>0</v>
      </c>
      <c r="CX3" s="47">
        <v>0.25526315789473686</v>
      </c>
      <c r="CY3" s="47">
        <v>0</v>
      </c>
      <c r="CZ3" s="47">
        <v>0</v>
      </c>
      <c r="DA3" s="47">
        <v>0</v>
      </c>
      <c r="DB3" s="47">
        <v>0</v>
      </c>
      <c r="DC3" s="47">
        <v>0</v>
      </c>
      <c r="DD3" s="47">
        <v>0</v>
      </c>
      <c r="DE3" s="47">
        <v>0</v>
      </c>
      <c r="DF3" s="47">
        <v>0</v>
      </c>
      <c r="DG3" s="47">
        <v>0</v>
      </c>
      <c r="DH3" s="47">
        <v>0</v>
      </c>
      <c r="DI3" s="47">
        <v>0</v>
      </c>
      <c r="DJ3" s="47">
        <v>0</v>
      </c>
      <c r="DK3" s="47">
        <v>0</v>
      </c>
      <c r="DL3" s="47">
        <v>0</v>
      </c>
      <c r="DM3" s="47">
        <v>0</v>
      </c>
      <c r="DN3" s="47">
        <v>0</v>
      </c>
      <c r="DO3" s="47">
        <v>0</v>
      </c>
      <c r="DP3" s="47">
        <v>0</v>
      </c>
      <c r="DQ3" s="47">
        <v>0</v>
      </c>
      <c r="DR3" s="47">
        <v>0</v>
      </c>
      <c r="DS3" s="47">
        <v>0</v>
      </c>
      <c r="DT3" s="47">
        <v>0</v>
      </c>
    </row>
    <row r="4" spans="1:126" x14ac:dyDescent="0.25">
      <c r="A4" s="47" t="s">
        <v>159</v>
      </c>
      <c r="B4" s="47" t="s">
        <v>153</v>
      </c>
      <c r="C4" s="47" t="s">
        <v>160</v>
      </c>
      <c r="D4" s="47" t="s">
        <v>160</v>
      </c>
      <c r="E4" s="47"/>
      <c r="F4" s="47" t="s">
        <v>155</v>
      </c>
      <c r="G4" s="47" t="s">
        <v>161</v>
      </c>
      <c r="H4" s="47" t="str">
        <f>=IFERROR(VLOOKUP(A4,'ETPT Format DDG'!A:J,10,FALSE),"")</f>
        <v>0</v>
      </c>
      <c r="I4" s="47" t="str">
        <f>='ETPT Format DDG'!M4</f>
        <v/>
      </c>
      <c r="J4" s="47" t="str">
        <f>='ETPT Format DDG'!D4</f>
        <v/>
      </c>
      <c r="K4" s="47" t="s">
        <v>157</v>
      </c>
      <c r="L4" s="47" t="s">
        <v>162</v>
      </c>
      <c r="M4" s="47"/>
      <c r="N4" s="47">
        <v>1</v>
      </c>
      <c r="O4" s="47">
        <v>0.9499999999999977</v>
      </c>
      <c r="P4" s="47">
        <v>0</v>
      </c>
      <c r="Q4" s="47">
        <v>0</v>
      </c>
      <c r="R4" s="47">
        <v>0</v>
      </c>
      <c r="S4" s="47">
        <v>0</v>
      </c>
      <c r="T4" s="47">
        <v>0</v>
      </c>
      <c r="U4" s="47">
        <v>0</v>
      </c>
      <c r="V4" s="47">
        <v>0</v>
      </c>
      <c r="W4" s="47">
        <v>0</v>
      </c>
      <c r="X4" s="47">
        <v>0</v>
      </c>
      <c r="Y4" s="47">
        <v>0</v>
      </c>
      <c r="Z4" s="47">
        <v>0</v>
      </c>
      <c r="AA4" s="47">
        <v>0</v>
      </c>
      <c r="AB4" s="47">
        <v>0</v>
      </c>
      <c r="AC4" s="47">
        <v>0</v>
      </c>
      <c r="AD4" s="47">
        <v>0</v>
      </c>
      <c r="AE4" s="47">
        <v>0</v>
      </c>
      <c r="AF4" s="47">
        <v>0</v>
      </c>
      <c r="AG4" s="47">
        <v>0</v>
      </c>
      <c r="AH4" s="47">
        <v>0</v>
      </c>
      <c r="AI4" s="47">
        <v>0</v>
      </c>
      <c r="AJ4" s="47">
        <v>0</v>
      </c>
      <c r="AK4" s="47">
        <v>0</v>
      </c>
      <c r="AL4" s="47">
        <v>0</v>
      </c>
      <c r="AM4" s="47">
        <v>0</v>
      </c>
      <c r="AN4" s="47">
        <v>0</v>
      </c>
      <c r="AO4" s="47">
        <v>0</v>
      </c>
      <c r="AP4" s="47">
        <v>0</v>
      </c>
      <c r="AQ4" s="47">
        <v>0</v>
      </c>
      <c r="AR4" s="47">
        <v>0</v>
      </c>
      <c r="AS4" s="47">
        <v>0</v>
      </c>
      <c r="AT4" s="47">
        <v>0</v>
      </c>
      <c r="AU4" s="47">
        <v>0</v>
      </c>
      <c r="AV4" s="47">
        <v>0</v>
      </c>
      <c r="AW4" s="47">
        <v>0</v>
      </c>
      <c r="AX4" s="47">
        <v>0</v>
      </c>
      <c r="AY4" s="47">
        <v>0</v>
      </c>
      <c r="AZ4" s="47">
        <v>0</v>
      </c>
      <c r="BA4" s="47">
        <v>0</v>
      </c>
      <c r="BB4" s="47">
        <v>0</v>
      </c>
      <c r="BC4" s="47">
        <v>0</v>
      </c>
      <c r="BD4" s="47">
        <v>0</v>
      </c>
      <c r="BE4" s="47">
        <v>0</v>
      </c>
      <c r="BF4" s="47">
        <v>0</v>
      </c>
      <c r="BG4" s="47">
        <v>0</v>
      </c>
      <c r="BH4" s="47">
        <v>0</v>
      </c>
      <c r="BI4" s="47">
        <v>0</v>
      </c>
      <c r="BJ4" s="47">
        <v>0</v>
      </c>
      <c r="BK4" s="47">
        <v>0</v>
      </c>
      <c r="BL4" s="47">
        <v>0</v>
      </c>
      <c r="BM4" s="47">
        <v>0</v>
      </c>
      <c r="BN4" s="47">
        <v>0</v>
      </c>
      <c r="BO4" s="47">
        <v>0.05000000000000036</v>
      </c>
      <c r="BP4" s="47">
        <v>0</v>
      </c>
      <c r="BQ4" s="47">
        <v>0</v>
      </c>
      <c r="BR4" s="47">
        <v>0</v>
      </c>
      <c r="BS4" s="47">
        <v>0</v>
      </c>
      <c r="BT4" s="47">
        <v>0</v>
      </c>
      <c r="BU4" s="47">
        <v>0</v>
      </c>
      <c r="BV4" s="47">
        <v>0</v>
      </c>
      <c r="BW4" s="47">
        <v>0</v>
      </c>
      <c r="BX4" s="47">
        <v>0</v>
      </c>
      <c r="BY4" s="47">
        <v>0</v>
      </c>
      <c r="BZ4" s="47">
        <v>0</v>
      </c>
      <c r="CA4" s="47">
        <v>0</v>
      </c>
      <c r="CB4" s="47">
        <v>0</v>
      </c>
      <c r="CC4" s="47">
        <v>0</v>
      </c>
      <c r="CD4" s="47">
        <v>0</v>
      </c>
      <c r="CE4" s="47">
        <v>0</v>
      </c>
      <c r="CF4" s="47">
        <v>0</v>
      </c>
      <c r="CG4" s="47">
        <v>0</v>
      </c>
      <c r="CH4" s="47">
        <v>0</v>
      </c>
      <c r="CI4" s="47">
        <v>0</v>
      </c>
      <c r="CJ4" s="47">
        <v>0</v>
      </c>
      <c r="CK4" s="47">
        <v>0</v>
      </c>
      <c r="CL4" s="47">
        <v>0</v>
      </c>
      <c r="CM4" s="47">
        <v>0</v>
      </c>
      <c r="CN4" s="47">
        <v>0</v>
      </c>
      <c r="CO4" s="47">
        <v>0</v>
      </c>
      <c r="CP4" s="47">
        <v>0</v>
      </c>
      <c r="CQ4" s="47">
        <v>0</v>
      </c>
      <c r="CR4" s="47">
        <v>0</v>
      </c>
      <c r="CS4" s="47">
        <v>0</v>
      </c>
      <c r="CT4" s="47">
        <v>0.8999999999999974</v>
      </c>
      <c r="CU4" s="47">
        <v>0.75</v>
      </c>
      <c r="CV4" s="47">
        <v>0</v>
      </c>
      <c r="CW4" s="47">
        <v>0</v>
      </c>
      <c r="CX4" s="47">
        <v>0.14999999999999905</v>
      </c>
      <c r="CY4" s="47">
        <v>0</v>
      </c>
      <c r="CZ4" s="47">
        <v>0</v>
      </c>
      <c r="DA4" s="47">
        <v>0</v>
      </c>
      <c r="DB4" s="47">
        <v>0</v>
      </c>
      <c r="DC4" s="47">
        <v>0</v>
      </c>
      <c r="DD4" s="47">
        <v>0</v>
      </c>
      <c r="DE4" s="47">
        <v>0</v>
      </c>
      <c r="DF4" s="47">
        <v>0</v>
      </c>
      <c r="DG4" s="47">
        <v>0</v>
      </c>
      <c r="DH4" s="47">
        <v>0</v>
      </c>
      <c r="DI4" s="47">
        <v>0</v>
      </c>
      <c r="DJ4" s="47">
        <v>0</v>
      </c>
      <c r="DK4" s="47">
        <v>0</v>
      </c>
      <c r="DL4" s="47">
        <v>0</v>
      </c>
      <c r="DM4" s="47">
        <v>0</v>
      </c>
      <c r="DN4" s="47">
        <v>0</v>
      </c>
      <c r="DO4" s="47">
        <v>0</v>
      </c>
      <c r="DP4" s="47">
        <v>0</v>
      </c>
      <c r="DQ4" s="47">
        <v>0</v>
      </c>
      <c r="DR4" s="47">
        <v>0</v>
      </c>
      <c r="DS4" s="47">
        <v>0</v>
      </c>
      <c r="DT4" s="47">
        <v>0</v>
      </c>
    </row>
    <row r="5" spans="1:2" x14ac:dyDescent="0.25">
      <c r="B5" s="48"/>
    </row>
    <row r="7" spans="1:3" x14ac:dyDescent="0.25">
      <c r="A7" s="49"/>
      <c r="C7" s="50"/>
    </row>
    <row r="8" spans="3:3" x14ac:dyDescent="0.25">
      <c r="C8" s="50"/>
    </row>
  </sheetData>
  <sheetProtection sheet="1" sort="0" autoFilter="0"/>
  <autoFilter ref="A2:DN2"/>
  <pageMargins left="0.7" right="0.7" top="0.75" bottom="0.75" header="0.3" footer="0.3"/>
  <pageSetup paperSize="9" orientation="portrait" horizontalDpi="4294967295" verticalDpi="0" scale="100" fitToWidth="1" fitToHeight="1" firstPageNumber="1" useFirstPageNumber="1" copies="1"/>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C45E0"/>
  </sheetPr>
  <dimension ref="A1:ZZ5"/>
  <sheetViews>
    <sheetView workbookViewId="0" zoomScale="100" zoomScaleNormal="110">
      <pane xSplit="6" ySplit="2" topLeftCell="G3" activePane="bottomRight" state="frozen"/>
      <selection pane="bottomRight" activeCell="A3" sqref="A3"/>
    </sheetView>
  </sheetViews>
  <sheetFormatPr defaultRowHeight="15" outlineLevelRow="0" outlineLevelCol="0" x14ac:dyDescent="0.2"/>
  <cols>
    <col min="1" max="3" customWidth="1"/>
    <col min="4" max="4" width="12.5" customWidth="1"/>
    <col min="5" max="6" width="7" customWidth="1"/>
    <col min="7" max="7" width="10.5" customWidth="1"/>
    <col min="8" max="8" width="19" customWidth="1"/>
    <col min="9" max="9" width="20" customWidth="1"/>
    <col min="10" max="13" customWidth="1"/>
    <col min="14" max="17" width="26" customWidth="1"/>
    <col min="18" max="131" width="27" customWidth="1"/>
  </cols>
  <sheetData>
    <row r="1" ht="80" customHeight="1" spans="1:133" s="40" customFormat="1" x14ac:dyDescent="0.25">
      <c r="A1" s="41"/>
      <c r="B1" s="41"/>
      <c r="C1" s="41"/>
      <c r="D1" s="51" t="s">
        <v>163</v>
      </c>
      <c r="E1" s="51"/>
      <c r="F1" s="51"/>
      <c r="G1" s="51"/>
      <c r="H1" s="51"/>
      <c r="I1" s="51"/>
      <c r="J1" s="51"/>
      <c r="K1" s="51"/>
      <c r="L1" s="51"/>
      <c r="M1" s="51"/>
      <c r="N1" s="51"/>
      <c r="O1" s="51"/>
      <c r="P1" s="51"/>
      <c r="Q1" s="51"/>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4"/>
      <c r="CJ1" s="44"/>
      <c r="CK1" s="44"/>
      <c r="CL1" s="44"/>
      <c r="CM1" s="44"/>
      <c r="CN1" s="44"/>
      <c r="CO1" s="44"/>
      <c r="CP1" s="44"/>
      <c r="CQ1" s="44"/>
      <c r="CR1" s="44"/>
      <c r="CS1" s="44"/>
      <c r="CT1" s="44"/>
      <c r="CU1" s="44"/>
      <c r="CV1" s="44"/>
      <c r="CW1" s="44"/>
      <c r="CX1" s="44"/>
      <c r="CY1" s="44"/>
      <c r="CZ1" s="44"/>
      <c r="DA1" s="44"/>
      <c r="DB1" s="44"/>
      <c r="DC1" s="44"/>
      <c r="DD1" s="44"/>
      <c r="DE1" s="44"/>
      <c r="DF1" s="44"/>
      <c r="DG1" s="44"/>
      <c r="DH1" s="44"/>
      <c r="DI1" s="44"/>
      <c r="DJ1" s="44"/>
      <c r="DK1" s="44"/>
      <c r="DL1" s="44"/>
      <c r="DM1" s="44"/>
      <c r="DN1" s="44"/>
      <c r="DO1" s="44"/>
      <c r="DP1" s="44"/>
      <c r="DQ1" s="44"/>
      <c r="DR1" s="44"/>
      <c r="DS1" s="44"/>
      <c r="DT1" s="44"/>
      <c r="DU1" s="44"/>
      <c r="DV1" s="44"/>
      <c r="DW1" s="44"/>
      <c r="DX1" s="44"/>
      <c r="DY1" s="44"/>
      <c r="DZ1" s="44"/>
      <c r="EA1" s="44"/>
      <c r="EC1" s="40"/>
    </row>
    <row r="2" ht="66" customHeight="1" spans="1:133" x14ac:dyDescent="0.25">
      <c r="A2" s="46" t="s">
        <v>28</v>
      </c>
      <c r="B2" s="46" t="s">
        <v>29</v>
      </c>
      <c r="C2" s="46" t="s">
        <v>38</v>
      </c>
      <c r="D2" s="46" t="s">
        <v>37</v>
      </c>
      <c r="E2" s="46" t="s">
        <v>30</v>
      </c>
      <c r="F2" s="46" t="s">
        <v>31</v>
      </c>
      <c r="G2" s="46" t="s">
        <v>32</v>
      </c>
      <c r="H2" s="46" t="s">
        <v>33</v>
      </c>
      <c r="I2" s="46" t="s">
        <v>34</v>
      </c>
      <c r="J2" s="46" t="s">
        <v>35</v>
      </c>
      <c r="K2" s="46" t="s">
        <v>164</v>
      </c>
      <c r="L2" s="46" t="s">
        <v>165</v>
      </c>
      <c r="M2" s="46" t="s">
        <v>36</v>
      </c>
      <c r="N2" s="46" t="s">
        <v>39</v>
      </c>
      <c r="O2" s="46" t="s">
        <v>40</v>
      </c>
      <c r="P2" s="46" t="s">
        <v>166</v>
      </c>
      <c r="Q2" s="46" t="s">
        <v>167</v>
      </c>
      <c r="R2" s="46" t="s">
        <v>168</v>
      </c>
      <c r="S2" s="46" t="s">
        <v>169</v>
      </c>
      <c r="T2" s="46" t="s">
        <v>170</v>
      </c>
      <c r="U2" s="46" t="s">
        <v>43</v>
      </c>
      <c r="V2" s="46" t="s">
        <v>44</v>
      </c>
      <c r="W2" s="46" t="s">
        <v>45</v>
      </c>
      <c r="X2" s="46" t="s">
        <v>46</v>
      </c>
      <c r="Y2" s="46" t="s">
        <v>47</v>
      </c>
      <c r="Z2" s="46" t="s">
        <v>48</v>
      </c>
      <c r="AA2" s="46" t="s">
        <v>49</v>
      </c>
      <c r="AB2" s="46" t="s">
        <v>50</v>
      </c>
      <c r="AC2" s="46" t="s">
        <v>51</v>
      </c>
      <c r="AD2" s="46" t="s">
        <v>52</v>
      </c>
      <c r="AE2" s="46" t="s">
        <v>53</v>
      </c>
      <c r="AF2" s="46" t="s">
        <v>54</v>
      </c>
      <c r="AG2" s="46" t="s">
        <v>55</v>
      </c>
      <c r="AH2" s="46" t="s">
        <v>56</v>
      </c>
      <c r="AI2" s="46" t="s">
        <v>57</v>
      </c>
      <c r="AJ2" s="46" t="s">
        <v>58</v>
      </c>
      <c r="AK2" s="46" t="s">
        <v>59</v>
      </c>
      <c r="AL2" s="46" t="s">
        <v>60</v>
      </c>
      <c r="AM2" s="46" t="s">
        <v>61</v>
      </c>
      <c r="AN2" s="46" t="s">
        <v>62</v>
      </c>
      <c r="AO2" s="46" t="s">
        <v>63</v>
      </c>
      <c r="AP2" s="46" t="s">
        <v>64</v>
      </c>
      <c r="AQ2" s="46" t="s">
        <v>65</v>
      </c>
      <c r="AR2" s="46" t="s">
        <v>66</v>
      </c>
      <c r="AS2" s="46" t="s">
        <v>67</v>
      </c>
      <c r="AT2" s="46" t="s">
        <v>68</v>
      </c>
      <c r="AU2" s="46" t="s">
        <v>69</v>
      </c>
      <c r="AV2" s="46" t="s">
        <v>70</v>
      </c>
      <c r="AW2" s="46" t="s">
        <v>71</v>
      </c>
      <c r="AX2" s="46" t="s">
        <v>72</v>
      </c>
      <c r="AY2" s="46" t="s">
        <v>73</v>
      </c>
      <c r="AZ2" s="46" t="s">
        <v>74</v>
      </c>
      <c r="BA2" s="46" t="s">
        <v>75</v>
      </c>
      <c r="BB2" s="46" t="s">
        <v>76</v>
      </c>
      <c r="BC2" s="46" t="s">
        <v>77</v>
      </c>
      <c r="BD2" s="46" t="s">
        <v>78</v>
      </c>
      <c r="BE2" s="46" t="s">
        <v>79</v>
      </c>
      <c r="BF2" s="46" t="s">
        <v>80</v>
      </c>
      <c r="BG2" s="46" t="s">
        <v>81</v>
      </c>
      <c r="BH2" s="46" t="s">
        <v>82</v>
      </c>
      <c r="BI2" s="46" t="s">
        <v>83</v>
      </c>
      <c r="BJ2" s="46" t="s">
        <v>84</v>
      </c>
      <c r="BK2" s="46" t="s">
        <v>85</v>
      </c>
      <c r="BL2" s="46" t="s">
        <v>86</v>
      </c>
      <c r="BM2" s="46" t="s">
        <v>87</v>
      </c>
      <c r="BN2" s="46" t="s">
        <v>88</v>
      </c>
      <c r="BO2" s="46" t="s">
        <v>89</v>
      </c>
      <c r="BP2" s="46" t="s">
        <v>90</v>
      </c>
      <c r="BQ2" s="46" t="s">
        <v>91</v>
      </c>
      <c r="BR2" s="46" t="s">
        <v>92</v>
      </c>
      <c r="BS2" s="46" t="s">
        <v>93</v>
      </c>
      <c r="BT2" s="46" t="s">
        <v>94</v>
      </c>
      <c r="BU2" s="46" t="s">
        <v>95</v>
      </c>
      <c r="BV2" s="46" t="s">
        <v>96</v>
      </c>
      <c r="BW2" s="46" t="s">
        <v>97</v>
      </c>
      <c r="BX2" s="46" t="s">
        <v>98</v>
      </c>
      <c r="BY2" s="46" t="s">
        <v>99</v>
      </c>
      <c r="BZ2" s="46" t="s">
        <v>100</v>
      </c>
      <c r="CA2" s="46" t="s">
        <v>101</v>
      </c>
      <c r="CB2" s="46" t="s">
        <v>102</v>
      </c>
      <c r="CC2" s="46" t="s">
        <v>103</v>
      </c>
      <c r="CD2" s="46" t="s">
        <v>104</v>
      </c>
      <c r="CE2" s="46" t="s">
        <v>105</v>
      </c>
      <c r="CF2" s="46" t="s">
        <v>106</v>
      </c>
      <c r="CG2" s="46" t="s">
        <v>107</v>
      </c>
      <c r="CH2" s="46" t="s">
        <v>108</v>
      </c>
      <c r="CI2" s="46" t="s">
        <v>109</v>
      </c>
      <c r="CJ2" s="46" t="s">
        <v>110</v>
      </c>
      <c r="CK2" s="46" t="s">
        <v>111</v>
      </c>
      <c r="CL2" s="46" t="s">
        <v>112</v>
      </c>
      <c r="CM2" s="46" t="s">
        <v>113</v>
      </c>
      <c r="CN2" s="46" t="s">
        <v>114</v>
      </c>
      <c r="CO2" s="46" t="s">
        <v>115</v>
      </c>
      <c r="CP2" s="46" t="s">
        <v>116</v>
      </c>
      <c r="CQ2" s="46" t="s">
        <v>117</v>
      </c>
      <c r="CR2" s="46" t="s">
        <v>118</v>
      </c>
      <c r="CS2" s="46" t="s">
        <v>119</v>
      </c>
      <c r="CT2" s="46" t="s">
        <v>120</v>
      </c>
      <c r="CU2" s="46" t="s">
        <v>121</v>
      </c>
      <c r="CV2" s="46" t="s">
        <v>122</v>
      </c>
      <c r="CW2" s="46" t="s">
        <v>123</v>
      </c>
      <c r="CX2" s="46" t="s">
        <v>124</v>
      </c>
      <c r="CY2" s="46" t="s">
        <v>125</v>
      </c>
      <c r="CZ2" s="46" t="s">
        <v>126</v>
      </c>
      <c r="DA2" s="46" t="s">
        <v>127</v>
      </c>
      <c r="DB2" s="46" t="s">
        <v>128</v>
      </c>
      <c r="DC2" s="46" t="s">
        <v>129</v>
      </c>
      <c r="DD2" s="46" t="s">
        <v>130</v>
      </c>
      <c r="DE2" s="46" t="s">
        <v>131</v>
      </c>
      <c r="DF2" s="46" t="s">
        <v>132</v>
      </c>
      <c r="DG2" s="46" t="s">
        <v>133</v>
      </c>
      <c r="DH2" s="46" t="s">
        <v>134</v>
      </c>
      <c r="DI2" s="46" t="s">
        <v>135</v>
      </c>
      <c r="DJ2" s="46" t="s">
        <v>136</v>
      </c>
      <c r="DK2" s="46" t="s">
        <v>171</v>
      </c>
      <c r="DL2" s="46" t="s">
        <v>142</v>
      </c>
      <c r="DM2" s="46" t="s">
        <v>143</v>
      </c>
      <c r="DN2" s="46" t="s">
        <v>144</v>
      </c>
      <c r="DO2" s="46" t="s">
        <v>145</v>
      </c>
      <c r="DP2" s="46" t="s">
        <v>146</v>
      </c>
      <c r="DQ2" s="46" t="s">
        <v>147</v>
      </c>
      <c r="DR2" s="46" t="s">
        <v>148</v>
      </c>
      <c r="DS2" s="46" t="s">
        <v>149</v>
      </c>
      <c r="DT2" s="46" t="s">
        <v>150</v>
      </c>
      <c r="DU2" s="46" t="s">
        <v>151</v>
      </c>
      <c r="DV2" s="46" t="s">
        <v>172</v>
      </c>
      <c r="DW2" s="46" t="s">
        <v>173</v>
      </c>
      <c r="DX2" s="46" t="s">
        <v>138</v>
      </c>
      <c r="DY2" s="46" t="s">
        <v>139</v>
      </c>
      <c r="DZ2" s="46" t="s">
        <v>140</v>
      </c>
      <c r="EA2" s="46" t="s">
        <v>174</v>
      </c>
    </row>
    <row r="3" spans="1:702" x14ac:dyDescent="0.25">
      <c r="A3" s="47" t="s">
        <v>152</v>
      </c>
      <c r="B3" s="47" t="s">
        <v>153</v>
      </c>
      <c r="C3" s="47" t="s">
        <v>157</v>
      </c>
      <c r="D3" s="47" t="s">
        <v>175</v>
      </c>
      <c r="E3" s="47" t="s">
        <v>154</v>
      </c>
      <c r="F3" s="47" t="s">
        <v>154</v>
      </c>
      <c r="G3" s="47"/>
      <c r="H3" s="47" t="s">
        <v>155</v>
      </c>
      <c r="I3" s="47" t="s">
        <v>176</v>
      </c>
      <c r="J3" s="47" t="str">
        <f>=IFERROR(VLOOKUP(H3&amp;I3,Table_Fonctions!A:G,6,FALSE),"")</f>
        <v>0</v>
      </c>
      <c r="K3" s="47" t="s">
        <v>177</v>
      </c>
      <c r="L3" s="47" t="str">
        <f>=IFERROR(VLOOKUP(H3&amp;I3,Table_Fonctions!A:G,7,FALSE),K3)</f>
        <v/>
      </c>
      <c r="M3" s="47" t="str">
        <f>=IF(OR(LEFT(D3, 3)="TJ ", LEFT(D3, 4)="CPH "), "OUI", "NON")</f>
        <v/>
      </c>
      <c r="N3" s="47" t="s">
        <v>158</v>
      </c>
      <c r="O3" s="47"/>
      <c r="P3" s="47">
        <v>0.25526315789473686</v>
      </c>
      <c r="Q3" s="47">
        <v>0.25526315789473686</v>
      </c>
      <c r="R3" s="47" t="s">
        <v>178</v>
      </c>
      <c r="S3" s="47">
        <f>=ROUND(BQ3-(BR3+BS3),3)</f>
      </c>
      <c r="T3" s="47">
        <f>=ROUND(CK3-(CL3+CM3+CN3+CO3+CP3),3)</f>
      </c>
      <c r="U3" s="47">
        <v>0</v>
      </c>
      <c r="V3" s="47">
        <v>0</v>
      </c>
      <c r="W3" s="47">
        <v>0</v>
      </c>
      <c r="X3" s="47">
        <v>0</v>
      </c>
      <c r="Y3" s="47">
        <v>0</v>
      </c>
      <c r="Z3" s="47">
        <v>0</v>
      </c>
      <c r="AA3" s="47">
        <v>0</v>
      </c>
      <c r="AB3" s="47">
        <v>0</v>
      </c>
      <c r="AC3" s="47">
        <v>0</v>
      </c>
      <c r="AD3" s="47">
        <v>0</v>
      </c>
      <c r="AE3" s="47">
        <v>0</v>
      </c>
      <c r="AF3" s="47">
        <v>0</v>
      </c>
      <c r="AG3" s="47">
        <v>0</v>
      </c>
      <c r="AH3" s="47">
        <v>0</v>
      </c>
      <c r="AI3" s="47">
        <v>0</v>
      </c>
      <c r="AJ3" s="47">
        <v>0</v>
      </c>
      <c r="AK3" s="47">
        <v>0</v>
      </c>
      <c r="AL3" s="47">
        <v>0</v>
      </c>
      <c r="AM3" s="47">
        <v>0</v>
      </c>
      <c r="AN3" s="47">
        <v>0</v>
      </c>
      <c r="AO3" s="47">
        <v>0</v>
      </c>
      <c r="AP3" s="47">
        <v>0</v>
      </c>
      <c r="AQ3" s="47">
        <v>0</v>
      </c>
      <c r="AR3" s="47">
        <v>0</v>
      </c>
      <c r="AS3" s="47">
        <v>0</v>
      </c>
      <c r="AT3" s="47">
        <v>0</v>
      </c>
      <c r="AU3" s="47">
        <v>0</v>
      </c>
      <c r="AV3" s="47">
        <v>0</v>
      </c>
      <c r="AW3" s="47">
        <v>0</v>
      </c>
      <c r="AX3" s="47">
        <v>0</v>
      </c>
      <c r="AY3" s="47">
        <v>0</v>
      </c>
      <c r="AZ3" s="47">
        <v>0</v>
      </c>
      <c r="BA3" s="47">
        <v>0</v>
      </c>
      <c r="BB3" s="47">
        <v>0</v>
      </c>
      <c r="BC3" s="47">
        <v>0</v>
      </c>
      <c r="BD3" s="47">
        <v>0</v>
      </c>
      <c r="BE3" s="47">
        <v>0</v>
      </c>
      <c r="BF3" s="47">
        <v>0</v>
      </c>
      <c r="BG3" s="47">
        <v>0</v>
      </c>
      <c r="BH3" s="47">
        <v>0</v>
      </c>
      <c r="BI3" s="47">
        <v>0</v>
      </c>
      <c r="BJ3" s="47">
        <v>0</v>
      </c>
      <c r="BK3" s="47">
        <v>0</v>
      </c>
      <c r="BL3" s="47">
        <v>0</v>
      </c>
      <c r="BM3" s="47">
        <v>0</v>
      </c>
      <c r="BN3" s="47">
        <v>0</v>
      </c>
      <c r="BO3" s="47">
        <v>0</v>
      </c>
      <c r="BP3" s="47">
        <v>0</v>
      </c>
      <c r="BQ3" s="47">
        <v>0</v>
      </c>
      <c r="BR3" s="47">
        <v>0</v>
      </c>
      <c r="BS3" s="47">
        <v>0</v>
      </c>
      <c r="BT3" s="47">
        <v>0</v>
      </c>
      <c r="BU3" s="47">
        <v>0</v>
      </c>
      <c r="BV3" s="47">
        <v>0</v>
      </c>
      <c r="BW3" s="47">
        <v>0</v>
      </c>
      <c r="BX3" s="47">
        <v>0</v>
      </c>
      <c r="BY3" s="47">
        <v>0</v>
      </c>
      <c r="BZ3" s="47">
        <v>0</v>
      </c>
      <c r="CA3" s="47">
        <v>0</v>
      </c>
      <c r="CB3" s="47">
        <v>0</v>
      </c>
      <c r="CC3" s="47">
        <v>0</v>
      </c>
      <c r="CD3" s="47">
        <v>0</v>
      </c>
      <c r="CE3" s="47">
        <v>0</v>
      </c>
      <c r="CF3" s="47">
        <v>0</v>
      </c>
      <c r="CG3" s="47">
        <v>0</v>
      </c>
      <c r="CH3" s="47">
        <v>0</v>
      </c>
      <c r="CI3" s="47">
        <v>0</v>
      </c>
      <c r="CJ3" s="47">
        <v>0</v>
      </c>
      <c r="CK3" s="47">
        <v>0</v>
      </c>
      <c r="CL3" s="47">
        <v>0</v>
      </c>
      <c r="CM3" s="47">
        <v>0</v>
      </c>
      <c r="CN3" s="47">
        <v>0</v>
      </c>
      <c r="CO3" s="47">
        <v>0</v>
      </c>
      <c r="CP3" s="47">
        <v>0</v>
      </c>
      <c r="CQ3" s="47">
        <v>0</v>
      </c>
      <c r="CR3" s="47">
        <v>0</v>
      </c>
      <c r="CS3" s="47">
        <v>0</v>
      </c>
      <c r="CT3" s="47">
        <v>0</v>
      </c>
      <c r="CU3" s="47">
        <v>0</v>
      </c>
      <c r="CV3" s="47">
        <v>0</v>
      </c>
      <c r="CW3" s="47">
        <v>0</v>
      </c>
      <c r="CX3" s="47">
        <v>0</v>
      </c>
      <c r="CY3" s="47">
        <v>0.25526315789473686</v>
      </c>
      <c r="CZ3" s="47">
        <v>0</v>
      </c>
      <c r="DA3" s="47">
        <v>0</v>
      </c>
      <c r="DB3" s="47">
        <v>0</v>
      </c>
      <c r="DC3" s="47">
        <v>0.25526315789473686</v>
      </c>
      <c r="DD3" s="47">
        <v>0</v>
      </c>
      <c r="DE3" s="47">
        <v>0</v>
      </c>
      <c r="DF3" s="47">
        <v>0</v>
      </c>
      <c r="DG3" s="47">
        <v>0</v>
      </c>
      <c r="DH3" s="47">
        <v>0</v>
      </c>
      <c r="DI3" s="47">
        <v>0</v>
      </c>
      <c r="DJ3" s="47">
        <v>0</v>
      </c>
      <c r="DK3" s="47">
        <v>0</v>
      </c>
      <c r="DL3" s="47">
        <v>0</v>
      </c>
      <c r="DM3" s="47">
        <v>0</v>
      </c>
      <c r="DN3" s="47">
        <v>0</v>
      </c>
      <c r="DO3" s="47">
        <v>0</v>
      </c>
      <c r="DP3" s="47">
        <v>0</v>
      </c>
      <c r="DQ3" s="47">
        <v>0</v>
      </c>
      <c r="DR3" s="47">
        <v>0</v>
      </c>
      <c r="DS3" s="47">
        <v>0</v>
      </c>
      <c r="DT3" s="47">
        <v>0</v>
      </c>
      <c r="DU3" s="47">
        <v>0</v>
      </c>
      <c r="DV3" s="47">
        <v>0</v>
      </c>
      <c r="DW3" s="47">
        <v>0</v>
      </c>
      <c r="DX3" s="47">
        <v>0</v>
      </c>
      <c r="DY3" s="47">
        <v>0</v>
      </c>
      <c r="DZ3" s="47">
        <v>0</v>
      </c>
      <c r="EA3" s="47">
        <v>0</v>
      </c>
      <c r="ZZ3" t="s">
        <v>157</v>
      </c>
    </row>
    <row r="4" spans="1:702" x14ac:dyDescent="0.25">
      <c r="A4" s="47" t="s">
        <v>159</v>
      </c>
      <c r="B4" s="47" t="s">
        <v>153</v>
      </c>
      <c r="C4" s="47" t="s">
        <v>157</v>
      </c>
      <c r="D4" s="47" t="s">
        <v>175</v>
      </c>
      <c r="E4" s="47" t="s">
        <v>160</v>
      </c>
      <c r="F4" s="47" t="s">
        <v>160</v>
      </c>
      <c r="G4" s="47"/>
      <c r="H4" s="47" t="s">
        <v>155</v>
      </c>
      <c r="I4" s="47" t="s">
        <v>161</v>
      </c>
      <c r="J4" s="47" t="str">
        <f>=IFERROR(VLOOKUP(H4&amp;I4,Table_Fonctions!A:G,6,FALSE),"")</f>
        <v>0</v>
      </c>
      <c r="K4" s="47" t="s">
        <v>157</v>
      </c>
      <c r="L4" s="47" t="str">
        <f>=IFERROR(VLOOKUP(H4&amp;I4,Table_Fonctions!A:G,7,FALSE),K4)</f>
        <v/>
      </c>
      <c r="M4" s="47" t="str">
        <f>=IF(OR(LEFT(D4, 3)="TJ ", LEFT(D4, 4)="CPH "), "OUI", "NON")</f>
        <v/>
      </c>
      <c r="N4" s="47" t="s">
        <v>162</v>
      </c>
      <c r="O4" s="47"/>
      <c r="P4" s="47">
        <v>1</v>
      </c>
      <c r="Q4" s="47">
        <v>0.9499999999999977</v>
      </c>
      <c r="R4" s="47">
        <v>0.050000000000002265</v>
      </c>
      <c r="S4" s="47">
        <f>=ROUND(BQ4-(BR4+BS4),3)</f>
      </c>
      <c r="T4" s="47">
        <f>=ROUND(CK4-(CL4+CM4+CN4+CO4+CP4),3)</f>
      </c>
      <c r="U4" s="47">
        <v>0</v>
      </c>
      <c r="V4" s="47">
        <v>0</v>
      </c>
      <c r="W4" s="47">
        <v>0</v>
      </c>
      <c r="X4" s="47">
        <v>0</v>
      </c>
      <c r="Y4" s="47">
        <v>0</v>
      </c>
      <c r="Z4" s="47">
        <v>0</v>
      </c>
      <c r="AA4" s="47">
        <v>0</v>
      </c>
      <c r="AB4" s="47">
        <v>0</v>
      </c>
      <c r="AC4" s="47">
        <v>0</v>
      </c>
      <c r="AD4" s="47">
        <v>0</v>
      </c>
      <c r="AE4" s="47">
        <v>0</v>
      </c>
      <c r="AF4" s="47">
        <v>0</v>
      </c>
      <c r="AG4" s="47">
        <v>0</v>
      </c>
      <c r="AH4" s="47">
        <v>0</v>
      </c>
      <c r="AI4" s="47">
        <v>0</v>
      </c>
      <c r="AJ4" s="47">
        <v>0</v>
      </c>
      <c r="AK4" s="47">
        <v>0</v>
      </c>
      <c r="AL4" s="47">
        <v>0</v>
      </c>
      <c r="AM4" s="47">
        <v>0</v>
      </c>
      <c r="AN4" s="47">
        <v>0</v>
      </c>
      <c r="AO4" s="47">
        <v>0</v>
      </c>
      <c r="AP4" s="47">
        <v>0</v>
      </c>
      <c r="AQ4" s="47">
        <v>0</v>
      </c>
      <c r="AR4" s="47">
        <v>0</v>
      </c>
      <c r="AS4" s="47">
        <v>0</v>
      </c>
      <c r="AT4" s="47">
        <v>0</v>
      </c>
      <c r="AU4" s="47">
        <v>0</v>
      </c>
      <c r="AV4" s="47">
        <v>0</v>
      </c>
      <c r="AW4" s="47">
        <v>0</v>
      </c>
      <c r="AX4" s="47">
        <v>0</v>
      </c>
      <c r="AY4" s="47">
        <v>0</v>
      </c>
      <c r="AZ4" s="47">
        <v>0</v>
      </c>
      <c r="BA4" s="47">
        <v>0</v>
      </c>
      <c r="BB4" s="47">
        <v>0</v>
      </c>
      <c r="BC4" s="47">
        <v>0</v>
      </c>
      <c r="BD4" s="47">
        <v>0</v>
      </c>
      <c r="BE4" s="47">
        <v>0</v>
      </c>
      <c r="BF4" s="47">
        <v>0</v>
      </c>
      <c r="BG4" s="47">
        <v>0</v>
      </c>
      <c r="BH4" s="47">
        <v>0</v>
      </c>
      <c r="BI4" s="47">
        <v>0</v>
      </c>
      <c r="BJ4" s="47">
        <v>0</v>
      </c>
      <c r="BK4" s="47">
        <v>0</v>
      </c>
      <c r="BL4" s="47">
        <v>0</v>
      </c>
      <c r="BM4" s="47">
        <v>0</v>
      </c>
      <c r="BN4" s="47">
        <v>0</v>
      </c>
      <c r="BO4" s="47">
        <v>0</v>
      </c>
      <c r="BP4" s="47">
        <v>0</v>
      </c>
      <c r="BQ4" s="47">
        <v>0</v>
      </c>
      <c r="BR4" s="47">
        <v>0</v>
      </c>
      <c r="BS4" s="47">
        <v>0</v>
      </c>
      <c r="BT4" s="47">
        <v>0.05000000000000036</v>
      </c>
      <c r="BU4" s="47">
        <v>0</v>
      </c>
      <c r="BV4" s="47">
        <v>0</v>
      </c>
      <c r="BW4" s="47">
        <v>0</v>
      </c>
      <c r="BX4" s="47">
        <v>0</v>
      </c>
      <c r="BY4" s="47">
        <v>0</v>
      </c>
      <c r="BZ4" s="47">
        <v>0</v>
      </c>
      <c r="CA4" s="47">
        <v>0</v>
      </c>
      <c r="CB4" s="47">
        <v>0</v>
      </c>
      <c r="CC4" s="47">
        <v>0</v>
      </c>
      <c r="CD4" s="47">
        <v>0</v>
      </c>
      <c r="CE4" s="47">
        <v>0</v>
      </c>
      <c r="CF4" s="47">
        <v>0</v>
      </c>
      <c r="CG4" s="47">
        <v>0</v>
      </c>
      <c r="CH4" s="47">
        <v>0</v>
      </c>
      <c r="CI4" s="47">
        <v>0</v>
      </c>
      <c r="CJ4" s="47">
        <v>0</v>
      </c>
      <c r="CK4" s="47">
        <v>0</v>
      </c>
      <c r="CL4" s="47">
        <v>0</v>
      </c>
      <c r="CM4" s="47">
        <v>0</v>
      </c>
      <c r="CN4" s="47">
        <v>0</v>
      </c>
      <c r="CO4" s="47">
        <v>0</v>
      </c>
      <c r="CP4" s="47">
        <v>0</v>
      </c>
      <c r="CQ4" s="47">
        <v>0</v>
      </c>
      <c r="CR4" s="47">
        <v>0</v>
      </c>
      <c r="CS4" s="47">
        <v>0</v>
      </c>
      <c r="CT4" s="47">
        <v>0</v>
      </c>
      <c r="CU4" s="47">
        <v>0</v>
      </c>
      <c r="CV4" s="47">
        <v>0</v>
      </c>
      <c r="CW4" s="47">
        <v>0</v>
      </c>
      <c r="CX4" s="47">
        <v>0</v>
      </c>
      <c r="CY4" s="47">
        <v>0.8999999999999974</v>
      </c>
      <c r="CZ4" s="47">
        <v>0.75</v>
      </c>
      <c r="DA4" s="47">
        <v>0</v>
      </c>
      <c r="DB4" s="47">
        <v>0</v>
      </c>
      <c r="DC4" s="47">
        <v>0.14999999999999905</v>
      </c>
      <c r="DD4" s="47">
        <v>0</v>
      </c>
      <c r="DE4" s="47">
        <v>0</v>
      </c>
      <c r="DF4" s="47">
        <v>0</v>
      </c>
      <c r="DG4" s="47">
        <v>0</v>
      </c>
      <c r="DH4" s="47">
        <v>0</v>
      </c>
      <c r="DI4" s="47">
        <v>0</v>
      </c>
      <c r="DJ4" s="47">
        <v>0</v>
      </c>
      <c r="DK4" s="47">
        <v>0</v>
      </c>
      <c r="DL4" s="47">
        <v>0</v>
      </c>
      <c r="DM4" s="47">
        <v>0</v>
      </c>
      <c r="DN4" s="47">
        <v>0</v>
      </c>
      <c r="DO4" s="47">
        <v>0</v>
      </c>
      <c r="DP4" s="47">
        <v>0</v>
      </c>
      <c r="DQ4" s="47">
        <v>0</v>
      </c>
      <c r="DR4" s="47">
        <v>0</v>
      </c>
      <c r="DS4" s="47">
        <v>0</v>
      </c>
      <c r="DT4" s="47">
        <v>0</v>
      </c>
      <c r="DU4" s="47">
        <v>0</v>
      </c>
      <c r="DV4" s="47">
        <v>0</v>
      </c>
      <c r="DW4" s="47">
        <v>0</v>
      </c>
      <c r="DX4" s="47">
        <v>0</v>
      </c>
      <c r="DY4" s="47">
        <v>0</v>
      </c>
      <c r="DZ4" s="47">
        <v>0</v>
      </c>
      <c r="EA4" s="47">
        <v>0</v>
      </c>
      <c r="ZZ4" t="s">
        <v>157</v>
      </c>
    </row>
    <row r="5" spans="1:157" x14ac:dyDescent="0.25">
      <c r="B5" s="48"/>
      <c r="D5" s="52"/>
      <c r="I5" s="52"/>
      <c r="FA5" s="1"/>
    </row>
  </sheetData>
  <sheetProtection sort="0" autoFilter="0"/>
  <autoFilter ref="A2:DT2"/>
  <mergeCells count="1">
    <mergeCell ref="D1:Q1"/>
  </mergeCells>
  <conditionalFormatting sqref="A3:EA5 A2:EZ2 A1:G1 I1:EY1">
    <cfRule type="expression" dxfId="0" priority="1">
      <formula>AND(OR($R1&lt;&gt;"-",$S1&lt;&gt;0,$T1&lt;&gt;0,ISBLANK($P1)),ROW()&gt;2,$A1&lt;&gt;"")</formula>
    </cfRule>
  </conditionalFormatting>
  <dataValidations count="2">
    <dataValidation type="list" allowBlank="1" showInputMessage="1" showErrorMessage="1" error="Veuillez selectionner une valeur dans le menu déroulant" sqref="D3:D4">
      <formula1>"TEST010"</formula1>
    </dataValidation>
    <dataValidation type="list" allowBlank="1" sqref="I3">
      <formula1>"JA Siège autres,JA Social,JA Parquet,JA JAP,JA JE,JA JI,JA JLD"</formula1>
    </dataValidation>
  </dataValidations>
  <pageMargins left="0.7" right="0.7" top="0.75" bottom="0.75" header="0.3" footer="0.3"/>
  <pageSetup paperSize="9" orientation="portrait" horizontalDpi="0" verticalDpi="0" scale="100" fitToWidth="1" fitToHeight="1" firstPageNumber="1" useFirstPageNumber="1" copies="1"/>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B0B97"/>
  </sheetPr>
  <dimension ref="A1:X119"/>
  <sheetViews>
    <sheetView workbookViewId="0" zoomScale="100" zoomScaleNormal="90">
      <selection activeCell="A3" sqref="A3"/>
    </sheetView>
  </sheetViews>
  <sheetFormatPr defaultRowHeight="15" outlineLevelRow="0" outlineLevelCol="0" x14ac:dyDescent="0.2"/>
  <cols>
    <col min="1" max="1" width="20" customWidth="1"/>
    <col min="2" max="2" width="4.6640625" hidden="1" customWidth="1"/>
    <col min="3" max="3" width="38.33203125" hidden="1" customWidth="1"/>
    <col min="4" max="4" width="51.83203125" customWidth="1"/>
    <col min="5" max="5" width="34.6640625" hidden="1" customWidth="1"/>
    <col min="6" max="6" width="70.83203125" customWidth="1"/>
    <col min="7" max="8" width="19" customWidth="1"/>
    <col min="9" max="9" width="17.6640625" customWidth="1"/>
    <col min="10" max="11" width="16.83203125" customWidth="1"/>
    <col min="12" max="13" width="18.33203125" customWidth="1"/>
    <col min="14" max="15" width="20.5" customWidth="1"/>
    <col min="16" max="18" width="16.6640625" customWidth="1"/>
    <col min="21" max="22" width="18.1640625" customWidth="1"/>
  </cols>
  <sheetData>
    <row r="1" ht="80" customHeight="1" spans="1:23" s="40" customFormat="1" x14ac:dyDescent="0.25">
      <c r="A1" s="41" t="s">
        <v>179</v>
      </c>
      <c r="B1" s="42"/>
      <c r="C1" s="53" t="s">
        <v>15</v>
      </c>
      <c r="D1" s="53"/>
      <c r="E1" s="43"/>
      <c r="F1" s="43"/>
      <c r="G1" s="43"/>
      <c r="H1" s="43"/>
      <c r="I1" s="44"/>
      <c r="J1" s="44"/>
      <c r="K1" s="43"/>
      <c r="L1" s="43"/>
      <c r="M1" s="43"/>
      <c r="N1" s="43"/>
      <c r="O1" s="43"/>
      <c r="P1" s="43"/>
      <c r="Q1" s="43"/>
      <c r="R1" s="43"/>
      <c r="S1" s="43"/>
      <c r="T1" s="43"/>
      <c r="U1" s="43"/>
      <c r="V1" s="43"/>
      <c r="W1" s="40"/>
    </row>
    <row r="2" ht="42" customHeight="1" spans="1:3" x14ac:dyDescent="0.25">
      <c r="A2" s="54" t="s">
        <v>180</v>
      </c>
      <c r="B2" s="55" t="s">
        <v>181</v>
      </c>
    </row>
    <row r="3" ht="30" customHeight="1" spans="1:4" x14ac:dyDescent="0.25">
      <c r="A3" s="56" t="s">
        <v>175</v>
      </c>
      <c r="B3" s="57">
        <f>VLOOKUP(A3,#REF!,2,FALSE)</f>
      </c>
      <c r="D3" s="58" t="s">
        <v>182</v>
      </c>
    </row>
    <row r="4" ht="19" customHeight="1" spans="1:24" x14ac:dyDescent="0.25">
      <c r="B4" s="59"/>
      <c r="C4" s="60"/>
      <c r="D4" s="60"/>
      <c r="E4" s="60"/>
      <c r="F4" s="60"/>
      <c r="G4" s="61" t="s">
        <v>183</v>
      </c>
      <c r="H4" s="61"/>
      <c r="I4" s="61"/>
      <c r="J4" s="61"/>
      <c r="K4" s="61"/>
      <c r="L4" s="61"/>
      <c r="M4" s="61"/>
      <c r="N4" s="62" t="s">
        <v>184</v>
      </c>
      <c r="O4" s="62"/>
      <c r="P4" s="62"/>
      <c r="Q4" s="62"/>
      <c r="R4" s="62"/>
      <c r="S4" s="62"/>
      <c r="T4" s="62"/>
      <c r="U4" s="61" t="s">
        <v>185</v>
      </c>
      <c r="V4" s="61"/>
      <c r="W4" s="63"/>
    </row>
    <row r="5" ht="48" customHeight="1" spans="1:23" x14ac:dyDescent="0.25">
      <c r="C5" s="3"/>
      <c r="D5" s="3"/>
      <c r="E5" s="2"/>
      <c r="F5" s="2"/>
      <c r="G5" s="64" t="s">
        <v>186</v>
      </c>
      <c r="H5" s="65" t="s">
        <v>187</v>
      </c>
      <c r="I5" s="66" t="s">
        <v>188</v>
      </c>
      <c r="J5" s="66" t="s">
        <v>189</v>
      </c>
      <c r="K5" s="66" t="s">
        <v>190</v>
      </c>
      <c r="L5" s="64" t="s">
        <v>191</v>
      </c>
      <c r="M5" s="67" t="s">
        <v>187</v>
      </c>
      <c r="N5" s="66" t="s">
        <v>192</v>
      </c>
      <c r="O5" s="65" t="s">
        <v>187</v>
      </c>
      <c r="P5" s="66" t="s">
        <v>193</v>
      </c>
      <c r="Q5" s="66" t="s">
        <v>194</v>
      </c>
      <c r="R5" s="66" t="s">
        <v>190</v>
      </c>
      <c r="S5" s="64" t="s">
        <v>195</v>
      </c>
      <c r="T5" s="65" t="s">
        <v>187</v>
      </c>
      <c r="U5" s="64" t="s">
        <v>190</v>
      </c>
      <c r="V5" s="67" t="s">
        <v>187</v>
      </c>
    </row>
    <row r="6" ht="16" customHeight="1" spans="1:23" x14ac:dyDescent="0.25">
      <c r="A6" s="40"/>
      <c r="C6" s="68"/>
      <c r="D6" s="68"/>
      <c r="E6" s="69" t="s">
        <v>166</v>
      </c>
      <c r="F6" s="70" t="s">
        <v>166</v>
      </c>
      <c r="G6" s="71">
        <f>SUMIFS(
INDEX('ETPT Format DDG'!$A:$ZZ,,IFERROR(MATCH(E6,'ETPT Format DDG'!$2:$2,0),MATCH(C6,'ETPT Format DDG'!$2:$2,0))),
INDEX( 'ETPT Format DDG'!$A:$ZZ,,MATCH("Fonction agrégat",'ETPT Format DDG'!2:2,0)),"M-TIT",
INDEX( 'ETPT Format DDG'!$A:$ZZ,,MATCH("Juridiction",'ETPT Format DDG'!2:2,0)),$A$3)</f>
      </c>
      <c r="H6" s="72">
        <f>IF(AND(OR(LEFT(C6,3)="12.",LEFT(E6,3)="12.",LEFT(E6,5)="CET &gt;",IFERROR(G6/$G$6,"")=0),NOT(AND(LEFT(E6,4)="12.8",IFERROR(G6/$G$6,"")&lt;&gt;0)),NOT(AND(LEFT(E6,5)="12.31",IFERROR(G6/$G$6,"")&lt;&gt;0)),NOT(AND(LEFT(E6,5)="12.32",IFERROR(G6/$G$6,"")&lt;&gt;0))),"", IFERROR(G6/$G$6,""))</f>
      </c>
      <c r="I6" s="73">
        <f>SUMIFS(
INDEX('ETPT Format DDG'!$A:$ZZ,,IFERROR(MATCH(E6,'ETPT Format DDG'!$2:$2,0),MATCH(C6,'ETPT Format DDG'!$2:$2,0))),
INDEX( 'ETPT Format DDG'!$A:$ZZ,,MATCH("Fonction agrégat",'ETPT Format DDG'!2:2,0)),"M-PLAC-ADD",
INDEX( 'ETPT Format DDG'!$A:$ZZ,,MATCH("Juridiction",'ETPT Format DDG'!2:2,0)),$A$3)</f>
      </c>
      <c r="J6" s="73">
        <f>SUMIFS(
INDEX('ETPT Format DDG'!$A:$ZZ,,IFERROR(MATCH(E6,'ETPT Format DDG'!$2:$2,0),MATCH(C6,'ETPT Format DDG'!$2:$2,0))),
INDEX( 'ETPT Format DDG'!$A:$ZZ,,MATCH("Fonction agrégat",'ETPT Format DDG'!2:2,0)),"M-PLAC-SUB",
INDEX( 'ETPT Format DDG'!$A:$ZZ,,MATCH("Juridiction",'ETPT Format DDG'!2:2,0)),$A$3)</f>
      </c>
      <c r="K6" s="73">
        <f>SUMIFS(
INDEX('ETPT Format DDG'!$A:$ZZ,,IFERROR(MATCH(E6,'ETPT Format DDG'!$2:$2,0),MATCH(C6,'ETPT Format DDG'!$2:$2,0))),
INDEX( 'ETPT Format DDG'!$A:$ZZ,,MATCH("Fonction agrégat",'ETPT Format DDG'!2:2,0)),"M-CONT",
INDEX( 'ETPT Format DDG'!$A:$ZZ,,MATCH("Juridiction",'ETPT Format DDG'!2:2,0)),$A$3,
INDEX( 'ETPT Format DDG'!$A:$ZZ,,MATCH("Catégorie",'ETPT Format DDG'!2:2,0)),"Magistrat")</f>
      </c>
      <c r="L6" s="71">
        <f>SUMIFS(
INDEX('ETPT Format DDG'!$A:$ZZ,,IFERROR(MATCH(E6,'ETPT Format DDG'!$2:$2,0),MATCH(C6,'ETPT Format DDG'!$2:$2,0))),
INDEX( 'ETPT Format DDG'!$A:$ZZ,,MATCH("Juridiction",'ETPT Format DDG'!2:2,0)),$A$3,
INDEX( 'ETPT Format DDG'!$A:$ZZ,,MATCH("Catégorie",'ETPT Format DDG'!2:2,0)),"Magistrat")</f>
      </c>
      <c r="M6" s="74">
        <f>IF(AND(OR(LEFT(C6,3)="12.",LEFT(E6,3)="12.",LEFT(E6,5)="CET &gt;", IFERROR(L6/$L$6,"")=0),NOT(AND(LEFT(E6,4)="12.8",IFERROR(G6/$G$6,"")&lt;&gt;0)),NOT(AND(LEFT(E6,5)="12.31",IFERROR(L6/$G$6,"")&lt;&gt;0)),NOT(AND(LEFT(E6,5)="12.32",IFERROR(L6/$G$6,"")&lt;&gt;0))),"", IFERROR(L6/$L$6,""))</f>
      </c>
      <c r="N6" s="73">
        <f>SUMIFS(
INDEX('ETPT Format DDG'!$A:$ZZ,,IFERROR(MATCH(E6,'ETPT Format DDG'!$2:$2,0),MATCH(C6,'ETPT Format DDG'!$2:$2,0))),
INDEX( 'ETPT Format DDG'!$A:$ZZ,,MATCH("Fonction agrégat",'ETPT Format DDG'!2:2,0)),"F-TIT",
INDEX( 'ETPT Format DDG'!$A:$ZZ,,MATCH("Juridiction",'ETPT Format DDG'!2:2,0)),$A$3)</f>
      </c>
      <c r="O6" s="72">
        <f>IF(AND(OR(LEFT(C6,3)="12.",LEFT(E6,3)="12.",LEFT(E6,5)="CET &gt;",IFERROR(N6/$N$6,"")=0),NOT(AND(LEFT(E6,4)="12.8",IFERROR(G6/$G$6,"")&lt;&gt;0)),NOT(AND(LEFT(E6,5)="12.31",IFERROR(N6/$G$6,"")&lt;&gt;0)),NOT(AND(LEFT(E6,5)="12.32",IFERROR(N6/$G$6,"")&lt;&gt;0))),"",IFERROR(N6/$N$6,""))</f>
      </c>
      <c r="P6" s="73">
        <f>SUMIFS(
INDEX('ETPT Format DDG'!$A:$FB,,IFERROR(MATCH(E6,'ETPT Format DDG'!$2:$2,0),MATCH(C6,'ETPT Format DDG'!$2:$2,0))),
INDEX( 'ETPT Format DDG'!$A:$ZZ,,MATCH("Fonction agrégat",'ETPT Format DDG'!2:2,0)),"F-PLAC-ADD",
INDEX( 'ETPT Format DDG'!$A:$ZZ,,MATCH("Juridiction",'ETPT Format DDG'!2:2,0)),$A$3)</f>
      </c>
      <c r="Q6" s="73">
        <f>SUMIFS(
INDEX('ETPT Format DDG'!$A:$FB,,IFERROR(MATCH(E6,'ETPT Format DDG'!$2:$2,0),MATCH(C6,'ETPT Format DDG'!$2:$2,0))),
INDEX( 'ETPT Format DDG'!$A:$ZZ,,MATCH("Fonction agrégat",'ETPT Format DDG'!2:2,0)),"F-PLAC-SUB",
INDEX( 'ETPT Format DDG'!$A:$ZZ,,MATCH("Juridiction",'ETPT Format DDG'!2:2,0)),$A$3)</f>
      </c>
      <c r="R6" s="73">
        <f>SUMIFS(
INDEX('ETPT Format DDG'!$A:$FB,,IFERROR(MATCH(E6,'ETPT Format DDG'!$2:$2,0),MATCH(C6,'ETPT Format DDG'!$2:$2,0))),
INDEX( 'ETPT Format DDG'!$A:$ZZ,,MATCH("Fonction agrégat",'ETPT Format DDG'!2:2,0)),"C",
'ETPT Format DDG'!$H:$H,"Greffe",
INDEX( 'ETPT Format DDG'!$A:$ZZ,,MATCH("Juridiction",'ETPT Format DDG'!2:2,0)),$A$3)</f>
      </c>
      <c r="S6" s="71">
        <f>SUMIFS(
INDEX('ETPT Format DDG'!$A:$FB,,IFERROR(MATCH(E6,'ETPT Format DDG'!$2:$2,0),MATCH(C6,'ETPT Format DDG'!$2:$2,0))),
INDEX( 'ETPT Format DDG'!$A:$ZZ,,MATCH("Catégorie",'ETPT Format DDG'!2:2,0)),"Greffe",
INDEX( 'ETPT Format DDG'!$A:$ZZ,,MATCH("Juridiction",'ETPT Format DDG'!2:2,0)),$A$3)</f>
      </c>
      <c r="T6" s="72">
        <f>IF(AND(OR(LEFT(C6,3)="12.",LEFT(E6,3)="12.",LEFT(E6,5)="CET &gt;",IFERROR(S6/$S$6,"")=0),NOT(AND(LEFT(E6,4)="12.8",IFERROR(G6/$G$6,"")&lt;&gt;0)),NOT(AND(LEFT(E6,5)="12.31",IFERROR(S6/$G$6,"")&lt;&gt;0)),NOT(AND(LEFT(E6,5)="12.32",IFERROR(S6/$G$6,"")&lt;&gt;0))),"", IFERROR(S6/$S$6,""))</f>
      </c>
      <c r="U6" s="71">
        <f>SUMIFS(
INDEX('ETPT Format DDG'!$A:$FB,,IFERROR(MATCH(E6,'ETPT Format DDG'!$2:$2,0),MATCH(C6,'ETPT Format DDG'!$2:$2,0))),
INDEX( 'ETPT Format DDG'!$A:$ZZ,,MATCH("Fonction agrégat",'ETPT Format DDG'!2:2,0)),"C",
INDEX( 'ETPT Format DDG'!$A:$ZZ,,MATCH("Juridiction",'ETPT Format DDG'!2:2,0)),$A$3,
INDEX( 'ETPT Format DDG'!$A:$ZZ,,MATCH("Catégorie",'ETPT Format DDG'!2:2,0)),"Autour du magistrat")</f>
      </c>
      <c r="V6" s="74">
        <f>IF(AND(OR(LEFT(C6,3)="12.",LEFT(E6,3)="12.",LEFT(E6,5)="CET &gt;",IFERROR(U6/$U$6,"")=0),NOT(AND(LEFT(E6,4)="12.8",IFERROR(G6/$G$6,"")&lt;&gt;0)),NOT(AND(LEFT(E6,5)="12.31",IFERROR(U6/$G$6,"")&lt;&gt;0)),NOT(AND(LEFT(E6,5)="12.32",IFERROR(U6/$G$6,"")&lt;&gt;0))),"", IFERROR(U6/$U$6,""))</f>
      </c>
    </row>
    <row r="7" ht="50" customHeight="1" spans="1:23" x14ac:dyDescent="0.25">
      <c r="A7" s="40"/>
      <c r="C7" s="68"/>
      <c r="D7" s="68"/>
      <c r="E7" s="69" t="s">
        <v>167</v>
      </c>
      <c r="F7" s="70" t="str">
        <f>=IF(OR('Agrégats DDG'!L6&lt;&gt;'Agrégats DDG'!L7,'Agrégats DDG'!S6&lt;&gt;'Agrégats DDG'!S7,'Agrégats DDG'!U6&lt;&gt;'Agrégats DDG'!U7),CONCATENATE("Temps ventilés sur la période (hors action 99) :",CHAR(10),"ℹ️ Des ventilations sont incomplètes, se référer à la colonne R de l’onglet ETPT format DDG"),"Temps ventilés sur la période (hors action 99)")</f>
        <v>"Temps ventilés sur la période (hors action 99) : Des ventilations sont incomplètes,",CHAR(10),"se référer à la colonne R de l’onglet ETPT format DDG"</v>
      </c>
      <c r="G7" s="71">
        <f>SUMIFS(
INDEX('ETPT Format DDG'!$A:$ZZ,,IFERROR(MATCH(E7,'ETPT Format DDG'!$2:$2,0),MATCH(C7,'ETPT Format DDG'!$2:$2,0))),
INDEX( 'ETPT Format DDG'!$A:$ZZ,,MATCH("Fonction agrégat",'ETPT Format DDG'!2:2,0)),"M-TIT",
INDEX( 'ETPT Format DDG'!$A:$ZZ,,MATCH("Juridiction",'ETPT Format DDG'!2:2,0)),$A$3)</f>
      </c>
      <c r="H7" s="72">
        <f>IF(AND(OR(LEFT(C7,3)="12.",LEFT(E7,3)="12.",LEFT(E7,5)="CET &gt;",IFERROR(G7/$G$6,"")=0),NOT(AND(LEFT(E7,4)="12.8",IFERROR(G7/$G$6,"")&lt;&gt;0)),NOT(AND(LEFT(E7,5)="12.31",IFERROR(G7/$G$6,"")&lt;&gt;0)),NOT(AND(LEFT(E7,5)="12.32",IFERROR(G7/$G$6,"")&lt;&gt;0))),"", IFERROR(G7/$G$6,""))</f>
      </c>
      <c r="I7" s="73">
        <f>SUMIFS(
INDEX('ETPT Format DDG'!$A:$ZZ,,IFERROR(MATCH(E7,'ETPT Format DDG'!$2:$2,0),MATCH(C7,'ETPT Format DDG'!$2:$2,0))),
INDEX( 'ETPT Format DDG'!$A:$ZZ,,MATCH("Fonction agrégat",'ETPT Format DDG'!2:2,0)),"M-PLAC-ADD",
INDEX( 'ETPT Format DDG'!$A:$ZZ,,MATCH("Juridiction",'ETPT Format DDG'!2:2,0)),$A$3)</f>
      </c>
      <c r="J7" s="73">
        <f>SUMIFS(
INDEX('ETPT Format DDG'!$A:$ZZ,,IFERROR(MATCH(E7,'ETPT Format DDG'!$2:$2,0),MATCH(C7,'ETPT Format DDG'!$2:$2,0))),
INDEX( 'ETPT Format DDG'!$A:$ZZ,,MATCH("Fonction agrégat",'ETPT Format DDG'!2:2,0)),"M-PLAC-SUB",
INDEX( 'ETPT Format DDG'!$A:$ZZ,,MATCH("Juridiction",'ETPT Format DDG'!2:2,0)),$A$3)</f>
      </c>
      <c r="K7" s="73">
        <f>SUMIFS(
INDEX('ETPT Format DDG'!$A:$ZZ,,IFERROR(MATCH(E7,'ETPT Format DDG'!$2:$2,0),MATCH(C7,'ETPT Format DDG'!$2:$2,0))),
INDEX( 'ETPT Format DDG'!$A:$ZZ,,MATCH("Fonction agrégat",'ETPT Format DDG'!2:2,0)),"M-CONT",
INDEX( 'ETPT Format DDG'!$A:$ZZ,,MATCH("Juridiction",'ETPT Format DDG'!2:2,0)),$A$3,
INDEX( 'ETPT Format DDG'!$A:$ZZ,,MATCH("Catégorie",'ETPT Format DDG'!2:2,0)),"Magistrat")</f>
      </c>
      <c r="L7" s="71">
        <f>SUMIFS(
INDEX('ETPT Format DDG'!$A:$ZZ,,IFERROR(MATCH(E7,'ETPT Format DDG'!$2:$2,0),MATCH(C7,'ETPT Format DDG'!$2:$2,0))),
INDEX( 'ETPT Format DDG'!$A:$ZZ,,MATCH("Juridiction",'ETPT Format DDG'!2:2,0)),$A$3,
INDEX( 'ETPT Format DDG'!$A:$ZZ,,MATCH("Catégorie",'ETPT Format DDG'!2:2,0)),"Magistrat")</f>
      </c>
      <c r="M7" s="74">
        <f>IF(AND(OR(LEFT(C7,3)="12.",LEFT(E7,3)="12.",LEFT(E7,5)="CET &gt;", IFERROR(L7/$L$6,"")=0),NOT(AND(LEFT(E7,4)="12.8",IFERROR(G7/$G$6,"")&lt;&gt;0)),NOT(AND(LEFT(E7,5)="12.31",IFERROR(L7/$G$6,"")&lt;&gt;0)),NOT(AND(LEFT(E7,5)="12.32",IFERROR(L7/$G$6,"")&lt;&gt;0))),"", IFERROR(L7/$L$6,""))</f>
      </c>
      <c r="N7" s="73">
        <f>SUMIFS(
INDEX('ETPT Format DDG'!$A:$ZZ,,IFERROR(MATCH(E7,'ETPT Format DDG'!$2:$2,0),MATCH(C7,'ETPT Format DDG'!$2:$2,0))),
INDEX( 'ETPT Format DDG'!$A:$ZZ,,MATCH("Fonction agrégat",'ETPT Format DDG'!2:2,0)),"F-TIT",
INDEX( 'ETPT Format DDG'!$A:$ZZ,,MATCH("Juridiction",'ETPT Format DDG'!2:2,0)),$A$3)</f>
      </c>
      <c r="O7" s="72">
        <f>IF(AND(OR(LEFT(C7,3)="12.",LEFT(E7,3)="12.",LEFT(E7,5)="CET &gt;",IFERROR(N7/$N$6,"")=0),NOT(AND(LEFT(E7,4)="12.8",IFERROR(G7/$G$6,"")&lt;&gt;0)),NOT(AND(LEFT(E7,5)="12.31",IFERROR(N7/$G$6,"")&lt;&gt;0)),NOT(AND(LEFT(E7,5)="12.32",IFERROR(N7/$G$6,"")&lt;&gt;0))),"",IFERROR(N7/$N$6,""))</f>
      </c>
      <c r="P7" s="73">
        <f>SUMIFS(
INDEX('ETPT Format DDG'!$A:$FB,,IFERROR(MATCH(E7,'ETPT Format DDG'!$2:$2,0),MATCH(C7,'ETPT Format DDG'!$2:$2,0))),
INDEX( 'ETPT Format DDG'!$A:$ZZ,,MATCH("Fonction agrégat",'ETPT Format DDG'!2:2,0)),"F-PLAC-ADD",
INDEX( 'ETPT Format DDG'!$A:$ZZ,,MATCH("Juridiction",'ETPT Format DDG'!2:2,0)),$A$3)</f>
      </c>
      <c r="Q7" s="73">
        <f>SUMIFS(
INDEX('ETPT Format DDG'!$A:$FB,,IFERROR(MATCH(E7,'ETPT Format DDG'!$2:$2,0),MATCH(C7,'ETPT Format DDG'!$2:$2,0))),
INDEX( 'ETPT Format DDG'!$A:$ZZ,,MATCH("Fonction agrégat",'ETPT Format DDG'!2:2,0)),"F-PLAC-SUB",
INDEX( 'ETPT Format DDG'!$A:$ZZ,,MATCH("Juridiction",'ETPT Format DDG'!2:2,0)),$A$3)</f>
      </c>
      <c r="R7" s="73">
        <f>SUMIFS(
INDEX('ETPT Format DDG'!$A:$FB,,IFERROR(MATCH(E7,'ETPT Format DDG'!$2:$2,0),MATCH(C7,'ETPT Format DDG'!$2:$2,0))),
INDEX( 'ETPT Format DDG'!$A:$ZZ,,MATCH("Fonction agrégat",'ETPT Format DDG'!2:2,0)),"C",
'ETPT Format DDG'!$H:$H,"Greffe",
INDEX( 'ETPT Format DDG'!$A:$ZZ,,MATCH("Juridiction",'ETPT Format DDG'!2:2,0)),$A$3)</f>
      </c>
      <c r="S7" s="71">
        <f>SUMIFS(
INDEX('ETPT Format DDG'!$A:$FB,,IFERROR(MATCH(E7,'ETPT Format DDG'!$2:$2,0),MATCH(C7,'ETPT Format DDG'!$2:$2,0))),
INDEX( 'ETPT Format DDG'!$A:$ZZ,,MATCH("Catégorie",'ETPT Format DDG'!2:2,0)),"Greffe",
INDEX( 'ETPT Format DDG'!$A:$ZZ,,MATCH("Juridiction",'ETPT Format DDG'!2:2,0)),$A$3)</f>
      </c>
      <c r="T7" s="72">
        <f>IF(AND(OR(LEFT(C7,3)="12.",LEFT(E7,3)="12.",LEFT(E7,5)="CET &gt;",IFERROR(S7/$S$6,"")=0),NOT(AND(LEFT(E7,4)="12.8",IFERROR(G7/$G$6,"")&lt;&gt;0)),NOT(AND(LEFT(E7,5)="12.31",IFERROR(S7/$G$6,"")&lt;&gt;0)),NOT(AND(LEFT(E7,5)="12.32",IFERROR(S7/$G$6,"")&lt;&gt;0))),"", IFERROR(S7/$S$6,""))</f>
      </c>
      <c r="U7" s="71">
        <f>SUMIFS(
INDEX('ETPT Format DDG'!$A:$FB,,IFERROR(MATCH(E7,'ETPT Format DDG'!$2:$2,0),MATCH(C7,'ETPT Format DDG'!$2:$2,0))),
INDEX( 'ETPT Format DDG'!$A:$ZZ,,MATCH("Fonction agrégat",'ETPT Format DDG'!2:2,0)),"C",
INDEX( 'ETPT Format DDG'!$A:$ZZ,,MATCH("Juridiction",'ETPT Format DDG'!2:2,0)),$A$3,
INDEX( 'ETPT Format DDG'!$A:$ZZ,,MATCH("Catégorie",'ETPT Format DDG'!2:2,0)),"Autour du magistrat")</f>
      </c>
      <c r="V7" s="74">
        <f>IF(AND(OR(LEFT(C7,3)="12.",LEFT(E7,3)="12.",LEFT(E7,5)="CET &gt;",IFERROR(U7/$U$6,"")=0),NOT(AND(LEFT(E7,4)="12.8",IFERROR(G7/$G$6,"")&lt;&gt;0)),NOT(AND(LEFT(E7,5)="12.31",IFERROR(U7/$G$6,"")&lt;&gt;0)),NOT(AND(LEFT(E7,5)="12.32",IFERROR(U7/$G$6,"")&lt;&gt;0))),"", IFERROR(U7/$U$6,""))</f>
      </c>
    </row>
    <row r="8" ht="16" customHeight="1" spans="1:23" x14ac:dyDescent="0.25">
      <c r="A8" s="40"/>
      <c r="C8" s="68" t="s">
        <v>43</v>
      </c>
      <c r="D8" s="68" t="s">
        <v>43</v>
      </c>
      <c r="E8" s="69"/>
      <c r="F8" s="70"/>
      <c r="G8" s="71">
        <f>SUMIFS(
INDEX('ETPT Format DDG'!$A:$ZZ,,IFERROR(MATCH(E8,'ETPT Format DDG'!$2:$2,0),MATCH(C8,'ETPT Format DDG'!$2:$2,0))),
INDEX( 'ETPT Format DDG'!$A:$ZZ,,MATCH("Fonction agrégat",'ETPT Format DDG'!2:2,0)),"M-TIT",
INDEX( 'ETPT Format DDG'!$A:$ZZ,,MATCH("Juridiction",'ETPT Format DDG'!2:2,0)),$A$3)</f>
      </c>
      <c r="H8" s="72">
        <f>IF(AND(OR(LEFT(C8,3)="12.",LEFT(E8,3)="12.",LEFT(E8,5)="CET &gt;",IFERROR(G8/$G$6,"")=0),NOT(AND(LEFT(E8,4)="12.8",IFERROR(G8/$G$6,"")&lt;&gt;0)),NOT(AND(LEFT(E8,5)="12.31",IFERROR(G8/$G$6,"")&lt;&gt;0)),NOT(AND(LEFT(E8,5)="12.32",IFERROR(G8/$G$6,"")&lt;&gt;0))),"", IFERROR(G8/$G$6,""))</f>
      </c>
      <c r="I8" s="73">
        <f>SUMIFS(
INDEX('ETPT Format DDG'!$A:$ZZ,,IFERROR(MATCH(E8,'ETPT Format DDG'!$2:$2,0),MATCH(C8,'ETPT Format DDG'!$2:$2,0))),
INDEX( 'ETPT Format DDG'!$A:$ZZ,,MATCH("Fonction agrégat",'ETPT Format DDG'!2:2,0)),"M-PLAC-ADD",
INDEX( 'ETPT Format DDG'!$A:$ZZ,,MATCH("Juridiction",'ETPT Format DDG'!2:2,0)),$A$3)</f>
      </c>
      <c r="J8" s="73">
        <f>SUMIFS(
INDEX('ETPT Format DDG'!$A:$ZZ,,IFERROR(MATCH(E8,'ETPT Format DDG'!$2:$2,0),MATCH(C8,'ETPT Format DDG'!$2:$2,0))),
INDEX( 'ETPT Format DDG'!$A:$ZZ,,MATCH("Fonction agrégat",'ETPT Format DDG'!2:2,0)),"M-PLAC-SUB",
INDEX( 'ETPT Format DDG'!$A:$ZZ,,MATCH("Juridiction",'ETPT Format DDG'!2:2,0)),$A$3)</f>
      </c>
      <c r="K8" s="73">
        <f>SUMIFS(
INDEX('ETPT Format DDG'!$A:$ZZ,,IFERROR(MATCH(E8,'ETPT Format DDG'!$2:$2,0),MATCH(C8,'ETPT Format DDG'!$2:$2,0))),
INDEX( 'ETPT Format DDG'!$A:$ZZ,,MATCH("Fonction agrégat",'ETPT Format DDG'!2:2,0)),"M-CONT",
INDEX( 'ETPT Format DDG'!$A:$ZZ,,MATCH("Juridiction",'ETPT Format DDG'!2:2,0)),$A$3,
INDEX( 'ETPT Format DDG'!$A:$ZZ,,MATCH("Catégorie",'ETPT Format DDG'!2:2,0)),"Magistrat")</f>
      </c>
      <c r="L8" s="71">
        <f>SUMIFS(
INDEX('ETPT Format DDG'!$A:$ZZ,,IFERROR(MATCH(E8,'ETPT Format DDG'!$2:$2,0),MATCH(C8,'ETPT Format DDG'!$2:$2,0))),
INDEX( 'ETPT Format DDG'!$A:$ZZ,,MATCH("Juridiction",'ETPT Format DDG'!2:2,0)),$A$3,
INDEX( 'ETPT Format DDG'!$A:$ZZ,,MATCH("Catégorie",'ETPT Format DDG'!2:2,0)),"Magistrat")</f>
      </c>
      <c r="M8" s="74">
        <f>IF(AND(OR(LEFT(C8,3)="12.",LEFT(E8,3)="12.",LEFT(E8,5)="CET &gt;", IFERROR(L8/$L$6,"")=0),NOT(AND(LEFT(E8,4)="12.8",IFERROR(G8/$G$6,"")&lt;&gt;0)),NOT(AND(LEFT(E8,5)="12.31",IFERROR(L8/$G$6,"")&lt;&gt;0)),NOT(AND(LEFT(E8,5)="12.32",IFERROR(L8/$G$6,"")&lt;&gt;0))),"", IFERROR(L8/$L$6,""))</f>
      </c>
      <c r="N8" s="73">
        <f>SUMIFS(
INDEX('ETPT Format DDG'!$A:$ZZ,,IFERROR(MATCH(E8,'ETPT Format DDG'!$2:$2,0),MATCH(C8,'ETPT Format DDG'!$2:$2,0))),
INDEX( 'ETPT Format DDG'!$A:$ZZ,,MATCH("Fonction agrégat",'ETPT Format DDG'!2:2,0)),"F-TIT",
INDEX( 'ETPT Format DDG'!$A:$ZZ,,MATCH("Juridiction",'ETPT Format DDG'!2:2,0)),$A$3)</f>
      </c>
      <c r="O8" s="72">
        <f>IF(AND(OR(LEFT(C8,3)="12.",LEFT(E8,3)="12.",LEFT(E8,5)="CET &gt;",IFERROR(N8/$N$6,"")=0),NOT(AND(LEFT(E8,4)="12.8",IFERROR(G8/$G$6,"")&lt;&gt;0)),NOT(AND(LEFT(E8,5)="12.31",IFERROR(N8/$G$6,"")&lt;&gt;0)),NOT(AND(LEFT(E8,5)="12.32",IFERROR(N8/$G$6,"")&lt;&gt;0))),"",IFERROR(N8/$N$6,""))</f>
      </c>
      <c r="P8" s="73">
        <f>SUMIFS(
INDEX('ETPT Format DDG'!$A:$FB,,IFERROR(MATCH(E8,'ETPT Format DDG'!$2:$2,0),MATCH(C8,'ETPT Format DDG'!$2:$2,0))),
INDEX( 'ETPT Format DDG'!$A:$ZZ,,MATCH("Fonction agrégat",'ETPT Format DDG'!2:2,0)),"F-PLAC-ADD",
INDEX( 'ETPT Format DDG'!$A:$ZZ,,MATCH("Juridiction",'ETPT Format DDG'!2:2,0)),$A$3)</f>
      </c>
      <c r="Q8" s="73">
        <f>SUMIFS(
INDEX('ETPT Format DDG'!$A:$FB,,IFERROR(MATCH(E8,'ETPT Format DDG'!$2:$2,0),MATCH(C8,'ETPT Format DDG'!$2:$2,0))),
INDEX( 'ETPT Format DDG'!$A:$ZZ,,MATCH("Fonction agrégat",'ETPT Format DDG'!2:2,0)),"F-PLAC-SUB",
INDEX( 'ETPT Format DDG'!$A:$ZZ,,MATCH("Juridiction",'ETPT Format DDG'!2:2,0)),$A$3)</f>
      </c>
      <c r="R8" s="73">
        <f>SUMIFS(
INDEX('ETPT Format DDG'!$A:$FB,,IFERROR(MATCH(E8,'ETPT Format DDG'!$2:$2,0),MATCH(C8,'ETPT Format DDG'!$2:$2,0))),
INDEX( 'ETPT Format DDG'!$A:$ZZ,,MATCH("Fonction agrégat",'ETPT Format DDG'!2:2,0)),"C",
'ETPT Format DDG'!$H:$H,"Greffe",
INDEX( 'ETPT Format DDG'!$A:$ZZ,,MATCH("Juridiction",'ETPT Format DDG'!2:2,0)),$A$3)</f>
      </c>
      <c r="S8" s="71">
        <f>SUMIFS(
INDEX('ETPT Format DDG'!$A:$FB,,IFERROR(MATCH(E8,'ETPT Format DDG'!$2:$2,0),MATCH(C8,'ETPT Format DDG'!$2:$2,0))),
INDEX( 'ETPT Format DDG'!$A:$ZZ,,MATCH("Catégorie",'ETPT Format DDG'!2:2,0)),"Greffe",
INDEX( 'ETPT Format DDG'!$A:$ZZ,,MATCH("Juridiction",'ETPT Format DDG'!2:2,0)),$A$3)</f>
      </c>
      <c r="T8" s="72">
        <f>IF(AND(OR(LEFT(C8,3)="12.",LEFT(E8,3)="12.",LEFT(E8,5)="CET &gt;",IFERROR(S8/$S$6,"")=0),NOT(AND(LEFT(E8,4)="12.8",IFERROR(G8/$G$6,"")&lt;&gt;0)),NOT(AND(LEFT(E8,5)="12.31",IFERROR(S8/$G$6,"")&lt;&gt;0)),NOT(AND(LEFT(E8,5)="12.32",IFERROR(S8/$G$6,"")&lt;&gt;0))),"", IFERROR(S8/$S$6,""))</f>
      </c>
      <c r="U8" s="71">
        <f>SUMIFS(
INDEX('ETPT Format DDG'!$A:$FB,,IFERROR(MATCH(E8,'ETPT Format DDG'!$2:$2,0),MATCH(C8,'ETPT Format DDG'!$2:$2,0))),
INDEX( 'ETPT Format DDG'!$A:$ZZ,,MATCH("Fonction agrégat",'ETPT Format DDG'!2:2,0)),"C",
INDEX( 'ETPT Format DDG'!$A:$ZZ,,MATCH("Juridiction",'ETPT Format DDG'!2:2,0)),$A$3,
INDEX( 'ETPT Format DDG'!$A:$ZZ,,MATCH("Catégorie",'ETPT Format DDG'!2:2,0)),"Autour du magistrat")</f>
      </c>
      <c r="V8" s="74">
        <f>IF(AND(OR(LEFT(C8,3)="12.",LEFT(E8,3)="12.",LEFT(E8,5)="CET &gt;",IFERROR(U8/$U$6,"")=0),NOT(AND(LEFT(E8,4)="12.8",IFERROR(G8/$G$6,"")&lt;&gt;0)),NOT(AND(LEFT(E8,5)="12.31",IFERROR(U8/$G$6,"")&lt;&gt;0)),NOT(AND(LEFT(E8,5)="12.32",IFERROR(U8/$G$6,"")&lt;&gt;0))),"", IFERROR(U8/$U$6,""))</f>
      </c>
    </row>
    <row r="9" ht="16" customHeight="1" spans="1:23" x14ac:dyDescent="0.25">
      <c r="A9" s="40"/>
      <c r="C9" s="68"/>
      <c r="D9" s="68"/>
      <c r="E9" s="69" t="s">
        <v>44</v>
      </c>
      <c r="F9" s="70" t="s">
        <v>44</v>
      </c>
      <c r="G9" s="71">
        <f>SUMIFS(
INDEX('ETPT Format DDG'!$A:$ZZ,,IFERROR(MATCH(E9,'ETPT Format DDG'!$2:$2,0),MATCH(C9,'ETPT Format DDG'!$2:$2,0))),
INDEX( 'ETPT Format DDG'!$A:$ZZ,,MATCH("Fonction agrégat",'ETPT Format DDG'!2:2,0)),"M-TIT",
INDEX( 'ETPT Format DDG'!$A:$ZZ,,MATCH("Juridiction",'ETPT Format DDG'!2:2,0)),$A$3)</f>
      </c>
      <c r="H9" s="72">
        <f>IF(AND(OR(LEFT(C9,3)="12.",LEFT(E9,3)="12.",LEFT(E9,5)="CET &gt;",IFERROR(G9/$G$6,"")=0),NOT(AND(LEFT(E9,4)="12.8",IFERROR(G9/$G$6,"")&lt;&gt;0)),NOT(AND(LEFT(E9,5)="12.31",IFERROR(G9/$G$6,"")&lt;&gt;0)),NOT(AND(LEFT(E9,5)="12.32",IFERROR(G9/$G$6,"")&lt;&gt;0))),"", IFERROR(G9/$G$6,""))</f>
      </c>
      <c r="I9" s="73">
        <f>SUMIFS(
INDEX('ETPT Format DDG'!$A:$ZZ,,IFERROR(MATCH(E9,'ETPT Format DDG'!$2:$2,0),MATCH(C9,'ETPT Format DDG'!$2:$2,0))),
INDEX( 'ETPT Format DDG'!$A:$ZZ,,MATCH("Fonction agrégat",'ETPT Format DDG'!2:2,0)),"M-PLAC-ADD",
INDEX( 'ETPT Format DDG'!$A:$ZZ,,MATCH("Juridiction",'ETPT Format DDG'!2:2,0)),$A$3)</f>
      </c>
      <c r="J9" s="73">
        <f>SUMIFS(
INDEX('ETPT Format DDG'!$A:$ZZ,,IFERROR(MATCH(E9,'ETPT Format DDG'!$2:$2,0),MATCH(C9,'ETPT Format DDG'!$2:$2,0))),
INDEX( 'ETPT Format DDG'!$A:$ZZ,,MATCH("Fonction agrégat",'ETPT Format DDG'!2:2,0)),"M-PLAC-SUB",
INDEX( 'ETPT Format DDG'!$A:$ZZ,,MATCH("Juridiction",'ETPT Format DDG'!2:2,0)),$A$3)</f>
      </c>
      <c r="K9" s="73">
        <f>SUMIFS(
INDEX('ETPT Format DDG'!$A:$ZZ,,IFERROR(MATCH(E9,'ETPT Format DDG'!$2:$2,0),MATCH(C9,'ETPT Format DDG'!$2:$2,0))),
INDEX( 'ETPT Format DDG'!$A:$ZZ,,MATCH("Fonction agrégat",'ETPT Format DDG'!2:2,0)),"M-CONT",
INDEX( 'ETPT Format DDG'!$A:$ZZ,,MATCH("Juridiction",'ETPT Format DDG'!2:2,0)),$A$3,
INDEX( 'ETPT Format DDG'!$A:$ZZ,,MATCH("Catégorie",'ETPT Format DDG'!2:2,0)),"Magistrat")</f>
      </c>
      <c r="L9" s="71">
        <f>SUMIFS(
INDEX('ETPT Format DDG'!$A:$ZZ,,IFERROR(MATCH(E9,'ETPT Format DDG'!$2:$2,0),MATCH(C9,'ETPT Format DDG'!$2:$2,0))),
INDEX( 'ETPT Format DDG'!$A:$ZZ,,MATCH("Juridiction",'ETPT Format DDG'!2:2,0)),$A$3,
INDEX( 'ETPT Format DDG'!$A:$ZZ,,MATCH("Catégorie",'ETPT Format DDG'!2:2,0)),"Magistrat")</f>
      </c>
      <c r="M9" s="74">
        <f>IF(AND(OR(LEFT(C9,3)="12.",LEFT(E9,3)="12.",LEFT(E9,5)="CET &gt;", IFERROR(L9/$L$6,"")=0),NOT(AND(LEFT(E9,4)="12.8",IFERROR(G9/$G$6,"")&lt;&gt;0)),NOT(AND(LEFT(E9,5)="12.31",IFERROR(L9/$G$6,"")&lt;&gt;0)),NOT(AND(LEFT(E9,5)="12.32",IFERROR(L9/$G$6,"")&lt;&gt;0))),"", IFERROR(L9/$L$6,""))</f>
      </c>
      <c r="N9" s="73">
        <f>SUMIFS(
INDEX('ETPT Format DDG'!$A:$ZZ,,IFERROR(MATCH(E9,'ETPT Format DDG'!$2:$2,0),MATCH(C9,'ETPT Format DDG'!$2:$2,0))),
INDEX( 'ETPT Format DDG'!$A:$ZZ,,MATCH("Fonction agrégat",'ETPT Format DDG'!2:2,0)),"F-TIT",
INDEX( 'ETPT Format DDG'!$A:$ZZ,,MATCH("Juridiction",'ETPT Format DDG'!2:2,0)),$A$3)</f>
      </c>
      <c r="O9" s="72">
        <f>IF(AND(OR(LEFT(C9,3)="12.",LEFT(E9,3)="12.",LEFT(E9,5)="CET &gt;",IFERROR(N9/$N$6,"")=0),NOT(AND(LEFT(E9,4)="12.8",IFERROR(G9/$G$6,"")&lt;&gt;0)),NOT(AND(LEFT(E9,5)="12.31",IFERROR(N9/$G$6,"")&lt;&gt;0)),NOT(AND(LEFT(E9,5)="12.32",IFERROR(N9/$G$6,"")&lt;&gt;0))),"",IFERROR(N9/$N$6,""))</f>
      </c>
      <c r="P9" s="73">
        <f>SUMIFS(
INDEX('ETPT Format DDG'!$A:$FB,,IFERROR(MATCH(E9,'ETPT Format DDG'!$2:$2,0),MATCH(C9,'ETPT Format DDG'!$2:$2,0))),
INDEX( 'ETPT Format DDG'!$A:$ZZ,,MATCH("Fonction agrégat",'ETPT Format DDG'!2:2,0)),"F-PLAC-ADD",
INDEX( 'ETPT Format DDG'!$A:$ZZ,,MATCH("Juridiction",'ETPT Format DDG'!2:2,0)),$A$3)</f>
      </c>
      <c r="Q9" s="73">
        <f>SUMIFS(
INDEX('ETPT Format DDG'!$A:$FB,,IFERROR(MATCH(E9,'ETPT Format DDG'!$2:$2,0),MATCH(C9,'ETPT Format DDG'!$2:$2,0))),
INDEX( 'ETPT Format DDG'!$A:$ZZ,,MATCH("Fonction agrégat",'ETPT Format DDG'!2:2,0)),"F-PLAC-SUB",
INDEX( 'ETPT Format DDG'!$A:$ZZ,,MATCH("Juridiction",'ETPT Format DDG'!2:2,0)),$A$3)</f>
      </c>
      <c r="R9" s="73">
        <f>SUMIFS(
INDEX('ETPT Format DDG'!$A:$FB,,IFERROR(MATCH(E9,'ETPT Format DDG'!$2:$2,0),MATCH(C9,'ETPT Format DDG'!$2:$2,0))),
INDEX( 'ETPT Format DDG'!$A:$ZZ,,MATCH("Fonction agrégat",'ETPT Format DDG'!2:2,0)),"C",
'ETPT Format DDG'!$H:$H,"Greffe",
INDEX( 'ETPT Format DDG'!$A:$ZZ,,MATCH("Juridiction",'ETPT Format DDG'!2:2,0)),$A$3)</f>
      </c>
      <c r="S9" s="71">
        <f>SUMIFS(
INDEX('ETPT Format DDG'!$A:$FB,,IFERROR(MATCH(E9,'ETPT Format DDG'!$2:$2,0),MATCH(C9,'ETPT Format DDG'!$2:$2,0))),
INDEX( 'ETPT Format DDG'!$A:$ZZ,,MATCH("Catégorie",'ETPT Format DDG'!2:2,0)),"Greffe",
INDEX( 'ETPT Format DDG'!$A:$ZZ,,MATCH("Juridiction",'ETPT Format DDG'!2:2,0)),$A$3)</f>
      </c>
      <c r="T9" s="72">
        <f>IF(AND(OR(LEFT(C9,3)="12.",LEFT(E9,3)="12.",LEFT(E9,5)="CET &gt;",IFERROR(S9/$S$6,"")=0),NOT(AND(LEFT(E9,4)="12.8",IFERROR(G9/$G$6,"")&lt;&gt;0)),NOT(AND(LEFT(E9,5)="12.31",IFERROR(S9/$G$6,"")&lt;&gt;0)),NOT(AND(LEFT(E9,5)="12.32",IFERROR(S9/$G$6,"")&lt;&gt;0))),"", IFERROR(S9/$S$6,""))</f>
      </c>
      <c r="U9" s="71">
        <f>SUMIFS(
INDEX('ETPT Format DDG'!$A:$FB,,IFERROR(MATCH(E9,'ETPT Format DDG'!$2:$2,0),MATCH(C9,'ETPT Format DDG'!$2:$2,0))),
INDEX( 'ETPT Format DDG'!$A:$ZZ,,MATCH("Fonction agrégat",'ETPT Format DDG'!2:2,0)),"C",
INDEX( 'ETPT Format DDG'!$A:$ZZ,,MATCH("Juridiction",'ETPT Format DDG'!2:2,0)),$A$3,
INDEX( 'ETPT Format DDG'!$A:$ZZ,,MATCH("Catégorie",'ETPT Format DDG'!2:2,0)),"Autour du magistrat")</f>
      </c>
      <c r="V9" s="74">
        <f>IF(AND(OR(LEFT(C9,3)="12.",LEFT(E9,3)="12.",LEFT(E9,5)="CET &gt;",IFERROR(U9/$U$6,"")=0),NOT(AND(LEFT(E9,4)="12.8",IFERROR(G9/$G$6,"")&lt;&gt;0)),NOT(AND(LEFT(E9,5)="12.31",IFERROR(U9/$G$6,"")&lt;&gt;0)),NOT(AND(LEFT(E9,5)="12.32",IFERROR(U9/$G$6,"")&lt;&gt;0))),"", IFERROR(U9/$U$6,""))</f>
      </c>
    </row>
    <row r="10" ht="16" customHeight="1" spans="1:23" x14ac:dyDescent="0.25">
      <c r="A10" s="40"/>
      <c r="C10" s="68"/>
      <c r="D10" s="68"/>
      <c r="E10" s="69" t="s">
        <v>45</v>
      </c>
      <c r="F10" s="70" t="s">
        <v>45</v>
      </c>
      <c r="G10" s="71">
        <f>SUMIFS(
INDEX('ETPT Format DDG'!$A:$ZZ,,IFERROR(MATCH(E10,'ETPT Format DDG'!$2:$2,0),MATCH(C10,'ETPT Format DDG'!$2:$2,0))),
INDEX( 'ETPT Format DDG'!$A:$ZZ,,MATCH("Fonction agrégat",'ETPT Format DDG'!2:2,0)),"M-TIT",
INDEX( 'ETPT Format DDG'!$A:$ZZ,,MATCH("Juridiction",'ETPT Format DDG'!2:2,0)),$A$3)</f>
      </c>
      <c r="H10" s="72">
        <f>IF(AND(OR(LEFT(C10,3)="12.",LEFT(E10,3)="12.",LEFT(E10,5)="CET &gt;",IFERROR(G10/$G$6,"")=0),NOT(AND(LEFT(E10,4)="12.8",IFERROR(G10/$G$6,"")&lt;&gt;0)),NOT(AND(LEFT(E10,5)="12.31",IFERROR(G10/$G$6,"")&lt;&gt;0)),NOT(AND(LEFT(E10,5)="12.32",IFERROR(G10/$G$6,"")&lt;&gt;0))),"", IFERROR(G10/$G$6,""))</f>
      </c>
      <c r="I10" s="73">
        <f>SUMIFS(
INDEX('ETPT Format DDG'!$A:$ZZ,,IFERROR(MATCH(E10,'ETPT Format DDG'!$2:$2,0),MATCH(C10,'ETPT Format DDG'!$2:$2,0))),
INDEX( 'ETPT Format DDG'!$A:$ZZ,,MATCH("Fonction agrégat",'ETPT Format DDG'!2:2,0)),"M-PLAC-ADD",
INDEX( 'ETPT Format DDG'!$A:$ZZ,,MATCH("Juridiction",'ETPT Format DDG'!2:2,0)),$A$3)</f>
      </c>
      <c r="J10" s="73">
        <f>SUMIFS(
INDEX('ETPT Format DDG'!$A:$ZZ,,IFERROR(MATCH(E10,'ETPT Format DDG'!$2:$2,0),MATCH(C10,'ETPT Format DDG'!$2:$2,0))),
INDEX( 'ETPT Format DDG'!$A:$ZZ,,MATCH("Fonction agrégat",'ETPT Format DDG'!2:2,0)),"M-PLAC-SUB",
INDEX( 'ETPT Format DDG'!$A:$ZZ,,MATCH("Juridiction",'ETPT Format DDG'!2:2,0)),$A$3)</f>
      </c>
      <c r="K10" s="73">
        <f>SUMIFS(
INDEX('ETPT Format DDG'!$A:$ZZ,,IFERROR(MATCH(E10,'ETPT Format DDG'!$2:$2,0),MATCH(C10,'ETPT Format DDG'!$2:$2,0))),
INDEX( 'ETPT Format DDG'!$A:$ZZ,,MATCH("Fonction agrégat",'ETPT Format DDG'!2:2,0)),"M-CONT",
INDEX( 'ETPT Format DDG'!$A:$ZZ,,MATCH("Juridiction",'ETPT Format DDG'!2:2,0)),$A$3,
INDEX( 'ETPT Format DDG'!$A:$ZZ,,MATCH("Catégorie",'ETPT Format DDG'!2:2,0)),"Magistrat")</f>
      </c>
      <c r="L10" s="71">
        <f>SUMIFS(
INDEX('ETPT Format DDG'!$A:$ZZ,,IFERROR(MATCH(E10,'ETPT Format DDG'!$2:$2,0),MATCH(C10,'ETPT Format DDG'!$2:$2,0))),
INDEX( 'ETPT Format DDG'!$A:$ZZ,,MATCH("Juridiction",'ETPT Format DDG'!2:2,0)),$A$3,
INDEX( 'ETPT Format DDG'!$A:$ZZ,,MATCH("Catégorie",'ETPT Format DDG'!2:2,0)),"Magistrat")</f>
      </c>
      <c r="M10" s="74">
        <f>IF(AND(OR(LEFT(C10,3)="12.",LEFT(E10,3)="12.",LEFT(E10,5)="CET &gt;", IFERROR(L10/$L$6,"")=0),NOT(AND(LEFT(E10,4)="12.8",IFERROR(G10/$G$6,"")&lt;&gt;0)),NOT(AND(LEFT(E10,5)="12.31",IFERROR(L10/$G$6,"")&lt;&gt;0)),NOT(AND(LEFT(E10,5)="12.32",IFERROR(L10/$G$6,"")&lt;&gt;0))),"", IFERROR(L10/$L$6,""))</f>
      </c>
      <c r="N10" s="73">
        <f>SUMIFS(
INDEX('ETPT Format DDG'!$A:$ZZ,,IFERROR(MATCH(E10,'ETPT Format DDG'!$2:$2,0),MATCH(C10,'ETPT Format DDG'!$2:$2,0))),
INDEX( 'ETPT Format DDG'!$A:$ZZ,,MATCH("Fonction agrégat",'ETPT Format DDG'!2:2,0)),"F-TIT",
INDEX( 'ETPT Format DDG'!$A:$ZZ,,MATCH("Juridiction",'ETPT Format DDG'!2:2,0)),$A$3)</f>
      </c>
      <c r="O10" s="72">
        <f>IF(AND(OR(LEFT(C10,3)="12.",LEFT(E10,3)="12.",LEFT(E10,5)="CET &gt;",IFERROR(N10/$N$6,"")=0),NOT(AND(LEFT(E10,4)="12.8",IFERROR(G10/$G$6,"")&lt;&gt;0)),NOT(AND(LEFT(E10,5)="12.31",IFERROR(N10/$G$6,"")&lt;&gt;0)),NOT(AND(LEFT(E10,5)="12.32",IFERROR(N10/$G$6,"")&lt;&gt;0))),"",IFERROR(N10/$N$6,""))</f>
      </c>
      <c r="P10" s="73">
        <f>SUMIFS(
INDEX('ETPT Format DDG'!$A:$FB,,IFERROR(MATCH(E10,'ETPT Format DDG'!$2:$2,0),MATCH(C10,'ETPT Format DDG'!$2:$2,0))),
INDEX( 'ETPT Format DDG'!$A:$ZZ,,MATCH("Fonction agrégat",'ETPT Format DDG'!2:2,0)),"F-PLAC-ADD",
INDEX( 'ETPT Format DDG'!$A:$ZZ,,MATCH("Juridiction",'ETPT Format DDG'!2:2,0)),$A$3)</f>
      </c>
      <c r="Q10" s="73">
        <f>SUMIFS(
INDEX('ETPT Format DDG'!$A:$FB,,IFERROR(MATCH(E10,'ETPT Format DDG'!$2:$2,0),MATCH(C10,'ETPT Format DDG'!$2:$2,0))),
INDEX( 'ETPT Format DDG'!$A:$ZZ,,MATCH("Fonction agrégat",'ETPT Format DDG'!2:2,0)),"F-PLAC-SUB",
INDEX( 'ETPT Format DDG'!$A:$ZZ,,MATCH("Juridiction",'ETPT Format DDG'!2:2,0)),$A$3)</f>
      </c>
      <c r="R10" s="73">
        <f>SUMIFS(
INDEX('ETPT Format DDG'!$A:$FB,,IFERROR(MATCH(E10,'ETPT Format DDG'!$2:$2,0),MATCH(C10,'ETPT Format DDG'!$2:$2,0))),
INDEX( 'ETPT Format DDG'!$A:$ZZ,,MATCH("Fonction agrégat",'ETPT Format DDG'!2:2,0)),"C",
'ETPT Format DDG'!$H:$H,"Greffe",
INDEX( 'ETPT Format DDG'!$A:$ZZ,,MATCH("Juridiction",'ETPT Format DDG'!2:2,0)),$A$3)</f>
      </c>
      <c r="S10" s="71">
        <f>SUMIFS(
INDEX('ETPT Format DDG'!$A:$FB,,IFERROR(MATCH(E10,'ETPT Format DDG'!$2:$2,0),MATCH(C10,'ETPT Format DDG'!$2:$2,0))),
INDEX( 'ETPT Format DDG'!$A:$ZZ,,MATCH("Catégorie",'ETPT Format DDG'!2:2,0)),"Greffe",
INDEX( 'ETPT Format DDG'!$A:$ZZ,,MATCH("Juridiction",'ETPT Format DDG'!2:2,0)),$A$3)</f>
      </c>
      <c r="T10" s="72">
        <f>IF(AND(OR(LEFT(C10,3)="12.",LEFT(E10,3)="12.",LEFT(E10,5)="CET &gt;",IFERROR(S10/$S$6,"")=0),NOT(AND(LEFT(E10,4)="12.8",IFERROR(G10/$G$6,"")&lt;&gt;0)),NOT(AND(LEFT(E10,5)="12.31",IFERROR(S10/$G$6,"")&lt;&gt;0)),NOT(AND(LEFT(E10,5)="12.32",IFERROR(S10/$G$6,"")&lt;&gt;0))),"", IFERROR(S10/$S$6,""))</f>
      </c>
      <c r="U10" s="71">
        <f>SUMIFS(
INDEX('ETPT Format DDG'!$A:$FB,,IFERROR(MATCH(E10,'ETPT Format DDG'!$2:$2,0),MATCH(C10,'ETPT Format DDG'!$2:$2,0))),
INDEX( 'ETPT Format DDG'!$A:$ZZ,,MATCH("Fonction agrégat",'ETPT Format DDG'!2:2,0)),"C",
INDEX( 'ETPT Format DDG'!$A:$ZZ,,MATCH("Juridiction",'ETPT Format DDG'!2:2,0)),$A$3,
INDEX( 'ETPT Format DDG'!$A:$ZZ,,MATCH("Catégorie",'ETPT Format DDG'!2:2,0)),"Autour du magistrat")</f>
      </c>
      <c r="V10" s="74">
        <f>IF(AND(OR(LEFT(C10,3)="12.",LEFT(E10,3)="12.",LEFT(E10,5)="CET &gt;",IFERROR(U10/$U$6,"")=0),NOT(AND(LEFT(E10,4)="12.8",IFERROR(G10/$G$6,"")&lt;&gt;0)),NOT(AND(LEFT(E10,5)="12.31",IFERROR(U10/$G$6,"")&lt;&gt;0)),NOT(AND(LEFT(E10,5)="12.32",IFERROR(U10/$G$6,"")&lt;&gt;0))),"", IFERROR(U10/$U$6,""))</f>
      </c>
    </row>
    <row r="11" ht="16" customHeight="1" spans="1:23" x14ac:dyDescent="0.25">
      <c r="A11" s="40"/>
      <c r="C11" s="68"/>
      <c r="D11" s="68"/>
      <c r="E11" s="69" t="s">
        <v>46</v>
      </c>
      <c r="F11" s="70" t="s">
        <v>46</v>
      </c>
      <c r="G11" s="71">
        <f>SUMIFS(
INDEX('ETPT Format DDG'!$A:$ZZ,,IFERROR(MATCH(E11,'ETPT Format DDG'!$2:$2,0),MATCH(C11,'ETPT Format DDG'!$2:$2,0))),
INDEX( 'ETPT Format DDG'!$A:$ZZ,,MATCH("Fonction agrégat",'ETPT Format DDG'!2:2,0)),"M-TIT",
INDEX( 'ETPT Format DDG'!$A:$ZZ,,MATCH("Juridiction",'ETPT Format DDG'!2:2,0)),$A$3)</f>
      </c>
      <c r="H11" s="72">
        <f>IF(AND(OR(LEFT(C11,3)="12.",LEFT(E11,3)="12.",LEFT(E11,5)="CET &gt;",IFERROR(G11/$G$6,"")=0),NOT(AND(LEFT(E11,4)="12.8",IFERROR(G11/$G$6,"")&lt;&gt;0)),NOT(AND(LEFT(E11,5)="12.31",IFERROR(G11/$G$6,"")&lt;&gt;0)),NOT(AND(LEFT(E11,5)="12.32",IFERROR(G11/$G$6,"")&lt;&gt;0))),"", IFERROR(G11/$G$6,""))</f>
      </c>
      <c r="I11" s="73">
        <f>SUMIFS(
INDEX('ETPT Format DDG'!$A:$ZZ,,IFERROR(MATCH(E11,'ETPT Format DDG'!$2:$2,0),MATCH(C11,'ETPT Format DDG'!$2:$2,0))),
INDEX( 'ETPT Format DDG'!$A:$ZZ,,MATCH("Fonction agrégat",'ETPT Format DDG'!2:2,0)),"M-PLAC-ADD",
INDEX( 'ETPT Format DDG'!$A:$ZZ,,MATCH("Juridiction",'ETPT Format DDG'!2:2,0)),$A$3)</f>
      </c>
      <c r="J11" s="73">
        <f>SUMIFS(
INDEX('ETPT Format DDG'!$A:$ZZ,,IFERROR(MATCH(E11,'ETPT Format DDG'!$2:$2,0),MATCH(C11,'ETPT Format DDG'!$2:$2,0))),
INDEX( 'ETPT Format DDG'!$A:$ZZ,,MATCH("Fonction agrégat",'ETPT Format DDG'!2:2,0)),"M-PLAC-SUB",
INDEX( 'ETPT Format DDG'!$A:$ZZ,,MATCH("Juridiction",'ETPT Format DDG'!2:2,0)),$A$3)</f>
      </c>
      <c r="K11" s="73">
        <f>SUMIFS(
INDEX('ETPT Format DDG'!$A:$ZZ,,IFERROR(MATCH(E11,'ETPT Format DDG'!$2:$2,0),MATCH(C11,'ETPT Format DDG'!$2:$2,0))),
INDEX( 'ETPT Format DDG'!$A:$ZZ,,MATCH("Fonction agrégat",'ETPT Format DDG'!2:2,0)),"M-CONT",
INDEX( 'ETPT Format DDG'!$A:$ZZ,,MATCH("Juridiction",'ETPT Format DDG'!2:2,0)),$A$3,
INDEX( 'ETPT Format DDG'!$A:$ZZ,,MATCH("Catégorie",'ETPT Format DDG'!2:2,0)),"Magistrat")</f>
      </c>
      <c r="L11" s="71">
        <f>SUMIFS(
INDEX('ETPT Format DDG'!$A:$ZZ,,IFERROR(MATCH(E11,'ETPT Format DDG'!$2:$2,0),MATCH(C11,'ETPT Format DDG'!$2:$2,0))),
INDEX( 'ETPT Format DDG'!$A:$ZZ,,MATCH("Juridiction",'ETPT Format DDG'!2:2,0)),$A$3,
INDEX( 'ETPT Format DDG'!$A:$ZZ,,MATCH("Catégorie",'ETPT Format DDG'!2:2,0)),"Magistrat")</f>
      </c>
      <c r="M11" s="74">
        <f>IF(AND(OR(LEFT(C11,3)="12.",LEFT(E11,3)="12.",LEFT(E11,5)="CET &gt;", IFERROR(L11/$L$6,"")=0),NOT(AND(LEFT(E11,4)="12.8",IFERROR(G11/$G$6,"")&lt;&gt;0)),NOT(AND(LEFT(E11,5)="12.31",IFERROR(L11/$G$6,"")&lt;&gt;0)),NOT(AND(LEFT(E11,5)="12.32",IFERROR(L11/$G$6,"")&lt;&gt;0))),"", IFERROR(L11/$L$6,""))</f>
      </c>
      <c r="N11" s="73">
        <f>SUMIFS(
INDEX('ETPT Format DDG'!$A:$ZZ,,IFERROR(MATCH(E11,'ETPT Format DDG'!$2:$2,0),MATCH(C11,'ETPT Format DDG'!$2:$2,0))),
INDEX( 'ETPT Format DDG'!$A:$ZZ,,MATCH("Fonction agrégat",'ETPT Format DDG'!2:2,0)),"F-TIT",
INDEX( 'ETPT Format DDG'!$A:$ZZ,,MATCH("Juridiction",'ETPT Format DDG'!2:2,0)),$A$3)</f>
      </c>
      <c r="O11" s="72">
        <f>IF(AND(OR(LEFT(C11,3)="12.",LEFT(E11,3)="12.",LEFT(E11,5)="CET &gt;",IFERROR(N11/$N$6,"")=0),NOT(AND(LEFT(E11,4)="12.8",IFERROR(G11/$G$6,"")&lt;&gt;0)),NOT(AND(LEFT(E11,5)="12.31",IFERROR(N11/$G$6,"")&lt;&gt;0)),NOT(AND(LEFT(E11,5)="12.32",IFERROR(N11/$G$6,"")&lt;&gt;0))),"",IFERROR(N11/$N$6,""))</f>
      </c>
      <c r="P11" s="73">
        <f>SUMIFS(
INDEX('ETPT Format DDG'!$A:$FB,,IFERROR(MATCH(E11,'ETPT Format DDG'!$2:$2,0),MATCH(C11,'ETPT Format DDG'!$2:$2,0))),
INDEX( 'ETPT Format DDG'!$A:$ZZ,,MATCH("Fonction agrégat",'ETPT Format DDG'!2:2,0)),"F-PLAC-ADD",
INDEX( 'ETPT Format DDG'!$A:$ZZ,,MATCH("Juridiction",'ETPT Format DDG'!2:2,0)),$A$3)</f>
      </c>
      <c r="Q11" s="73">
        <f>SUMIFS(
INDEX('ETPT Format DDG'!$A:$FB,,IFERROR(MATCH(E11,'ETPT Format DDG'!$2:$2,0),MATCH(C11,'ETPT Format DDG'!$2:$2,0))),
INDEX( 'ETPT Format DDG'!$A:$ZZ,,MATCH("Fonction agrégat",'ETPT Format DDG'!2:2,0)),"F-PLAC-SUB",
INDEX( 'ETPT Format DDG'!$A:$ZZ,,MATCH("Juridiction",'ETPT Format DDG'!2:2,0)),$A$3)</f>
      </c>
      <c r="R11" s="73">
        <f>SUMIFS(
INDEX('ETPT Format DDG'!$A:$FB,,IFERROR(MATCH(E11,'ETPT Format DDG'!$2:$2,0),MATCH(C11,'ETPT Format DDG'!$2:$2,0))),
INDEX( 'ETPT Format DDG'!$A:$ZZ,,MATCH("Fonction agrégat",'ETPT Format DDG'!2:2,0)),"C",
'ETPT Format DDG'!$H:$H,"Greffe",
INDEX( 'ETPT Format DDG'!$A:$ZZ,,MATCH("Juridiction",'ETPT Format DDG'!2:2,0)),$A$3)</f>
      </c>
      <c r="S11" s="71">
        <f>SUMIFS(
INDEX('ETPT Format DDG'!$A:$FB,,IFERROR(MATCH(E11,'ETPT Format DDG'!$2:$2,0),MATCH(C11,'ETPT Format DDG'!$2:$2,0))),
INDEX( 'ETPT Format DDG'!$A:$ZZ,,MATCH("Catégorie",'ETPT Format DDG'!2:2,0)),"Greffe",
INDEX( 'ETPT Format DDG'!$A:$ZZ,,MATCH("Juridiction",'ETPT Format DDG'!2:2,0)),$A$3)</f>
      </c>
      <c r="T11" s="72">
        <f>IF(AND(OR(LEFT(C11,3)="12.",LEFT(E11,3)="12.",LEFT(E11,5)="CET &gt;",IFERROR(S11/$S$6,"")=0),NOT(AND(LEFT(E11,4)="12.8",IFERROR(G11/$G$6,"")&lt;&gt;0)),NOT(AND(LEFT(E11,5)="12.31",IFERROR(S11/$G$6,"")&lt;&gt;0)),NOT(AND(LEFT(E11,5)="12.32",IFERROR(S11/$G$6,"")&lt;&gt;0))),"", IFERROR(S11/$S$6,""))</f>
      </c>
      <c r="U11" s="71">
        <f>SUMIFS(
INDEX('ETPT Format DDG'!$A:$FB,,IFERROR(MATCH(E11,'ETPT Format DDG'!$2:$2,0),MATCH(C11,'ETPT Format DDG'!$2:$2,0))),
INDEX( 'ETPT Format DDG'!$A:$ZZ,,MATCH("Fonction agrégat",'ETPT Format DDG'!2:2,0)),"C",
INDEX( 'ETPT Format DDG'!$A:$ZZ,,MATCH("Juridiction",'ETPT Format DDG'!2:2,0)),$A$3,
INDEX( 'ETPT Format DDG'!$A:$ZZ,,MATCH("Catégorie",'ETPT Format DDG'!2:2,0)),"Autour du magistrat")</f>
      </c>
      <c r="V11" s="74">
        <f>IF(AND(OR(LEFT(C11,3)="12.",LEFT(E11,3)="12.",LEFT(E11,5)="CET &gt;",IFERROR(U11/$U$6,"")=0),NOT(AND(LEFT(E11,4)="12.8",IFERROR(G11/$G$6,"")&lt;&gt;0)),NOT(AND(LEFT(E11,5)="12.31",IFERROR(U11/$G$6,"")&lt;&gt;0)),NOT(AND(LEFT(E11,5)="12.32",IFERROR(U11/$G$6,"")&lt;&gt;0))),"", IFERROR(U11/$U$6,""))</f>
      </c>
    </row>
    <row r="12" ht="16" customHeight="1" spans="1:23" x14ac:dyDescent="0.25">
      <c r="A12" s="40"/>
      <c r="C12" s="68"/>
      <c r="D12" s="68"/>
      <c r="E12" s="69" t="s">
        <v>47</v>
      </c>
      <c r="F12" s="70" t="s">
        <v>47</v>
      </c>
      <c r="G12" s="71">
        <f>SUMIFS(
INDEX('ETPT Format DDG'!$A:$ZZ,,IFERROR(MATCH(E12,'ETPT Format DDG'!$2:$2,0),MATCH(C12,'ETPT Format DDG'!$2:$2,0))),
INDEX( 'ETPT Format DDG'!$A:$ZZ,,MATCH("Fonction agrégat",'ETPT Format DDG'!2:2,0)),"M-TIT",
INDEX( 'ETPT Format DDG'!$A:$ZZ,,MATCH("Juridiction",'ETPT Format DDG'!2:2,0)),$A$3)</f>
      </c>
      <c r="H12" s="72">
        <f>IF(AND(OR(LEFT(C12,3)="12.",LEFT(E12,3)="12.",LEFT(E12,5)="CET &gt;",IFERROR(G12/$G$6,"")=0),NOT(AND(LEFT(E12,4)="12.8",IFERROR(G12/$G$6,"")&lt;&gt;0)),NOT(AND(LEFT(E12,5)="12.31",IFERROR(G12/$G$6,"")&lt;&gt;0)),NOT(AND(LEFT(E12,5)="12.32",IFERROR(G12/$G$6,"")&lt;&gt;0))),"", IFERROR(G12/$G$6,""))</f>
      </c>
      <c r="I12" s="73">
        <f>SUMIFS(
INDEX('ETPT Format DDG'!$A:$ZZ,,IFERROR(MATCH(E12,'ETPT Format DDG'!$2:$2,0),MATCH(C12,'ETPT Format DDG'!$2:$2,0))),
INDEX( 'ETPT Format DDG'!$A:$ZZ,,MATCH("Fonction agrégat",'ETPT Format DDG'!2:2,0)),"M-PLAC-ADD",
INDEX( 'ETPT Format DDG'!$A:$ZZ,,MATCH("Juridiction",'ETPT Format DDG'!2:2,0)),$A$3)</f>
      </c>
      <c r="J12" s="73">
        <f>SUMIFS(
INDEX('ETPT Format DDG'!$A:$ZZ,,IFERROR(MATCH(E12,'ETPT Format DDG'!$2:$2,0),MATCH(C12,'ETPT Format DDG'!$2:$2,0))),
INDEX( 'ETPT Format DDG'!$A:$ZZ,,MATCH("Fonction agrégat",'ETPT Format DDG'!2:2,0)),"M-PLAC-SUB",
INDEX( 'ETPT Format DDG'!$A:$ZZ,,MATCH("Juridiction",'ETPT Format DDG'!2:2,0)),$A$3)</f>
      </c>
      <c r="K12" s="73">
        <f>SUMIFS(
INDEX('ETPT Format DDG'!$A:$ZZ,,IFERROR(MATCH(E12,'ETPT Format DDG'!$2:$2,0),MATCH(C12,'ETPT Format DDG'!$2:$2,0))),
INDEX( 'ETPT Format DDG'!$A:$ZZ,,MATCH("Fonction agrégat",'ETPT Format DDG'!2:2,0)),"M-CONT",
INDEX( 'ETPT Format DDG'!$A:$ZZ,,MATCH("Juridiction",'ETPT Format DDG'!2:2,0)),$A$3,
INDEX( 'ETPT Format DDG'!$A:$ZZ,,MATCH("Catégorie",'ETPT Format DDG'!2:2,0)),"Magistrat")</f>
      </c>
      <c r="L12" s="71">
        <f>SUMIFS(
INDEX('ETPT Format DDG'!$A:$ZZ,,IFERROR(MATCH(E12,'ETPT Format DDG'!$2:$2,0),MATCH(C12,'ETPT Format DDG'!$2:$2,0))),
INDEX( 'ETPT Format DDG'!$A:$ZZ,,MATCH("Juridiction",'ETPT Format DDG'!2:2,0)),$A$3,
INDEX( 'ETPT Format DDG'!$A:$ZZ,,MATCH("Catégorie",'ETPT Format DDG'!2:2,0)),"Magistrat")</f>
      </c>
      <c r="M12" s="74">
        <f>IF(AND(OR(LEFT(C12,3)="12.",LEFT(E12,3)="12.",LEFT(E12,5)="CET &gt;", IFERROR(L12/$L$6,"")=0),NOT(AND(LEFT(E12,4)="12.8",IFERROR(G12/$G$6,"")&lt;&gt;0)),NOT(AND(LEFT(E12,5)="12.31",IFERROR(L12/$G$6,"")&lt;&gt;0)),NOT(AND(LEFT(E12,5)="12.32",IFERROR(L12/$G$6,"")&lt;&gt;0))),"", IFERROR(L12/$L$6,""))</f>
      </c>
      <c r="N12" s="73">
        <f>SUMIFS(
INDEX('ETPT Format DDG'!$A:$ZZ,,IFERROR(MATCH(E12,'ETPT Format DDG'!$2:$2,0),MATCH(C12,'ETPT Format DDG'!$2:$2,0))),
INDEX( 'ETPT Format DDG'!$A:$ZZ,,MATCH("Fonction agrégat",'ETPT Format DDG'!2:2,0)),"F-TIT",
INDEX( 'ETPT Format DDG'!$A:$ZZ,,MATCH("Juridiction",'ETPT Format DDG'!2:2,0)),$A$3)</f>
      </c>
      <c r="O12" s="72">
        <f>IF(AND(OR(LEFT(C12,3)="12.",LEFT(E12,3)="12.",LEFT(E12,5)="CET &gt;",IFERROR(N12/$N$6,"")=0),NOT(AND(LEFT(E12,4)="12.8",IFERROR(G12/$G$6,"")&lt;&gt;0)),NOT(AND(LEFT(E12,5)="12.31",IFERROR(N12/$G$6,"")&lt;&gt;0)),NOT(AND(LEFT(E12,5)="12.32",IFERROR(N12/$G$6,"")&lt;&gt;0))),"",IFERROR(N12/$N$6,""))</f>
      </c>
      <c r="P12" s="73">
        <f>SUMIFS(
INDEX('ETPT Format DDG'!$A:$FB,,IFERROR(MATCH(E12,'ETPT Format DDG'!$2:$2,0),MATCH(C12,'ETPT Format DDG'!$2:$2,0))),
INDEX( 'ETPT Format DDG'!$A:$ZZ,,MATCH("Fonction agrégat",'ETPT Format DDG'!2:2,0)),"F-PLAC-ADD",
INDEX( 'ETPT Format DDG'!$A:$ZZ,,MATCH("Juridiction",'ETPT Format DDG'!2:2,0)),$A$3)</f>
      </c>
      <c r="Q12" s="73">
        <f>SUMIFS(
INDEX('ETPT Format DDG'!$A:$FB,,IFERROR(MATCH(E12,'ETPT Format DDG'!$2:$2,0),MATCH(C12,'ETPT Format DDG'!$2:$2,0))),
INDEX( 'ETPT Format DDG'!$A:$ZZ,,MATCH("Fonction agrégat",'ETPT Format DDG'!2:2,0)),"F-PLAC-SUB",
INDEX( 'ETPT Format DDG'!$A:$ZZ,,MATCH("Juridiction",'ETPT Format DDG'!2:2,0)),$A$3)</f>
      </c>
      <c r="R12" s="73">
        <f>SUMIFS(
INDEX('ETPT Format DDG'!$A:$FB,,IFERROR(MATCH(E12,'ETPT Format DDG'!$2:$2,0),MATCH(C12,'ETPT Format DDG'!$2:$2,0))),
INDEX( 'ETPT Format DDG'!$A:$ZZ,,MATCH("Fonction agrégat",'ETPT Format DDG'!2:2,0)),"C",
'ETPT Format DDG'!$H:$H,"Greffe",
INDEX( 'ETPT Format DDG'!$A:$ZZ,,MATCH("Juridiction",'ETPT Format DDG'!2:2,0)),$A$3)</f>
      </c>
      <c r="S12" s="71">
        <f>SUMIFS(
INDEX('ETPT Format DDG'!$A:$FB,,IFERROR(MATCH(E12,'ETPT Format DDG'!$2:$2,0),MATCH(C12,'ETPT Format DDG'!$2:$2,0))),
INDEX( 'ETPT Format DDG'!$A:$ZZ,,MATCH("Catégorie",'ETPT Format DDG'!2:2,0)),"Greffe",
INDEX( 'ETPT Format DDG'!$A:$ZZ,,MATCH("Juridiction",'ETPT Format DDG'!2:2,0)),$A$3)</f>
      </c>
      <c r="T12" s="72">
        <f>IF(AND(OR(LEFT(C12,3)="12.",LEFT(E12,3)="12.",LEFT(E12,5)="CET &gt;",IFERROR(S12/$S$6,"")=0),NOT(AND(LEFT(E12,4)="12.8",IFERROR(G12/$G$6,"")&lt;&gt;0)),NOT(AND(LEFT(E12,5)="12.31",IFERROR(S12/$G$6,"")&lt;&gt;0)),NOT(AND(LEFT(E12,5)="12.32",IFERROR(S12/$G$6,"")&lt;&gt;0))),"", IFERROR(S12/$S$6,""))</f>
      </c>
      <c r="U12" s="71">
        <f>SUMIFS(
INDEX('ETPT Format DDG'!$A:$FB,,IFERROR(MATCH(E12,'ETPT Format DDG'!$2:$2,0),MATCH(C12,'ETPT Format DDG'!$2:$2,0))),
INDEX( 'ETPT Format DDG'!$A:$ZZ,,MATCH("Fonction agrégat",'ETPT Format DDG'!2:2,0)),"C",
INDEX( 'ETPT Format DDG'!$A:$ZZ,,MATCH("Juridiction",'ETPT Format DDG'!2:2,0)),$A$3,
INDEX( 'ETPT Format DDG'!$A:$ZZ,,MATCH("Catégorie",'ETPT Format DDG'!2:2,0)),"Autour du magistrat")</f>
      </c>
      <c r="V12" s="74">
        <f>IF(AND(OR(LEFT(C12,3)="12.",LEFT(E12,3)="12.",LEFT(E12,5)="CET &gt;",IFERROR(U12/$U$6,"")=0),NOT(AND(LEFT(E12,4)="12.8",IFERROR(G12/$G$6,"")&lt;&gt;0)),NOT(AND(LEFT(E12,5)="12.31",IFERROR(U12/$G$6,"")&lt;&gt;0)),NOT(AND(LEFT(E12,5)="12.32",IFERROR(U12/$G$6,"")&lt;&gt;0))),"", IFERROR(U12/$U$6,""))</f>
      </c>
    </row>
    <row r="13" ht="16" customHeight="1" spans="1:23" x14ac:dyDescent="0.25">
      <c r="A13" s="40"/>
      <c r="C13" s="68" t="s">
        <v>48</v>
      </c>
      <c r="D13" s="68" t="s">
        <v>48</v>
      </c>
      <c r="E13" s="69"/>
      <c r="F13" s="70"/>
      <c r="G13" s="71">
        <f>SUMIFS(
INDEX('ETPT Format DDG'!$A:$ZZ,,IFERROR(MATCH(E13,'ETPT Format DDG'!$2:$2,0),MATCH(C13,'ETPT Format DDG'!$2:$2,0))),
INDEX( 'ETPT Format DDG'!$A:$ZZ,,MATCH("Fonction agrégat",'ETPT Format DDG'!2:2,0)),"M-TIT",
INDEX( 'ETPT Format DDG'!$A:$ZZ,,MATCH("Juridiction",'ETPT Format DDG'!2:2,0)),$A$3)</f>
      </c>
      <c r="H13" s="72">
        <f>IF(AND(OR(LEFT(C13,3)="12.",LEFT(E13,3)="12.",LEFT(E13,5)="CET &gt;",IFERROR(G13/$G$6,"")=0),NOT(AND(LEFT(E13,4)="12.8",IFERROR(G13/$G$6,"")&lt;&gt;0)),NOT(AND(LEFT(E13,5)="12.31",IFERROR(G13/$G$6,"")&lt;&gt;0)),NOT(AND(LEFT(E13,5)="12.32",IFERROR(G13/$G$6,"")&lt;&gt;0))),"", IFERROR(G13/$G$6,""))</f>
      </c>
      <c r="I13" s="73">
        <f>SUMIFS(
INDEX('ETPT Format DDG'!$A:$ZZ,,IFERROR(MATCH(E13,'ETPT Format DDG'!$2:$2,0),MATCH(C13,'ETPT Format DDG'!$2:$2,0))),
INDEX( 'ETPT Format DDG'!$A:$ZZ,,MATCH("Fonction agrégat",'ETPT Format DDG'!2:2,0)),"M-PLAC-ADD",
INDEX( 'ETPT Format DDG'!$A:$ZZ,,MATCH("Juridiction",'ETPT Format DDG'!2:2,0)),$A$3)</f>
      </c>
      <c r="J13" s="73">
        <f>SUMIFS(
INDEX('ETPT Format DDG'!$A:$ZZ,,IFERROR(MATCH(E13,'ETPT Format DDG'!$2:$2,0),MATCH(C13,'ETPT Format DDG'!$2:$2,0))),
INDEX( 'ETPT Format DDG'!$A:$ZZ,,MATCH("Fonction agrégat",'ETPT Format DDG'!2:2,0)),"M-PLAC-SUB",
INDEX( 'ETPT Format DDG'!$A:$ZZ,,MATCH("Juridiction",'ETPT Format DDG'!2:2,0)),$A$3)</f>
      </c>
      <c r="K13" s="73">
        <f>SUMIFS(
INDEX('ETPT Format DDG'!$A:$ZZ,,IFERROR(MATCH(E13,'ETPT Format DDG'!$2:$2,0),MATCH(C13,'ETPT Format DDG'!$2:$2,0))),
INDEX( 'ETPT Format DDG'!$A:$ZZ,,MATCH("Fonction agrégat",'ETPT Format DDG'!2:2,0)),"M-CONT",
INDEX( 'ETPT Format DDG'!$A:$ZZ,,MATCH("Juridiction",'ETPT Format DDG'!2:2,0)),$A$3,
INDEX( 'ETPT Format DDG'!$A:$ZZ,,MATCH("Catégorie",'ETPT Format DDG'!2:2,0)),"Magistrat")</f>
      </c>
      <c r="L13" s="71">
        <f>SUMIFS(
INDEX('ETPT Format DDG'!$A:$ZZ,,IFERROR(MATCH(E13,'ETPT Format DDG'!$2:$2,0),MATCH(C13,'ETPT Format DDG'!$2:$2,0))),
INDEX( 'ETPT Format DDG'!$A:$ZZ,,MATCH("Juridiction",'ETPT Format DDG'!2:2,0)),$A$3,
INDEX( 'ETPT Format DDG'!$A:$ZZ,,MATCH("Catégorie",'ETPT Format DDG'!2:2,0)),"Magistrat")</f>
      </c>
      <c r="M13" s="74">
        <f>IF(AND(OR(LEFT(C13,3)="12.",LEFT(E13,3)="12.",LEFT(E13,5)="CET &gt;", IFERROR(L13/$L$6,"")=0),NOT(AND(LEFT(E13,4)="12.8",IFERROR(G13/$G$6,"")&lt;&gt;0)),NOT(AND(LEFT(E13,5)="12.31",IFERROR(L13/$G$6,"")&lt;&gt;0)),NOT(AND(LEFT(E13,5)="12.32",IFERROR(L13/$G$6,"")&lt;&gt;0))),"", IFERROR(L13/$L$6,""))</f>
      </c>
      <c r="N13" s="73">
        <f>SUMIFS(
INDEX('ETPT Format DDG'!$A:$ZZ,,IFERROR(MATCH(E13,'ETPT Format DDG'!$2:$2,0),MATCH(C13,'ETPT Format DDG'!$2:$2,0))),
INDEX( 'ETPT Format DDG'!$A:$ZZ,,MATCH("Fonction agrégat",'ETPT Format DDG'!2:2,0)),"F-TIT",
INDEX( 'ETPT Format DDG'!$A:$ZZ,,MATCH("Juridiction",'ETPT Format DDG'!2:2,0)),$A$3)</f>
      </c>
      <c r="O13" s="72">
        <f>IF(AND(OR(LEFT(C13,3)="12.",LEFT(E13,3)="12.",LEFT(E13,5)="CET &gt;",IFERROR(N13/$N$6,"")=0),NOT(AND(LEFT(E13,4)="12.8",IFERROR(G13/$G$6,"")&lt;&gt;0)),NOT(AND(LEFT(E13,5)="12.31",IFERROR(N13/$G$6,"")&lt;&gt;0)),NOT(AND(LEFT(E13,5)="12.32",IFERROR(N13/$G$6,"")&lt;&gt;0))),"",IFERROR(N13/$N$6,""))</f>
      </c>
      <c r="P13" s="73">
        <f>SUMIFS(
INDEX('ETPT Format DDG'!$A:$FB,,IFERROR(MATCH(E13,'ETPT Format DDG'!$2:$2,0),MATCH(C13,'ETPT Format DDG'!$2:$2,0))),
INDEX( 'ETPT Format DDG'!$A:$ZZ,,MATCH("Fonction agrégat",'ETPT Format DDG'!2:2,0)),"F-PLAC-ADD",
INDEX( 'ETPT Format DDG'!$A:$ZZ,,MATCH("Juridiction",'ETPT Format DDG'!2:2,0)),$A$3)</f>
      </c>
      <c r="Q13" s="73">
        <f>SUMIFS(
INDEX('ETPT Format DDG'!$A:$FB,,IFERROR(MATCH(E13,'ETPT Format DDG'!$2:$2,0),MATCH(C13,'ETPT Format DDG'!$2:$2,0))),
INDEX( 'ETPT Format DDG'!$A:$ZZ,,MATCH("Fonction agrégat",'ETPT Format DDG'!2:2,0)),"F-PLAC-SUB",
INDEX( 'ETPT Format DDG'!$A:$ZZ,,MATCH("Juridiction",'ETPT Format DDG'!2:2,0)),$A$3)</f>
      </c>
      <c r="R13" s="73">
        <f>SUMIFS(
INDEX('ETPT Format DDG'!$A:$FB,,IFERROR(MATCH(E13,'ETPT Format DDG'!$2:$2,0),MATCH(C13,'ETPT Format DDG'!$2:$2,0))),
INDEX( 'ETPT Format DDG'!$A:$ZZ,,MATCH("Fonction agrégat",'ETPT Format DDG'!2:2,0)),"C",
'ETPT Format DDG'!$H:$H,"Greffe",
INDEX( 'ETPT Format DDG'!$A:$ZZ,,MATCH("Juridiction",'ETPT Format DDG'!2:2,0)),$A$3)</f>
      </c>
      <c r="S13" s="71">
        <f>SUMIFS(
INDEX('ETPT Format DDG'!$A:$FB,,IFERROR(MATCH(E13,'ETPT Format DDG'!$2:$2,0),MATCH(C13,'ETPT Format DDG'!$2:$2,0))),
INDEX( 'ETPT Format DDG'!$A:$ZZ,,MATCH("Catégorie",'ETPT Format DDG'!2:2,0)),"Greffe",
INDEX( 'ETPT Format DDG'!$A:$ZZ,,MATCH("Juridiction",'ETPT Format DDG'!2:2,0)),$A$3)</f>
      </c>
      <c r="T13" s="72">
        <f>IF(AND(OR(LEFT(C13,3)="12.",LEFT(E13,3)="12.",LEFT(E13,5)="CET &gt;",IFERROR(S13/$S$6,"")=0),NOT(AND(LEFT(E13,4)="12.8",IFERROR(G13/$G$6,"")&lt;&gt;0)),NOT(AND(LEFT(E13,5)="12.31",IFERROR(S13/$G$6,"")&lt;&gt;0)),NOT(AND(LEFT(E13,5)="12.32",IFERROR(S13/$G$6,"")&lt;&gt;0))),"", IFERROR(S13/$S$6,""))</f>
      </c>
      <c r="U13" s="71">
        <f>SUMIFS(
INDEX('ETPT Format DDG'!$A:$FB,,IFERROR(MATCH(E13,'ETPT Format DDG'!$2:$2,0),MATCH(C13,'ETPT Format DDG'!$2:$2,0))),
INDEX( 'ETPT Format DDG'!$A:$ZZ,,MATCH("Fonction agrégat",'ETPT Format DDG'!2:2,0)),"C",
INDEX( 'ETPT Format DDG'!$A:$ZZ,,MATCH("Juridiction",'ETPT Format DDG'!2:2,0)),$A$3,
INDEX( 'ETPT Format DDG'!$A:$ZZ,,MATCH("Catégorie",'ETPT Format DDG'!2:2,0)),"Autour du magistrat")</f>
      </c>
      <c r="V13" s="74">
        <f>IF(AND(OR(LEFT(C13,3)="12.",LEFT(E13,3)="12.",LEFT(E13,5)="CET &gt;",IFERROR(U13/$U$6,"")=0),NOT(AND(LEFT(E13,4)="12.8",IFERROR(G13/$G$6,"")&lt;&gt;0)),NOT(AND(LEFT(E13,5)="12.31",IFERROR(U13/$G$6,"")&lt;&gt;0)),NOT(AND(LEFT(E13,5)="12.32",IFERROR(U13/$G$6,"")&lt;&gt;0))),"", IFERROR(U13/$U$6,""))</f>
      </c>
    </row>
    <row r="14" ht="16" customHeight="1" spans="1:23" x14ac:dyDescent="0.25">
      <c r="A14" s="40"/>
      <c r="C14" s="68"/>
      <c r="D14" s="68"/>
      <c r="E14" s="69" t="s">
        <v>49</v>
      </c>
      <c r="F14" s="70" t="s">
        <v>49</v>
      </c>
      <c r="G14" s="71">
        <f>SUMIFS(
INDEX('ETPT Format DDG'!$A:$ZZ,,IFERROR(MATCH(E14,'ETPT Format DDG'!$2:$2,0),MATCH(C14,'ETPT Format DDG'!$2:$2,0))),
INDEX( 'ETPT Format DDG'!$A:$ZZ,,MATCH("Fonction agrégat",'ETPT Format DDG'!2:2,0)),"M-TIT",
INDEX( 'ETPT Format DDG'!$A:$ZZ,,MATCH("Juridiction",'ETPT Format DDG'!2:2,0)),$A$3)</f>
      </c>
      <c r="H14" s="72">
        <f>IF(AND(OR(LEFT(C14,3)="12.",LEFT(E14,3)="12.",LEFT(E14,5)="CET &gt;",IFERROR(G14/$G$6,"")=0),NOT(AND(LEFT(E14,4)="12.8",IFERROR(G14/$G$6,"")&lt;&gt;0)),NOT(AND(LEFT(E14,5)="12.31",IFERROR(G14/$G$6,"")&lt;&gt;0)),NOT(AND(LEFT(E14,5)="12.32",IFERROR(G14/$G$6,"")&lt;&gt;0))),"", IFERROR(G14/$G$6,""))</f>
      </c>
      <c r="I14" s="73">
        <f>SUMIFS(
INDEX('ETPT Format DDG'!$A:$ZZ,,IFERROR(MATCH(E14,'ETPT Format DDG'!$2:$2,0),MATCH(C14,'ETPT Format DDG'!$2:$2,0))),
INDEX( 'ETPT Format DDG'!$A:$ZZ,,MATCH("Fonction agrégat",'ETPT Format DDG'!2:2,0)),"M-PLAC-ADD",
INDEX( 'ETPT Format DDG'!$A:$ZZ,,MATCH("Juridiction",'ETPT Format DDG'!2:2,0)),$A$3)</f>
      </c>
      <c r="J14" s="73">
        <f>SUMIFS(
INDEX('ETPT Format DDG'!$A:$ZZ,,IFERROR(MATCH(E14,'ETPT Format DDG'!$2:$2,0),MATCH(C14,'ETPT Format DDG'!$2:$2,0))),
INDEX( 'ETPT Format DDG'!$A:$ZZ,,MATCH("Fonction agrégat",'ETPT Format DDG'!2:2,0)),"M-PLAC-SUB",
INDEX( 'ETPT Format DDG'!$A:$ZZ,,MATCH("Juridiction",'ETPT Format DDG'!2:2,0)),$A$3)</f>
      </c>
      <c r="K14" s="73">
        <f>SUMIFS(
INDEX('ETPT Format DDG'!$A:$ZZ,,IFERROR(MATCH(E14,'ETPT Format DDG'!$2:$2,0),MATCH(C14,'ETPT Format DDG'!$2:$2,0))),
INDEX( 'ETPT Format DDG'!$A:$ZZ,,MATCH("Fonction agrégat",'ETPT Format DDG'!2:2,0)),"M-CONT",
INDEX( 'ETPT Format DDG'!$A:$ZZ,,MATCH("Juridiction",'ETPT Format DDG'!2:2,0)),$A$3,
INDEX( 'ETPT Format DDG'!$A:$ZZ,,MATCH("Catégorie",'ETPT Format DDG'!2:2,0)),"Magistrat")</f>
      </c>
      <c r="L14" s="71">
        <f>SUMIFS(
INDEX('ETPT Format DDG'!$A:$ZZ,,IFERROR(MATCH(E14,'ETPT Format DDG'!$2:$2,0),MATCH(C14,'ETPT Format DDG'!$2:$2,0))),
INDEX( 'ETPT Format DDG'!$A:$ZZ,,MATCH("Juridiction",'ETPT Format DDG'!2:2,0)),$A$3,
INDEX( 'ETPT Format DDG'!$A:$ZZ,,MATCH("Catégorie",'ETPT Format DDG'!2:2,0)),"Magistrat")</f>
      </c>
      <c r="M14" s="74">
        <f>IF(AND(OR(LEFT(C14,3)="12.",LEFT(E14,3)="12.",LEFT(E14,5)="CET &gt;", IFERROR(L14/$L$6,"")=0),NOT(AND(LEFT(E14,4)="12.8",IFERROR(G14/$G$6,"")&lt;&gt;0)),NOT(AND(LEFT(E14,5)="12.31",IFERROR(L14/$G$6,"")&lt;&gt;0)),NOT(AND(LEFT(E14,5)="12.32",IFERROR(L14/$G$6,"")&lt;&gt;0))),"", IFERROR(L14/$L$6,""))</f>
      </c>
      <c r="N14" s="73">
        <f>SUMIFS(
INDEX('ETPT Format DDG'!$A:$ZZ,,IFERROR(MATCH(E14,'ETPT Format DDG'!$2:$2,0),MATCH(C14,'ETPT Format DDG'!$2:$2,0))),
INDEX( 'ETPT Format DDG'!$A:$ZZ,,MATCH("Fonction agrégat",'ETPT Format DDG'!2:2,0)),"F-TIT",
INDEX( 'ETPT Format DDG'!$A:$ZZ,,MATCH("Juridiction",'ETPT Format DDG'!2:2,0)),$A$3)</f>
      </c>
      <c r="O14" s="72">
        <f>IF(AND(OR(LEFT(C14,3)="12.",LEFT(E14,3)="12.",LEFT(E14,5)="CET &gt;",IFERROR(N14/$N$6,"")=0),NOT(AND(LEFT(E14,4)="12.8",IFERROR(G14/$G$6,"")&lt;&gt;0)),NOT(AND(LEFT(E14,5)="12.31",IFERROR(N14/$G$6,"")&lt;&gt;0)),NOT(AND(LEFT(E14,5)="12.32",IFERROR(N14/$G$6,"")&lt;&gt;0))),"",IFERROR(N14/$N$6,""))</f>
      </c>
      <c r="P14" s="73">
        <f>SUMIFS(
INDEX('ETPT Format DDG'!$A:$FB,,IFERROR(MATCH(E14,'ETPT Format DDG'!$2:$2,0),MATCH(C14,'ETPT Format DDG'!$2:$2,0))),
INDEX( 'ETPT Format DDG'!$A:$ZZ,,MATCH("Fonction agrégat",'ETPT Format DDG'!2:2,0)),"F-PLAC-ADD",
INDEX( 'ETPT Format DDG'!$A:$ZZ,,MATCH("Juridiction",'ETPT Format DDG'!2:2,0)),$A$3)</f>
      </c>
      <c r="Q14" s="73">
        <f>SUMIFS(
INDEX('ETPT Format DDG'!$A:$FB,,IFERROR(MATCH(E14,'ETPT Format DDG'!$2:$2,0),MATCH(C14,'ETPT Format DDG'!$2:$2,0))),
INDEX( 'ETPT Format DDG'!$A:$ZZ,,MATCH("Fonction agrégat",'ETPT Format DDG'!2:2,0)),"F-PLAC-SUB",
INDEX( 'ETPT Format DDG'!$A:$ZZ,,MATCH("Juridiction",'ETPT Format DDG'!2:2,0)),$A$3)</f>
      </c>
      <c r="R14" s="73">
        <f>SUMIFS(
INDEX('ETPT Format DDG'!$A:$FB,,IFERROR(MATCH(E14,'ETPT Format DDG'!$2:$2,0),MATCH(C14,'ETPT Format DDG'!$2:$2,0))),
INDEX( 'ETPT Format DDG'!$A:$ZZ,,MATCH("Fonction agrégat",'ETPT Format DDG'!2:2,0)),"C",
'ETPT Format DDG'!$H:$H,"Greffe",
INDEX( 'ETPT Format DDG'!$A:$ZZ,,MATCH("Juridiction",'ETPT Format DDG'!2:2,0)),$A$3)</f>
      </c>
      <c r="S14" s="71">
        <f>SUMIFS(
INDEX('ETPT Format DDG'!$A:$FB,,IFERROR(MATCH(E14,'ETPT Format DDG'!$2:$2,0),MATCH(C14,'ETPT Format DDG'!$2:$2,0))),
INDEX( 'ETPT Format DDG'!$A:$ZZ,,MATCH("Catégorie",'ETPT Format DDG'!2:2,0)),"Greffe",
INDEX( 'ETPT Format DDG'!$A:$ZZ,,MATCH("Juridiction",'ETPT Format DDG'!2:2,0)),$A$3)</f>
      </c>
      <c r="T14" s="72">
        <f>IF(AND(OR(LEFT(C14,3)="12.",LEFT(E14,3)="12.",LEFT(E14,5)="CET &gt;",IFERROR(S14/$S$6,"")=0),NOT(AND(LEFT(E14,4)="12.8",IFERROR(G14/$G$6,"")&lt;&gt;0)),NOT(AND(LEFT(E14,5)="12.31",IFERROR(S14/$G$6,"")&lt;&gt;0)),NOT(AND(LEFT(E14,5)="12.32",IFERROR(S14/$G$6,"")&lt;&gt;0))),"", IFERROR(S14/$S$6,""))</f>
      </c>
      <c r="U14" s="71">
        <f>SUMIFS(
INDEX('ETPT Format DDG'!$A:$FB,,IFERROR(MATCH(E14,'ETPT Format DDG'!$2:$2,0),MATCH(C14,'ETPT Format DDG'!$2:$2,0))),
INDEX( 'ETPT Format DDG'!$A:$ZZ,,MATCH("Fonction agrégat",'ETPT Format DDG'!2:2,0)),"C",
INDEX( 'ETPT Format DDG'!$A:$ZZ,,MATCH("Juridiction",'ETPT Format DDG'!2:2,0)),$A$3,
INDEX( 'ETPT Format DDG'!$A:$ZZ,,MATCH("Catégorie",'ETPT Format DDG'!2:2,0)),"Autour du magistrat")</f>
      </c>
      <c r="V14" s="74">
        <f>IF(AND(OR(LEFT(C14,3)="12.",LEFT(E14,3)="12.",LEFT(E14,5)="CET &gt;",IFERROR(U14/$U$6,"")=0),NOT(AND(LEFT(E14,4)="12.8",IFERROR(G14/$G$6,"")&lt;&gt;0)),NOT(AND(LEFT(E14,5)="12.31",IFERROR(U14/$G$6,"")&lt;&gt;0)),NOT(AND(LEFT(E14,5)="12.32",IFERROR(U14/$G$6,"")&lt;&gt;0))),"", IFERROR(U14/$U$6,""))</f>
      </c>
    </row>
    <row r="15" ht="16" customHeight="1" spans="1:23" x14ac:dyDescent="0.25">
      <c r="A15" s="40"/>
      <c r="C15" s="68"/>
      <c r="D15" s="68"/>
      <c r="E15" s="69" t="s">
        <v>50</v>
      </c>
      <c r="F15" s="70" t="s">
        <v>50</v>
      </c>
      <c r="G15" s="71">
        <f>SUMIFS(
INDEX('ETPT Format DDG'!$A:$ZZ,,IFERROR(MATCH(E15,'ETPT Format DDG'!$2:$2,0),MATCH(C15,'ETPT Format DDG'!$2:$2,0))),
INDEX( 'ETPT Format DDG'!$A:$ZZ,,MATCH("Fonction agrégat",'ETPT Format DDG'!2:2,0)),"M-TIT",
INDEX( 'ETPT Format DDG'!$A:$ZZ,,MATCH("Juridiction",'ETPT Format DDG'!2:2,0)),$A$3)</f>
      </c>
      <c r="H15" s="72">
        <f>IF(AND(OR(LEFT(C15,3)="12.",LEFT(E15,3)="12.",LEFT(E15,5)="CET &gt;",IFERROR(G15/$G$6,"")=0),NOT(AND(LEFT(E15,4)="12.8",IFERROR(G15/$G$6,"")&lt;&gt;0)),NOT(AND(LEFT(E15,5)="12.31",IFERROR(G15/$G$6,"")&lt;&gt;0)),NOT(AND(LEFT(E15,5)="12.32",IFERROR(G15/$G$6,"")&lt;&gt;0))),"", IFERROR(G15/$G$6,""))</f>
      </c>
      <c r="I15" s="73">
        <f>SUMIFS(
INDEX('ETPT Format DDG'!$A:$ZZ,,IFERROR(MATCH(E15,'ETPT Format DDG'!$2:$2,0),MATCH(C15,'ETPT Format DDG'!$2:$2,0))),
INDEX( 'ETPT Format DDG'!$A:$ZZ,,MATCH("Fonction agrégat",'ETPT Format DDG'!2:2,0)),"M-PLAC-ADD",
INDEX( 'ETPT Format DDG'!$A:$ZZ,,MATCH("Juridiction",'ETPT Format DDG'!2:2,0)),$A$3)</f>
      </c>
      <c r="J15" s="73">
        <f>SUMIFS(
INDEX('ETPT Format DDG'!$A:$ZZ,,IFERROR(MATCH(E15,'ETPT Format DDG'!$2:$2,0),MATCH(C15,'ETPT Format DDG'!$2:$2,0))),
INDEX( 'ETPT Format DDG'!$A:$ZZ,,MATCH("Fonction agrégat",'ETPT Format DDG'!2:2,0)),"M-PLAC-SUB",
INDEX( 'ETPT Format DDG'!$A:$ZZ,,MATCH("Juridiction",'ETPT Format DDG'!2:2,0)),$A$3)</f>
      </c>
      <c r="K15" s="73">
        <f>SUMIFS(
INDEX('ETPT Format DDG'!$A:$ZZ,,IFERROR(MATCH(E15,'ETPT Format DDG'!$2:$2,0),MATCH(C15,'ETPT Format DDG'!$2:$2,0))),
INDEX( 'ETPT Format DDG'!$A:$ZZ,,MATCH("Fonction agrégat",'ETPT Format DDG'!2:2,0)),"M-CONT",
INDEX( 'ETPT Format DDG'!$A:$ZZ,,MATCH("Juridiction",'ETPT Format DDG'!2:2,0)),$A$3,
INDEX( 'ETPT Format DDG'!$A:$ZZ,,MATCH("Catégorie",'ETPT Format DDG'!2:2,0)),"Magistrat")</f>
      </c>
      <c r="L15" s="71">
        <f>SUMIFS(
INDEX('ETPT Format DDG'!$A:$ZZ,,IFERROR(MATCH(E15,'ETPT Format DDG'!$2:$2,0),MATCH(C15,'ETPT Format DDG'!$2:$2,0))),
INDEX( 'ETPT Format DDG'!$A:$ZZ,,MATCH("Juridiction",'ETPT Format DDG'!2:2,0)),$A$3,
INDEX( 'ETPT Format DDG'!$A:$ZZ,,MATCH("Catégorie",'ETPT Format DDG'!2:2,0)),"Magistrat")</f>
      </c>
      <c r="M15" s="74">
        <f>IF(AND(OR(LEFT(C15,3)="12.",LEFT(E15,3)="12.",LEFT(E15,5)="CET &gt;", IFERROR(L15/$L$6,"")=0),NOT(AND(LEFT(E15,4)="12.8",IFERROR(G15/$G$6,"")&lt;&gt;0)),NOT(AND(LEFT(E15,5)="12.31",IFERROR(L15/$G$6,"")&lt;&gt;0)),NOT(AND(LEFT(E15,5)="12.32",IFERROR(L15/$G$6,"")&lt;&gt;0))),"", IFERROR(L15/$L$6,""))</f>
      </c>
      <c r="N15" s="73">
        <f>SUMIFS(
INDEX('ETPT Format DDG'!$A:$ZZ,,IFERROR(MATCH(E15,'ETPT Format DDG'!$2:$2,0),MATCH(C15,'ETPT Format DDG'!$2:$2,0))),
INDEX( 'ETPT Format DDG'!$A:$ZZ,,MATCH("Fonction agrégat",'ETPT Format DDG'!2:2,0)),"F-TIT",
INDEX( 'ETPT Format DDG'!$A:$ZZ,,MATCH("Juridiction",'ETPT Format DDG'!2:2,0)),$A$3)</f>
      </c>
      <c r="O15" s="72">
        <f>IF(AND(OR(LEFT(C15,3)="12.",LEFT(E15,3)="12.",LEFT(E15,5)="CET &gt;",IFERROR(N15/$N$6,"")=0),NOT(AND(LEFT(E15,4)="12.8",IFERROR(G15/$G$6,"")&lt;&gt;0)),NOT(AND(LEFT(E15,5)="12.31",IFERROR(N15/$G$6,"")&lt;&gt;0)),NOT(AND(LEFT(E15,5)="12.32",IFERROR(N15/$G$6,"")&lt;&gt;0))),"",IFERROR(N15/$N$6,""))</f>
      </c>
      <c r="P15" s="73">
        <f>SUMIFS(
INDEX('ETPT Format DDG'!$A:$FB,,IFERROR(MATCH(E15,'ETPT Format DDG'!$2:$2,0),MATCH(C15,'ETPT Format DDG'!$2:$2,0))),
INDEX( 'ETPT Format DDG'!$A:$ZZ,,MATCH("Fonction agrégat",'ETPT Format DDG'!2:2,0)),"F-PLAC-ADD",
INDEX( 'ETPT Format DDG'!$A:$ZZ,,MATCH("Juridiction",'ETPT Format DDG'!2:2,0)),$A$3)</f>
      </c>
      <c r="Q15" s="73">
        <f>SUMIFS(
INDEX('ETPT Format DDG'!$A:$FB,,IFERROR(MATCH(E15,'ETPT Format DDG'!$2:$2,0),MATCH(C15,'ETPT Format DDG'!$2:$2,0))),
INDEX( 'ETPT Format DDG'!$A:$ZZ,,MATCH("Fonction agrégat",'ETPT Format DDG'!2:2,0)),"F-PLAC-SUB",
INDEX( 'ETPT Format DDG'!$A:$ZZ,,MATCH("Juridiction",'ETPT Format DDG'!2:2,0)),$A$3)</f>
      </c>
      <c r="R15" s="73">
        <f>SUMIFS(
INDEX('ETPT Format DDG'!$A:$FB,,IFERROR(MATCH(E15,'ETPT Format DDG'!$2:$2,0),MATCH(C15,'ETPT Format DDG'!$2:$2,0))),
INDEX( 'ETPT Format DDG'!$A:$ZZ,,MATCH("Fonction agrégat",'ETPT Format DDG'!2:2,0)),"C",
'ETPT Format DDG'!$H:$H,"Greffe",
INDEX( 'ETPT Format DDG'!$A:$ZZ,,MATCH("Juridiction",'ETPT Format DDG'!2:2,0)),$A$3)</f>
      </c>
      <c r="S15" s="71">
        <f>SUMIFS(
INDEX('ETPT Format DDG'!$A:$FB,,IFERROR(MATCH(E15,'ETPT Format DDG'!$2:$2,0),MATCH(C15,'ETPT Format DDG'!$2:$2,0))),
INDEX( 'ETPT Format DDG'!$A:$ZZ,,MATCH("Catégorie",'ETPT Format DDG'!2:2,0)),"Greffe",
INDEX( 'ETPT Format DDG'!$A:$ZZ,,MATCH("Juridiction",'ETPT Format DDG'!2:2,0)),$A$3)</f>
      </c>
      <c r="T15" s="72">
        <f>IF(AND(OR(LEFT(C15,3)="12.",LEFT(E15,3)="12.",LEFT(E15,5)="CET &gt;",IFERROR(S15/$S$6,"")=0),NOT(AND(LEFT(E15,4)="12.8",IFERROR(G15/$G$6,"")&lt;&gt;0)),NOT(AND(LEFT(E15,5)="12.31",IFERROR(S15/$G$6,"")&lt;&gt;0)),NOT(AND(LEFT(E15,5)="12.32",IFERROR(S15/$G$6,"")&lt;&gt;0))),"", IFERROR(S15/$S$6,""))</f>
      </c>
      <c r="U15" s="71">
        <f>SUMIFS(
INDEX('ETPT Format DDG'!$A:$FB,,IFERROR(MATCH(E15,'ETPT Format DDG'!$2:$2,0),MATCH(C15,'ETPT Format DDG'!$2:$2,0))),
INDEX( 'ETPT Format DDG'!$A:$ZZ,,MATCH("Fonction agrégat",'ETPT Format DDG'!2:2,0)),"C",
INDEX( 'ETPT Format DDG'!$A:$ZZ,,MATCH("Juridiction",'ETPT Format DDG'!2:2,0)),$A$3,
INDEX( 'ETPT Format DDG'!$A:$ZZ,,MATCH("Catégorie",'ETPT Format DDG'!2:2,0)),"Autour du magistrat")</f>
      </c>
      <c r="V15" s="74">
        <f>IF(AND(OR(LEFT(C15,3)="12.",LEFT(E15,3)="12.",LEFT(E15,5)="CET &gt;",IFERROR(U15/$U$6,"")=0),NOT(AND(LEFT(E15,4)="12.8",IFERROR(G15/$G$6,"")&lt;&gt;0)),NOT(AND(LEFT(E15,5)="12.31",IFERROR(U15/$G$6,"")&lt;&gt;0)),NOT(AND(LEFT(E15,5)="12.32",IFERROR(U15/$G$6,"")&lt;&gt;0))),"", IFERROR(U15/$U$6,""))</f>
      </c>
    </row>
    <row r="16" ht="16" customHeight="1" spans="1:23" x14ac:dyDescent="0.25">
      <c r="A16" s="40"/>
      <c r="C16" s="68"/>
      <c r="D16" s="68"/>
      <c r="E16" s="69" t="s">
        <v>51</v>
      </c>
      <c r="F16" s="70" t="s">
        <v>51</v>
      </c>
      <c r="G16" s="71">
        <f>SUMIFS(
INDEX('ETPT Format DDG'!$A:$ZZ,,IFERROR(MATCH(E16,'ETPT Format DDG'!$2:$2,0),MATCH(C16,'ETPT Format DDG'!$2:$2,0))),
INDEX( 'ETPT Format DDG'!$A:$ZZ,,MATCH("Fonction agrégat",'ETPT Format DDG'!2:2,0)),"M-TIT",
INDEX( 'ETPT Format DDG'!$A:$ZZ,,MATCH("Juridiction",'ETPT Format DDG'!2:2,0)),$A$3)</f>
      </c>
      <c r="H16" s="72">
        <f>IF(AND(OR(LEFT(C16,3)="12.",LEFT(E16,3)="12.",LEFT(E16,5)="CET &gt;",IFERROR(G16/$G$6,"")=0),NOT(AND(LEFT(E16,4)="12.8",IFERROR(G16/$G$6,"")&lt;&gt;0)),NOT(AND(LEFT(E16,5)="12.31",IFERROR(G16/$G$6,"")&lt;&gt;0)),NOT(AND(LEFT(E16,5)="12.32",IFERROR(G16/$G$6,"")&lt;&gt;0))),"", IFERROR(G16/$G$6,""))</f>
      </c>
      <c r="I16" s="73">
        <f>SUMIFS(
INDEX('ETPT Format DDG'!$A:$ZZ,,IFERROR(MATCH(E16,'ETPT Format DDG'!$2:$2,0),MATCH(C16,'ETPT Format DDG'!$2:$2,0))),
INDEX( 'ETPT Format DDG'!$A:$ZZ,,MATCH("Fonction agrégat",'ETPT Format DDG'!2:2,0)),"M-PLAC-ADD",
INDEX( 'ETPT Format DDG'!$A:$ZZ,,MATCH("Juridiction",'ETPT Format DDG'!2:2,0)),$A$3)</f>
      </c>
      <c r="J16" s="73">
        <f>SUMIFS(
INDEX('ETPT Format DDG'!$A:$ZZ,,IFERROR(MATCH(E16,'ETPT Format DDG'!$2:$2,0),MATCH(C16,'ETPT Format DDG'!$2:$2,0))),
INDEX( 'ETPT Format DDG'!$A:$ZZ,,MATCH("Fonction agrégat",'ETPT Format DDG'!2:2,0)),"M-PLAC-SUB",
INDEX( 'ETPT Format DDG'!$A:$ZZ,,MATCH("Juridiction",'ETPT Format DDG'!2:2,0)),$A$3)</f>
      </c>
      <c r="K16" s="73">
        <f>SUMIFS(
INDEX('ETPT Format DDG'!$A:$ZZ,,IFERROR(MATCH(E16,'ETPT Format DDG'!$2:$2,0),MATCH(C16,'ETPT Format DDG'!$2:$2,0))),
INDEX( 'ETPT Format DDG'!$A:$ZZ,,MATCH("Fonction agrégat",'ETPT Format DDG'!2:2,0)),"M-CONT",
INDEX( 'ETPT Format DDG'!$A:$ZZ,,MATCH("Juridiction",'ETPT Format DDG'!2:2,0)),$A$3,
INDEX( 'ETPT Format DDG'!$A:$ZZ,,MATCH("Catégorie",'ETPT Format DDG'!2:2,0)),"Magistrat")</f>
      </c>
      <c r="L16" s="71">
        <f>SUMIFS(
INDEX('ETPT Format DDG'!$A:$ZZ,,IFERROR(MATCH(E16,'ETPT Format DDG'!$2:$2,0),MATCH(C16,'ETPT Format DDG'!$2:$2,0))),
INDEX( 'ETPT Format DDG'!$A:$ZZ,,MATCH("Juridiction",'ETPT Format DDG'!2:2,0)),$A$3,
INDEX( 'ETPT Format DDG'!$A:$ZZ,,MATCH("Catégorie",'ETPT Format DDG'!2:2,0)),"Magistrat")</f>
      </c>
      <c r="M16" s="74">
        <f>IF(AND(OR(LEFT(C16,3)="12.",LEFT(E16,3)="12.",LEFT(E16,5)="CET &gt;", IFERROR(L16/$L$6,"")=0),NOT(AND(LEFT(E16,4)="12.8",IFERROR(G16/$G$6,"")&lt;&gt;0)),NOT(AND(LEFT(E16,5)="12.31",IFERROR(L16/$G$6,"")&lt;&gt;0)),NOT(AND(LEFT(E16,5)="12.32",IFERROR(L16/$G$6,"")&lt;&gt;0))),"", IFERROR(L16/$L$6,""))</f>
      </c>
      <c r="N16" s="73">
        <f>SUMIFS(
INDEX('ETPT Format DDG'!$A:$ZZ,,IFERROR(MATCH(E16,'ETPT Format DDG'!$2:$2,0),MATCH(C16,'ETPT Format DDG'!$2:$2,0))),
INDEX( 'ETPT Format DDG'!$A:$ZZ,,MATCH("Fonction agrégat",'ETPT Format DDG'!2:2,0)),"F-TIT",
INDEX( 'ETPT Format DDG'!$A:$ZZ,,MATCH("Juridiction",'ETPT Format DDG'!2:2,0)),$A$3)</f>
      </c>
      <c r="O16" s="72">
        <f>IF(AND(OR(LEFT(C16,3)="12.",LEFT(E16,3)="12.",LEFT(E16,5)="CET &gt;",IFERROR(N16/$N$6,"")=0),NOT(AND(LEFT(E16,4)="12.8",IFERROR(G16/$G$6,"")&lt;&gt;0)),NOT(AND(LEFT(E16,5)="12.31",IFERROR(N16/$G$6,"")&lt;&gt;0)),NOT(AND(LEFT(E16,5)="12.32",IFERROR(N16/$G$6,"")&lt;&gt;0))),"",IFERROR(N16/$N$6,""))</f>
      </c>
      <c r="P16" s="73">
        <f>SUMIFS(
INDEX('ETPT Format DDG'!$A:$FB,,IFERROR(MATCH(E16,'ETPT Format DDG'!$2:$2,0),MATCH(C16,'ETPT Format DDG'!$2:$2,0))),
INDEX( 'ETPT Format DDG'!$A:$ZZ,,MATCH("Fonction agrégat",'ETPT Format DDG'!2:2,0)),"F-PLAC-ADD",
INDEX( 'ETPT Format DDG'!$A:$ZZ,,MATCH("Juridiction",'ETPT Format DDG'!2:2,0)),$A$3)</f>
      </c>
      <c r="Q16" s="73">
        <f>SUMIFS(
INDEX('ETPT Format DDG'!$A:$FB,,IFERROR(MATCH(E16,'ETPT Format DDG'!$2:$2,0),MATCH(C16,'ETPT Format DDG'!$2:$2,0))),
INDEX( 'ETPT Format DDG'!$A:$ZZ,,MATCH("Fonction agrégat",'ETPT Format DDG'!2:2,0)),"F-PLAC-SUB",
INDEX( 'ETPT Format DDG'!$A:$ZZ,,MATCH("Juridiction",'ETPT Format DDG'!2:2,0)),$A$3)</f>
      </c>
      <c r="R16" s="73">
        <f>SUMIFS(
INDEX('ETPT Format DDG'!$A:$FB,,IFERROR(MATCH(E16,'ETPT Format DDG'!$2:$2,0),MATCH(C16,'ETPT Format DDG'!$2:$2,0))),
INDEX( 'ETPT Format DDG'!$A:$ZZ,,MATCH("Fonction agrégat",'ETPT Format DDG'!2:2,0)),"C",
'ETPT Format DDG'!$H:$H,"Greffe",
INDEX( 'ETPT Format DDG'!$A:$ZZ,,MATCH("Juridiction",'ETPT Format DDG'!2:2,0)),$A$3)</f>
      </c>
      <c r="S16" s="71">
        <f>SUMIFS(
INDEX('ETPT Format DDG'!$A:$FB,,IFERROR(MATCH(E16,'ETPT Format DDG'!$2:$2,0),MATCH(C16,'ETPT Format DDG'!$2:$2,0))),
INDEX( 'ETPT Format DDG'!$A:$ZZ,,MATCH("Catégorie",'ETPT Format DDG'!2:2,0)),"Greffe",
INDEX( 'ETPT Format DDG'!$A:$ZZ,,MATCH("Juridiction",'ETPT Format DDG'!2:2,0)),$A$3)</f>
      </c>
      <c r="T16" s="72">
        <f>IF(AND(OR(LEFT(C16,3)="12.",LEFT(E16,3)="12.",LEFT(E16,5)="CET &gt;",IFERROR(S16/$S$6,"")=0),NOT(AND(LEFT(E16,4)="12.8",IFERROR(G16/$G$6,"")&lt;&gt;0)),NOT(AND(LEFT(E16,5)="12.31",IFERROR(S16/$G$6,"")&lt;&gt;0)),NOT(AND(LEFT(E16,5)="12.32",IFERROR(S16/$G$6,"")&lt;&gt;0))),"", IFERROR(S16/$S$6,""))</f>
      </c>
      <c r="U16" s="71">
        <f>SUMIFS(
INDEX('ETPT Format DDG'!$A:$FB,,IFERROR(MATCH(E16,'ETPT Format DDG'!$2:$2,0),MATCH(C16,'ETPT Format DDG'!$2:$2,0))),
INDEX( 'ETPT Format DDG'!$A:$ZZ,,MATCH("Fonction agrégat",'ETPT Format DDG'!2:2,0)),"C",
INDEX( 'ETPT Format DDG'!$A:$ZZ,,MATCH("Juridiction",'ETPT Format DDG'!2:2,0)),$A$3,
INDEX( 'ETPT Format DDG'!$A:$ZZ,,MATCH("Catégorie",'ETPT Format DDG'!2:2,0)),"Autour du magistrat")</f>
      </c>
      <c r="V16" s="74">
        <f>IF(AND(OR(LEFT(C16,3)="12.",LEFT(E16,3)="12.",LEFT(E16,5)="CET &gt;",IFERROR(U16/$U$6,"")=0),NOT(AND(LEFT(E16,4)="12.8",IFERROR(G16/$G$6,"")&lt;&gt;0)),NOT(AND(LEFT(E16,5)="12.31",IFERROR(U16/$G$6,"")&lt;&gt;0)),NOT(AND(LEFT(E16,5)="12.32",IFERROR(U16/$G$6,"")&lt;&gt;0))),"", IFERROR(U16/$U$6,""))</f>
      </c>
    </row>
    <row r="17" ht="16" customHeight="1" spans="1:23" x14ac:dyDescent="0.25">
      <c r="A17" s="40"/>
      <c r="C17" s="68"/>
      <c r="D17" s="68"/>
      <c r="E17" s="69" t="s">
        <v>52</v>
      </c>
      <c r="F17" s="70" t="s">
        <v>52</v>
      </c>
      <c r="G17" s="71">
        <f>SUMIFS(
INDEX('ETPT Format DDG'!$A:$ZZ,,IFERROR(MATCH(E17,'ETPT Format DDG'!$2:$2,0),MATCH(C17,'ETPT Format DDG'!$2:$2,0))),
INDEX( 'ETPT Format DDG'!$A:$ZZ,,MATCH("Fonction agrégat",'ETPT Format DDG'!2:2,0)),"M-TIT",
INDEX( 'ETPT Format DDG'!$A:$ZZ,,MATCH("Juridiction",'ETPT Format DDG'!2:2,0)),$A$3)</f>
      </c>
      <c r="H17" s="72">
        <f>IF(AND(OR(LEFT(C17,3)="12.",LEFT(E17,3)="12.",LEFT(E17,5)="CET &gt;",IFERROR(G17/$G$6,"")=0),NOT(AND(LEFT(E17,4)="12.8",IFERROR(G17/$G$6,"")&lt;&gt;0)),NOT(AND(LEFT(E17,5)="12.31",IFERROR(G17/$G$6,"")&lt;&gt;0)),NOT(AND(LEFT(E17,5)="12.32",IFERROR(G17/$G$6,"")&lt;&gt;0))),"", IFERROR(G17/$G$6,""))</f>
      </c>
      <c r="I17" s="73">
        <f>SUMIFS(
INDEX('ETPT Format DDG'!$A:$ZZ,,IFERROR(MATCH(E17,'ETPT Format DDG'!$2:$2,0),MATCH(C17,'ETPT Format DDG'!$2:$2,0))),
INDEX( 'ETPT Format DDG'!$A:$ZZ,,MATCH("Fonction agrégat",'ETPT Format DDG'!2:2,0)),"M-PLAC-ADD",
INDEX( 'ETPT Format DDG'!$A:$ZZ,,MATCH("Juridiction",'ETPT Format DDG'!2:2,0)),$A$3)</f>
      </c>
      <c r="J17" s="73">
        <f>SUMIFS(
INDEX('ETPT Format DDG'!$A:$ZZ,,IFERROR(MATCH(E17,'ETPT Format DDG'!$2:$2,0),MATCH(C17,'ETPT Format DDG'!$2:$2,0))),
INDEX( 'ETPT Format DDG'!$A:$ZZ,,MATCH("Fonction agrégat",'ETPT Format DDG'!2:2,0)),"M-PLAC-SUB",
INDEX( 'ETPT Format DDG'!$A:$ZZ,,MATCH("Juridiction",'ETPT Format DDG'!2:2,0)),$A$3)</f>
      </c>
      <c r="K17" s="73">
        <f>SUMIFS(
INDEX('ETPT Format DDG'!$A:$ZZ,,IFERROR(MATCH(E17,'ETPT Format DDG'!$2:$2,0),MATCH(C17,'ETPT Format DDG'!$2:$2,0))),
INDEX( 'ETPT Format DDG'!$A:$ZZ,,MATCH("Fonction agrégat",'ETPT Format DDG'!2:2,0)),"M-CONT",
INDEX( 'ETPT Format DDG'!$A:$ZZ,,MATCH("Juridiction",'ETPT Format DDG'!2:2,0)),$A$3,
INDEX( 'ETPT Format DDG'!$A:$ZZ,,MATCH("Catégorie",'ETPT Format DDG'!2:2,0)),"Magistrat")</f>
      </c>
      <c r="L17" s="71">
        <f>SUMIFS(
INDEX('ETPT Format DDG'!$A:$ZZ,,IFERROR(MATCH(E17,'ETPT Format DDG'!$2:$2,0),MATCH(C17,'ETPT Format DDG'!$2:$2,0))),
INDEX( 'ETPT Format DDG'!$A:$ZZ,,MATCH("Juridiction",'ETPT Format DDG'!2:2,0)),$A$3,
INDEX( 'ETPT Format DDG'!$A:$ZZ,,MATCH("Catégorie",'ETPT Format DDG'!2:2,0)),"Magistrat")</f>
      </c>
      <c r="M17" s="74">
        <f>IF(AND(OR(LEFT(C17,3)="12.",LEFT(E17,3)="12.",LEFT(E17,5)="CET &gt;", IFERROR(L17/$L$6,"")=0),NOT(AND(LEFT(E17,4)="12.8",IFERROR(G17/$G$6,"")&lt;&gt;0)),NOT(AND(LEFT(E17,5)="12.31",IFERROR(L17/$G$6,"")&lt;&gt;0)),NOT(AND(LEFT(E17,5)="12.32",IFERROR(L17/$G$6,"")&lt;&gt;0))),"", IFERROR(L17/$L$6,""))</f>
      </c>
      <c r="N17" s="73">
        <f>SUMIFS(
INDEX('ETPT Format DDG'!$A:$ZZ,,IFERROR(MATCH(E17,'ETPT Format DDG'!$2:$2,0),MATCH(C17,'ETPT Format DDG'!$2:$2,0))),
INDEX( 'ETPT Format DDG'!$A:$ZZ,,MATCH("Fonction agrégat",'ETPT Format DDG'!2:2,0)),"F-TIT",
INDEX( 'ETPT Format DDG'!$A:$ZZ,,MATCH("Juridiction",'ETPT Format DDG'!2:2,0)),$A$3)</f>
      </c>
      <c r="O17" s="72">
        <f>IF(AND(OR(LEFT(C17,3)="12.",LEFT(E17,3)="12.",LEFT(E17,5)="CET &gt;",IFERROR(N17/$N$6,"")=0),NOT(AND(LEFT(E17,4)="12.8",IFERROR(G17/$G$6,"")&lt;&gt;0)),NOT(AND(LEFT(E17,5)="12.31",IFERROR(N17/$G$6,"")&lt;&gt;0)),NOT(AND(LEFT(E17,5)="12.32",IFERROR(N17/$G$6,"")&lt;&gt;0))),"",IFERROR(N17/$N$6,""))</f>
      </c>
      <c r="P17" s="73">
        <f>SUMIFS(
INDEX('ETPT Format DDG'!$A:$FB,,IFERROR(MATCH(E17,'ETPT Format DDG'!$2:$2,0),MATCH(C17,'ETPT Format DDG'!$2:$2,0))),
INDEX( 'ETPT Format DDG'!$A:$ZZ,,MATCH("Fonction agrégat",'ETPT Format DDG'!2:2,0)),"F-PLAC-ADD",
INDEX( 'ETPT Format DDG'!$A:$ZZ,,MATCH("Juridiction",'ETPT Format DDG'!2:2,0)),$A$3)</f>
      </c>
      <c r="Q17" s="73">
        <f>SUMIFS(
INDEX('ETPT Format DDG'!$A:$FB,,IFERROR(MATCH(E17,'ETPT Format DDG'!$2:$2,0),MATCH(C17,'ETPT Format DDG'!$2:$2,0))),
INDEX( 'ETPT Format DDG'!$A:$ZZ,,MATCH("Fonction agrégat",'ETPT Format DDG'!2:2,0)),"F-PLAC-SUB",
INDEX( 'ETPT Format DDG'!$A:$ZZ,,MATCH("Juridiction",'ETPT Format DDG'!2:2,0)),$A$3)</f>
      </c>
      <c r="R17" s="73">
        <f>SUMIFS(
INDEX('ETPT Format DDG'!$A:$FB,,IFERROR(MATCH(E17,'ETPT Format DDG'!$2:$2,0),MATCH(C17,'ETPT Format DDG'!$2:$2,0))),
INDEX( 'ETPT Format DDG'!$A:$ZZ,,MATCH("Fonction agrégat",'ETPT Format DDG'!2:2,0)),"C",
'ETPT Format DDG'!$H:$H,"Greffe",
INDEX( 'ETPT Format DDG'!$A:$ZZ,,MATCH("Juridiction",'ETPT Format DDG'!2:2,0)),$A$3)</f>
      </c>
      <c r="S17" s="71">
        <f>SUMIFS(
INDEX('ETPT Format DDG'!$A:$FB,,IFERROR(MATCH(E17,'ETPT Format DDG'!$2:$2,0),MATCH(C17,'ETPT Format DDG'!$2:$2,0))),
INDEX( 'ETPT Format DDG'!$A:$ZZ,,MATCH("Catégorie",'ETPT Format DDG'!2:2,0)),"Greffe",
INDEX( 'ETPT Format DDG'!$A:$ZZ,,MATCH("Juridiction",'ETPT Format DDG'!2:2,0)),$A$3)</f>
      </c>
      <c r="T17" s="72">
        <f>IF(AND(OR(LEFT(C17,3)="12.",LEFT(E17,3)="12.",LEFT(E17,5)="CET &gt;",IFERROR(S17/$S$6,"")=0),NOT(AND(LEFT(E17,4)="12.8",IFERROR(G17/$G$6,"")&lt;&gt;0)),NOT(AND(LEFT(E17,5)="12.31",IFERROR(S17/$G$6,"")&lt;&gt;0)),NOT(AND(LEFT(E17,5)="12.32",IFERROR(S17/$G$6,"")&lt;&gt;0))),"", IFERROR(S17/$S$6,""))</f>
      </c>
      <c r="U17" s="71">
        <f>SUMIFS(
INDEX('ETPT Format DDG'!$A:$FB,,IFERROR(MATCH(E17,'ETPT Format DDG'!$2:$2,0),MATCH(C17,'ETPT Format DDG'!$2:$2,0))),
INDEX( 'ETPT Format DDG'!$A:$ZZ,,MATCH("Fonction agrégat",'ETPT Format DDG'!2:2,0)),"C",
INDEX( 'ETPT Format DDG'!$A:$ZZ,,MATCH("Juridiction",'ETPT Format DDG'!2:2,0)),$A$3,
INDEX( 'ETPT Format DDG'!$A:$ZZ,,MATCH("Catégorie",'ETPT Format DDG'!2:2,0)),"Autour du magistrat")</f>
      </c>
      <c r="V17" s="74">
        <f>IF(AND(OR(LEFT(C17,3)="12.",LEFT(E17,3)="12.",LEFT(E17,5)="CET &gt;",IFERROR(U17/$U$6,"")=0),NOT(AND(LEFT(E17,4)="12.8",IFERROR(G17/$G$6,"")&lt;&gt;0)),NOT(AND(LEFT(E17,5)="12.31",IFERROR(U17/$G$6,"")&lt;&gt;0)),NOT(AND(LEFT(E17,5)="12.32",IFERROR(U17/$G$6,"")&lt;&gt;0))),"", IFERROR(U17/$U$6,""))</f>
      </c>
    </row>
    <row r="18" ht="16" customHeight="1" spans="1:23" x14ac:dyDescent="0.25">
      <c r="A18" s="40"/>
      <c r="C18" s="68"/>
      <c r="D18" s="68"/>
      <c r="E18" s="69" t="s">
        <v>53</v>
      </c>
      <c r="F18" s="70" t="s">
        <v>53</v>
      </c>
      <c r="G18" s="71">
        <f>SUMIFS(
INDEX('ETPT Format DDG'!$A:$ZZ,,IFERROR(MATCH(E18,'ETPT Format DDG'!$2:$2,0),MATCH(C18,'ETPT Format DDG'!$2:$2,0))),
INDEX( 'ETPT Format DDG'!$A:$ZZ,,MATCH("Fonction agrégat",'ETPT Format DDG'!2:2,0)),"M-TIT",
INDEX( 'ETPT Format DDG'!$A:$ZZ,,MATCH("Juridiction",'ETPT Format DDG'!2:2,0)),$A$3)</f>
      </c>
      <c r="H18" s="72">
        <f>IF(AND(OR(LEFT(C18,3)="12.",LEFT(E18,3)="12.",LEFT(E18,5)="CET &gt;",IFERROR(G18/$G$6,"")=0),NOT(AND(LEFT(E18,4)="12.8",IFERROR(G18/$G$6,"")&lt;&gt;0)),NOT(AND(LEFT(E18,5)="12.31",IFERROR(G18/$G$6,"")&lt;&gt;0)),NOT(AND(LEFT(E18,5)="12.32",IFERROR(G18/$G$6,"")&lt;&gt;0))),"", IFERROR(G18/$G$6,""))</f>
      </c>
      <c r="I18" s="73">
        <f>SUMIFS(
INDEX('ETPT Format DDG'!$A:$ZZ,,IFERROR(MATCH(E18,'ETPT Format DDG'!$2:$2,0),MATCH(C18,'ETPT Format DDG'!$2:$2,0))),
INDEX( 'ETPT Format DDG'!$A:$ZZ,,MATCH("Fonction agrégat",'ETPT Format DDG'!2:2,0)),"M-PLAC-ADD",
INDEX( 'ETPT Format DDG'!$A:$ZZ,,MATCH("Juridiction",'ETPT Format DDG'!2:2,0)),$A$3)</f>
      </c>
      <c r="J18" s="73">
        <f>SUMIFS(
INDEX('ETPT Format DDG'!$A:$ZZ,,IFERROR(MATCH(E18,'ETPT Format DDG'!$2:$2,0),MATCH(C18,'ETPT Format DDG'!$2:$2,0))),
INDEX( 'ETPT Format DDG'!$A:$ZZ,,MATCH("Fonction agrégat",'ETPT Format DDG'!2:2,0)),"M-PLAC-SUB",
INDEX( 'ETPT Format DDG'!$A:$ZZ,,MATCH("Juridiction",'ETPT Format DDG'!2:2,0)),$A$3)</f>
      </c>
      <c r="K18" s="73">
        <f>SUMIFS(
INDEX('ETPT Format DDG'!$A:$ZZ,,IFERROR(MATCH(E18,'ETPT Format DDG'!$2:$2,0),MATCH(C18,'ETPT Format DDG'!$2:$2,0))),
INDEX( 'ETPT Format DDG'!$A:$ZZ,,MATCH("Fonction agrégat",'ETPT Format DDG'!2:2,0)),"M-CONT",
INDEX( 'ETPT Format DDG'!$A:$ZZ,,MATCH("Juridiction",'ETPT Format DDG'!2:2,0)),$A$3,
INDEX( 'ETPT Format DDG'!$A:$ZZ,,MATCH("Catégorie",'ETPT Format DDG'!2:2,0)),"Magistrat")</f>
      </c>
      <c r="L18" s="71">
        <f>SUMIFS(
INDEX('ETPT Format DDG'!$A:$ZZ,,IFERROR(MATCH(E18,'ETPT Format DDG'!$2:$2,0),MATCH(C18,'ETPT Format DDG'!$2:$2,0))),
INDEX( 'ETPT Format DDG'!$A:$ZZ,,MATCH("Juridiction",'ETPT Format DDG'!2:2,0)),$A$3,
INDEX( 'ETPT Format DDG'!$A:$ZZ,,MATCH("Catégorie",'ETPT Format DDG'!2:2,0)),"Magistrat")</f>
      </c>
      <c r="M18" s="74">
        <f>IF(AND(OR(LEFT(C18,3)="12.",LEFT(E18,3)="12.",LEFT(E18,5)="CET &gt;", IFERROR(L18/$L$6,"")=0),NOT(AND(LEFT(E18,4)="12.8",IFERROR(G18/$G$6,"")&lt;&gt;0)),NOT(AND(LEFT(E18,5)="12.31",IFERROR(L18/$G$6,"")&lt;&gt;0)),NOT(AND(LEFT(E18,5)="12.32",IFERROR(L18/$G$6,"")&lt;&gt;0))),"", IFERROR(L18/$L$6,""))</f>
      </c>
      <c r="N18" s="73">
        <f>SUMIFS(
INDEX('ETPT Format DDG'!$A:$ZZ,,IFERROR(MATCH(E18,'ETPT Format DDG'!$2:$2,0),MATCH(C18,'ETPT Format DDG'!$2:$2,0))),
INDEX( 'ETPT Format DDG'!$A:$ZZ,,MATCH("Fonction agrégat",'ETPT Format DDG'!2:2,0)),"F-TIT",
INDEX( 'ETPT Format DDG'!$A:$ZZ,,MATCH("Juridiction",'ETPT Format DDG'!2:2,0)),$A$3)</f>
      </c>
      <c r="O18" s="72">
        <f>IF(AND(OR(LEFT(C18,3)="12.",LEFT(E18,3)="12.",LEFT(E18,5)="CET &gt;",IFERROR(N18/$N$6,"")=0),NOT(AND(LEFT(E18,4)="12.8",IFERROR(G18/$G$6,"")&lt;&gt;0)),NOT(AND(LEFT(E18,5)="12.31",IFERROR(N18/$G$6,"")&lt;&gt;0)),NOT(AND(LEFT(E18,5)="12.32",IFERROR(N18/$G$6,"")&lt;&gt;0))),"",IFERROR(N18/$N$6,""))</f>
      </c>
      <c r="P18" s="73">
        <f>SUMIFS(
INDEX('ETPT Format DDG'!$A:$FB,,IFERROR(MATCH(E18,'ETPT Format DDG'!$2:$2,0),MATCH(C18,'ETPT Format DDG'!$2:$2,0))),
INDEX( 'ETPT Format DDG'!$A:$ZZ,,MATCH("Fonction agrégat",'ETPT Format DDG'!2:2,0)),"F-PLAC-ADD",
INDEX( 'ETPT Format DDG'!$A:$ZZ,,MATCH("Juridiction",'ETPT Format DDG'!2:2,0)),$A$3)</f>
      </c>
      <c r="Q18" s="73">
        <f>SUMIFS(
INDEX('ETPT Format DDG'!$A:$FB,,IFERROR(MATCH(E18,'ETPT Format DDG'!$2:$2,0),MATCH(C18,'ETPT Format DDG'!$2:$2,0))),
INDEX( 'ETPT Format DDG'!$A:$ZZ,,MATCH("Fonction agrégat",'ETPT Format DDG'!2:2,0)),"F-PLAC-SUB",
INDEX( 'ETPT Format DDG'!$A:$ZZ,,MATCH("Juridiction",'ETPT Format DDG'!2:2,0)),$A$3)</f>
      </c>
      <c r="R18" s="73">
        <f>SUMIFS(
INDEX('ETPT Format DDG'!$A:$FB,,IFERROR(MATCH(E18,'ETPT Format DDG'!$2:$2,0),MATCH(C18,'ETPT Format DDG'!$2:$2,0))),
INDEX( 'ETPT Format DDG'!$A:$ZZ,,MATCH("Fonction agrégat",'ETPT Format DDG'!2:2,0)),"C",
'ETPT Format DDG'!$H:$H,"Greffe",
INDEX( 'ETPT Format DDG'!$A:$ZZ,,MATCH("Juridiction",'ETPT Format DDG'!2:2,0)),$A$3)</f>
      </c>
      <c r="S18" s="71">
        <f>SUMIFS(
INDEX('ETPT Format DDG'!$A:$FB,,IFERROR(MATCH(E18,'ETPT Format DDG'!$2:$2,0),MATCH(C18,'ETPT Format DDG'!$2:$2,0))),
INDEX( 'ETPT Format DDG'!$A:$ZZ,,MATCH("Catégorie",'ETPT Format DDG'!2:2,0)),"Greffe",
INDEX( 'ETPT Format DDG'!$A:$ZZ,,MATCH("Juridiction",'ETPT Format DDG'!2:2,0)),$A$3)</f>
      </c>
      <c r="T18" s="72">
        <f>IF(AND(OR(LEFT(C18,3)="12.",LEFT(E18,3)="12.",LEFT(E18,5)="CET &gt;",IFERROR(S18/$S$6,"")=0),NOT(AND(LEFT(E18,4)="12.8",IFERROR(G18/$G$6,"")&lt;&gt;0)),NOT(AND(LEFT(E18,5)="12.31",IFERROR(S18/$G$6,"")&lt;&gt;0)),NOT(AND(LEFT(E18,5)="12.32",IFERROR(S18/$G$6,"")&lt;&gt;0))),"", IFERROR(S18/$S$6,""))</f>
      </c>
      <c r="U18" s="71">
        <f>SUMIFS(
INDEX('ETPT Format DDG'!$A:$FB,,IFERROR(MATCH(E18,'ETPT Format DDG'!$2:$2,0),MATCH(C18,'ETPT Format DDG'!$2:$2,0))),
INDEX( 'ETPT Format DDG'!$A:$ZZ,,MATCH("Fonction agrégat",'ETPT Format DDG'!2:2,0)),"C",
INDEX( 'ETPT Format DDG'!$A:$ZZ,,MATCH("Juridiction",'ETPT Format DDG'!2:2,0)),$A$3,
INDEX( 'ETPT Format DDG'!$A:$ZZ,,MATCH("Catégorie",'ETPT Format DDG'!2:2,0)),"Autour du magistrat")</f>
      </c>
      <c r="V18" s="74">
        <f>IF(AND(OR(LEFT(C18,3)="12.",LEFT(E18,3)="12.",LEFT(E18,5)="CET &gt;",IFERROR(U18/$U$6,"")=0),NOT(AND(LEFT(E18,4)="12.8",IFERROR(G18/$G$6,"")&lt;&gt;0)),NOT(AND(LEFT(E18,5)="12.31",IFERROR(U18/$G$6,"")&lt;&gt;0)),NOT(AND(LEFT(E18,5)="12.32",IFERROR(U18/$G$6,"")&lt;&gt;0))),"", IFERROR(U18/$U$6,""))</f>
      </c>
    </row>
    <row r="19" ht="16" customHeight="1" spans="1:23" x14ac:dyDescent="0.25">
      <c r="A19" s="40"/>
      <c r="C19" s="68"/>
      <c r="D19" s="68"/>
      <c r="E19" s="69" t="s">
        <v>54</v>
      </c>
      <c r="F19" s="70" t="s">
        <v>54</v>
      </c>
      <c r="G19" s="71">
        <f>SUMIFS(
INDEX('ETPT Format DDG'!$A:$ZZ,,IFERROR(MATCH(E19,'ETPT Format DDG'!$2:$2,0),MATCH(C19,'ETPT Format DDG'!$2:$2,0))),
INDEX( 'ETPT Format DDG'!$A:$ZZ,,MATCH("Fonction agrégat",'ETPT Format DDG'!2:2,0)),"M-TIT",
INDEX( 'ETPT Format DDG'!$A:$ZZ,,MATCH("Juridiction",'ETPT Format DDG'!2:2,0)),$A$3)</f>
      </c>
      <c r="H19" s="72">
        <f>IF(AND(OR(LEFT(C19,3)="12.",LEFT(E19,3)="12.",LEFT(E19,5)="CET &gt;",IFERROR(G19/$G$6,"")=0),NOT(AND(LEFT(E19,4)="12.8",IFERROR(G19/$G$6,"")&lt;&gt;0)),NOT(AND(LEFT(E19,5)="12.31",IFERROR(G19/$G$6,"")&lt;&gt;0)),NOT(AND(LEFT(E19,5)="12.32",IFERROR(G19/$G$6,"")&lt;&gt;0))),"", IFERROR(G19/$G$6,""))</f>
      </c>
      <c r="I19" s="73">
        <f>SUMIFS(
INDEX('ETPT Format DDG'!$A:$ZZ,,IFERROR(MATCH(E19,'ETPT Format DDG'!$2:$2,0),MATCH(C19,'ETPT Format DDG'!$2:$2,0))),
INDEX( 'ETPT Format DDG'!$A:$ZZ,,MATCH("Fonction agrégat",'ETPT Format DDG'!2:2,0)),"M-PLAC-ADD",
INDEX( 'ETPT Format DDG'!$A:$ZZ,,MATCH("Juridiction",'ETPT Format DDG'!2:2,0)),$A$3)</f>
      </c>
      <c r="J19" s="73">
        <f>SUMIFS(
INDEX('ETPT Format DDG'!$A:$ZZ,,IFERROR(MATCH(E19,'ETPT Format DDG'!$2:$2,0),MATCH(C19,'ETPT Format DDG'!$2:$2,0))),
INDEX( 'ETPT Format DDG'!$A:$ZZ,,MATCH("Fonction agrégat",'ETPT Format DDG'!2:2,0)),"M-PLAC-SUB",
INDEX( 'ETPT Format DDG'!$A:$ZZ,,MATCH("Juridiction",'ETPT Format DDG'!2:2,0)),$A$3)</f>
      </c>
      <c r="K19" s="73">
        <f>SUMIFS(
INDEX('ETPT Format DDG'!$A:$ZZ,,IFERROR(MATCH(E19,'ETPT Format DDG'!$2:$2,0),MATCH(C19,'ETPT Format DDG'!$2:$2,0))),
INDEX( 'ETPT Format DDG'!$A:$ZZ,,MATCH("Fonction agrégat",'ETPT Format DDG'!2:2,0)),"M-CONT",
INDEX( 'ETPT Format DDG'!$A:$ZZ,,MATCH("Juridiction",'ETPT Format DDG'!2:2,0)),$A$3,
INDEX( 'ETPT Format DDG'!$A:$ZZ,,MATCH("Catégorie",'ETPT Format DDG'!2:2,0)),"Magistrat")</f>
      </c>
      <c r="L19" s="71">
        <f>SUMIFS(
INDEX('ETPT Format DDG'!$A:$ZZ,,IFERROR(MATCH(E19,'ETPT Format DDG'!$2:$2,0),MATCH(C19,'ETPT Format DDG'!$2:$2,0))),
INDEX( 'ETPT Format DDG'!$A:$ZZ,,MATCH("Juridiction",'ETPT Format DDG'!2:2,0)),$A$3,
INDEX( 'ETPT Format DDG'!$A:$ZZ,,MATCH("Catégorie",'ETPT Format DDG'!2:2,0)),"Magistrat")</f>
      </c>
      <c r="M19" s="74">
        <f>IF(AND(OR(LEFT(C19,3)="12.",LEFT(E19,3)="12.",LEFT(E19,5)="CET &gt;", IFERROR(L19/$L$6,"")=0),NOT(AND(LEFT(E19,4)="12.8",IFERROR(G19/$G$6,"")&lt;&gt;0)),NOT(AND(LEFT(E19,5)="12.31",IFERROR(L19/$G$6,"")&lt;&gt;0)),NOT(AND(LEFT(E19,5)="12.32",IFERROR(L19/$G$6,"")&lt;&gt;0))),"", IFERROR(L19/$L$6,""))</f>
      </c>
      <c r="N19" s="73">
        <f>SUMIFS(
INDEX('ETPT Format DDG'!$A:$ZZ,,IFERROR(MATCH(E19,'ETPT Format DDG'!$2:$2,0),MATCH(C19,'ETPT Format DDG'!$2:$2,0))),
INDEX( 'ETPT Format DDG'!$A:$ZZ,,MATCH("Fonction agrégat",'ETPT Format DDG'!2:2,0)),"F-TIT",
INDEX( 'ETPT Format DDG'!$A:$ZZ,,MATCH("Juridiction",'ETPT Format DDG'!2:2,0)),$A$3)</f>
      </c>
      <c r="O19" s="72">
        <f>IF(AND(OR(LEFT(C19,3)="12.",LEFT(E19,3)="12.",LEFT(E19,5)="CET &gt;",IFERROR(N19/$N$6,"")=0),NOT(AND(LEFT(E19,4)="12.8",IFERROR(G19/$G$6,"")&lt;&gt;0)),NOT(AND(LEFT(E19,5)="12.31",IFERROR(N19/$G$6,"")&lt;&gt;0)),NOT(AND(LEFT(E19,5)="12.32",IFERROR(N19/$G$6,"")&lt;&gt;0))),"",IFERROR(N19/$N$6,""))</f>
      </c>
      <c r="P19" s="73">
        <f>SUMIFS(
INDEX('ETPT Format DDG'!$A:$FB,,IFERROR(MATCH(E19,'ETPT Format DDG'!$2:$2,0),MATCH(C19,'ETPT Format DDG'!$2:$2,0))),
INDEX( 'ETPT Format DDG'!$A:$ZZ,,MATCH("Fonction agrégat",'ETPT Format DDG'!2:2,0)),"F-PLAC-ADD",
INDEX( 'ETPT Format DDG'!$A:$ZZ,,MATCH("Juridiction",'ETPT Format DDG'!2:2,0)),$A$3)</f>
      </c>
      <c r="Q19" s="73">
        <f>SUMIFS(
INDEX('ETPT Format DDG'!$A:$FB,,IFERROR(MATCH(E19,'ETPT Format DDG'!$2:$2,0),MATCH(C19,'ETPT Format DDG'!$2:$2,0))),
INDEX( 'ETPT Format DDG'!$A:$ZZ,,MATCH("Fonction agrégat",'ETPT Format DDG'!2:2,0)),"F-PLAC-SUB",
INDEX( 'ETPT Format DDG'!$A:$ZZ,,MATCH("Juridiction",'ETPT Format DDG'!2:2,0)),$A$3)</f>
      </c>
      <c r="R19" s="73">
        <f>SUMIFS(
INDEX('ETPT Format DDG'!$A:$FB,,IFERROR(MATCH(E19,'ETPT Format DDG'!$2:$2,0),MATCH(C19,'ETPT Format DDG'!$2:$2,0))),
INDEX( 'ETPT Format DDG'!$A:$ZZ,,MATCH("Fonction agrégat",'ETPT Format DDG'!2:2,0)),"C",
'ETPT Format DDG'!$H:$H,"Greffe",
INDEX( 'ETPT Format DDG'!$A:$ZZ,,MATCH("Juridiction",'ETPT Format DDG'!2:2,0)),$A$3)</f>
      </c>
      <c r="S19" s="71">
        <f>SUMIFS(
INDEX('ETPT Format DDG'!$A:$FB,,IFERROR(MATCH(E19,'ETPT Format DDG'!$2:$2,0),MATCH(C19,'ETPT Format DDG'!$2:$2,0))),
INDEX( 'ETPT Format DDG'!$A:$ZZ,,MATCH("Catégorie",'ETPT Format DDG'!2:2,0)),"Greffe",
INDEX( 'ETPT Format DDG'!$A:$ZZ,,MATCH("Juridiction",'ETPT Format DDG'!2:2,0)),$A$3)</f>
      </c>
      <c r="T19" s="72">
        <f>IF(AND(OR(LEFT(C19,3)="12.",LEFT(E19,3)="12.",LEFT(E19,5)="CET &gt;",IFERROR(S19/$S$6,"")=0),NOT(AND(LEFT(E19,4)="12.8",IFERROR(G19/$G$6,"")&lt;&gt;0)),NOT(AND(LEFT(E19,5)="12.31",IFERROR(S19/$G$6,"")&lt;&gt;0)),NOT(AND(LEFT(E19,5)="12.32",IFERROR(S19/$G$6,"")&lt;&gt;0))),"", IFERROR(S19/$S$6,""))</f>
      </c>
      <c r="U19" s="71">
        <f>SUMIFS(
INDEX('ETPT Format DDG'!$A:$FB,,IFERROR(MATCH(E19,'ETPT Format DDG'!$2:$2,0),MATCH(C19,'ETPT Format DDG'!$2:$2,0))),
INDEX( 'ETPT Format DDG'!$A:$ZZ,,MATCH("Fonction agrégat",'ETPT Format DDG'!2:2,0)),"C",
INDEX( 'ETPT Format DDG'!$A:$ZZ,,MATCH("Juridiction",'ETPT Format DDG'!2:2,0)),$A$3,
INDEX( 'ETPT Format DDG'!$A:$ZZ,,MATCH("Catégorie",'ETPT Format DDG'!2:2,0)),"Autour du magistrat")</f>
      </c>
      <c r="V19" s="74">
        <f>IF(AND(OR(LEFT(C19,3)="12.",LEFT(E19,3)="12.",LEFT(E19,5)="CET &gt;",IFERROR(U19/$U$6,"")=0),NOT(AND(LEFT(E19,4)="12.8",IFERROR(G19/$G$6,"")&lt;&gt;0)),NOT(AND(LEFT(E19,5)="12.31",IFERROR(U19/$G$6,"")&lt;&gt;0)),NOT(AND(LEFT(E19,5)="12.32",IFERROR(U19/$G$6,"")&lt;&gt;0))),"", IFERROR(U19/$U$6,""))</f>
      </c>
    </row>
    <row r="20" ht="16" customHeight="1" spans="1:23" x14ac:dyDescent="0.25">
      <c r="A20" s="40"/>
      <c r="C20" s="68"/>
      <c r="D20" s="68"/>
      <c r="E20" s="69" t="s">
        <v>55</v>
      </c>
      <c r="F20" s="70" t="s">
        <v>55</v>
      </c>
      <c r="G20" s="71">
        <f>SUMIFS(
INDEX('ETPT Format DDG'!$A:$ZZ,,IFERROR(MATCH(E20,'ETPT Format DDG'!$2:$2,0),MATCH(C20,'ETPT Format DDG'!$2:$2,0))),
INDEX( 'ETPT Format DDG'!$A:$ZZ,,MATCH("Fonction agrégat",'ETPT Format DDG'!2:2,0)),"M-TIT",
INDEX( 'ETPT Format DDG'!$A:$ZZ,,MATCH("Juridiction",'ETPT Format DDG'!2:2,0)),$A$3)</f>
      </c>
      <c r="H20" s="72">
        <f>IF(AND(OR(LEFT(C20,3)="12.",LEFT(E20,3)="12.",LEFT(E20,5)="CET &gt;",IFERROR(G20/$G$6,"")=0),NOT(AND(LEFT(E20,4)="12.8",IFERROR(G20/$G$6,"")&lt;&gt;0)),NOT(AND(LEFT(E20,5)="12.31",IFERROR(G20/$G$6,"")&lt;&gt;0)),NOT(AND(LEFT(E20,5)="12.32",IFERROR(G20/$G$6,"")&lt;&gt;0))),"", IFERROR(G20/$G$6,""))</f>
      </c>
      <c r="I20" s="73">
        <f>SUMIFS(
INDEX('ETPT Format DDG'!$A:$ZZ,,IFERROR(MATCH(E20,'ETPT Format DDG'!$2:$2,0),MATCH(C20,'ETPT Format DDG'!$2:$2,0))),
INDEX( 'ETPT Format DDG'!$A:$ZZ,,MATCH("Fonction agrégat",'ETPT Format DDG'!2:2,0)),"M-PLAC-ADD",
INDEX( 'ETPT Format DDG'!$A:$ZZ,,MATCH("Juridiction",'ETPT Format DDG'!2:2,0)),$A$3)</f>
      </c>
      <c r="J20" s="73">
        <f>SUMIFS(
INDEX('ETPT Format DDG'!$A:$ZZ,,IFERROR(MATCH(E20,'ETPT Format DDG'!$2:$2,0),MATCH(C20,'ETPT Format DDG'!$2:$2,0))),
INDEX( 'ETPT Format DDG'!$A:$ZZ,,MATCH("Fonction agrégat",'ETPT Format DDG'!2:2,0)),"M-PLAC-SUB",
INDEX( 'ETPT Format DDG'!$A:$ZZ,,MATCH("Juridiction",'ETPT Format DDG'!2:2,0)),$A$3)</f>
      </c>
      <c r="K20" s="73">
        <f>SUMIFS(
INDEX('ETPT Format DDG'!$A:$ZZ,,IFERROR(MATCH(E20,'ETPT Format DDG'!$2:$2,0),MATCH(C20,'ETPT Format DDG'!$2:$2,0))),
INDEX( 'ETPT Format DDG'!$A:$ZZ,,MATCH("Fonction agrégat",'ETPT Format DDG'!2:2,0)),"M-CONT",
INDEX( 'ETPT Format DDG'!$A:$ZZ,,MATCH("Juridiction",'ETPT Format DDG'!2:2,0)),$A$3,
INDEX( 'ETPT Format DDG'!$A:$ZZ,,MATCH("Catégorie",'ETPT Format DDG'!2:2,0)),"Magistrat")</f>
      </c>
      <c r="L20" s="71">
        <f>SUMIFS(
INDEX('ETPT Format DDG'!$A:$ZZ,,IFERROR(MATCH(E20,'ETPT Format DDG'!$2:$2,0),MATCH(C20,'ETPT Format DDG'!$2:$2,0))),
INDEX( 'ETPT Format DDG'!$A:$ZZ,,MATCH("Juridiction",'ETPT Format DDG'!2:2,0)),$A$3,
INDEX( 'ETPT Format DDG'!$A:$ZZ,,MATCH("Catégorie",'ETPT Format DDG'!2:2,0)),"Magistrat")</f>
      </c>
      <c r="M20" s="74">
        <f>IF(AND(OR(LEFT(C20,3)="12.",LEFT(E20,3)="12.",LEFT(E20,5)="CET &gt;", IFERROR(L20/$L$6,"")=0),NOT(AND(LEFT(E20,4)="12.8",IFERROR(G20/$G$6,"")&lt;&gt;0)),NOT(AND(LEFT(E20,5)="12.31",IFERROR(L20/$G$6,"")&lt;&gt;0)),NOT(AND(LEFT(E20,5)="12.32",IFERROR(L20/$G$6,"")&lt;&gt;0))),"", IFERROR(L20/$L$6,""))</f>
      </c>
      <c r="N20" s="73">
        <f>SUMIFS(
INDEX('ETPT Format DDG'!$A:$ZZ,,IFERROR(MATCH(E20,'ETPT Format DDG'!$2:$2,0),MATCH(C20,'ETPT Format DDG'!$2:$2,0))),
INDEX( 'ETPT Format DDG'!$A:$ZZ,,MATCH("Fonction agrégat",'ETPT Format DDG'!2:2,0)),"F-TIT",
INDEX( 'ETPT Format DDG'!$A:$ZZ,,MATCH("Juridiction",'ETPT Format DDG'!2:2,0)),$A$3)</f>
      </c>
      <c r="O20" s="72">
        <f>IF(AND(OR(LEFT(C20,3)="12.",LEFT(E20,3)="12.",LEFT(E20,5)="CET &gt;",IFERROR(N20/$N$6,"")=0),NOT(AND(LEFT(E20,4)="12.8",IFERROR(G20/$G$6,"")&lt;&gt;0)),NOT(AND(LEFT(E20,5)="12.31",IFERROR(N20/$G$6,"")&lt;&gt;0)),NOT(AND(LEFT(E20,5)="12.32",IFERROR(N20/$G$6,"")&lt;&gt;0))),"",IFERROR(N20/$N$6,""))</f>
      </c>
      <c r="P20" s="73">
        <f>SUMIFS(
INDEX('ETPT Format DDG'!$A:$FB,,IFERROR(MATCH(E20,'ETPT Format DDG'!$2:$2,0),MATCH(C20,'ETPT Format DDG'!$2:$2,0))),
INDEX( 'ETPT Format DDG'!$A:$ZZ,,MATCH("Fonction agrégat",'ETPT Format DDG'!2:2,0)),"F-PLAC-ADD",
INDEX( 'ETPT Format DDG'!$A:$ZZ,,MATCH("Juridiction",'ETPT Format DDG'!2:2,0)),$A$3)</f>
      </c>
      <c r="Q20" s="73">
        <f>SUMIFS(
INDEX('ETPT Format DDG'!$A:$FB,,IFERROR(MATCH(E20,'ETPT Format DDG'!$2:$2,0),MATCH(C20,'ETPT Format DDG'!$2:$2,0))),
INDEX( 'ETPT Format DDG'!$A:$ZZ,,MATCH("Fonction agrégat",'ETPT Format DDG'!2:2,0)),"F-PLAC-SUB",
INDEX( 'ETPT Format DDG'!$A:$ZZ,,MATCH("Juridiction",'ETPT Format DDG'!2:2,0)),$A$3)</f>
      </c>
      <c r="R20" s="73">
        <f>SUMIFS(
INDEX('ETPT Format DDG'!$A:$FB,,IFERROR(MATCH(E20,'ETPT Format DDG'!$2:$2,0),MATCH(C20,'ETPT Format DDG'!$2:$2,0))),
INDEX( 'ETPT Format DDG'!$A:$ZZ,,MATCH("Fonction agrégat",'ETPT Format DDG'!2:2,0)),"C",
'ETPT Format DDG'!$H:$H,"Greffe",
INDEX( 'ETPT Format DDG'!$A:$ZZ,,MATCH("Juridiction",'ETPT Format DDG'!2:2,0)),$A$3)</f>
      </c>
      <c r="S20" s="71">
        <f>SUMIFS(
INDEX('ETPT Format DDG'!$A:$FB,,IFERROR(MATCH(E20,'ETPT Format DDG'!$2:$2,0),MATCH(C20,'ETPT Format DDG'!$2:$2,0))),
INDEX( 'ETPT Format DDG'!$A:$ZZ,,MATCH("Catégorie",'ETPT Format DDG'!2:2,0)),"Greffe",
INDEX( 'ETPT Format DDG'!$A:$ZZ,,MATCH("Juridiction",'ETPT Format DDG'!2:2,0)),$A$3)</f>
      </c>
      <c r="T20" s="72">
        <f>IF(AND(OR(LEFT(C20,3)="12.",LEFT(E20,3)="12.",LEFT(E20,5)="CET &gt;",IFERROR(S20/$S$6,"")=0),NOT(AND(LEFT(E20,4)="12.8",IFERROR(G20/$G$6,"")&lt;&gt;0)),NOT(AND(LEFT(E20,5)="12.31",IFERROR(S20/$G$6,"")&lt;&gt;0)),NOT(AND(LEFT(E20,5)="12.32",IFERROR(S20/$G$6,"")&lt;&gt;0))),"", IFERROR(S20/$S$6,""))</f>
      </c>
      <c r="U20" s="71">
        <f>SUMIFS(
INDEX('ETPT Format DDG'!$A:$FB,,IFERROR(MATCH(E20,'ETPT Format DDG'!$2:$2,0),MATCH(C20,'ETPT Format DDG'!$2:$2,0))),
INDEX( 'ETPT Format DDG'!$A:$ZZ,,MATCH("Fonction agrégat",'ETPT Format DDG'!2:2,0)),"C",
INDEX( 'ETPT Format DDG'!$A:$ZZ,,MATCH("Juridiction",'ETPT Format DDG'!2:2,0)),$A$3,
INDEX( 'ETPT Format DDG'!$A:$ZZ,,MATCH("Catégorie",'ETPT Format DDG'!2:2,0)),"Autour du magistrat")</f>
      </c>
      <c r="V20" s="74">
        <f>IF(AND(OR(LEFT(C20,3)="12.",LEFT(E20,3)="12.",LEFT(E20,5)="CET &gt;",IFERROR(U20/$U$6,"")=0),NOT(AND(LEFT(E20,4)="12.8",IFERROR(G20/$G$6,"")&lt;&gt;0)),NOT(AND(LEFT(E20,5)="12.31",IFERROR(U20/$G$6,"")&lt;&gt;0)),NOT(AND(LEFT(E20,5)="12.32",IFERROR(U20/$G$6,"")&lt;&gt;0))),"", IFERROR(U20/$U$6,""))</f>
      </c>
    </row>
    <row r="21" ht="16" customHeight="1" spans="1:23" x14ac:dyDescent="0.25">
      <c r="A21" s="40"/>
      <c r="C21" s="68"/>
      <c r="D21" s="68"/>
      <c r="E21" s="69" t="s">
        <v>56</v>
      </c>
      <c r="F21" s="70" t="s">
        <v>56</v>
      </c>
      <c r="G21" s="71">
        <f>SUMIFS(
INDEX('ETPT Format DDG'!$A:$ZZ,,IFERROR(MATCH(E21,'ETPT Format DDG'!$2:$2,0),MATCH(C21,'ETPT Format DDG'!$2:$2,0))),
INDEX( 'ETPT Format DDG'!$A:$ZZ,,MATCH("Fonction agrégat",'ETPT Format DDG'!2:2,0)),"M-TIT",
INDEX( 'ETPT Format DDG'!$A:$ZZ,,MATCH("Juridiction",'ETPT Format DDG'!2:2,0)),$A$3)</f>
      </c>
      <c r="H21" s="72">
        <f>IF(AND(OR(LEFT(C21,3)="12.",LEFT(E21,3)="12.",LEFT(E21,5)="CET &gt;",IFERROR(G21/$G$6,"")=0),NOT(AND(LEFT(E21,4)="12.8",IFERROR(G21/$G$6,"")&lt;&gt;0)),NOT(AND(LEFT(E21,5)="12.31",IFERROR(G21/$G$6,"")&lt;&gt;0)),NOT(AND(LEFT(E21,5)="12.32",IFERROR(G21/$G$6,"")&lt;&gt;0))),"", IFERROR(G21/$G$6,""))</f>
      </c>
      <c r="I21" s="73">
        <f>SUMIFS(
INDEX('ETPT Format DDG'!$A:$ZZ,,IFERROR(MATCH(E21,'ETPT Format DDG'!$2:$2,0),MATCH(C21,'ETPT Format DDG'!$2:$2,0))),
INDEX( 'ETPT Format DDG'!$A:$ZZ,,MATCH("Fonction agrégat",'ETPT Format DDG'!2:2,0)),"M-PLAC-ADD",
INDEX( 'ETPT Format DDG'!$A:$ZZ,,MATCH("Juridiction",'ETPT Format DDG'!2:2,0)),$A$3)</f>
      </c>
      <c r="J21" s="73">
        <f>SUMIFS(
INDEX('ETPT Format DDG'!$A:$ZZ,,IFERROR(MATCH(E21,'ETPT Format DDG'!$2:$2,0),MATCH(C21,'ETPT Format DDG'!$2:$2,0))),
INDEX( 'ETPT Format DDG'!$A:$ZZ,,MATCH("Fonction agrégat",'ETPT Format DDG'!2:2,0)),"M-PLAC-SUB",
INDEX( 'ETPT Format DDG'!$A:$ZZ,,MATCH("Juridiction",'ETPT Format DDG'!2:2,0)),$A$3)</f>
      </c>
      <c r="K21" s="73">
        <f>SUMIFS(
INDEX('ETPT Format DDG'!$A:$ZZ,,IFERROR(MATCH(E21,'ETPT Format DDG'!$2:$2,0),MATCH(C21,'ETPT Format DDG'!$2:$2,0))),
INDEX( 'ETPT Format DDG'!$A:$ZZ,,MATCH("Fonction agrégat",'ETPT Format DDG'!2:2,0)),"M-CONT",
INDEX( 'ETPT Format DDG'!$A:$ZZ,,MATCH("Juridiction",'ETPT Format DDG'!2:2,0)),$A$3,
INDEX( 'ETPT Format DDG'!$A:$ZZ,,MATCH("Catégorie",'ETPT Format DDG'!2:2,0)),"Magistrat")</f>
      </c>
      <c r="L21" s="71">
        <f>SUMIFS(
INDEX('ETPT Format DDG'!$A:$ZZ,,IFERROR(MATCH(E21,'ETPT Format DDG'!$2:$2,0),MATCH(C21,'ETPT Format DDG'!$2:$2,0))),
INDEX( 'ETPT Format DDG'!$A:$ZZ,,MATCH("Juridiction",'ETPT Format DDG'!2:2,0)),$A$3,
INDEX( 'ETPT Format DDG'!$A:$ZZ,,MATCH("Catégorie",'ETPT Format DDG'!2:2,0)),"Magistrat")</f>
      </c>
      <c r="M21" s="74">
        <f>IF(AND(OR(LEFT(C21,3)="12.",LEFT(E21,3)="12.",LEFT(E21,5)="CET &gt;", IFERROR(L21/$L$6,"")=0),NOT(AND(LEFT(E21,4)="12.8",IFERROR(G21/$G$6,"")&lt;&gt;0)),NOT(AND(LEFT(E21,5)="12.31",IFERROR(L21/$G$6,"")&lt;&gt;0)),NOT(AND(LEFT(E21,5)="12.32",IFERROR(L21/$G$6,"")&lt;&gt;0))),"", IFERROR(L21/$L$6,""))</f>
      </c>
      <c r="N21" s="73">
        <f>SUMIFS(
INDEX('ETPT Format DDG'!$A:$ZZ,,IFERROR(MATCH(E21,'ETPT Format DDG'!$2:$2,0),MATCH(C21,'ETPT Format DDG'!$2:$2,0))),
INDEX( 'ETPT Format DDG'!$A:$ZZ,,MATCH("Fonction agrégat",'ETPT Format DDG'!2:2,0)),"F-TIT",
INDEX( 'ETPT Format DDG'!$A:$ZZ,,MATCH("Juridiction",'ETPT Format DDG'!2:2,0)),$A$3)</f>
      </c>
      <c r="O21" s="72">
        <f>IF(AND(OR(LEFT(C21,3)="12.",LEFT(E21,3)="12.",LEFT(E21,5)="CET &gt;",IFERROR(N21/$N$6,"")=0),NOT(AND(LEFT(E21,4)="12.8",IFERROR(G21/$G$6,"")&lt;&gt;0)),NOT(AND(LEFT(E21,5)="12.31",IFERROR(N21/$G$6,"")&lt;&gt;0)),NOT(AND(LEFT(E21,5)="12.32",IFERROR(N21/$G$6,"")&lt;&gt;0))),"",IFERROR(N21/$N$6,""))</f>
      </c>
      <c r="P21" s="73">
        <f>SUMIFS(
INDEX('ETPT Format DDG'!$A:$FB,,IFERROR(MATCH(E21,'ETPT Format DDG'!$2:$2,0),MATCH(C21,'ETPT Format DDG'!$2:$2,0))),
INDEX( 'ETPT Format DDG'!$A:$ZZ,,MATCH("Fonction agrégat",'ETPT Format DDG'!2:2,0)),"F-PLAC-ADD",
INDEX( 'ETPT Format DDG'!$A:$ZZ,,MATCH("Juridiction",'ETPT Format DDG'!2:2,0)),$A$3)</f>
      </c>
      <c r="Q21" s="73">
        <f>SUMIFS(
INDEX('ETPT Format DDG'!$A:$FB,,IFERROR(MATCH(E21,'ETPT Format DDG'!$2:$2,0),MATCH(C21,'ETPT Format DDG'!$2:$2,0))),
INDEX( 'ETPT Format DDG'!$A:$ZZ,,MATCH("Fonction agrégat",'ETPT Format DDG'!2:2,0)),"F-PLAC-SUB",
INDEX( 'ETPT Format DDG'!$A:$ZZ,,MATCH("Juridiction",'ETPT Format DDG'!2:2,0)),$A$3)</f>
      </c>
      <c r="R21" s="73">
        <f>SUMIFS(
INDEX('ETPT Format DDG'!$A:$FB,,IFERROR(MATCH(E21,'ETPT Format DDG'!$2:$2,0),MATCH(C21,'ETPT Format DDG'!$2:$2,0))),
INDEX( 'ETPT Format DDG'!$A:$ZZ,,MATCH("Fonction agrégat",'ETPT Format DDG'!2:2,0)),"C",
'ETPT Format DDG'!$H:$H,"Greffe",
INDEX( 'ETPT Format DDG'!$A:$ZZ,,MATCH("Juridiction",'ETPT Format DDG'!2:2,0)),$A$3)</f>
      </c>
      <c r="S21" s="71">
        <f>SUMIFS(
INDEX('ETPT Format DDG'!$A:$FB,,IFERROR(MATCH(E21,'ETPT Format DDG'!$2:$2,0),MATCH(C21,'ETPT Format DDG'!$2:$2,0))),
INDEX( 'ETPT Format DDG'!$A:$ZZ,,MATCH("Catégorie",'ETPT Format DDG'!2:2,0)),"Greffe",
INDEX( 'ETPT Format DDG'!$A:$ZZ,,MATCH("Juridiction",'ETPT Format DDG'!2:2,0)),$A$3)</f>
      </c>
      <c r="T21" s="72">
        <f>IF(AND(OR(LEFT(C21,3)="12.",LEFT(E21,3)="12.",LEFT(E21,5)="CET &gt;",IFERROR(S21/$S$6,"")=0),NOT(AND(LEFT(E21,4)="12.8",IFERROR(G21/$G$6,"")&lt;&gt;0)),NOT(AND(LEFT(E21,5)="12.31",IFERROR(S21/$G$6,"")&lt;&gt;0)),NOT(AND(LEFT(E21,5)="12.32",IFERROR(S21/$G$6,"")&lt;&gt;0))),"", IFERROR(S21/$S$6,""))</f>
      </c>
      <c r="U21" s="71">
        <f>SUMIFS(
INDEX('ETPT Format DDG'!$A:$FB,,IFERROR(MATCH(E21,'ETPT Format DDG'!$2:$2,0),MATCH(C21,'ETPT Format DDG'!$2:$2,0))),
INDEX( 'ETPT Format DDG'!$A:$ZZ,,MATCH("Fonction agrégat",'ETPT Format DDG'!2:2,0)),"C",
INDEX( 'ETPT Format DDG'!$A:$ZZ,,MATCH("Juridiction",'ETPT Format DDG'!2:2,0)),$A$3,
INDEX( 'ETPT Format DDG'!$A:$ZZ,,MATCH("Catégorie",'ETPT Format DDG'!2:2,0)),"Autour du magistrat")</f>
      </c>
      <c r="V21" s="74">
        <f>IF(AND(OR(LEFT(C21,3)="12.",LEFT(E21,3)="12.",LEFT(E21,5)="CET &gt;",IFERROR(U21/$U$6,"")=0),NOT(AND(LEFT(E21,4)="12.8",IFERROR(G21/$G$6,"")&lt;&gt;0)),NOT(AND(LEFT(E21,5)="12.31",IFERROR(U21/$G$6,"")&lt;&gt;0)),NOT(AND(LEFT(E21,5)="12.32",IFERROR(U21/$G$6,"")&lt;&gt;0))),"", IFERROR(U21/$U$6,""))</f>
      </c>
    </row>
    <row r="22" ht="16" customHeight="1" spans="1:23" x14ac:dyDescent="0.25">
      <c r="A22" s="40"/>
      <c r="C22" s="68"/>
      <c r="D22" s="68"/>
      <c r="E22" s="69" t="s">
        <v>57</v>
      </c>
      <c r="F22" s="70" t="s">
        <v>57</v>
      </c>
      <c r="G22" s="71">
        <f>SUMIFS(
INDEX('ETPT Format DDG'!$A:$ZZ,,IFERROR(MATCH(E22,'ETPT Format DDG'!$2:$2,0),MATCH(C22,'ETPT Format DDG'!$2:$2,0))),
INDEX( 'ETPT Format DDG'!$A:$ZZ,,MATCH("Fonction agrégat",'ETPT Format DDG'!2:2,0)),"M-TIT",
INDEX( 'ETPT Format DDG'!$A:$ZZ,,MATCH("Juridiction",'ETPT Format DDG'!2:2,0)),$A$3)</f>
      </c>
      <c r="H22" s="72">
        <f>IF(AND(OR(LEFT(C22,3)="12.",LEFT(E22,3)="12.",LEFT(E22,5)="CET &gt;",IFERROR(G22/$G$6,"")=0),NOT(AND(LEFT(E22,4)="12.8",IFERROR(G22/$G$6,"")&lt;&gt;0)),NOT(AND(LEFT(E22,5)="12.31",IFERROR(G22/$G$6,"")&lt;&gt;0)),NOT(AND(LEFT(E22,5)="12.32",IFERROR(G22/$G$6,"")&lt;&gt;0))),"", IFERROR(G22/$G$6,""))</f>
      </c>
      <c r="I22" s="73">
        <f>SUMIFS(
INDEX('ETPT Format DDG'!$A:$ZZ,,IFERROR(MATCH(E22,'ETPT Format DDG'!$2:$2,0),MATCH(C22,'ETPT Format DDG'!$2:$2,0))),
INDEX( 'ETPT Format DDG'!$A:$ZZ,,MATCH("Fonction agrégat",'ETPT Format DDG'!2:2,0)),"M-PLAC-ADD",
INDEX( 'ETPT Format DDG'!$A:$ZZ,,MATCH("Juridiction",'ETPT Format DDG'!2:2,0)),$A$3)</f>
      </c>
      <c r="J22" s="73">
        <f>SUMIFS(
INDEX('ETPT Format DDG'!$A:$ZZ,,IFERROR(MATCH(E22,'ETPT Format DDG'!$2:$2,0),MATCH(C22,'ETPT Format DDG'!$2:$2,0))),
INDEX( 'ETPT Format DDG'!$A:$ZZ,,MATCH("Fonction agrégat",'ETPT Format DDG'!2:2,0)),"M-PLAC-SUB",
INDEX( 'ETPT Format DDG'!$A:$ZZ,,MATCH("Juridiction",'ETPT Format DDG'!2:2,0)),$A$3)</f>
      </c>
      <c r="K22" s="73">
        <f>SUMIFS(
INDEX('ETPT Format DDG'!$A:$ZZ,,IFERROR(MATCH(E22,'ETPT Format DDG'!$2:$2,0),MATCH(C22,'ETPT Format DDG'!$2:$2,0))),
INDEX( 'ETPT Format DDG'!$A:$ZZ,,MATCH("Fonction agrégat",'ETPT Format DDG'!2:2,0)),"M-CONT",
INDEX( 'ETPT Format DDG'!$A:$ZZ,,MATCH("Juridiction",'ETPT Format DDG'!2:2,0)),$A$3,
INDEX( 'ETPT Format DDG'!$A:$ZZ,,MATCH("Catégorie",'ETPT Format DDG'!2:2,0)),"Magistrat")</f>
      </c>
      <c r="L22" s="71">
        <f>SUMIFS(
INDEX('ETPT Format DDG'!$A:$ZZ,,IFERROR(MATCH(E22,'ETPT Format DDG'!$2:$2,0),MATCH(C22,'ETPT Format DDG'!$2:$2,0))),
INDEX( 'ETPT Format DDG'!$A:$ZZ,,MATCH("Juridiction",'ETPT Format DDG'!2:2,0)),$A$3,
INDEX( 'ETPT Format DDG'!$A:$ZZ,,MATCH("Catégorie",'ETPT Format DDG'!2:2,0)),"Magistrat")</f>
      </c>
      <c r="M22" s="74">
        <f>IF(AND(OR(LEFT(C22,3)="12.",LEFT(E22,3)="12.",LEFT(E22,5)="CET &gt;", IFERROR(L22/$L$6,"")=0),NOT(AND(LEFT(E22,4)="12.8",IFERROR(G22/$G$6,"")&lt;&gt;0)),NOT(AND(LEFT(E22,5)="12.31",IFERROR(L22/$G$6,"")&lt;&gt;0)),NOT(AND(LEFT(E22,5)="12.32",IFERROR(L22/$G$6,"")&lt;&gt;0))),"", IFERROR(L22/$L$6,""))</f>
      </c>
      <c r="N22" s="73">
        <f>SUMIFS(
INDEX('ETPT Format DDG'!$A:$ZZ,,IFERROR(MATCH(E22,'ETPT Format DDG'!$2:$2,0),MATCH(C22,'ETPT Format DDG'!$2:$2,0))),
INDEX( 'ETPT Format DDG'!$A:$ZZ,,MATCH("Fonction agrégat",'ETPT Format DDG'!2:2,0)),"F-TIT",
INDEX( 'ETPT Format DDG'!$A:$ZZ,,MATCH("Juridiction",'ETPT Format DDG'!2:2,0)),$A$3)</f>
      </c>
      <c r="O22" s="72">
        <f>IF(AND(OR(LEFT(C22,3)="12.",LEFT(E22,3)="12.",LEFT(E22,5)="CET &gt;",IFERROR(N22/$N$6,"")=0),NOT(AND(LEFT(E22,4)="12.8",IFERROR(G22/$G$6,"")&lt;&gt;0)),NOT(AND(LEFT(E22,5)="12.31",IFERROR(N22/$G$6,"")&lt;&gt;0)),NOT(AND(LEFT(E22,5)="12.32",IFERROR(N22/$G$6,"")&lt;&gt;0))),"",IFERROR(N22/$N$6,""))</f>
      </c>
      <c r="P22" s="73">
        <f>SUMIFS(
INDEX('ETPT Format DDG'!$A:$FB,,IFERROR(MATCH(E22,'ETPT Format DDG'!$2:$2,0),MATCH(C22,'ETPT Format DDG'!$2:$2,0))),
INDEX( 'ETPT Format DDG'!$A:$ZZ,,MATCH("Fonction agrégat",'ETPT Format DDG'!2:2,0)),"F-PLAC-ADD",
INDEX( 'ETPT Format DDG'!$A:$ZZ,,MATCH("Juridiction",'ETPT Format DDG'!2:2,0)),$A$3)</f>
      </c>
      <c r="Q22" s="73">
        <f>SUMIFS(
INDEX('ETPT Format DDG'!$A:$FB,,IFERROR(MATCH(E22,'ETPT Format DDG'!$2:$2,0),MATCH(C22,'ETPT Format DDG'!$2:$2,0))),
INDEX( 'ETPT Format DDG'!$A:$ZZ,,MATCH("Fonction agrégat",'ETPT Format DDG'!2:2,0)),"F-PLAC-SUB",
INDEX( 'ETPT Format DDG'!$A:$ZZ,,MATCH("Juridiction",'ETPT Format DDG'!2:2,0)),$A$3)</f>
      </c>
      <c r="R22" s="73">
        <f>SUMIFS(
INDEX('ETPT Format DDG'!$A:$FB,,IFERROR(MATCH(E22,'ETPT Format DDG'!$2:$2,0),MATCH(C22,'ETPT Format DDG'!$2:$2,0))),
INDEX( 'ETPT Format DDG'!$A:$ZZ,,MATCH("Fonction agrégat",'ETPT Format DDG'!2:2,0)),"C",
'ETPT Format DDG'!$H:$H,"Greffe",
INDEX( 'ETPT Format DDG'!$A:$ZZ,,MATCH("Juridiction",'ETPT Format DDG'!2:2,0)),$A$3)</f>
      </c>
      <c r="S22" s="71">
        <f>SUMIFS(
INDEX('ETPT Format DDG'!$A:$FB,,IFERROR(MATCH(E22,'ETPT Format DDG'!$2:$2,0),MATCH(C22,'ETPT Format DDG'!$2:$2,0))),
INDEX( 'ETPT Format DDG'!$A:$ZZ,,MATCH("Catégorie",'ETPT Format DDG'!2:2,0)),"Greffe",
INDEX( 'ETPT Format DDG'!$A:$ZZ,,MATCH("Juridiction",'ETPT Format DDG'!2:2,0)),$A$3)</f>
      </c>
      <c r="T22" s="72">
        <f>IF(AND(OR(LEFT(C22,3)="12.",LEFT(E22,3)="12.",LEFT(E22,5)="CET &gt;",IFERROR(S22/$S$6,"")=0),NOT(AND(LEFT(E22,4)="12.8",IFERROR(G22/$G$6,"")&lt;&gt;0)),NOT(AND(LEFT(E22,5)="12.31",IFERROR(S22/$G$6,"")&lt;&gt;0)),NOT(AND(LEFT(E22,5)="12.32",IFERROR(S22/$G$6,"")&lt;&gt;0))),"", IFERROR(S22/$S$6,""))</f>
      </c>
      <c r="U22" s="71">
        <f>SUMIFS(
INDEX('ETPT Format DDG'!$A:$FB,,IFERROR(MATCH(E22,'ETPT Format DDG'!$2:$2,0),MATCH(C22,'ETPT Format DDG'!$2:$2,0))),
INDEX( 'ETPT Format DDG'!$A:$ZZ,,MATCH("Fonction agrégat",'ETPT Format DDG'!2:2,0)),"C",
INDEX( 'ETPT Format DDG'!$A:$ZZ,,MATCH("Juridiction",'ETPT Format DDG'!2:2,0)),$A$3,
INDEX( 'ETPT Format DDG'!$A:$ZZ,,MATCH("Catégorie",'ETPT Format DDG'!2:2,0)),"Autour du magistrat")</f>
      </c>
      <c r="V22" s="74">
        <f>IF(AND(OR(LEFT(C22,3)="12.",LEFT(E22,3)="12.",LEFT(E22,5)="CET &gt;",IFERROR(U22/$U$6,"")=0),NOT(AND(LEFT(E22,4)="12.8",IFERROR(G22/$G$6,"")&lt;&gt;0)),NOT(AND(LEFT(E22,5)="12.31",IFERROR(U22/$G$6,"")&lt;&gt;0)),NOT(AND(LEFT(E22,5)="12.32",IFERROR(U22/$G$6,"")&lt;&gt;0))),"", IFERROR(U22/$U$6,""))</f>
      </c>
    </row>
    <row r="23" ht="16" customHeight="1" spans="1:23" x14ac:dyDescent="0.25">
      <c r="A23" s="40"/>
      <c r="C23" s="68" t="s">
        <v>58</v>
      </c>
      <c r="D23" s="68" t="s">
        <v>58</v>
      </c>
      <c r="E23" s="69"/>
      <c r="F23" s="70"/>
      <c r="G23" s="71">
        <f>SUMIFS(
INDEX('ETPT Format DDG'!$A:$ZZ,,IFERROR(MATCH(E23,'ETPT Format DDG'!$2:$2,0),MATCH(C23,'ETPT Format DDG'!$2:$2,0))),
INDEX( 'ETPT Format DDG'!$A:$ZZ,,MATCH("Fonction agrégat",'ETPT Format DDG'!2:2,0)),"M-TIT",
INDEX( 'ETPT Format DDG'!$A:$ZZ,,MATCH("Juridiction",'ETPT Format DDG'!2:2,0)),$A$3)</f>
      </c>
      <c r="H23" s="72">
        <f>IF(AND(OR(LEFT(C23,3)="12.",LEFT(E23,3)="12.",LEFT(E23,5)="CET &gt;",IFERROR(G23/$G$6,"")=0),NOT(AND(LEFT(E23,4)="12.8",IFERROR(G23/$G$6,"")&lt;&gt;0)),NOT(AND(LEFT(E23,5)="12.31",IFERROR(G23/$G$6,"")&lt;&gt;0)),NOT(AND(LEFT(E23,5)="12.32",IFERROR(G23/$G$6,"")&lt;&gt;0))),"", IFERROR(G23/$G$6,""))</f>
      </c>
      <c r="I23" s="73">
        <f>SUMIFS(
INDEX('ETPT Format DDG'!$A:$ZZ,,IFERROR(MATCH(E23,'ETPT Format DDG'!$2:$2,0),MATCH(C23,'ETPT Format DDG'!$2:$2,0))),
INDEX( 'ETPT Format DDG'!$A:$ZZ,,MATCH("Fonction agrégat",'ETPT Format DDG'!2:2,0)),"M-PLAC-ADD",
INDEX( 'ETPT Format DDG'!$A:$ZZ,,MATCH("Juridiction",'ETPT Format DDG'!2:2,0)),$A$3)</f>
      </c>
      <c r="J23" s="73">
        <f>SUMIFS(
INDEX('ETPT Format DDG'!$A:$ZZ,,IFERROR(MATCH(E23,'ETPT Format DDG'!$2:$2,0),MATCH(C23,'ETPT Format DDG'!$2:$2,0))),
INDEX( 'ETPT Format DDG'!$A:$ZZ,,MATCH("Fonction agrégat",'ETPT Format DDG'!2:2,0)),"M-PLAC-SUB",
INDEX( 'ETPT Format DDG'!$A:$ZZ,,MATCH("Juridiction",'ETPT Format DDG'!2:2,0)),$A$3)</f>
      </c>
      <c r="K23" s="73">
        <f>SUMIFS(
INDEX('ETPT Format DDG'!$A:$ZZ,,IFERROR(MATCH(E23,'ETPT Format DDG'!$2:$2,0),MATCH(C23,'ETPT Format DDG'!$2:$2,0))),
INDEX( 'ETPT Format DDG'!$A:$ZZ,,MATCH("Fonction agrégat",'ETPT Format DDG'!2:2,0)),"M-CONT",
INDEX( 'ETPT Format DDG'!$A:$ZZ,,MATCH("Juridiction",'ETPT Format DDG'!2:2,0)),$A$3,
INDEX( 'ETPT Format DDG'!$A:$ZZ,,MATCH("Catégorie",'ETPT Format DDG'!2:2,0)),"Magistrat")</f>
      </c>
      <c r="L23" s="71">
        <f>SUMIFS(
INDEX('ETPT Format DDG'!$A:$ZZ,,IFERROR(MATCH(E23,'ETPT Format DDG'!$2:$2,0),MATCH(C23,'ETPT Format DDG'!$2:$2,0))),
INDEX( 'ETPT Format DDG'!$A:$ZZ,,MATCH("Juridiction",'ETPT Format DDG'!2:2,0)),$A$3,
INDEX( 'ETPT Format DDG'!$A:$ZZ,,MATCH("Catégorie",'ETPT Format DDG'!2:2,0)),"Magistrat")</f>
      </c>
      <c r="M23" s="74">
        <f>IF(AND(OR(LEFT(C23,3)="12.",LEFT(E23,3)="12.",LEFT(E23,5)="CET &gt;", IFERROR(L23/$L$6,"")=0),NOT(AND(LEFT(E23,4)="12.8",IFERROR(G23/$G$6,"")&lt;&gt;0)),NOT(AND(LEFT(E23,5)="12.31",IFERROR(L23/$G$6,"")&lt;&gt;0)),NOT(AND(LEFT(E23,5)="12.32",IFERROR(L23/$G$6,"")&lt;&gt;0))),"", IFERROR(L23/$L$6,""))</f>
      </c>
      <c r="N23" s="73">
        <f>SUMIFS(
INDEX('ETPT Format DDG'!$A:$ZZ,,IFERROR(MATCH(E23,'ETPT Format DDG'!$2:$2,0),MATCH(C23,'ETPT Format DDG'!$2:$2,0))),
INDEX( 'ETPT Format DDG'!$A:$ZZ,,MATCH("Fonction agrégat",'ETPT Format DDG'!2:2,0)),"F-TIT",
INDEX( 'ETPT Format DDG'!$A:$ZZ,,MATCH("Juridiction",'ETPT Format DDG'!2:2,0)),$A$3)</f>
      </c>
      <c r="O23" s="72">
        <f>IF(AND(OR(LEFT(C23,3)="12.",LEFT(E23,3)="12.",LEFT(E23,5)="CET &gt;",IFERROR(N23/$N$6,"")=0),NOT(AND(LEFT(E23,4)="12.8",IFERROR(G23/$G$6,"")&lt;&gt;0)),NOT(AND(LEFT(E23,5)="12.31",IFERROR(N23/$G$6,"")&lt;&gt;0)),NOT(AND(LEFT(E23,5)="12.32",IFERROR(N23/$G$6,"")&lt;&gt;0))),"",IFERROR(N23/$N$6,""))</f>
      </c>
      <c r="P23" s="73">
        <f>SUMIFS(
INDEX('ETPT Format DDG'!$A:$FB,,IFERROR(MATCH(E23,'ETPT Format DDG'!$2:$2,0),MATCH(C23,'ETPT Format DDG'!$2:$2,0))),
INDEX( 'ETPT Format DDG'!$A:$ZZ,,MATCH("Fonction agrégat",'ETPT Format DDG'!2:2,0)),"F-PLAC-ADD",
INDEX( 'ETPT Format DDG'!$A:$ZZ,,MATCH("Juridiction",'ETPT Format DDG'!2:2,0)),$A$3)</f>
      </c>
      <c r="Q23" s="73">
        <f>SUMIFS(
INDEX('ETPT Format DDG'!$A:$FB,,IFERROR(MATCH(E23,'ETPT Format DDG'!$2:$2,0),MATCH(C23,'ETPT Format DDG'!$2:$2,0))),
INDEX( 'ETPT Format DDG'!$A:$ZZ,,MATCH("Fonction agrégat",'ETPT Format DDG'!2:2,0)),"F-PLAC-SUB",
INDEX( 'ETPT Format DDG'!$A:$ZZ,,MATCH("Juridiction",'ETPT Format DDG'!2:2,0)),$A$3)</f>
      </c>
      <c r="R23" s="73">
        <f>SUMIFS(
INDEX('ETPT Format DDG'!$A:$FB,,IFERROR(MATCH(E23,'ETPT Format DDG'!$2:$2,0),MATCH(C23,'ETPT Format DDG'!$2:$2,0))),
INDEX( 'ETPT Format DDG'!$A:$ZZ,,MATCH("Fonction agrégat",'ETPT Format DDG'!2:2,0)),"C",
'ETPT Format DDG'!$H:$H,"Greffe",
INDEX( 'ETPT Format DDG'!$A:$ZZ,,MATCH("Juridiction",'ETPT Format DDG'!2:2,0)),$A$3)</f>
      </c>
      <c r="S23" s="71">
        <f>SUMIFS(
INDEX('ETPT Format DDG'!$A:$FB,,IFERROR(MATCH(E23,'ETPT Format DDG'!$2:$2,0),MATCH(C23,'ETPT Format DDG'!$2:$2,0))),
INDEX( 'ETPT Format DDG'!$A:$ZZ,,MATCH("Catégorie",'ETPT Format DDG'!2:2,0)),"Greffe",
INDEX( 'ETPT Format DDG'!$A:$ZZ,,MATCH("Juridiction",'ETPT Format DDG'!2:2,0)),$A$3)</f>
      </c>
      <c r="T23" s="72">
        <f>IF(AND(OR(LEFT(C23,3)="12.",LEFT(E23,3)="12.",LEFT(E23,5)="CET &gt;",IFERROR(S23/$S$6,"")=0),NOT(AND(LEFT(E23,4)="12.8",IFERROR(G23/$G$6,"")&lt;&gt;0)),NOT(AND(LEFT(E23,5)="12.31",IFERROR(S23/$G$6,"")&lt;&gt;0)),NOT(AND(LEFT(E23,5)="12.32",IFERROR(S23/$G$6,"")&lt;&gt;0))),"", IFERROR(S23/$S$6,""))</f>
      </c>
      <c r="U23" s="71">
        <f>SUMIFS(
INDEX('ETPT Format DDG'!$A:$FB,,IFERROR(MATCH(E23,'ETPT Format DDG'!$2:$2,0),MATCH(C23,'ETPT Format DDG'!$2:$2,0))),
INDEX( 'ETPT Format DDG'!$A:$ZZ,,MATCH("Fonction agrégat",'ETPT Format DDG'!2:2,0)),"C",
INDEX( 'ETPT Format DDG'!$A:$ZZ,,MATCH("Juridiction",'ETPT Format DDG'!2:2,0)),$A$3,
INDEX( 'ETPT Format DDG'!$A:$ZZ,,MATCH("Catégorie",'ETPT Format DDG'!2:2,0)),"Autour du magistrat")</f>
      </c>
      <c r="V23" s="74">
        <f>IF(AND(OR(LEFT(C23,3)="12.",LEFT(E23,3)="12.",LEFT(E23,5)="CET &gt;",IFERROR(U23/$U$6,"")=0),NOT(AND(LEFT(E23,4)="12.8",IFERROR(G23/$G$6,"")&lt;&gt;0)),NOT(AND(LEFT(E23,5)="12.31",IFERROR(U23/$G$6,"")&lt;&gt;0)),NOT(AND(LEFT(E23,5)="12.32",IFERROR(U23/$G$6,"")&lt;&gt;0))),"", IFERROR(U23/$U$6,""))</f>
      </c>
    </row>
    <row r="24" ht="16" customHeight="1" spans="1:23" x14ac:dyDescent="0.25">
      <c r="A24" s="40"/>
      <c r="C24" s="68"/>
      <c r="D24" s="68"/>
      <c r="E24" s="69" t="s">
        <v>59</v>
      </c>
      <c r="F24" s="70" t="s">
        <v>59</v>
      </c>
      <c r="G24" s="71">
        <f>SUMIFS(
INDEX('ETPT Format DDG'!$A:$ZZ,,IFERROR(MATCH(E24,'ETPT Format DDG'!$2:$2,0),MATCH(C24,'ETPT Format DDG'!$2:$2,0))),
INDEX( 'ETPT Format DDG'!$A:$ZZ,,MATCH("Fonction agrégat",'ETPT Format DDG'!2:2,0)),"M-TIT",
INDEX( 'ETPT Format DDG'!$A:$ZZ,,MATCH("Juridiction",'ETPT Format DDG'!2:2,0)),$A$3)</f>
      </c>
      <c r="H24" s="72">
        <f>IF(AND(OR(LEFT(C24,3)="12.",LEFT(E24,3)="12.",LEFT(E24,5)="CET &gt;",IFERROR(G24/$G$6,"")=0),NOT(AND(LEFT(E24,4)="12.8",IFERROR(G24/$G$6,"")&lt;&gt;0)),NOT(AND(LEFT(E24,5)="12.31",IFERROR(G24/$G$6,"")&lt;&gt;0)),NOT(AND(LEFT(E24,5)="12.32",IFERROR(G24/$G$6,"")&lt;&gt;0))),"", IFERROR(G24/$G$6,""))</f>
      </c>
      <c r="I24" s="73">
        <f>SUMIFS(
INDEX('ETPT Format DDG'!$A:$ZZ,,IFERROR(MATCH(E24,'ETPT Format DDG'!$2:$2,0),MATCH(C24,'ETPT Format DDG'!$2:$2,0))),
INDEX( 'ETPT Format DDG'!$A:$ZZ,,MATCH("Fonction agrégat",'ETPT Format DDG'!2:2,0)),"M-PLAC-ADD",
INDEX( 'ETPT Format DDG'!$A:$ZZ,,MATCH("Juridiction",'ETPT Format DDG'!2:2,0)),$A$3)</f>
      </c>
      <c r="J24" s="73">
        <f>SUMIFS(
INDEX('ETPT Format DDG'!$A:$ZZ,,IFERROR(MATCH(E24,'ETPT Format DDG'!$2:$2,0),MATCH(C24,'ETPT Format DDG'!$2:$2,0))),
INDEX( 'ETPT Format DDG'!$A:$ZZ,,MATCH("Fonction agrégat",'ETPT Format DDG'!2:2,0)),"M-PLAC-SUB",
INDEX( 'ETPT Format DDG'!$A:$ZZ,,MATCH("Juridiction",'ETPT Format DDG'!2:2,0)),$A$3)</f>
      </c>
      <c r="K24" s="73">
        <f>SUMIFS(
INDEX('ETPT Format DDG'!$A:$ZZ,,IFERROR(MATCH(E24,'ETPT Format DDG'!$2:$2,0),MATCH(C24,'ETPT Format DDG'!$2:$2,0))),
INDEX( 'ETPT Format DDG'!$A:$ZZ,,MATCH("Fonction agrégat",'ETPT Format DDG'!2:2,0)),"M-CONT",
INDEX( 'ETPT Format DDG'!$A:$ZZ,,MATCH("Juridiction",'ETPT Format DDG'!2:2,0)),$A$3,
INDEX( 'ETPT Format DDG'!$A:$ZZ,,MATCH("Catégorie",'ETPT Format DDG'!2:2,0)),"Magistrat")</f>
      </c>
      <c r="L24" s="71">
        <f>SUMIFS(
INDEX('ETPT Format DDG'!$A:$ZZ,,IFERROR(MATCH(E24,'ETPT Format DDG'!$2:$2,0),MATCH(C24,'ETPT Format DDG'!$2:$2,0))),
INDEX( 'ETPT Format DDG'!$A:$ZZ,,MATCH("Juridiction",'ETPT Format DDG'!2:2,0)),$A$3,
INDEX( 'ETPT Format DDG'!$A:$ZZ,,MATCH("Catégorie",'ETPT Format DDG'!2:2,0)),"Magistrat")</f>
      </c>
      <c r="M24" s="74">
        <f>IF(AND(OR(LEFT(C24,3)="12.",LEFT(E24,3)="12.",LEFT(E24,5)="CET &gt;", IFERROR(L24/$L$6,"")=0),NOT(AND(LEFT(E24,4)="12.8",IFERROR(G24/$G$6,"")&lt;&gt;0)),NOT(AND(LEFT(E24,5)="12.31",IFERROR(L24/$G$6,"")&lt;&gt;0)),NOT(AND(LEFT(E24,5)="12.32",IFERROR(L24/$G$6,"")&lt;&gt;0))),"", IFERROR(L24/$L$6,""))</f>
      </c>
      <c r="N24" s="73">
        <f>SUMIFS(
INDEX('ETPT Format DDG'!$A:$ZZ,,IFERROR(MATCH(E24,'ETPT Format DDG'!$2:$2,0),MATCH(C24,'ETPT Format DDG'!$2:$2,0))),
INDEX( 'ETPT Format DDG'!$A:$ZZ,,MATCH("Fonction agrégat",'ETPT Format DDG'!2:2,0)),"F-TIT",
INDEX( 'ETPT Format DDG'!$A:$ZZ,,MATCH("Juridiction",'ETPT Format DDG'!2:2,0)),$A$3)</f>
      </c>
      <c r="O24" s="72">
        <f>IF(AND(OR(LEFT(C24,3)="12.",LEFT(E24,3)="12.",LEFT(E24,5)="CET &gt;",IFERROR(N24/$N$6,"")=0),NOT(AND(LEFT(E24,4)="12.8",IFERROR(G24/$G$6,"")&lt;&gt;0)),NOT(AND(LEFT(E24,5)="12.31",IFERROR(N24/$G$6,"")&lt;&gt;0)),NOT(AND(LEFT(E24,5)="12.32",IFERROR(N24/$G$6,"")&lt;&gt;0))),"",IFERROR(N24/$N$6,""))</f>
      </c>
      <c r="P24" s="73">
        <f>SUMIFS(
INDEX('ETPT Format DDG'!$A:$FB,,IFERROR(MATCH(E24,'ETPT Format DDG'!$2:$2,0),MATCH(C24,'ETPT Format DDG'!$2:$2,0))),
INDEX( 'ETPT Format DDG'!$A:$ZZ,,MATCH("Fonction agrégat",'ETPT Format DDG'!2:2,0)),"F-PLAC-ADD",
INDEX( 'ETPT Format DDG'!$A:$ZZ,,MATCH("Juridiction",'ETPT Format DDG'!2:2,0)),$A$3)</f>
      </c>
      <c r="Q24" s="73">
        <f>SUMIFS(
INDEX('ETPT Format DDG'!$A:$FB,,IFERROR(MATCH(E24,'ETPT Format DDG'!$2:$2,0),MATCH(C24,'ETPT Format DDG'!$2:$2,0))),
INDEX( 'ETPT Format DDG'!$A:$ZZ,,MATCH("Fonction agrégat",'ETPT Format DDG'!2:2,0)),"F-PLAC-SUB",
INDEX( 'ETPT Format DDG'!$A:$ZZ,,MATCH("Juridiction",'ETPT Format DDG'!2:2,0)),$A$3)</f>
      </c>
      <c r="R24" s="73">
        <f>SUMIFS(
INDEX('ETPT Format DDG'!$A:$FB,,IFERROR(MATCH(E24,'ETPT Format DDG'!$2:$2,0),MATCH(C24,'ETPT Format DDG'!$2:$2,0))),
INDEX( 'ETPT Format DDG'!$A:$ZZ,,MATCH("Fonction agrégat",'ETPT Format DDG'!2:2,0)),"C",
'ETPT Format DDG'!$H:$H,"Greffe",
INDEX( 'ETPT Format DDG'!$A:$ZZ,,MATCH("Juridiction",'ETPT Format DDG'!2:2,0)),$A$3)</f>
      </c>
      <c r="S24" s="71">
        <f>SUMIFS(
INDEX('ETPT Format DDG'!$A:$FB,,IFERROR(MATCH(E24,'ETPT Format DDG'!$2:$2,0),MATCH(C24,'ETPT Format DDG'!$2:$2,0))),
INDEX( 'ETPT Format DDG'!$A:$ZZ,,MATCH("Catégorie",'ETPT Format DDG'!2:2,0)),"Greffe",
INDEX( 'ETPT Format DDG'!$A:$ZZ,,MATCH("Juridiction",'ETPT Format DDG'!2:2,0)),$A$3)</f>
      </c>
      <c r="T24" s="72">
        <f>IF(AND(OR(LEFT(C24,3)="12.",LEFT(E24,3)="12.",LEFT(E24,5)="CET &gt;",IFERROR(S24/$S$6,"")=0),NOT(AND(LEFT(E24,4)="12.8",IFERROR(G24/$G$6,"")&lt;&gt;0)),NOT(AND(LEFT(E24,5)="12.31",IFERROR(S24/$G$6,"")&lt;&gt;0)),NOT(AND(LEFT(E24,5)="12.32",IFERROR(S24/$G$6,"")&lt;&gt;0))),"", IFERROR(S24/$S$6,""))</f>
      </c>
      <c r="U24" s="71">
        <f>SUMIFS(
INDEX('ETPT Format DDG'!$A:$FB,,IFERROR(MATCH(E24,'ETPT Format DDG'!$2:$2,0),MATCH(C24,'ETPT Format DDG'!$2:$2,0))),
INDEX( 'ETPT Format DDG'!$A:$ZZ,,MATCH("Fonction agrégat",'ETPT Format DDG'!2:2,0)),"C",
INDEX( 'ETPT Format DDG'!$A:$ZZ,,MATCH("Juridiction",'ETPT Format DDG'!2:2,0)),$A$3,
INDEX( 'ETPT Format DDG'!$A:$ZZ,,MATCH("Catégorie",'ETPT Format DDG'!2:2,0)),"Autour du magistrat")</f>
      </c>
      <c r="V24" s="74">
        <f>IF(AND(OR(LEFT(C24,3)="12.",LEFT(E24,3)="12.",LEFT(E24,5)="CET &gt;",IFERROR(U24/$U$6,"")=0),NOT(AND(LEFT(E24,4)="12.8",IFERROR(G24/$G$6,"")&lt;&gt;0)),NOT(AND(LEFT(E24,5)="12.31",IFERROR(U24/$G$6,"")&lt;&gt;0)),NOT(AND(LEFT(E24,5)="12.32",IFERROR(U24/$G$6,"")&lt;&gt;0))),"", IFERROR(U24/$U$6,""))</f>
      </c>
    </row>
    <row r="25" ht="16" customHeight="1" spans="1:23" x14ac:dyDescent="0.25">
      <c r="A25" s="40"/>
      <c r="C25" s="68"/>
      <c r="D25" s="68"/>
      <c r="E25" s="69" t="s">
        <v>60</v>
      </c>
      <c r="F25" s="70" t="s">
        <v>60</v>
      </c>
      <c r="G25" s="71">
        <f>SUMIFS(
INDEX('ETPT Format DDG'!$A:$ZZ,,IFERROR(MATCH(E25,'ETPT Format DDG'!$2:$2,0),MATCH(C25,'ETPT Format DDG'!$2:$2,0))),
INDEX( 'ETPT Format DDG'!$A:$ZZ,,MATCH("Fonction agrégat",'ETPT Format DDG'!2:2,0)),"M-TIT",
INDEX( 'ETPT Format DDG'!$A:$ZZ,,MATCH("Juridiction",'ETPT Format DDG'!2:2,0)),$A$3)</f>
      </c>
      <c r="H25" s="72">
        <f>IF(AND(OR(LEFT(C25,3)="12.",LEFT(E25,3)="12.",LEFT(E25,5)="CET &gt;",IFERROR(G25/$G$6,"")=0),NOT(AND(LEFT(E25,4)="12.8",IFERROR(G25/$G$6,"")&lt;&gt;0)),NOT(AND(LEFT(E25,5)="12.31",IFERROR(G25/$G$6,"")&lt;&gt;0)),NOT(AND(LEFT(E25,5)="12.32",IFERROR(G25/$G$6,"")&lt;&gt;0))),"", IFERROR(G25/$G$6,""))</f>
      </c>
      <c r="I25" s="73">
        <f>SUMIFS(
INDEX('ETPT Format DDG'!$A:$ZZ,,IFERROR(MATCH(E25,'ETPT Format DDG'!$2:$2,0),MATCH(C25,'ETPT Format DDG'!$2:$2,0))),
INDEX( 'ETPT Format DDG'!$A:$ZZ,,MATCH("Fonction agrégat",'ETPT Format DDG'!2:2,0)),"M-PLAC-ADD",
INDEX( 'ETPT Format DDG'!$A:$ZZ,,MATCH("Juridiction",'ETPT Format DDG'!2:2,0)),$A$3)</f>
      </c>
      <c r="J25" s="73">
        <f>SUMIFS(
INDEX('ETPT Format DDG'!$A:$ZZ,,IFERROR(MATCH(E25,'ETPT Format DDG'!$2:$2,0),MATCH(C25,'ETPT Format DDG'!$2:$2,0))),
INDEX( 'ETPT Format DDG'!$A:$ZZ,,MATCH("Fonction agrégat",'ETPT Format DDG'!2:2,0)),"M-PLAC-SUB",
INDEX( 'ETPT Format DDG'!$A:$ZZ,,MATCH("Juridiction",'ETPT Format DDG'!2:2,0)),$A$3)</f>
      </c>
      <c r="K25" s="73">
        <f>SUMIFS(
INDEX('ETPT Format DDG'!$A:$ZZ,,IFERROR(MATCH(E25,'ETPT Format DDG'!$2:$2,0),MATCH(C25,'ETPT Format DDG'!$2:$2,0))),
INDEX( 'ETPT Format DDG'!$A:$ZZ,,MATCH("Fonction agrégat",'ETPT Format DDG'!2:2,0)),"M-CONT",
INDEX( 'ETPT Format DDG'!$A:$ZZ,,MATCH("Juridiction",'ETPT Format DDG'!2:2,0)),$A$3,
INDEX( 'ETPT Format DDG'!$A:$ZZ,,MATCH("Catégorie",'ETPT Format DDG'!2:2,0)),"Magistrat")</f>
      </c>
      <c r="L25" s="71">
        <f>SUMIFS(
INDEX('ETPT Format DDG'!$A:$ZZ,,IFERROR(MATCH(E25,'ETPT Format DDG'!$2:$2,0),MATCH(C25,'ETPT Format DDG'!$2:$2,0))),
INDEX( 'ETPT Format DDG'!$A:$ZZ,,MATCH("Juridiction",'ETPT Format DDG'!2:2,0)),$A$3,
INDEX( 'ETPT Format DDG'!$A:$ZZ,,MATCH("Catégorie",'ETPT Format DDG'!2:2,0)),"Magistrat")</f>
      </c>
      <c r="M25" s="74">
        <f>IF(AND(OR(LEFT(C25,3)="12.",LEFT(E25,3)="12.",LEFT(E25,5)="CET &gt;", IFERROR(L25/$L$6,"")=0),NOT(AND(LEFT(E25,4)="12.8",IFERROR(G25/$G$6,"")&lt;&gt;0)),NOT(AND(LEFT(E25,5)="12.31",IFERROR(L25/$G$6,"")&lt;&gt;0)),NOT(AND(LEFT(E25,5)="12.32",IFERROR(L25/$G$6,"")&lt;&gt;0))),"", IFERROR(L25/$L$6,""))</f>
      </c>
      <c r="N25" s="73">
        <f>SUMIFS(
INDEX('ETPT Format DDG'!$A:$ZZ,,IFERROR(MATCH(E25,'ETPT Format DDG'!$2:$2,0),MATCH(C25,'ETPT Format DDG'!$2:$2,0))),
INDEX( 'ETPT Format DDG'!$A:$ZZ,,MATCH("Fonction agrégat",'ETPT Format DDG'!2:2,0)),"F-TIT",
INDEX( 'ETPT Format DDG'!$A:$ZZ,,MATCH("Juridiction",'ETPT Format DDG'!2:2,0)),$A$3)</f>
      </c>
      <c r="O25" s="72">
        <f>IF(AND(OR(LEFT(C25,3)="12.",LEFT(E25,3)="12.",LEFT(E25,5)="CET &gt;",IFERROR(N25/$N$6,"")=0),NOT(AND(LEFT(E25,4)="12.8",IFERROR(G25/$G$6,"")&lt;&gt;0)),NOT(AND(LEFT(E25,5)="12.31",IFERROR(N25/$G$6,"")&lt;&gt;0)),NOT(AND(LEFT(E25,5)="12.32",IFERROR(N25/$G$6,"")&lt;&gt;0))),"",IFERROR(N25/$N$6,""))</f>
      </c>
      <c r="P25" s="73">
        <f>SUMIFS(
INDEX('ETPT Format DDG'!$A:$FB,,IFERROR(MATCH(E25,'ETPT Format DDG'!$2:$2,0),MATCH(C25,'ETPT Format DDG'!$2:$2,0))),
INDEX( 'ETPT Format DDG'!$A:$ZZ,,MATCH("Fonction agrégat",'ETPT Format DDG'!2:2,0)),"F-PLAC-ADD",
INDEX( 'ETPT Format DDG'!$A:$ZZ,,MATCH("Juridiction",'ETPT Format DDG'!2:2,0)),$A$3)</f>
      </c>
      <c r="Q25" s="73">
        <f>SUMIFS(
INDEX('ETPT Format DDG'!$A:$FB,,IFERROR(MATCH(E25,'ETPT Format DDG'!$2:$2,0),MATCH(C25,'ETPT Format DDG'!$2:$2,0))),
INDEX( 'ETPT Format DDG'!$A:$ZZ,,MATCH("Fonction agrégat",'ETPT Format DDG'!2:2,0)),"F-PLAC-SUB",
INDEX( 'ETPT Format DDG'!$A:$ZZ,,MATCH("Juridiction",'ETPT Format DDG'!2:2,0)),$A$3)</f>
      </c>
      <c r="R25" s="73">
        <f>SUMIFS(
INDEX('ETPT Format DDG'!$A:$FB,,IFERROR(MATCH(E25,'ETPT Format DDG'!$2:$2,0),MATCH(C25,'ETPT Format DDG'!$2:$2,0))),
INDEX( 'ETPT Format DDG'!$A:$ZZ,,MATCH("Fonction agrégat",'ETPT Format DDG'!2:2,0)),"C",
'ETPT Format DDG'!$H:$H,"Greffe",
INDEX( 'ETPT Format DDG'!$A:$ZZ,,MATCH("Juridiction",'ETPT Format DDG'!2:2,0)),$A$3)</f>
      </c>
      <c r="S25" s="71">
        <f>SUMIFS(
INDEX('ETPT Format DDG'!$A:$FB,,IFERROR(MATCH(E25,'ETPT Format DDG'!$2:$2,0),MATCH(C25,'ETPT Format DDG'!$2:$2,0))),
INDEX( 'ETPT Format DDG'!$A:$ZZ,,MATCH("Catégorie",'ETPT Format DDG'!2:2,0)),"Greffe",
INDEX( 'ETPT Format DDG'!$A:$ZZ,,MATCH("Juridiction",'ETPT Format DDG'!2:2,0)),$A$3)</f>
      </c>
      <c r="T25" s="72">
        <f>IF(AND(OR(LEFT(C25,3)="12.",LEFT(E25,3)="12.",LEFT(E25,5)="CET &gt;",IFERROR(S25/$S$6,"")=0),NOT(AND(LEFT(E25,4)="12.8",IFERROR(G25/$G$6,"")&lt;&gt;0)),NOT(AND(LEFT(E25,5)="12.31",IFERROR(S25/$G$6,"")&lt;&gt;0)),NOT(AND(LEFT(E25,5)="12.32",IFERROR(S25/$G$6,"")&lt;&gt;0))),"", IFERROR(S25/$S$6,""))</f>
      </c>
      <c r="U25" s="71">
        <f>SUMIFS(
INDEX('ETPT Format DDG'!$A:$FB,,IFERROR(MATCH(E25,'ETPT Format DDG'!$2:$2,0),MATCH(C25,'ETPT Format DDG'!$2:$2,0))),
INDEX( 'ETPT Format DDG'!$A:$ZZ,,MATCH("Fonction agrégat",'ETPT Format DDG'!2:2,0)),"C",
INDEX( 'ETPT Format DDG'!$A:$ZZ,,MATCH("Juridiction",'ETPT Format DDG'!2:2,0)),$A$3,
INDEX( 'ETPT Format DDG'!$A:$ZZ,,MATCH("Catégorie",'ETPT Format DDG'!2:2,0)),"Autour du magistrat")</f>
      </c>
      <c r="V25" s="74">
        <f>IF(AND(OR(LEFT(C25,3)="12.",LEFT(E25,3)="12.",LEFT(E25,5)="CET &gt;",IFERROR(U25/$U$6,"")=0),NOT(AND(LEFT(E25,4)="12.8",IFERROR(G25/$G$6,"")&lt;&gt;0)),NOT(AND(LEFT(E25,5)="12.31",IFERROR(U25/$G$6,"")&lt;&gt;0)),NOT(AND(LEFT(E25,5)="12.32",IFERROR(U25/$G$6,"")&lt;&gt;0))),"", IFERROR(U25/$U$6,""))</f>
      </c>
    </row>
    <row r="26" ht="16" customHeight="1" spans="1:23" x14ac:dyDescent="0.25">
      <c r="A26" s="40"/>
      <c r="C26" s="68"/>
      <c r="D26" s="68"/>
      <c r="E26" s="69" t="s">
        <v>61</v>
      </c>
      <c r="F26" s="70" t="s">
        <v>61</v>
      </c>
      <c r="G26" s="71">
        <f>SUMIFS(
INDEX('ETPT Format DDG'!$A:$ZZ,,IFERROR(MATCH(E26,'ETPT Format DDG'!$2:$2,0),MATCH(C26,'ETPT Format DDG'!$2:$2,0))),
INDEX( 'ETPT Format DDG'!$A:$ZZ,,MATCH("Fonction agrégat",'ETPT Format DDG'!2:2,0)),"M-TIT",
INDEX( 'ETPT Format DDG'!$A:$ZZ,,MATCH("Juridiction",'ETPT Format DDG'!2:2,0)),$A$3)</f>
      </c>
      <c r="H26" s="72">
        <f>IF(AND(OR(LEFT(C26,3)="12.",LEFT(E26,3)="12.",LEFT(E26,5)="CET &gt;",IFERROR(G26/$G$6,"")=0),NOT(AND(LEFT(E26,4)="12.8",IFERROR(G26/$G$6,"")&lt;&gt;0)),NOT(AND(LEFT(E26,5)="12.31",IFERROR(G26/$G$6,"")&lt;&gt;0)),NOT(AND(LEFT(E26,5)="12.32",IFERROR(G26/$G$6,"")&lt;&gt;0))),"", IFERROR(G26/$G$6,""))</f>
      </c>
      <c r="I26" s="73">
        <f>SUMIFS(
INDEX('ETPT Format DDG'!$A:$ZZ,,IFERROR(MATCH(E26,'ETPT Format DDG'!$2:$2,0),MATCH(C26,'ETPT Format DDG'!$2:$2,0))),
INDEX( 'ETPT Format DDG'!$A:$ZZ,,MATCH("Fonction agrégat",'ETPT Format DDG'!2:2,0)),"M-PLAC-ADD",
INDEX( 'ETPT Format DDG'!$A:$ZZ,,MATCH("Juridiction",'ETPT Format DDG'!2:2,0)),$A$3)</f>
      </c>
      <c r="J26" s="73">
        <f>SUMIFS(
INDEX('ETPT Format DDG'!$A:$ZZ,,IFERROR(MATCH(E26,'ETPT Format DDG'!$2:$2,0),MATCH(C26,'ETPT Format DDG'!$2:$2,0))),
INDEX( 'ETPT Format DDG'!$A:$ZZ,,MATCH("Fonction agrégat",'ETPT Format DDG'!2:2,0)),"M-PLAC-SUB",
INDEX( 'ETPT Format DDG'!$A:$ZZ,,MATCH("Juridiction",'ETPT Format DDG'!2:2,0)),$A$3)</f>
      </c>
      <c r="K26" s="73">
        <f>SUMIFS(
INDEX('ETPT Format DDG'!$A:$ZZ,,IFERROR(MATCH(E26,'ETPT Format DDG'!$2:$2,0),MATCH(C26,'ETPT Format DDG'!$2:$2,0))),
INDEX( 'ETPT Format DDG'!$A:$ZZ,,MATCH("Fonction agrégat",'ETPT Format DDG'!2:2,0)),"M-CONT",
INDEX( 'ETPT Format DDG'!$A:$ZZ,,MATCH("Juridiction",'ETPT Format DDG'!2:2,0)),$A$3,
INDEX( 'ETPT Format DDG'!$A:$ZZ,,MATCH("Catégorie",'ETPT Format DDG'!2:2,0)),"Magistrat")</f>
      </c>
      <c r="L26" s="71">
        <f>SUMIFS(
INDEX('ETPT Format DDG'!$A:$ZZ,,IFERROR(MATCH(E26,'ETPT Format DDG'!$2:$2,0),MATCH(C26,'ETPT Format DDG'!$2:$2,0))),
INDEX( 'ETPT Format DDG'!$A:$ZZ,,MATCH("Juridiction",'ETPT Format DDG'!2:2,0)),$A$3,
INDEX( 'ETPT Format DDG'!$A:$ZZ,,MATCH("Catégorie",'ETPT Format DDG'!2:2,0)),"Magistrat")</f>
      </c>
      <c r="M26" s="74">
        <f>IF(AND(OR(LEFT(C26,3)="12.",LEFT(E26,3)="12.",LEFT(E26,5)="CET &gt;", IFERROR(L26/$L$6,"")=0),NOT(AND(LEFT(E26,4)="12.8",IFERROR(G26/$G$6,"")&lt;&gt;0)),NOT(AND(LEFT(E26,5)="12.31",IFERROR(L26/$G$6,"")&lt;&gt;0)),NOT(AND(LEFT(E26,5)="12.32",IFERROR(L26/$G$6,"")&lt;&gt;0))),"", IFERROR(L26/$L$6,""))</f>
      </c>
      <c r="N26" s="73">
        <f>SUMIFS(
INDEX('ETPT Format DDG'!$A:$ZZ,,IFERROR(MATCH(E26,'ETPT Format DDG'!$2:$2,0),MATCH(C26,'ETPT Format DDG'!$2:$2,0))),
INDEX( 'ETPT Format DDG'!$A:$ZZ,,MATCH("Fonction agrégat",'ETPT Format DDG'!2:2,0)),"F-TIT",
INDEX( 'ETPT Format DDG'!$A:$ZZ,,MATCH("Juridiction",'ETPT Format DDG'!2:2,0)),$A$3)</f>
      </c>
      <c r="O26" s="72">
        <f>IF(AND(OR(LEFT(C26,3)="12.",LEFT(E26,3)="12.",LEFT(E26,5)="CET &gt;",IFERROR(N26/$N$6,"")=0),NOT(AND(LEFT(E26,4)="12.8",IFERROR(G26/$G$6,"")&lt;&gt;0)),NOT(AND(LEFT(E26,5)="12.31",IFERROR(N26/$G$6,"")&lt;&gt;0)),NOT(AND(LEFT(E26,5)="12.32",IFERROR(N26/$G$6,"")&lt;&gt;0))),"",IFERROR(N26/$N$6,""))</f>
      </c>
      <c r="P26" s="73">
        <f>SUMIFS(
INDEX('ETPT Format DDG'!$A:$FB,,IFERROR(MATCH(E26,'ETPT Format DDG'!$2:$2,0),MATCH(C26,'ETPT Format DDG'!$2:$2,0))),
INDEX( 'ETPT Format DDG'!$A:$ZZ,,MATCH("Fonction agrégat",'ETPT Format DDG'!2:2,0)),"F-PLAC-ADD",
INDEX( 'ETPT Format DDG'!$A:$ZZ,,MATCH("Juridiction",'ETPT Format DDG'!2:2,0)),$A$3)</f>
      </c>
      <c r="Q26" s="73">
        <f>SUMIFS(
INDEX('ETPT Format DDG'!$A:$FB,,IFERROR(MATCH(E26,'ETPT Format DDG'!$2:$2,0),MATCH(C26,'ETPT Format DDG'!$2:$2,0))),
INDEX( 'ETPT Format DDG'!$A:$ZZ,,MATCH("Fonction agrégat",'ETPT Format DDG'!2:2,0)),"F-PLAC-SUB",
INDEX( 'ETPT Format DDG'!$A:$ZZ,,MATCH("Juridiction",'ETPT Format DDG'!2:2,0)),$A$3)</f>
      </c>
      <c r="R26" s="73">
        <f>SUMIFS(
INDEX('ETPT Format DDG'!$A:$FB,,IFERROR(MATCH(E26,'ETPT Format DDG'!$2:$2,0),MATCH(C26,'ETPT Format DDG'!$2:$2,0))),
INDEX( 'ETPT Format DDG'!$A:$ZZ,,MATCH("Fonction agrégat",'ETPT Format DDG'!2:2,0)),"C",
'ETPT Format DDG'!$H:$H,"Greffe",
INDEX( 'ETPT Format DDG'!$A:$ZZ,,MATCH("Juridiction",'ETPT Format DDG'!2:2,0)),$A$3)</f>
      </c>
      <c r="S26" s="71">
        <f>SUMIFS(
INDEX('ETPT Format DDG'!$A:$FB,,IFERROR(MATCH(E26,'ETPT Format DDG'!$2:$2,0),MATCH(C26,'ETPT Format DDG'!$2:$2,0))),
INDEX( 'ETPT Format DDG'!$A:$ZZ,,MATCH("Catégorie",'ETPT Format DDG'!2:2,0)),"Greffe",
INDEX( 'ETPT Format DDG'!$A:$ZZ,,MATCH("Juridiction",'ETPT Format DDG'!2:2,0)),$A$3)</f>
      </c>
      <c r="T26" s="72">
        <f>IF(AND(OR(LEFT(C26,3)="12.",LEFT(E26,3)="12.",LEFT(E26,5)="CET &gt;",IFERROR(S26/$S$6,"")=0),NOT(AND(LEFT(E26,4)="12.8",IFERROR(G26/$G$6,"")&lt;&gt;0)),NOT(AND(LEFT(E26,5)="12.31",IFERROR(S26/$G$6,"")&lt;&gt;0)),NOT(AND(LEFT(E26,5)="12.32",IFERROR(S26/$G$6,"")&lt;&gt;0))),"", IFERROR(S26/$S$6,""))</f>
      </c>
      <c r="U26" s="71">
        <f>SUMIFS(
INDEX('ETPT Format DDG'!$A:$FB,,IFERROR(MATCH(E26,'ETPT Format DDG'!$2:$2,0),MATCH(C26,'ETPT Format DDG'!$2:$2,0))),
INDEX( 'ETPT Format DDG'!$A:$ZZ,,MATCH("Fonction agrégat",'ETPT Format DDG'!2:2,0)),"C",
INDEX( 'ETPT Format DDG'!$A:$ZZ,,MATCH("Juridiction",'ETPT Format DDG'!2:2,0)),$A$3,
INDEX( 'ETPT Format DDG'!$A:$ZZ,,MATCH("Catégorie",'ETPT Format DDG'!2:2,0)),"Autour du magistrat")</f>
      </c>
      <c r="V26" s="74">
        <f>IF(AND(OR(LEFT(C26,3)="12.",LEFT(E26,3)="12.",LEFT(E26,5)="CET &gt;",IFERROR(U26/$U$6,"")=0),NOT(AND(LEFT(E26,4)="12.8",IFERROR(G26/$G$6,"")&lt;&gt;0)),NOT(AND(LEFT(E26,5)="12.31",IFERROR(U26/$G$6,"")&lt;&gt;0)),NOT(AND(LEFT(E26,5)="12.32",IFERROR(U26/$G$6,"")&lt;&gt;0))),"", IFERROR(U26/$U$6,""))</f>
      </c>
    </row>
    <row r="27" ht="16" customHeight="1" spans="1:23" x14ac:dyDescent="0.25">
      <c r="A27" s="40"/>
      <c r="C27" s="68"/>
      <c r="D27" s="68"/>
      <c r="E27" s="69" t="s">
        <v>62</v>
      </c>
      <c r="F27" s="70" t="s">
        <v>62</v>
      </c>
      <c r="G27" s="71">
        <f>SUMIFS(
INDEX('ETPT Format DDG'!$A:$ZZ,,IFERROR(MATCH(E27,'ETPT Format DDG'!$2:$2,0),MATCH(C27,'ETPT Format DDG'!$2:$2,0))),
INDEX( 'ETPT Format DDG'!$A:$ZZ,,MATCH("Fonction agrégat",'ETPT Format DDG'!2:2,0)),"M-TIT",
INDEX( 'ETPT Format DDG'!$A:$ZZ,,MATCH("Juridiction",'ETPT Format DDG'!2:2,0)),$A$3)</f>
      </c>
      <c r="H27" s="72">
        <f>IF(AND(OR(LEFT(C27,3)="12.",LEFT(E27,3)="12.",LEFT(E27,5)="CET &gt;",IFERROR(G27/$G$6,"")=0),NOT(AND(LEFT(E27,4)="12.8",IFERROR(G27/$G$6,"")&lt;&gt;0)),NOT(AND(LEFT(E27,5)="12.31",IFERROR(G27/$G$6,"")&lt;&gt;0)),NOT(AND(LEFT(E27,5)="12.32",IFERROR(G27/$G$6,"")&lt;&gt;0))),"", IFERROR(G27/$G$6,""))</f>
      </c>
      <c r="I27" s="73">
        <f>SUMIFS(
INDEX('ETPT Format DDG'!$A:$ZZ,,IFERROR(MATCH(E27,'ETPT Format DDG'!$2:$2,0),MATCH(C27,'ETPT Format DDG'!$2:$2,0))),
INDEX( 'ETPT Format DDG'!$A:$ZZ,,MATCH("Fonction agrégat",'ETPT Format DDG'!2:2,0)),"M-PLAC-ADD",
INDEX( 'ETPT Format DDG'!$A:$ZZ,,MATCH("Juridiction",'ETPT Format DDG'!2:2,0)),$A$3)</f>
      </c>
      <c r="J27" s="73">
        <f>SUMIFS(
INDEX('ETPT Format DDG'!$A:$ZZ,,IFERROR(MATCH(E27,'ETPT Format DDG'!$2:$2,0),MATCH(C27,'ETPT Format DDG'!$2:$2,0))),
INDEX( 'ETPT Format DDG'!$A:$ZZ,,MATCH("Fonction agrégat",'ETPT Format DDG'!2:2,0)),"M-PLAC-SUB",
INDEX( 'ETPT Format DDG'!$A:$ZZ,,MATCH("Juridiction",'ETPT Format DDG'!2:2,0)),$A$3)</f>
      </c>
      <c r="K27" s="73">
        <f>SUMIFS(
INDEX('ETPT Format DDG'!$A:$ZZ,,IFERROR(MATCH(E27,'ETPT Format DDG'!$2:$2,0),MATCH(C27,'ETPT Format DDG'!$2:$2,0))),
INDEX( 'ETPT Format DDG'!$A:$ZZ,,MATCH("Fonction agrégat",'ETPT Format DDG'!2:2,0)),"M-CONT",
INDEX( 'ETPT Format DDG'!$A:$ZZ,,MATCH("Juridiction",'ETPT Format DDG'!2:2,0)),$A$3,
INDEX( 'ETPT Format DDG'!$A:$ZZ,,MATCH("Catégorie",'ETPT Format DDG'!2:2,0)),"Magistrat")</f>
      </c>
      <c r="L27" s="71">
        <f>SUMIFS(
INDEX('ETPT Format DDG'!$A:$ZZ,,IFERROR(MATCH(E27,'ETPT Format DDG'!$2:$2,0),MATCH(C27,'ETPT Format DDG'!$2:$2,0))),
INDEX( 'ETPT Format DDG'!$A:$ZZ,,MATCH("Juridiction",'ETPT Format DDG'!2:2,0)),$A$3,
INDEX( 'ETPT Format DDG'!$A:$ZZ,,MATCH("Catégorie",'ETPT Format DDG'!2:2,0)),"Magistrat")</f>
      </c>
      <c r="M27" s="74">
        <f>IF(AND(OR(LEFT(C27,3)="12.",LEFT(E27,3)="12.",LEFT(E27,5)="CET &gt;", IFERROR(L27/$L$6,"")=0),NOT(AND(LEFT(E27,4)="12.8",IFERROR(G27/$G$6,"")&lt;&gt;0)),NOT(AND(LEFT(E27,5)="12.31",IFERROR(L27/$G$6,"")&lt;&gt;0)),NOT(AND(LEFT(E27,5)="12.32",IFERROR(L27/$G$6,"")&lt;&gt;0))),"", IFERROR(L27/$L$6,""))</f>
      </c>
      <c r="N27" s="73">
        <f>SUMIFS(
INDEX('ETPT Format DDG'!$A:$ZZ,,IFERROR(MATCH(E27,'ETPT Format DDG'!$2:$2,0),MATCH(C27,'ETPT Format DDG'!$2:$2,0))),
INDEX( 'ETPT Format DDG'!$A:$ZZ,,MATCH("Fonction agrégat",'ETPT Format DDG'!2:2,0)),"F-TIT",
INDEX( 'ETPT Format DDG'!$A:$ZZ,,MATCH("Juridiction",'ETPT Format DDG'!2:2,0)),$A$3)</f>
      </c>
      <c r="O27" s="72">
        <f>IF(AND(OR(LEFT(C27,3)="12.",LEFT(E27,3)="12.",LEFT(E27,5)="CET &gt;",IFERROR(N27/$N$6,"")=0),NOT(AND(LEFT(E27,4)="12.8",IFERROR(G27/$G$6,"")&lt;&gt;0)),NOT(AND(LEFT(E27,5)="12.31",IFERROR(N27/$G$6,"")&lt;&gt;0)),NOT(AND(LEFT(E27,5)="12.32",IFERROR(N27/$G$6,"")&lt;&gt;0))),"",IFERROR(N27/$N$6,""))</f>
      </c>
      <c r="P27" s="73">
        <f>SUMIFS(
INDEX('ETPT Format DDG'!$A:$FB,,IFERROR(MATCH(E27,'ETPT Format DDG'!$2:$2,0),MATCH(C27,'ETPT Format DDG'!$2:$2,0))),
INDEX( 'ETPT Format DDG'!$A:$ZZ,,MATCH("Fonction agrégat",'ETPT Format DDG'!2:2,0)),"F-PLAC-ADD",
INDEX( 'ETPT Format DDG'!$A:$ZZ,,MATCH("Juridiction",'ETPT Format DDG'!2:2,0)),$A$3)</f>
      </c>
      <c r="Q27" s="73">
        <f>SUMIFS(
INDEX('ETPT Format DDG'!$A:$FB,,IFERROR(MATCH(E27,'ETPT Format DDG'!$2:$2,0),MATCH(C27,'ETPT Format DDG'!$2:$2,0))),
INDEX( 'ETPT Format DDG'!$A:$ZZ,,MATCH("Fonction agrégat",'ETPT Format DDG'!2:2,0)),"F-PLAC-SUB",
INDEX( 'ETPT Format DDG'!$A:$ZZ,,MATCH("Juridiction",'ETPT Format DDG'!2:2,0)),$A$3)</f>
      </c>
      <c r="R27" s="73">
        <f>SUMIFS(
INDEX('ETPT Format DDG'!$A:$FB,,IFERROR(MATCH(E27,'ETPT Format DDG'!$2:$2,0),MATCH(C27,'ETPT Format DDG'!$2:$2,0))),
INDEX( 'ETPT Format DDG'!$A:$ZZ,,MATCH("Fonction agrégat",'ETPT Format DDG'!2:2,0)),"C",
'ETPT Format DDG'!$H:$H,"Greffe",
INDEX( 'ETPT Format DDG'!$A:$ZZ,,MATCH("Juridiction",'ETPT Format DDG'!2:2,0)),$A$3)</f>
      </c>
      <c r="S27" s="71">
        <f>SUMIFS(
INDEX('ETPT Format DDG'!$A:$FB,,IFERROR(MATCH(E27,'ETPT Format DDG'!$2:$2,0),MATCH(C27,'ETPT Format DDG'!$2:$2,0))),
INDEX( 'ETPT Format DDG'!$A:$ZZ,,MATCH("Catégorie",'ETPT Format DDG'!2:2,0)),"Greffe",
INDEX( 'ETPT Format DDG'!$A:$ZZ,,MATCH("Juridiction",'ETPT Format DDG'!2:2,0)),$A$3)</f>
      </c>
      <c r="T27" s="72">
        <f>IF(AND(OR(LEFT(C27,3)="12.",LEFT(E27,3)="12.",LEFT(E27,5)="CET &gt;",IFERROR(S27/$S$6,"")=0),NOT(AND(LEFT(E27,4)="12.8",IFERROR(G27/$G$6,"")&lt;&gt;0)),NOT(AND(LEFT(E27,5)="12.31",IFERROR(S27/$G$6,"")&lt;&gt;0)),NOT(AND(LEFT(E27,5)="12.32",IFERROR(S27/$G$6,"")&lt;&gt;0))),"", IFERROR(S27/$S$6,""))</f>
      </c>
      <c r="U27" s="71">
        <f>SUMIFS(
INDEX('ETPT Format DDG'!$A:$FB,,IFERROR(MATCH(E27,'ETPT Format DDG'!$2:$2,0),MATCH(C27,'ETPT Format DDG'!$2:$2,0))),
INDEX( 'ETPT Format DDG'!$A:$ZZ,,MATCH("Fonction agrégat",'ETPT Format DDG'!2:2,0)),"C",
INDEX( 'ETPT Format DDG'!$A:$ZZ,,MATCH("Juridiction",'ETPT Format DDG'!2:2,0)),$A$3,
INDEX( 'ETPT Format DDG'!$A:$ZZ,,MATCH("Catégorie",'ETPT Format DDG'!2:2,0)),"Autour du magistrat")</f>
      </c>
      <c r="V27" s="74">
        <f>IF(AND(OR(LEFT(C27,3)="12.",LEFT(E27,3)="12.",LEFT(E27,5)="CET &gt;",IFERROR(U27/$U$6,"")=0),NOT(AND(LEFT(E27,4)="12.8",IFERROR(G27/$G$6,"")&lt;&gt;0)),NOT(AND(LEFT(E27,5)="12.31",IFERROR(U27/$G$6,"")&lt;&gt;0)),NOT(AND(LEFT(E27,5)="12.32",IFERROR(U27/$G$6,"")&lt;&gt;0))),"", IFERROR(U27/$U$6,""))</f>
      </c>
    </row>
    <row r="28" ht="16" customHeight="1" spans="1:23" x14ac:dyDescent="0.25">
      <c r="A28" s="40"/>
      <c r="C28" s="68"/>
      <c r="D28" s="68"/>
      <c r="E28" s="69" t="s">
        <v>63</v>
      </c>
      <c r="F28" s="70" t="s">
        <v>63</v>
      </c>
      <c r="G28" s="71">
        <f>SUMIFS(
INDEX('ETPT Format DDG'!$A:$ZZ,,IFERROR(MATCH(E28,'ETPT Format DDG'!$2:$2,0),MATCH(C28,'ETPT Format DDG'!$2:$2,0))),
INDEX( 'ETPT Format DDG'!$A:$ZZ,,MATCH("Fonction agrégat",'ETPT Format DDG'!2:2,0)),"M-TIT",
INDEX( 'ETPT Format DDG'!$A:$ZZ,,MATCH("Juridiction",'ETPT Format DDG'!2:2,0)),$A$3)</f>
      </c>
      <c r="H28" s="72">
        <f>IF(AND(OR(LEFT(C28,3)="12.",LEFT(E28,3)="12.",LEFT(E28,5)="CET &gt;",IFERROR(G28/$G$6,"")=0),NOT(AND(LEFT(E28,4)="12.8",IFERROR(G28/$G$6,"")&lt;&gt;0)),NOT(AND(LEFT(E28,5)="12.31",IFERROR(G28/$G$6,"")&lt;&gt;0)),NOT(AND(LEFT(E28,5)="12.32",IFERROR(G28/$G$6,"")&lt;&gt;0))),"", IFERROR(G28/$G$6,""))</f>
      </c>
      <c r="I28" s="73">
        <f>SUMIFS(
INDEX('ETPT Format DDG'!$A:$ZZ,,IFERROR(MATCH(E28,'ETPT Format DDG'!$2:$2,0),MATCH(C28,'ETPT Format DDG'!$2:$2,0))),
INDEX( 'ETPT Format DDG'!$A:$ZZ,,MATCH("Fonction agrégat",'ETPT Format DDG'!2:2,0)),"M-PLAC-ADD",
INDEX( 'ETPT Format DDG'!$A:$ZZ,,MATCH("Juridiction",'ETPT Format DDG'!2:2,0)),$A$3)</f>
      </c>
      <c r="J28" s="73">
        <f>SUMIFS(
INDEX('ETPT Format DDG'!$A:$ZZ,,IFERROR(MATCH(E28,'ETPT Format DDG'!$2:$2,0),MATCH(C28,'ETPT Format DDG'!$2:$2,0))),
INDEX( 'ETPT Format DDG'!$A:$ZZ,,MATCH("Fonction agrégat",'ETPT Format DDG'!2:2,0)),"M-PLAC-SUB",
INDEX( 'ETPT Format DDG'!$A:$ZZ,,MATCH("Juridiction",'ETPT Format DDG'!2:2,0)),$A$3)</f>
      </c>
      <c r="K28" s="73">
        <f>SUMIFS(
INDEX('ETPT Format DDG'!$A:$ZZ,,IFERROR(MATCH(E28,'ETPT Format DDG'!$2:$2,0),MATCH(C28,'ETPT Format DDG'!$2:$2,0))),
INDEX( 'ETPT Format DDG'!$A:$ZZ,,MATCH("Fonction agrégat",'ETPT Format DDG'!2:2,0)),"M-CONT",
INDEX( 'ETPT Format DDG'!$A:$ZZ,,MATCH("Juridiction",'ETPT Format DDG'!2:2,0)),$A$3,
INDEX( 'ETPT Format DDG'!$A:$ZZ,,MATCH("Catégorie",'ETPT Format DDG'!2:2,0)),"Magistrat")</f>
      </c>
      <c r="L28" s="71">
        <f>SUMIFS(
INDEX('ETPT Format DDG'!$A:$ZZ,,IFERROR(MATCH(E28,'ETPT Format DDG'!$2:$2,0),MATCH(C28,'ETPT Format DDG'!$2:$2,0))),
INDEX( 'ETPT Format DDG'!$A:$ZZ,,MATCH("Juridiction",'ETPT Format DDG'!2:2,0)),$A$3,
INDEX( 'ETPT Format DDG'!$A:$ZZ,,MATCH("Catégorie",'ETPT Format DDG'!2:2,0)),"Magistrat")</f>
      </c>
      <c r="M28" s="74">
        <f>IF(AND(OR(LEFT(C28,3)="12.",LEFT(E28,3)="12.",LEFT(E28,5)="CET &gt;", IFERROR(L28/$L$6,"")=0),NOT(AND(LEFT(E28,4)="12.8",IFERROR(G28/$G$6,"")&lt;&gt;0)),NOT(AND(LEFT(E28,5)="12.31",IFERROR(L28/$G$6,"")&lt;&gt;0)),NOT(AND(LEFT(E28,5)="12.32",IFERROR(L28/$G$6,"")&lt;&gt;0))),"", IFERROR(L28/$L$6,""))</f>
      </c>
      <c r="N28" s="73">
        <f>SUMIFS(
INDEX('ETPT Format DDG'!$A:$ZZ,,IFERROR(MATCH(E28,'ETPT Format DDG'!$2:$2,0),MATCH(C28,'ETPT Format DDG'!$2:$2,0))),
INDEX( 'ETPT Format DDG'!$A:$ZZ,,MATCH("Fonction agrégat",'ETPT Format DDG'!2:2,0)),"F-TIT",
INDEX( 'ETPT Format DDG'!$A:$ZZ,,MATCH("Juridiction",'ETPT Format DDG'!2:2,0)),$A$3)</f>
      </c>
      <c r="O28" s="72">
        <f>IF(AND(OR(LEFT(C28,3)="12.",LEFT(E28,3)="12.",LEFT(E28,5)="CET &gt;",IFERROR(N28/$N$6,"")=0),NOT(AND(LEFT(E28,4)="12.8",IFERROR(G28/$G$6,"")&lt;&gt;0)),NOT(AND(LEFT(E28,5)="12.31",IFERROR(N28/$G$6,"")&lt;&gt;0)),NOT(AND(LEFT(E28,5)="12.32",IFERROR(N28/$G$6,"")&lt;&gt;0))),"",IFERROR(N28/$N$6,""))</f>
      </c>
      <c r="P28" s="73">
        <f>SUMIFS(
INDEX('ETPT Format DDG'!$A:$FB,,IFERROR(MATCH(E28,'ETPT Format DDG'!$2:$2,0),MATCH(C28,'ETPT Format DDG'!$2:$2,0))),
INDEX( 'ETPT Format DDG'!$A:$ZZ,,MATCH("Fonction agrégat",'ETPT Format DDG'!2:2,0)),"F-PLAC-ADD",
INDEX( 'ETPT Format DDG'!$A:$ZZ,,MATCH("Juridiction",'ETPT Format DDG'!2:2,0)),$A$3)</f>
      </c>
      <c r="Q28" s="73">
        <f>SUMIFS(
INDEX('ETPT Format DDG'!$A:$FB,,IFERROR(MATCH(E28,'ETPT Format DDG'!$2:$2,0),MATCH(C28,'ETPT Format DDG'!$2:$2,0))),
INDEX( 'ETPT Format DDG'!$A:$ZZ,,MATCH("Fonction agrégat",'ETPT Format DDG'!2:2,0)),"F-PLAC-SUB",
INDEX( 'ETPT Format DDG'!$A:$ZZ,,MATCH("Juridiction",'ETPT Format DDG'!2:2,0)),$A$3)</f>
      </c>
      <c r="R28" s="73">
        <f>SUMIFS(
INDEX('ETPT Format DDG'!$A:$FB,,IFERROR(MATCH(E28,'ETPT Format DDG'!$2:$2,0),MATCH(C28,'ETPT Format DDG'!$2:$2,0))),
INDEX( 'ETPT Format DDG'!$A:$ZZ,,MATCH("Fonction agrégat",'ETPT Format DDG'!2:2,0)),"C",
'ETPT Format DDG'!$H:$H,"Greffe",
INDEX( 'ETPT Format DDG'!$A:$ZZ,,MATCH("Juridiction",'ETPT Format DDG'!2:2,0)),$A$3)</f>
      </c>
      <c r="S28" s="71">
        <f>SUMIFS(
INDEX('ETPT Format DDG'!$A:$FB,,IFERROR(MATCH(E28,'ETPT Format DDG'!$2:$2,0),MATCH(C28,'ETPT Format DDG'!$2:$2,0))),
INDEX( 'ETPT Format DDG'!$A:$ZZ,,MATCH("Catégorie",'ETPT Format DDG'!2:2,0)),"Greffe",
INDEX( 'ETPT Format DDG'!$A:$ZZ,,MATCH("Juridiction",'ETPT Format DDG'!2:2,0)),$A$3)</f>
      </c>
      <c r="T28" s="72">
        <f>IF(AND(OR(LEFT(C28,3)="12.",LEFT(E28,3)="12.",LEFT(E28,5)="CET &gt;",IFERROR(S28/$S$6,"")=0),NOT(AND(LEFT(E28,4)="12.8",IFERROR(G28/$G$6,"")&lt;&gt;0)),NOT(AND(LEFT(E28,5)="12.31",IFERROR(S28/$G$6,"")&lt;&gt;0)),NOT(AND(LEFT(E28,5)="12.32",IFERROR(S28/$G$6,"")&lt;&gt;0))),"", IFERROR(S28/$S$6,""))</f>
      </c>
      <c r="U28" s="71">
        <f>SUMIFS(
INDEX('ETPT Format DDG'!$A:$FB,,IFERROR(MATCH(E28,'ETPT Format DDG'!$2:$2,0),MATCH(C28,'ETPT Format DDG'!$2:$2,0))),
INDEX( 'ETPT Format DDG'!$A:$ZZ,,MATCH("Fonction agrégat",'ETPT Format DDG'!2:2,0)),"C",
INDEX( 'ETPT Format DDG'!$A:$ZZ,,MATCH("Juridiction",'ETPT Format DDG'!2:2,0)),$A$3,
INDEX( 'ETPT Format DDG'!$A:$ZZ,,MATCH("Catégorie",'ETPT Format DDG'!2:2,0)),"Autour du magistrat")</f>
      </c>
      <c r="V28" s="74">
        <f>IF(AND(OR(LEFT(C28,3)="12.",LEFT(E28,3)="12.",LEFT(E28,5)="CET &gt;",IFERROR(U28/$U$6,"")=0),NOT(AND(LEFT(E28,4)="12.8",IFERROR(G28/$G$6,"")&lt;&gt;0)),NOT(AND(LEFT(E28,5)="12.31",IFERROR(U28/$G$6,"")&lt;&gt;0)),NOT(AND(LEFT(E28,5)="12.32",IFERROR(U28/$G$6,"")&lt;&gt;0))),"", IFERROR(U28/$U$6,""))</f>
      </c>
    </row>
    <row r="29" ht="16" customHeight="1" spans="1:23" x14ac:dyDescent="0.25">
      <c r="A29" s="40"/>
      <c r="C29" s="68"/>
      <c r="D29" s="68"/>
      <c r="E29" s="69" t="s">
        <v>64</v>
      </c>
      <c r="F29" s="70" t="s">
        <v>64</v>
      </c>
      <c r="G29" s="71">
        <f>SUMIFS(
INDEX('ETPT Format DDG'!$A:$ZZ,,IFERROR(MATCH(E29,'ETPT Format DDG'!$2:$2,0),MATCH(C29,'ETPT Format DDG'!$2:$2,0))),
INDEX( 'ETPT Format DDG'!$A:$ZZ,,MATCH("Fonction agrégat",'ETPT Format DDG'!2:2,0)),"M-TIT",
INDEX( 'ETPT Format DDG'!$A:$ZZ,,MATCH("Juridiction",'ETPT Format DDG'!2:2,0)),$A$3)</f>
      </c>
      <c r="H29" s="72">
        <f>IF(AND(OR(LEFT(C29,3)="12.",LEFT(E29,3)="12.",LEFT(E29,5)="CET &gt;",IFERROR(G29/$G$6,"")=0),NOT(AND(LEFT(E29,4)="12.8",IFERROR(G29/$G$6,"")&lt;&gt;0)),NOT(AND(LEFT(E29,5)="12.31",IFERROR(G29/$G$6,"")&lt;&gt;0)),NOT(AND(LEFT(E29,5)="12.32",IFERROR(G29/$G$6,"")&lt;&gt;0))),"", IFERROR(G29/$G$6,""))</f>
      </c>
      <c r="I29" s="73">
        <f>SUMIFS(
INDEX('ETPT Format DDG'!$A:$ZZ,,IFERROR(MATCH(E29,'ETPT Format DDG'!$2:$2,0),MATCH(C29,'ETPT Format DDG'!$2:$2,0))),
INDEX( 'ETPT Format DDG'!$A:$ZZ,,MATCH("Fonction agrégat",'ETPT Format DDG'!2:2,0)),"M-PLAC-ADD",
INDEX( 'ETPT Format DDG'!$A:$ZZ,,MATCH("Juridiction",'ETPT Format DDG'!2:2,0)),$A$3)</f>
      </c>
      <c r="J29" s="73">
        <f>SUMIFS(
INDEX('ETPT Format DDG'!$A:$ZZ,,IFERROR(MATCH(E29,'ETPT Format DDG'!$2:$2,0),MATCH(C29,'ETPT Format DDG'!$2:$2,0))),
INDEX( 'ETPT Format DDG'!$A:$ZZ,,MATCH("Fonction agrégat",'ETPT Format DDG'!2:2,0)),"M-PLAC-SUB",
INDEX( 'ETPT Format DDG'!$A:$ZZ,,MATCH("Juridiction",'ETPT Format DDG'!2:2,0)),$A$3)</f>
      </c>
      <c r="K29" s="73">
        <f>SUMIFS(
INDEX('ETPT Format DDG'!$A:$ZZ,,IFERROR(MATCH(E29,'ETPT Format DDG'!$2:$2,0),MATCH(C29,'ETPT Format DDG'!$2:$2,0))),
INDEX( 'ETPT Format DDG'!$A:$ZZ,,MATCH("Fonction agrégat",'ETPT Format DDG'!2:2,0)),"M-CONT",
INDEX( 'ETPT Format DDG'!$A:$ZZ,,MATCH("Juridiction",'ETPT Format DDG'!2:2,0)),$A$3,
INDEX( 'ETPT Format DDG'!$A:$ZZ,,MATCH("Catégorie",'ETPT Format DDG'!2:2,0)),"Magistrat")</f>
      </c>
      <c r="L29" s="71">
        <f>SUMIFS(
INDEX('ETPT Format DDG'!$A:$ZZ,,IFERROR(MATCH(E29,'ETPT Format DDG'!$2:$2,0),MATCH(C29,'ETPT Format DDG'!$2:$2,0))),
INDEX( 'ETPT Format DDG'!$A:$ZZ,,MATCH("Juridiction",'ETPT Format DDG'!2:2,0)),$A$3,
INDEX( 'ETPT Format DDG'!$A:$ZZ,,MATCH("Catégorie",'ETPT Format DDG'!2:2,0)),"Magistrat")</f>
      </c>
      <c r="M29" s="74">
        <f>IF(AND(OR(LEFT(C29,3)="12.",LEFT(E29,3)="12.",LEFT(E29,5)="CET &gt;", IFERROR(L29/$L$6,"")=0),NOT(AND(LEFT(E29,4)="12.8",IFERROR(G29/$G$6,"")&lt;&gt;0)),NOT(AND(LEFT(E29,5)="12.31",IFERROR(L29/$G$6,"")&lt;&gt;0)),NOT(AND(LEFT(E29,5)="12.32",IFERROR(L29/$G$6,"")&lt;&gt;0))),"", IFERROR(L29/$L$6,""))</f>
      </c>
      <c r="N29" s="73">
        <f>SUMIFS(
INDEX('ETPT Format DDG'!$A:$ZZ,,IFERROR(MATCH(E29,'ETPT Format DDG'!$2:$2,0),MATCH(C29,'ETPT Format DDG'!$2:$2,0))),
INDEX( 'ETPT Format DDG'!$A:$ZZ,,MATCH("Fonction agrégat",'ETPT Format DDG'!2:2,0)),"F-TIT",
INDEX( 'ETPT Format DDG'!$A:$ZZ,,MATCH("Juridiction",'ETPT Format DDG'!2:2,0)),$A$3)</f>
      </c>
      <c r="O29" s="72">
        <f>IF(AND(OR(LEFT(C29,3)="12.",LEFT(E29,3)="12.",LEFT(E29,5)="CET &gt;",IFERROR(N29/$N$6,"")=0),NOT(AND(LEFT(E29,4)="12.8",IFERROR(G29/$G$6,"")&lt;&gt;0)),NOT(AND(LEFT(E29,5)="12.31",IFERROR(N29/$G$6,"")&lt;&gt;0)),NOT(AND(LEFT(E29,5)="12.32",IFERROR(N29/$G$6,"")&lt;&gt;0))),"",IFERROR(N29/$N$6,""))</f>
      </c>
      <c r="P29" s="73">
        <f>SUMIFS(
INDEX('ETPT Format DDG'!$A:$FB,,IFERROR(MATCH(E29,'ETPT Format DDG'!$2:$2,0),MATCH(C29,'ETPT Format DDG'!$2:$2,0))),
INDEX( 'ETPT Format DDG'!$A:$ZZ,,MATCH("Fonction agrégat",'ETPT Format DDG'!2:2,0)),"F-PLAC-ADD",
INDEX( 'ETPT Format DDG'!$A:$ZZ,,MATCH("Juridiction",'ETPT Format DDG'!2:2,0)),$A$3)</f>
      </c>
      <c r="Q29" s="73">
        <f>SUMIFS(
INDEX('ETPT Format DDG'!$A:$FB,,IFERROR(MATCH(E29,'ETPT Format DDG'!$2:$2,0),MATCH(C29,'ETPT Format DDG'!$2:$2,0))),
INDEX( 'ETPT Format DDG'!$A:$ZZ,,MATCH("Fonction agrégat",'ETPT Format DDG'!2:2,0)),"F-PLAC-SUB",
INDEX( 'ETPT Format DDG'!$A:$ZZ,,MATCH("Juridiction",'ETPT Format DDG'!2:2,0)),$A$3)</f>
      </c>
      <c r="R29" s="73">
        <f>SUMIFS(
INDEX('ETPT Format DDG'!$A:$FB,,IFERROR(MATCH(E29,'ETPT Format DDG'!$2:$2,0),MATCH(C29,'ETPT Format DDG'!$2:$2,0))),
INDEX( 'ETPT Format DDG'!$A:$ZZ,,MATCH("Fonction agrégat",'ETPT Format DDG'!2:2,0)),"C",
'ETPT Format DDG'!$H:$H,"Greffe",
INDEX( 'ETPT Format DDG'!$A:$ZZ,,MATCH("Juridiction",'ETPT Format DDG'!2:2,0)),$A$3)</f>
      </c>
      <c r="S29" s="71">
        <f>SUMIFS(
INDEX('ETPT Format DDG'!$A:$FB,,IFERROR(MATCH(E29,'ETPT Format DDG'!$2:$2,0),MATCH(C29,'ETPT Format DDG'!$2:$2,0))),
INDEX( 'ETPT Format DDG'!$A:$ZZ,,MATCH("Catégorie",'ETPT Format DDG'!2:2,0)),"Greffe",
INDEX( 'ETPT Format DDG'!$A:$ZZ,,MATCH("Juridiction",'ETPT Format DDG'!2:2,0)),$A$3)</f>
      </c>
      <c r="T29" s="72">
        <f>IF(AND(OR(LEFT(C29,3)="12.",LEFT(E29,3)="12.",LEFT(E29,5)="CET &gt;",IFERROR(S29/$S$6,"")=0),NOT(AND(LEFT(E29,4)="12.8",IFERROR(G29/$G$6,"")&lt;&gt;0)),NOT(AND(LEFT(E29,5)="12.31",IFERROR(S29/$G$6,"")&lt;&gt;0)),NOT(AND(LEFT(E29,5)="12.32",IFERROR(S29/$G$6,"")&lt;&gt;0))),"", IFERROR(S29/$S$6,""))</f>
      </c>
      <c r="U29" s="71">
        <f>SUMIFS(
INDEX('ETPT Format DDG'!$A:$FB,,IFERROR(MATCH(E29,'ETPT Format DDG'!$2:$2,0),MATCH(C29,'ETPT Format DDG'!$2:$2,0))),
INDEX( 'ETPT Format DDG'!$A:$ZZ,,MATCH("Fonction agrégat",'ETPT Format DDG'!2:2,0)),"C",
INDEX( 'ETPT Format DDG'!$A:$ZZ,,MATCH("Juridiction",'ETPT Format DDG'!2:2,0)),$A$3,
INDEX( 'ETPT Format DDG'!$A:$ZZ,,MATCH("Catégorie",'ETPT Format DDG'!2:2,0)),"Autour du magistrat")</f>
      </c>
      <c r="V29" s="74">
        <f>IF(AND(OR(LEFT(C29,3)="12.",LEFT(E29,3)="12.",LEFT(E29,5)="CET &gt;",IFERROR(U29/$U$6,"")=0),NOT(AND(LEFT(E29,4)="12.8",IFERROR(G29/$G$6,"")&lt;&gt;0)),NOT(AND(LEFT(E29,5)="12.31",IFERROR(U29/$G$6,"")&lt;&gt;0)),NOT(AND(LEFT(E29,5)="12.32",IFERROR(U29/$G$6,"")&lt;&gt;0))),"", IFERROR(U29/$U$6,""))</f>
      </c>
    </row>
    <row r="30" ht="16" customHeight="1" spans="1:23" x14ac:dyDescent="0.25">
      <c r="A30" s="40"/>
      <c r="C30" s="68"/>
      <c r="D30" s="68"/>
      <c r="E30" s="69" t="s">
        <v>65</v>
      </c>
      <c r="F30" s="70" t="s">
        <v>65</v>
      </c>
      <c r="G30" s="71">
        <f>SUMIFS(
INDEX('ETPT Format DDG'!$A:$ZZ,,IFERROR(MATCH(E30,'ETPT Format DDG'!$2:$2,0),MATCH(C30,'ETPT Format DDG'!$2:$2,0))),
INDEX( 'ETPT Format DDG'!$A:$ZZ,,MATCH("Fonction agrégat",'ETPT Format DDG'!2:2,0)),"M-TIT",
INDEX( 'ETPT Format DDG'!$A:$ZZ,,MATCH("Juridiction",'ETPT Format DDG'!2:2,0)),$A$3)</f>
      </c>
      <c r="H30" s="72">
        <f>IF(AND(OR(LEFT(C30,3)="12.",LEFT(E30,3)="12.",LEFT(E30,5)="CET &gt;",IFERROR(G30/$G$6,"")=0),NOT(AND(LEFT(E30,4)="12.8",IFERROR(G30/$G$6,"")&lt;&gt;0)),NOT(AND(LEFT(E30,5)="12.31",IFERROR(G30/$G$6,"")&lt;&gt;0)),NOT(AND(LEFT(E30,5)="12.32",IFERROR(G30/$G$6,"")&lt;&gt;0))),"", IFERROR(G30/$G$6,""))</f>
      </c>
      <c r="I30" s="73">
        <f>SUMIFS(
INDEX('ETPT Format DDG'!$A:$ZZ,,IFERROR(MATCH(E30,'ETPT Format DDG'!$2:$2,0),MATCH(C30,'ETPT Format DDG'!$2:$2,0))),
INDEX( 'ETPT Format DDG'!$A:$ZZ,,MATCH("Fonction agrégat",'ETPT Format DDG'!2:2,0)),"M-PLAC-ADD",
INDEX( 'ETPT Format DDG'!$A:$ZZ,,MATCH("Juridiction",'ETPT Format DDG'!2:2,0)),$A$3)</f>
      </c>
      <c r="J30" s="73">
        <f>SUMIFS(
INDEX('ETPT Format DDG'!$A:$ZZ,,IFERROR(MATCH(E30,'ETPT Format DDG'!$2:$2,0),MATCH(C30,'ETPT Format DDG'!$2:$2,0))),
INDEX( 'ETPT Format DDG'!$A:$ZZ,,MATCH("Fonction agrégat",'ETPT Format DDG'!2:2,0)),"M-PLAC-SUB",
INDEX( 'ETPT Format DDG'!$A:$ZZ,,MATCH("Juridiction",'ETPT Format DDG'!2:2,0)),$A$3)</f>
      </c>
      <c r="K30" s="73">
        <f>SUMIFS(
INDEX('ETPT Format DDG'!$A:$ZZ,,IFERROR(MATCH(E30,'ETPT Format DDG'!$2:$2,0),MATCH(C30,'ETPT Format DDG'!$2:$2,0))),
INDEX( 'ETPT Format DDG'!$A:$ZZ,,MATCH("Fonction agrégat",'ETPT Format DDG'!2:2,0)),"M-CONT",
INDEX( 'ETPT Format DDG'!$A:$ZZ,,MATCH("Juridiction",'ETPT Format DDG'!2:2,0)),$A$3,
INDEX( 'ETPT Format DDG'!$A:$ZZ,,MATCH("Catégorie",'ETPT Format DDG'!2:2,0)),"Magistrat")</f>
      </c>
      <c r="L30" s="71">
        <f>SUMIFS(
INDEX('ETPT Format DDG'!$A:$ZZ,,IFERROR(MATCH(E30,'ETPT Format DDG'!$2:$2,0),MATCH(C30,'ETPT Format DDG'!$2:$2,0))),
INDEX( 'ETPT Format DDG'!$A:$ZZ,,MATCH("Juridiction",'ETPT Format DDG'!2:2,0)),$A$3,
INDEX( 'ETPT Format DDG'!$A:$ZZ,,MATCH("Catégorie",'ETPT Format DDG'!2:2,0)),"Magistrat")</f>
      </c>
      <c r="M30" s="74">
        <f>IF(AND(OR(LEFT(C30,3)="12.",LEFT(E30,3)="12.",LEFT(E30,5)="CET &gt;", IFERROR(L30/$L$6,"")=0),NOT(AND(LEFT(E30,4)="12.8",IFERROR(G30/$G$6,"")&lt;&gt;0)),NOT(AND(LEFT(E30,5)="12.31",IFERROR(L30/$G$6,"")&lt;&gt;0)),NOT(AND(LEFT(E30,5)="12.32",IFERROR(L30/$G$6,"")&lt;&gt;0))),"", IFERROR(L30/$L$6,""))</f>
      </c>
      <c r="N30" s="73">
        <f>SUMIFS(
INDEX('ETPT Format DDG'!$A:$ZZ,,IFERROR(MATCH(E30,'ETPT Format DDG'!$2:$2,0),MATCH(C30,'ETPT Format DDG'!$2:$2,0))),
INDEX( 'ETPT Format DDG'!$A:$ZZ,,MATCH("Fonction agrégat",'ETPT Format DDG'!2:2,0)),"F-TIT",
INDEX( 'ETPT Format DDG'!$A:$ZZ,,MATCH("Juridiction",'ETPT Format DDG'!2:2,0)),$A$3)</f>
      </c>
      <c r="O30" s="72">
        <f>IF(AND(OR(LEFT(C30,3)="12.",LEFT(E30,3)="12.",LEFT(E30,5)="CET &gt;",IFERROR(N30/$N$6,"")=0),NOT(AND(LEFT(E30,4)="12.8",IFERROR(G30/$G$6,"")&lt;&gt;0)),NOT(AND(LEFT(E30,5)="12.31",IFERROR(N30/$G$6,"")&lt;&gt;0)),NOT(AND(LEFT(E30,5)="12.32",IFERROR(N30/$G$6,"")&lt;&gt;0))),"",IFERROR(N30/$N$6,""))</f>
      </c>
      <c r="P30" s="73">
        <f>SUMIFS(
INDEX('ETPT Format DDG'!$A:$FB,,IFERROR(MATCH(E30,'ETPT Format DDG'!$2:$2,0),MATCH(C30,'ETPT Format DDG'!$2:$2,0))),
INDEX( 'ETPT Format DDG'!$A:$ZZ,,MATCH("Fonction agrégat",'ETPT Format DDG'!2:2,0)),"F-PLAC-ADD",
INDEX( 'ETPT Format DDG'!$A:$ZZ,,MATCH("Juridiction",'ETPT Format DDG'!2:2,0)),$A$3)</f>
      </c>
      <c r="Q30" s="73">
        <f>SUMIFS(
INDEX('ETPT Format DDG'!$A:$FB,,IFERROR(MATCH(E30,'ETPT Format DDG'!$2:$2,0),MATCH(C30,'ETPT Format DDG'!$2:$2,0))),
INDEX( 'ETPT Format DDG'!$A:$ZZ,,MATCH("Fonction agrégat",'ETPT Format DDG'!2:2,0)),"F-PLAC-SUB",
INDEX( 'ETPT Format DDG'!$A:$ZZ,,MATCH("Juridiction",'ETPT Format DDG'!2:2,0)),$A$3)</f>
      </c>
      <c r="R30" s="73">
        <f>SUMIFS(
INDEX('ETPT Format DDG'!$A:$FB,,IFERROR(MATCH(E30,'ETPT Format DDG'!$2:$2,0),MATCH(C30,'ETPT Format DDG'!$2:$2,0))),
INDEX( 'ETPT Format DDG'!$A:$ZZ,,MATCH("Fonction agrégat",'ETPT Format DDG'!2:2,0)),"C",
'ETPT Format DDG'!$H:$H,"Greffe",
INDEX( 'ETPT Format DDG'!$A:$ZZ,,MATCH("Juridiction",'ETPT Format DDG'!2:2,0)),$A$3)</f>
      </c>
      <c r="S30" s="71">
        <f>SUMIFS(
INDEX('ETPT Format DDG'!$A:$FB,,IFERROR(MATCH(E30,'ETPT Format DDG'!$2:$2,0),MATCH(C30,'ETPT Format DDG'!$2:$2,0))),
INDEX( 'ETPT Format DDG'!$A:$ZZ,,MATCH("Catégorie",'ETPT Format DDG'!2:2,0)),"Greffe",
INDEX( 'ETPT Format DDG'!$A:$ZZ,,MATCH("Juridiction",'ETPT Format DDG'!2:2,0)),$A$3)</f>
      </c>
      <c r="T30" s="72">
        <f>IF(AND(OR(LEFT(C30,3)="12.",LEFT(E30,3)="12.",LEFT(E30,5)="CET &gt;",IFERROR(S30/$S$6,"")=0),NOT(AND(LEFT(E30,4)="12.8",IFERROR(G30/$G$6,"")&lt;&gt;0)),NOT(AND(LEFT(E30,5)="12.31",IFERROR(S30/$G$6,"")&lt;&gt;0)),NOT(AND(LEFT(E30,5)="12.32",IFERROR(S30/$G$6,"")&lt;&gt;0))),"", IFERROR(S30/$S$6,""))</f>
      </c>
      <c r="U30" s="71">
        <f>SUMIFS(
INDEX('ETPT Format DDG'!$A:$FB,,IFERROR(MATCH(E30,'ETPT Format DDG'!$2:$2,0),MATCH(C30,'ETPT Format DDG'!$2:$2,0))),
INDEX( 'ETPT Format DDG'!$A:$ZZ,,MATCH("Fonction agrégat",'ETPT Format DDG'!2:2,0)),"C",
INDEX( 'ETPT Format DDG'!$A:$ZZ,,MATCH("Juridiction",'ETPT Format DDG'!2:2,0)),$A$3,
INDEX( 'ETPT Format DDG'!$A:$ZZ,,MATCH("Catégorie",'ETPT Format DDG'!2:2,0)),"Autour du magistrat")</f>
      </c>
      <c r="V30" s="74">
        <f>IF(AND(OR(LEFT(C30,3)="12.",LEFT(E30,3)="12.",LEFT(E30,5)="CET &gt;",IFERROR(U30/$U$6,"")=0),NOT(AND(LEFT(E30,4)="12.8",IFERROR(G30/$G$6,"")&lt;&gt;0)),NOT(AND(LEFT(E30,5)="12.31",IFERROR(U30/$G$6,"")&lt;&gt;0)),NOT(AND(LEFT(E30,5)="12.32",IFERROR(U30/$G$6,"")&lt;&gt;0))),"", IFERROR(U30/$U$6,""))</f>
      </c>
    </row>
    <row r="31" ht="16" customHeight="1" spans="1:23" x14ac:dyDescent="0.25">
      <c r="A31" s="40"/>
      <c r="C31" s="68"/>
      <c r="D31" s="68"/>
      <c r="E31" s="69" t="s">
        <v>66</v>
      </c>
      <c r="F31" s="70" t="s">
        <v>66</v>
      </c>
      <c r="G31" s="71">
        <f>SUMIFS(
INDEX('ETPT Format DDG'!$A:$ZZ,,IFERROR(MATCH(E31,'ETPT Format DDG'!$2:$2,0),MATCH(C31,'ETPT Format DDG'!$2:$2,0))),
INDEX( 'ETPT Format DDG'!$A:$ZZ,,MATCH("Fonction agrégat",'ETPT Format DDG'!2:2,0)),"M-TIT",
INDEX( 'ETPT Format DDG'!$A:$ZZ,,MATCH("Juridiction",'ETPT Format DDG'!2:2,0)),$A$3)</f>
      </c>
      <c r="H31" s="72">
        <f>IF(AND(OR(LEFT(C31,3)="12.",LEFT(E31,3)="12.",LEFT(E31,5)="CET &gt;",IFERROR(G31/$G$6,"")=0),NOT(AND(LEFT(E31,4)="12.8",IFERROR(G31/$G$6,"")&lt;&gt;0)),NOT(AND(LEFT(E31,5)="12.31",IFERROR(G31/$G$6,"")&lt;&gt;0)),NOT(AND(LEFT(E31,5)="12.32",IFERROR(G31/$G$6,"")&lt;&gt;0))),"", IFERROR(G31/$G$6,""))</f>
      </c>
      <c r="I31" s="73">
        <f>SUMIFS(
INDEX('ETPT Format DDG'!$A:$ZZ,,IFERROR(MATCH(E31,'ETPT Format DDG'!$2:$2,0),MATCH(C31,'ETPT Format DDG'!$2:$2,0))),
INDEX( 'ETPT Format DDG'!$A:$ZZ,,MATCH("Fonction agrégat",'ETPT Format DDG'!2:2,0)),"M-PLAC-ADD",
INDEX( 'ETPT Format DDG'!$A:$ZZ,,MATCH("Juridiction",'ETPT Format DDG'!2:2,0)),$A$3)</f>
      </c>
      <c r="J31" s="73">
        <f>SUMIFS(
INDEX('ETPT Format DDG'!$A:$ZZ,,IFERROR(MATCH(E31,'ETPT Format DDG'!$2:$2,0),MATCH(C31,'ETPT Format DDG'!$2:$2,0))),
INDEX( 'ETPT Format DDG'!$A:$ZZ,,MATCH("Fonction agrégat",'ETPT Format DDG'!2:2,0)),"M-PLAC-SUB",
INDEX( 'ETPT Format DDG'!$A:$ZZ,,MATCH("Juridiction",'ETPT Format DDG'!2:2,0)),$A$3)</f>
      </c>
      <c r="K31" s="73">
        <f>SUMIFS(
INDEX('ETPT Format DDG'!$A:$ZZ,,IFERROR(MATCH(E31,'ETPT Format DDG'!$2:$2,0),MATCH(C31,'ETPT Format DDG'!$2:$2,0))),
INDEX( 'ETPT Format DDG'!$A:$ZZ,,MATCH("Fonction agrégat",'ETPT Format DDG'!2:2,0)),"M-CONT",
INDEX( 'ETPT Format DDG'!$A:$ZZ,,MATCH("Juridiction",'ETPT Format DDG'!2:2,0)),$A$3,
INDEX( 'ETPT Format DDG'!$A:$ZZ,,MATCH("Catégorie",'ETPT Format DDG'!2:2,0)),"Magistrat")</f>
      </c>
      <c r="L31" s="71">
        <f>SUMIFS(
INDEX('ETPT Format DDG'!$A:$ZZ,,IFERROR(MATCH(E31,'ETPT Format DDG'!$2:$2,0),MATCH(C31,'ETPT Format DDG'!$2:$2,0))),
INDEX( 'ETPT Format DDG'!$A:$ZZ,,MATCH("Juridiction",'ETPT Format DDG'!2:2,0)),$A$3,
INDEX( 'ETPT Format DDG'!$A:$ZZ,,MATCH("Catégorie",'ETPT Format DDG'!2:2,0)),"Magistrat")</f>
      </c>
      <c r="M31" s="74">
        <f>IF(AND(OR(LEFT(C31,3)="12.",LEFT(E31,3)="12.",LEFT(E31,5)="CET &gt;", IFERROR(L31/$L$6,"")=0),NOT(AND(LEFT(E31,4)="12.8",IFERROR(G31/$G$6,"")&lt;&gt;0)),NOT(AND(LEFT(E31,5)="12.31",IFERROR(L31/$G$6,"")&lt;&gt;0)),NOT(AND(LEFT(E31,5)="12.32",IFERROR(L31/$G$6,"")&lt;&gt;0))),"", IFERROR(L31/$L$6,""))</f>
      </c>
      <c r="N31" s="73">
        <f>SUMIFS(
INDEX('ETPT Format DDG'!$A:$ZZ,,IFERROR(MATCH(E31,'ETPT Format DDG'!$2:$2,0),MATCH(C31,'ETPT Format DDG'!$2:$2,0))),
INDEX( 'ETPT Format DDG'!$A:$ZZ,,MATCH("Fonction agrégat",'ETPT Format DDG'!2:2,0)),"F-TIT",
INDEX( 'ETPT Format DDG'!$A:$ZZ,,MATCH("Juridiction",'ETPT Format DDG'!2:2,0)),$A$3)</f>
      </c>
      <c r="O31" s="72">
        <f>IF(AND(OR(LEFT(C31,3)="12.",LEFT(E31,3)="12.",LEFT(E31,5)="CET &gt;",IFERROR(N31/$N$6,"")=0),NOT(AND(LEFT(E31,4)="12.8",IFERROR(G31/$G$6,"")&lt;&gt;0)),NOT(AND(LEFT(E31,5)="12.31",IFERROR(N31/$G$6,"")&lt;&gt;0)),NOT(AND(LEFT(E31,5)="12.32",IFERROR(N31/$G$6,"")&lt;&gt;0))),"",IFERROR(N31/$N$6,""))</f>
      </c>
      <c r="P31" s="73">
        <f>SUMIFS(
INDEX('ETPT Format DDG'!$A:$FB,,IFERROR(MATCH(E31,'ETPT Format DDG'!$2:$2,0),MATCH(C31,'ETPT Format DDG'!$2:$2,0))),
INDEX( 'ETPT Format DDG'!$A:$ZZ,,MATCH("Fonction agrégat",'ETPT Format DDG'!2:2,0)),"F-PLAC-ADD",
INDEX( 'ETPT Format DDG'!$A:$ZZ,,MATCH("Juridiction",'ETPT Format DDG'!2:2,0)),$A$3)</f>
      </c>
      <c r="Q31" s="73">
        <f>SUMIFS(
INDEX('ETPT Format DDG'!$A:$FB,,IFERROR(MATCH(E31,'ETPT Format DDG'!$2:$2,0),MATCH(C31,'ETPT Format DDG'!$2:$2,0))),
INDEX( 'ETPT Format DDG'!$A:$ZZ,,MATCH("Fonction agrégat",'ETPT Format DDG'!2:2,0)),"F-PLAC-SUB",
INDEX( 'ETPT Format DDG'!$A:$ZZ,,MATCH("Juridiction",'ETPT Format DDG'!2:2,0)),$A$3)</f>
      </c>
      <c r="R31" s="73">
        <f>SUMIFS(
INDEX('ETPT Format DDG'!$A:$FB,,IFERROR(MATCH(E31,'ETPT Format DDG'!$2:$2,0),MATCH(C31,'ETPT Format DDG'!$2:$2,0))),
INDEX( 'ETPT Format DDG'!$A:$ZZ,,MATCH("Fonction agrégat",'ETPT Format DDG'!2:2,0)),"C",
'ETPT Format DDG'!$H:$H,"Greffe",
INDEX( 'ETPT Format DDG'!$A:$ZZ,,MATCH("Juridiction",'ETPT Format DDG'!2:2,0)),$A$3)</f>
      </c>
      <c r="S31" s="71">
        <f>SUMIFS(
INDEX('ETPT Format DDG'!$A:$FB,,IFERROR(MATCH(E31,'ETPT Format DDG'!$2:$2,0),MATCH(C31,'ETPT Format DDG'!$2:$2,0))),
INDEX( 'ETPT Format DDG'!$A:$ZZ,,MATCH("Catégorie",'ETPT Format DDG'!2:2,0)),"Greffe",
INDEX( 'ETPT Format DDG'!$A:$ZZ,,MATCH("Juridiction",'ETPT Format DDG'!2:2,0)),$A$3)</f>
      </c>
      <c r="T31" s="72">
        <f>IF(AND(OR(LEFT(C31,3)="12.",LEFT(E31,3)="12.",LEFT(E31,5)="CET &gt;",IFERROR(S31/$S$6,"")=0),NOT(AND(LEFT(E31,4)="12.8",IFERROR(G31/$G$6,"")&lt;&gt;0)),NOT(AND(LEFT(E31,5)="12.31",IFERROR(S31/$G$6,"")&lt;&gt;0)),NOT(AND(LEFT(E31,5)="12.32",IFERROR(S31/$G$6,"")&lt;&gt;0))),"", IFERROR(S31/$S$6,""))</f>
      </c>
      <c r="U31" s="71">
        <f>SUMIFS(
INDEX('ETPT Format DDG'!$A:$FB,,IFERROR(MATCH(E31,'ETPT Format DDG'!$2:$2,0),MATCH(C31,'ETPT Format DDG'!$2:$2,0))),
INDEX( 'ETPT Format DDG'!$A:$ZZ,,MATCH("Fonction agrégat",'ETPT Format DDG'!2:2,0)),"C",
INDEX( 'ETPT Format DDG'!$A:$ZZ,,MATCH("Juridiction",'ETPT Format DDG'!2:2,0)),$A$3,
INDEX( 'ETPT Format DDG'!$A:$ZZ,,MATCH("Catégorie",'ETPT Format DDG'!2:2,0)),"Autour du magistrat")</f>
      </c>
      <c r="V31" s="74">
        <f>IF(AND(OR(LEFT(C31,3)="12.",LEFT(E31,3)="12.",LEFT(E31,5)="CET &gt;",IFERROR(U31/$U$6,"")=0),NOT(AND(LEFT(E31,4)="12.8",IFERROR(G31/$G$6,"")&lt;&gt;0)),NOT(AND(LEFT(E31,5)="12.31",IFERROR(U31/$G$6,"")&lt;&gt;0)),NOT(AND(LEFT(E31,5)="12.32",IFERROR(U31/$G$6,"")&lt;&gt;0))),"", IFERROR(U31/$U$6,""))</f>
      </c>
    </row>
    <row r="32" ht="16" customHeight="1" spans="1:23" x14ac:dyDescent="0.25">
      <c r="A32" s="40"/>
      <c r="C32" s="68" t="s">
        <v>67</v>
      </c>
      <c r="D32" s="68" t="s">
        <v>67</v>
      </c>
      <c r="E32" s="69"/>
      <c r="F32" s="70"/>
      <c r="G32" s="71">
        <f>SUMIFS(
INDEX('ETPT Format DDG'!$A:$ZZ,,IFERROR(MATCH(E32,'ETPT Format DDG'!$2:$2,0),MATCH(C32,'ETPT Format DDG'!$2:$2,0))),
INDEX( 'ETPT Format DDG'!$A:$ZZ,,MATCH("Fonction agrégat",'ETPT Format DDG'!2:2,0)),"M-TIT",
INDEX( 'ETPT Format DDG'!$A:$ZZ,,MATCH("Juridiction",'ETPT Format DDG'!2:2,0)),$A$3)</f>
      </c>
      <c r="H32" s="72">
        <f>IF(AND(OR(LEFT(C32,3)="12.",LEFT(E32,3)="12.",LEFT(E32,5)="CET &gt;",IFERROR(G32/$G$6,"")=0),NOT(AND(LEFT(E32,4)="12.8",IFERROR(G32/$G$6,"")&lt;&gt;0)),NOT(AND(LEFT(E32,5)="12.31",IFERROR(G32/$G$6,"")&lt;&gt;0)),NOT(AND(LEFT(E32,5)="12.32",IFERROR(G32/$G$6,"")&lt;&gt;0))),"", IFERROR(G32/$G$6,""))</f>
      </c>
      <c r="I32" s="73">
        <f>SUMIFS(
INDEX('ETPT Format DDG'!$A:$ZZ,,IFERROR(MATCH(E32,'ETPT Format DDG'!$2:$2,0),MATCH(C32,'ETPT Format DDG'!$2:$2,0))),
INDEX( 'ETPT Format DDG'!$A:$ZZ,,MATCH("Fonction agrégat",'ETPT Format DDG'!2:2,0)),"M-PLAC-ADD",
INDEX( 'ETPT Format DDG'!$A:$ZZ,,MATCH("Juridiction",'ETPT Format DDG'!2:2,0)),$A$3)</f>
      </c>
      <c r="J32" s="73">
        <f>SUMIFS(
INDEX('ETPT Format DDG'!$A:$ZZ,,IFERROR(MATCH(E32,'ETPT Format DDG'!$2:$2,0),MATCH(C32,'ETPT Format DDG'!$2:$2,0))),
INDEX( 'ETPT Format DDG'!$A:$ZZ,,MATCH("Fonction agrégat",'ETPT Format DDG'!2:2,0)),"M-PLAC-SUB",
INDEX( 'ETPT Format DDG'!$A:$ZZ,,MATCH("Juridiction",'ETPT Format DDG'!2:2,0)),$A$3)</f>
      </c>
      <c r="K32" s="73">
        <f>SUMIFS(
INDEX('ETPT Format DDG'!$A:$ZZ,,IFERROR(MATCH(E32,'ETPT Format DDG'!$2:$2,0),MATCH(C32,'ETPT Format DDG'!$2:$2,0))),
INDEX( 'ETPT Format DDG'!$A:$ZZ,,MATCH("Fonction agrégat",'ETPT Format DDG'!2:2,0)),"M-CONT",
INDEX( 'ETPT Format DDG'!$A:$ZZ,,MATCH("Juridiction",'ETPT Format DDG'!2:2,0)),$A$3,
INDEX( 'ETPT Format DDG'!$A:$ZZ,,MATCH("Catégorie",'ETPT Format DDG'!2:2,0)),"Magistrat")</f>
      </c>
      <c r="L32" s="71">
        <f>SUMIFS(
INDEX('ETPT Format DDG'!$A:$ZZ,,IFERROR(MATCH(E32,'ETPT Format DDG'!$2:$2,0),MATCH(C32,'ETPT Format DDG'!$2:$2,0))),
INDEX( 'ETPT Format DDG'!$A:$ZZ,,MATCH("Juridiction",'ETPT Format DDG'!2:2,0)),$A$3,
INDEX( 'ETPT Format DDG'!$A:$ZZ,,MATCH("Catégorie",'ETPT Format DDG'!2:2,0)),"Magistrat")</f>
      </c>
      <c r="M32" s="74">
        <f>IF(AND(OR(LEFT(C32,3)="12.",LEFT(E32,3)="12.",LEFT(E32,5)="CET &gt;", IFERROR(L32/$L$6,"")=0),NOT(AND(LEFT(E32,4)="12.8",IFERROR(G32/$G$6,"")&lt;&gt;0)),NOT(AND(LEFT(E32,5)="12.31",IFERROR(L32/$G$6,"")&lt;&gt;0)),NOT(AND(LEFT(E32,5)="12.32",IFERROR(L32/$G$6,"")&lt;&gt;0))),"", IFERROR(L32/$L$6,""))</f>
      </c>
      <c r="N32" s="73">
        <f>SUMIFS(
INDEX('ETPT Format DDG'!$A:$ZZ,,IFERROR(MATCH(E32,'ETPT Format DDG'!$2:$2,0),MATCH(C32,'ETPT Format DDG'!$2:$2,0))),
INDEX( 'ETPT Format DDG'!$A:$ZZ,,MATCH("Fonction agrégat",'ETPT Format DDG'!2:2,0)),"F-TIT",
INDEX( 'ETPT Format DDG'!$A:$ZZ,,MATCH("Juridiction",'ETPT Format DDG'!2:2,0)),$A$3)</f>
      </c>
      <c r="O32" s="72">
        <f>IF(AND(OR(LEFT(C32,3)="12.",LEFT(E32,3)="12.",LEFT(E32,5)="CET &gt;",IFERROR(N32/$N$6,"")=0),NOT(AND(LEFT(E32,4)="12.8",IFERROR(G32/$G$6,"")&lt;&gt;0)),NOT(AND(LEFT(E32,5)="12.31",IFERROR(N32/$G$6,"")&lt;&gt;0)),NOT(AND(LEFT(E32,5)="12.32",IFERROR(N32/$G$6,"")&lt;&gt;0))),"",IFERROR(N32/$N$6,""))</f>
      </c>
      <c r="P32" s="73">
        <f>SUMIFS(
INDEX('ETPT Format DDG'!$A:$FB,,IFERROR(MATCH(E32,'ETPT Format DDG'!$2:$2,0),MATCH(C32,'ETPT Format DDG'!$2:$2,0))),
INDEX( 'ETPT Format DDG'!$A:$ZZ,,MATCH("Fonction agrégat",'ETPT Format DDG'!2:2,0)),"F-PLAC-ADD",
INDEX( 'ETPT Format DDG'!$A:$ZZ,,MATCH("Juridiction",'ETPT Format DDG'!2:2,0)),$A$3)</f>
      </c>
      <c r="Q32" s="73">
        <f>SUMIFS(
INDEX('ETPT Format DDG'!$A:$FB,,IFERROR(MATCH(E32,'ETPT Format DDG'!$2:$2,0),MATCH(C32,'ETPT Format DDG'!$2:$2,0))),
INDEX( 'ETPT Format DDG'!$A:$ZZ,,MATCH("Fonction agrégat",'ETPT Format DDG'!2:2,0)),"F-PLAC-SUB",
INDEX( 'ETPT Format DDG'!$A:$ZZ,,MATCH("Juridiction",'ETPT Format DDG'!2:2,0)),$A$3)</f>
      </c>
      <c r="R32" s="73">
        <f>SUMIFS(
INDEX('ETPT Format DDG'!$A:$FB,,IFERROR(MATCH(E32,'ETPT Format DDG'!$2:$2,0),MATCH(C32,'ETPT Format DDG'!$2:$2,0))),
INDEX( 'ETPT Format DDG'!$A:$ZZ,,MATCH("Fonction agrégat",'ETPT Format DDG'!2:2,0)),"C",
'ETPT Format DDG'!$H:$H,"Greffe",
INDEX( 'ETPT Format DDG'!$A:$ZZ,,MATCH("Juridiction",'ETPT Format DDG'!2:2,0)),$A$3)</f>
      </c>
      <c r="S32" s="71">
        <f>SUMIFS(
INDEX('ETPT Format DDG'!$A:$FB,,IFERROR(MATCH(E32,'ETPT Format DDG'!$2:$2,0),MATCH(C32,'ETPT Format DDG'!$2:$2,0))),
INDEX( 'ETPT Format DDG'!$A:$ZZ,,MATCH("Catégorie",'ETPT Format DDG'!2:2,0)),"Greffe",
INDEX( 'ETPT Format DDG'!$A:$ZZ,,MATCH("Juridiction",'ETPT Format DDG'!2:2,0)),$A$3)</f>
      </c>
      <c r="T32" s="72">
        <f>IF(AND(OR(LEFT(C32,3)="12.",LEFT(E32,3)="12.",LEFT(E32,5)="CET &gt;",IFERROR(S32/$S$6,"")=0),NOT(AND(LEFT(E32,4)="12.8",IFERROR(G32/$G$6,"")&lt;&gt;0)),NOT(AND(LEFT(E32,5)="12.31",IFERROR(S32/$G$6,"")&lt;&gt;0)),NOT(AND(LEFT(E32,5)="12.32",IFERROR(S32/$G$6,"")&lt;&gt;0))),"", IFERROR(S32/$S$6,""))</f>
      </c>
      <c r="U32" s="71">
        <f>SUMIFS(
INDEX('ETPT Format DDG'!$A:$FB,,IFERROR(MATCH(E32,'ETPT Format DDG'!$2:$2,0),MATCH(C32,'ETPT Format DDG'!$2:$2,0))),
INDEX( 'ETPT Format DDG'!$A:$ZZ,,MATCH("Fonction agrégat",'ETPT Format DDG'!2:2,0)),"C",
INDEX( 'ETPT Format DDG'!$A:$ZZ,,MATCH("Juridiction",'ETPT Format DDG'!2:2,0)),$A$3,
INDEX( 'ETPT Format DDG'!$A:$ZZ,,MATCH("Catégorie",'ETPT Format DDG'!2:2,0)),"Autour du magistrat")</f>
      </c>
      <c r="V32" s="74">
        <f>IF(AND(OR(LEFT(C32,3)="12.",LEFT(E32,3)="12.",LEFT(E32,5)="CET &gt;",IFERROR(U32/$U$6,"")=0),NOT(AND(LEFT(E32,4)="12.8",IFERROR(G32/$G$6,"")&lt;&gt;0)),NOT(AND(LEFT(E32,5)="12.31",IFERROR(U32/$G$6,"")&lt;&gt;0)),NOT(AND(LEFT(E32,5)="12.32",IFERROR(U32/$G$6,"")&lt;&gt;0))),"", IFERROR(U32/$U$6,""))</f>
      </c>
    </row>
    <row r="33" ht="16" customHeight="1" spans="1:23" x14ac:dyDescent="0.25">
      <c r="A33" s="40"/>
      <c r="C33" s="68"/>
      <c r="D33" s="68"/>
      <c r="E33" s="69" t="s">
        <v>68</v>
      </c>
      <c r="F33" s="70" t="s">
        <v>68</v>
      </c>
      <c r="G33" s="71">
        <f>SUMIFS(
INDEX('ETPT Format DDG'!$A:$ZZ,,IFERROR(MATCH(E33,'ETPT Format DDG'!$2:$2,0),MATCH(C33,'ETPT Format DDG'!$2:$2,0))),
INDEX( 'ETPT Format DDG'!$A:$ZZ,,MATCH("Fonction agrégat",'ETPT Format DDG'!2:2,0)),"M-TIT",
INDEX( 'ETPT Format DDG'!$A:$ZZ,,MATCH("Juridiction",'ETPT Format DDG'!2:2,0)),$A$3)</f>
      </c>
      <c r="H33" s="72">
        <f>IF(AND(OR(LEFT(C33,3)="12.",LEFT(E33,3)="12.",LEFT(E33,5)="CET &gt;",IFERROR(G33/$G$6,"")=0),NOT(AND(LEFT(E33,4)="12.8",IFERROR(G33/$G$6,"")&lt;&gt;0)),NOT(AND(LEFT(E33,5)="12.31",IFERROR(G33/$G$6,"")&lt;&gt;0)),NOT(AND(LEFT(E33,5)="12.32",IFERROR(G33/$G$6,"")&lt;&gt;0))),"", IFERROR(G33/$G$6,""))</f>
      </c>
      <c r="I33" s="73">
        <f>SUMIFS(
INDEX('ETPT Format DDG'!$A:$ZZ,,IFERROR(MATCH(E33,'ETPT Format DDG'!$2:$2,0),MATCH(C33,'ETPT Format DDG'!$2:$2,0))),
INDEX( 'ETPT Format DDG'!$A:$ZZ,,MATCH("Fonction agrégat",'ETPT Format DDG'!2:2,0)),"M-PLAC-ADD",
INDEX( 'ETPT Format DDG'!$A:$ZZ,,MATCH("Juridiction",'ETPT Format DDG'!2:2,0)),$A$3)</f>
      </c>
      <c r="J33" s="73">
        <f>SUMIFS(
INDEX('ETPT Format DDG'!$A:$ZZ,,IFERROR(MATCH(E33,'ETPT Format DDG'!$2:$2,0),MATCH(C33,'ETPT Format DDG'!$2:$2,0))),
INDEX( 'ETPT Format DDG'!$A:$ZZ,,MATCH("Fonction agrégat",'ETPT Format DDG'!2:2,0)),"M-PLAC-SUB",
INDEX( 'ETPT Format DDG'!$A:$ZZ,,MATCH("Juridiction",'ETPT Format DDG'!2:2,0)),$A$3)</f>
      </c>
      <c r="K33" s="73">
        <f>SUMIFS(
INDEX('ETPT Format DDG'!$A:$ZZ,,IFERROR(MATCH(E33,'ETPT Format DDG'!$2:$2,0),MATCH(C33,'ETPT Format DDG'!$2:$2,0))),
INDEX( 'ETPT Format DDG'!$A:$ZZ,,MATCH("Fonction agrégat",'ETPT Format DDG'!2:2,0)),"M-CONT",
INDEX( 'ETPT Format DDG'!$A:$ZZ,,MATCH("Juridiction",'ETPT Format DDG'!2:2,0)),$A$3,
INDEX( 'ETPT Format DDG'!$A:$ZZ,,MATCH("Catégorie",'ETPT Format DDG'!2:2,0)),"Magistrat")</f>
      </c>
      <c r="L33" s="71">
        <f>SUMIFS(
INDEX('ETPT Format DDG'!$A:$ZZ,,IFERROR(MATCH(E33,'ETPT Format DDG'!$2:$2,0),MATCH(C33,'ETPT Format DDG'!$2:$2,0))),
INDEX( 'ETPT Format DDG'!$A:$ZZ,,MATCH("Juridiction",'ETPT Format DDG'!2:2,0)),$A$3,
INDEX( 'ETPT Format DDG'!$A:$ZZ,,MATCH("Catégorie",'ETPT Format DDG'!2:2,0)),"Magistrat")</f>
      </c>
      <c r="M33" s="74">
        <f>IF(AND(OR(LEFT(C33,3)="12.",LEFT(E33,3)="12.",LEFT(E33,5)="CET &gt;", IFERROR(L33/$L$6,"")=0),NOT(AND(LEFT(E33,4)="12.8",IFERROR(G33/$G$6,"")&lt;&gt;0)),NOT(AND(LEFT(E33,5)="12.31",IFERROR(L33/$G$6,"")&lt;&gt;0)),NOT(AND(LEFT(E33,5)="12.32",IFERROR(L33/$G$6,"")&lt;&gt;0))),"", IFERROR(L33/$L$6,""))</f>
      </c>
      <c r="N33" s="73">
        <f>SUMIFS(
INDEX('ETPT Format DDG'!$A:$ZZ,,IFERROR(MATCH(E33,'ETPT Format DDG'!$2:$2,0),MATCH(C33,'ETPT Format DDG'!$2:$2,0))),
INDEX( 'ETPT Format DDG'!$A:$ZZ,,MATCH("Fonction agrégat",'ETPT Format DDG'!2:2,0)),"F-TIT",
INDEX( 'ETPT Format DDG'!$A:$ZZ,,MATCH("Juridiction",'ETPT Format DDG'!2:2,0)),$A$3)</f>
      </c>
      <c r="O33" s="72">
        <f>IF(AND(OR(LEFT(C33,3)="12.",LEFT(E33,3)="12.",LEFT(E33,5)="CET &gt;",IFERROR(N33/$N$6,"")=0),NOT(AND(LEFT(E33,4)="12.8",IFERROR(G33/$G$6,"")&lt;&gt;0)),NOT(AND(LEFT(E33,5)="12.31",IFERROR(N33/$G$6,"")&lt;&gt;0)),NOT(AND(LEFT(E33,5)="12.32",IFERROR(N33/$G$6,"")&lt;&gt;0))),"",IFERROR(N33/$N$6,""))</f>
      </c>
      <c r="P33" s="73">
        <f>SUMIFS(
INDEX('ETPT Format DDG'!$A:$FB,,IFERROR(MATCH(E33,'ETPT Format DDG'!$2:$2,0),MATCH(C33,'ETPT Format DDG'!$2:$2,0))),
INDEX( 'ETPT Format DDG'!$A:$ZZ,,MATCH("Fonction agrégat",'ETPT Format DDG'!2:2,0)),"F-PLAC-ADD",
INDEX( 'ETPT Format DDG'!$A:$ZZ,,MATCH("Juridiction",'ETPT Format DDG'!2:2,0)),$A$3)</f>
      </c>
      <c r="Q33" s="73">
        <f>SUMIFS(
INDEX('ETPT Format DDG'!$A:$FB,,IFERROR(MATCH(E33,'ETPT Format DDG'!$2:$2,0),MATCH(C33,'ETPT Format DDG'!$2:$2,0))),
INDEX( 'ETPT Format DDG'!$A:$ZZ,,MATCH("Fonction agrégat",'ETPT Format DDG'!2:2,0)),"F-PLAC-SUB",
INDEX( 'ETPT Format DDG'!$A:$ZZ,,MATCH("Juridiction",'ETPT Format DDG'!2:2,0)),$A$3)</f>
      </c>
      <c r="R33" s="73">
        <f>SUMIFS(
INDEX('ETPT Format DDG'!$A:$FB,,IFERROR(MATCH(E33,'ETPT Format DDG'!$2:$2,0),MATCH(C33,'ETPT Format DDG'!$2:$2,0))),
INDEX( 'ETPT Format DDG'!$A:$ZZ,,MATCH("Fonction agrégat",'ETPT Format DDG'!2:2,0)),"C",
'ETPT Format DDG'!$H:$H,"Greffe",
INDEX( 'ETPT Format DDG'!$A:$ZZ,,MATCH("Juridiction",'ETPT Format DDG'!2:2,0)),$A$3)</f>
      </c>
      <c r="S33" s="71">
        <f>SUMIFS(
INDEX('ETPT Format DDG'!$A:$FB,,IFERROR(MATCH(E33,'ETPT Format DDG'!$2:$2,0),MATCH(C33,'ETPT Format DDG'!$2:$2,0))),
INDEX( 'ETPT Format DDG'!$A:$ZZ,,MATCH("Catégorie",'ETPT Format DDG'!2:2,0)),"Greffe",
INDEX( 'ETPT Format DDG'!$A:$ZZ,,MATCH("Juridiction",'ETPT Format DDG'!2:2,0)),$A$3)</f>
      </c>
      <c r="T33" s="72">
        <f>IF(AND(OR(LEFT(C33,3)="12.",LEFT(E33,3)="12.",LEFT(E33,5)="CET &gt;",IFERROR(S33/$S$6,"")=0),NOT(AND(LEFT(E33,4)="12.8",IFERROR(G33/$G$6,"")&lt;&gt;0)),NOT(AND(LEFT(E33,5)="12.31",IFERROR(S33/$G$6,"")&lt;&gt;0)),NOT(AND(LEFT(E33,5)="12.32",IFERROR(S33/$G$6,"")&lt;&gt;0))),"", IFERROR(S33/$S$6,""))</f>
      </c>
      <c r="U33" s="71">
        <f>SUMIFS(
INDEX('ETPT Format DDG'!$A:$FB,,IFERROR(MATCH(E33,'ETPT Format DDG'!$2:$2,0),MATCH(C33,'ETPT Format DDG'!$2:$2,0))),
INDEX( 'ETPT Format DDG'!$A:$ZZ,,MATCH("Fonction agrégat",'ETPT Format DDG'!2:2,0)),"C",
INDEX( 'ETPT Format DDG'!$A:$ZZ,,MATCH("Juridiction",'ETPT Format DDG'!2:2,0)),$A$3,
INDEX( 'ETPT Format DDG'!$A:$ZZ,,MATCH("Catégorie",'ETPT Format DDG'!2:2,0)),"Autour du magistrat")</f>
      </c>
      <c r="V33" s="74">
        <f>IF(AND(OR(LEFT(C33,3)="12.",LEFT(E33,3)="12.",LEFT(E33,5)="CET &gt;",IFERROR(U33/$U$6,"")=0),NOT(AND(LEFT(E33,4)="12.8",IFERROR(G33/$G$6,"")&lt;&gt;0)),NOT(AND(LEFT(E33,5)="12.31",IFERROR(U33/$G$6,"")&lt;&gt;0)),NOT(AND(LEFT(E33,5)="12.32",IFERROR(U33/$G$6,"")&lt;&gt;0))),"", IFERROR(U33/$U$6,""))</f>
      </c>
    </row>
    <row r="34" ht="16" customHeight="1" spans="1:23" x14ac:dyDescent="0.25">
      <c r="A34" s="40"/>
      <c r="C34" s="68"/>
      <c r="D34" s="68"/>
      <c r="E34" s="69" t="s">
        <v>69</v>
      </c>
      <c r="F34" s="70" t="s">
        <v>69</v>
      </c>
      <c r="G34" s="71">
        <f>SUMIFS(
INDEX('ETPT Format DDG'!$A:$ZZ,,IFERROR(MATCH(E34,'ETPT Format DDG'!$2:$2,0),MATCH(C34,'ETPT Format DDG'!$2:$2,0))),
INDEX( 'ETPT Format DDG'!$A:$ZZ,,MATCH("Fonction agrégat",'ETPT Format DDG'!2:2,0)),"M-TIT",
INDEX( 'ETPT Format DDG'!$A:$ZZ,,MATCH("Juridiction",'ETPT Format DDG'!2:2,0)),$A$3)</f>
      </c>
      <c r="H34" s="72">
        <f>IF(AND(OR(LEFT(C34,3)="12.",LEFT(E34,3)="12.",LEFT(E34,5)="CET &gt;",IFERROR(G34/$G$6,"")=0),NOT(AND(LEFT(E34,4)="12.8",IFERROR(G34/$G$6,"")&lt;&gt;0)),NOT(AND(LEFT(E34,5)="12.31",IFERROR(G34/$G$6,"")&lt;&gt;0)),NOT(AND(LEFT(E34,5)="12.32",IFERROR(G34/$G$6,"")&lt;&gt;0))),"", IFERROR(G34/$G$6,""))</f>
      </c>
      <c r="I34" s="73">
        <f>SUMIFS(
INDEX('ETPT Format DDG'!$A:$ZZ,,IFERROR(MATCH(E34,'ETPT Format DDG'!$2:$2,0),MATCH(C34,'ETPT Format DDG'!$2:$2,0))),
INDEX( 'ETPT Format DDG'!$A:$ZZ,,MATCH("Fonction agrégat",'ETPT Format DDG'!2:2,0)),"M-PLAC-ADD",
INDEX( 'ETPT Format DDG'!$A:$ZZ,,MATCH("Juridiction",'ETPT Format DDG'!2:2,0)),$A$3)</f>
      </c>
      <c r="J34" s="73">
        <f>SUMIFS(
INDEX('ETPT Format DDG'!$A:$ZZ,,IFERROR(MATCH(E34,'ETPT Format DDG'!$2:$2,0),MATCH(C34,'ETPT Format DDG'!$2:$2,0))),
INDEX( 'ETPT Format DDG'!$A:$ZZ,,MATCH("Fonction agrégat",'ETPT Format DDG'!2:2,0)),"M-PLAC-SUB",
INDEX( 'ETPT Format DDG'!$A:$ZZ,,MATCH("Juridiction",'ETPT Format DDG'!2:2,0)),$A$3)</f>
      </c>
      <c r="K34" s="73">
        <f>SUMIFS(
INDEX('ETPT Format DDG'!$A:$ZZ,,IFERROR(MATCH(E34,'ETPT Format DDG'!$2:$2,0),MATCH(C34,'ETPT Format DDG'!$2:$2,0))),
INDEX( 'ETPT Format DDG'!$A:$ZZ,,MATCH("Fonction agrégat",'ETPT Format DDG'!2:2,0)),"M-CONT",
INDEX( 'ETPT Format DDG'!$A:$ZZ,,MATCH("Juridiction",'ETPT Format DDG'!2:2,0)),$A$3,
INDEX( 'ETPT Format DDG'!$A:$ZZ,,MATCH("Catégorie",'ETPT Format DDG'!2:2,0)),"Magistrat")</f>
      </c>
      <c r="L34" s="71">
        <f>SUMIFS(
INDEX('ETPT Format DDG'!$A:$ZZ,,IFERROR(MATCH(E34,'ETPT Format DDG'!$2:$2,0),MATCH(C34,'ETPT Format DDG'!$2:$2,0))),
INDEX( 'ETPT Format DDG'!$A:$ZZ,,MATCH("Juridiction",'ETPT Format DDG'!2:2,0)),$A$3,
INDEX( 'ETPT Format DDG'!$A:$ZZ,,MATCH("Catégorie",'ETPT Format DDG'!2:2,0)),"Magistrat")</f>
      </c>
      <c r="M34" s="74">
        <f>IF(AND(OR(LEFT(C34,3)="12.",LEFT(E34,3)="12.",LEFT(E34,5)="CET &gt;", IFERROR(L34/$L$6,"")=0),NOT(AND(LEFT(E34,4)="12.8",IFERROR(G34/$G$6,"")&lt;&gt;0)),NOT(AND(LEFT(E34,5)="12.31",IFERROR(L34/$G$6,"")&lt;&gt;0)),NOT(AND(LEFT(E34,5)="12.32",IFERROR(L34/$G$6,"")&lt;&gt;0))),"", IFERROR(L34/$L$6,""))</f>
      </c>
      <c r="N34" s="73">
        <f>SUMIFS(
INDEX('ETPT Format DDG'!$A:$ZZ,,IFERROR(MATCH(E34,'ETPT Format DDG'!$2:$2,0),MATCH(C34,'ETPT Format DDG'!$2:$2,0))),
INDEX( 'ETPT Format DDG'!$A:$ZZ,,MATCH("Fonction agrégat",'ETPT Format DDG'!2:2,0)),"F-TIT",
INDEX( 'ETPT Format DDG'!$A:$ZZ,,MATCH("Juridiction",'ETPT Format DDG'!2:2,0)),$A$3)</f>
      </c>
      <c r="O34" s="72">
        <f>IF(AND(OR(LEFT(C34,3)="12.",LEFT(E34,3)="12.",LEFT(E34,5)="CET &gt;",IFERROR(N34/$N$6,"")=0),NOT(AND(LEFT(E34,4)="12.8",IFERROR(G34/$G$6,"")&lt;&gt;0)),NOT(AND(LEFT(E34,5)="12.31",IFERROR(N34/$G$6,"")&lt;&gt;0)),NOT(AND(LEFT(E34,5)="12.32",IFERROR(N34/$G$6,"")&lt;&gt;0))),"",IFERROR(N34/$N$6,""))</f>
      </c>
      <c r="P34" s="73">
        <f>SUMIFS(
INDEX('ETPT Format DDG'!$A:$FB,,IFERROR(MATCH(E34,'ETPT Format DDG'!$2:$2,0),MATCH(C34,'ETPT Format DDG'!$2:$2,0))),
INDEX( 'ETPT Format DDG'!$A:$ZZ,,MATCH("Fonction agrégat",'ETPT Format DDG'!2:2,0)),"F-PLAC-ADD",
INDEX( 'ETPT Format DDG'!$A:$ZZ,,MATCH("Juridiction",'ETPT Format DDG'!2:2,0)),$A$3)</f>
      </c>
      <c r="Q34" s="73">
        <f>SUMIFS(
INDEX('ETPT Format DDG'!$A:$FB,,IFERROR(MATCH(E34,'ETPT Format DDG'!$2:$2,0),MATCH(C34,'ETPT Format DDG'!$2:$2,0))),
INDEX( 'ETPT Format DDG'!$A:$ZZ,,MATCH("Fonction agrégat",'ETPT Format DDG'!2:2,0)),"F-PLAC-SUB",
INDEX( 'ETPT Format DDG'!$A:$ZZ,,MATCH("Juridiction",'ETPT Format DDG'!2:2,0)),$A$3)</f>
      </c>
      <c r="R34" s="73">
        <f>SUMIFS(
INDEX('ETPT Format DDG'!$A:$FB,,IFERROR(MATCH(E34,'ETPT Format DDG'!$2:$2,0),MATCH(C34,'ETPT Format DDG'!$2:$2,0))),
INDEX( 'ETPT Format DDG'!$A:$ZZ,,MATCH("Fonction agrégat",'ETPT Format DDG'!2:2,0)),"C",
'ETPT Format DDG'!$H:$H,"Greffe",
INDEX( 'ETPT Format DDG'!$A:$ZZ,,MATCH("Juridiction",'ETPT Format DDG'!2:2,0)),$A$3)</f>
      </c>
      <c r="S34" s="71">
        <f>SUMIFS(
INDEX('ETPT Format DDG'!$A:$FB,,IFERROR(MATCH(E34,'ETPT Format DDG'!$2:$2,0),MATCH(C34,'ETPT Format DDG'!$2:$2,0))),
INDEX( 'ETPT Format DDG'!$A:$ZZ,,MATCH("Catégorie",'ETPT Format DDG'!2:2,0)),"Greffe",
INDEX( 'ETPT Format DDG'!$A:$ZZ,,MATCH("Juridiction",'ETPT Format DDG'!2:2,0)),$A$3)</f>
      </c>
      <c r="T34" s="72">
        <f>IF(AND(OR(LEFT(C34,3)="12.",LEFT(E34,3)="12.",LEFT(E34,5)="CET &gt;",IFERROR(S34/$S$6,"")=0),NOT(AND(LEFT(E34,4)="12.8",IFERROR(G34/$G$6,"")&lt;&gt;0)),NOT(AND(LEFT(E34,5)="12.31",IFERROR(S34/$G$6,"")&lt;&gt;0)),NOT(AND(LEFT(E34,5)="12.32",IFERROR(S34/$G$6,"")&lt;&gt;0))),"", IFERROR(S34/$S$6,""))</f>
      </c>
      <c r="U34" s="71">
        <f>SUMIFS(
INDEX('ETPT Format DDG'!$A:$FB,,IFERROR(MATCH(E34,'ETPT Format DDG'!$2:$2,0),MATCH(C34,'ETPT Format DDG'!$2:$2,0))),
INDEX( 'ETPT Format DDG'!$A:$ZZ,,MATCH("Fonction agrégat",'ETPT Format DDG'!2:2,0)),"C",
INDEX( 'ETPT Format DDG'!$A:$ZZ,,MATCH("Juridiction",'ETPT Format DDG'!2:2,0)),$A$3,
INDEX( 'ETPT Format DDG'!$A:$ZZ,,MATCH("Catégorie",'ETPT Format DDG'!2:2,0)),"Autour du magistrat")</f>
      </c>
      <c r="V34" s="74">
        <f>IF(AND(OR(LEFT(C34,3)="12.",LEFT(E34,3)="12.",LEFT(E34,5)="CET &gt;",IFERROR(U34/$U$6,"")=0),NOT(AND(LEFT(E34,4)="12.8",IFERROR(G34/$G$6,"")&lt;&gt;0)),NOT(AND(LEFT(E34,5)="12.31",IFERROR(U34/$G$6,"")&lt;&gt;0)),NOT(AND(LEFT(E34,5)="12.32",IFERROR(U34/$G$6,"")&lt;&gt;0))),"", IFERROR(U34/$U$6,""))</f>
      </c>
    </row>
    <row r="35" ht="16" customHeight="1" spans="1:23" x14ac:dyDescent="0.25">
      <c r="A35" s="40"/>
      <c r="C35" s="68"/>
      <c r="D35" s="68"/>
      <c r="E35" s="69" t="s">
        <v>70</v>
      </c>
      <c r="F35" s="70" t="s">
        <v>70</v>
      </c>
      <c r="G35" s="71">
        <f>SUMIFS(
INDEX('ETPT Format DDG'!$A:$ZZ,,IFERROR(MATCH(E35,'ETPT Format DDG'!$2:$2,0),MATCH(C35,'ETPT Format DDG'!$2:$2,0))),
INDEX( 'ETPT Format DDG'!$A:$ZZ,,MATCH("Fonction agrégat",'ETPT Format DDG'!2:2,0)),"M-TIT",
INDEX( 'ETPT Format DDG'!$A:$ZZ,,MATCH("Juridiction",'ETPT Format DDG'!2:2,0)),$A$3)</f>
      </c>
      <c r="H35" s="72">
        <f>IF(AND(OR(LEFT(C35,3)="12.",LEFT(E35,3)="12.",LEFT(E35,5)="CET &gt;",IFERROR(G35/$G$6,"")=0),NOT(AND(LEFT(E35,4)="12.8",IFERROR(G35/$G$6,"")&lt;&gt;0)),NOT(AND(LEFT(E35,5)="12.31",IFERROR(G35/$G$6,"")&lt;&gt;0)),NOT(AND(LEFT(E35,5)="12.32",IFERROR(G35/$G$6,"")&lt;&gt;0))),"", IFERROR(G35/$G$6,""))</f>
      </c>
      <c r="I35" s="73">
        <f>SUMIFS(
INDEX('ETPT Format DDG'!$A:$ZZ,,IFERROR(MATCH(E35,'ETPT Format DDG'!$2:$2,0),MATCH(C35,'ETPT Format DDG'!$2:$2,0))),
INDEX( 'ETPT Format DDG'!$A:$ZZ,,MATCH("Fonction agrégat",'ETPT Format DDG'!2:2,0)),"M-PLAC-ADD",
INDEX( 'ETPT Format DDG'!$A:$ZZ,,MATCH("Juridiction",'ETPT Format DDG'!2:2,0)),$A$3)</f>
      </c>
      <c r="J35" s="73">
        <f>SUMIFS(
INDEX('ETPT Format DDG'!$A:$ZZ,,IFERROR(MATCH(E35,'ETPT Format DDG'!$2:$2,0),MATCH(C35,'ETPT Format DDG'!$2:$2,0))),
INDEX( 'ETPT Format DDG'!$A:$ZZ,,MATCH("Fonction agrégat",'ETPT Format DDG'!2:2,0)),"M-PLAC-SUB",
INDEX( 'ETPT Format DDG'!$A:$ZZ,,MATCH("Juridiction",'ETPT Format DDG'!2:2,0)),$A$3)</f>
      </c>
      <c r="K35" s="73">
        <f>SUMIFS(
INDEX('ETPT Format DDG'!$A:$ZZ,,IFERROR(MATCH(E35,'ETPT Format DDG'!$2:$2,0),MATCH(C35,'ETPT Format DDG'!$2:$2,0))),
INDEX( 'ETPT Format DDG'!$A:$ZZ,,MATCH("Fonction agrégat",'ETPT Format DDG'!2:2,0)),"M-CONT",
INDEX( 'ETPT Format DDG'!$A:$ZZ,,MATCH("Juridiction",'ETPT Format DDG'!2:2,0)),$A$3,
INDEX( 'ETPT Format DDG'!$A:$ZZ,,MATCH("Catégorie",'ETPT Format DDG'!2:2,0)),"Magistrat")</f>
      </c>
      <c r="L35" s="71">
        <f>SUMIFS(
INDEX('ETPT Format DDG'!$A:$ZZ,,IFERROR(MATCH(E35,'ETPT Format DDG'!$2:$2,0),MATCH(C35,'ETPT Format DDG'!$2:$2,0))),
INDEX( 'ETPT Format DDG'!$A:$ZZ,,MATCH("Juridiction",'ETPT Format DDG'!2:2,0)),$A$3,
INDEX( 'ETPT Format DDG'!$A:$ZZ,,MATCH("Catégorie",'ETPT Format DDG'!2:2,0)),"Magistrat")</f>
      </c>
      <c r="M35" s="74">
        <f>IF(AND(OR(LEFT(C35,3)="12.",LEFT(E35,3)="12.",LEFT(E35,5)="CET &gt;", IFERROR(L35/$L$6,"")=0),NOT(AND(LEFT(E35,4)="12.8",IFERROR(G35/$G$6,"")&lt;&gt;0)),NOT(AND(LEFT(E35,5)="12.31",IFERROR(L35/$G$6,"")&lt;&gt;0)),NOT(AND(LEFT(E35,5)="12.32",IFERROR(L35/$G$6,"")&lt;&gt;0))),"", IFERROR(L35/$L$6,""))</f>
      </c>
      <c r="N35" s="73">
        <f>SUMIFS(
INDEX('ETPT Format DDG'!$A:$ZZ,,IFERROR(MATCH(E35,'ETPT Format DDG'!$2:$2,0),MATCH(C35,'ETPT Format DDG'!$2:$2,0))),
INDEX( 'ETPT Format DDG'!$A:$ZZ,,MATCH("Fonction agrégat",'ETPT Format DDG'!2:2,0)),"F-TIT",
INDEX( 'ETPT Format DDG'!$A:$ZZ,,MATCH("Juridiction",'ETPT Format DDG'!2:2,0)),$A$3)</f>
      </c>
      <c r="O35" s="72">
        <f>IF(AND(OR(LEFT(C35,3)="12.",LEFT(E35,3)="12.",LEFT(E35,5)="CET &gt;",IFERROR(N35/$N$6,"")=0),NOT(AND(LEFT(E35,4)="12.8",IFERROR(G35/$G$6,"")&lt;&gt;0)),NOT(AND(LEFT(E35,5)="12.31",IFERROR(N35/$G$6,"")&lt;&gt;0)),NOT(AND(LEFT(E35,5)="12.32",IFERROR(N35/$G$6,"")&lt;&gt;0))),"",IFERROR(N35/$N$6,""))</f>
      </c>
      <c r="P35" s="73">
        <f>SUMIFS(
INDEX('ETPT Format DDG'!$A:$FB,,IFERROR(MATCH(E35,'ETPT Format DDG'!$2:$2,0),MATCH(C35,'ETPT Format DDG'!$2:$2,0))),
INDEX( 'ETPT Format DDG'!$A:$ZZ,,MATCH("Fonction agrégat",'ETPT Format DDG'!2:2,0)),"F-PLAC-ADD",
INDEX( 'ETPT Format DDG'!$A:$ZZ,,MATCH("Juridiction",'ETPT Format DDG'!2:2,0)),$A$3)</f>
      </c>
      <c r="Q35" s="73">
        <f>SUMIFS(
INDEX('ETPT Format DDG'!$A:$FB,,IFERROR(MATCH(E35,'ETPT Format DDG'!$2:$2,0),MATCH(C35,'ETPT Format DDG'!$2:$2,0))),
INDEX( 'ETPT Format DDG'!$A:$ZZ,,MATCH("Fonction agrégat",'ETPT Format DDG'!2:2,0)),"F-PLAC-SUB",
INDEX( 'ETPT Format DDG'!$A:$ZZ,,MATCH("Juridiction",'ETPT Format DDG'!2:2,0)),$A$3)</f>
      </c>
      <c r="R35" s="73">
        <f>SUMIFS(
INDEX('ETPT Format DDG'!$A:$FB,,IFERROR(MATCH(E35,'ETPT Format DDG'!$2:$2,0),MATCH(C35,'ETPT Format DDG'!$2:$2,0))),
INDEX( 'ETPT Format DDG'!$A:$ZZ,,MATCH("Fonction agrégat",'ETPT Format DDG'!2:2,0)),"C",
'ETPT Format DDG'!$H:$H,"Greffe",
INDEX( 'ETPT Format DDG'!$A:$ZZ,,MATCH("Juridiction",'ETPT Format DDG'!2:2,0)),$A$3)</f>
      </c>
      <c r="S35" s="71">
        <f>SUMIFS(
INDEX('ETPT Format DDG'!$A:$FB,,IFERROR(MATCH(E35,'ETPT Format DDG'!$2:$2,0),MATCH(C35,'ETPT Format DDG'!$2:$2,0))),
INDEX( 'ETPT Format DDG'!$A:$ZZ,,MATCH("Catégorie",'ETPT Format DDG'!2:2,0)),"Greffe",
INDEX( 'ETPT Format DDG'!$A:$ZZ,,MATCH("Juridiction",'ETPT Format DDG'!2:2,0)),$A$3)</f>
      </c>
      <c r="T35" s="72">
        <f>IF(AND(OR(LEFT(C35,3)="12.",LEFT(E35,3)="12.",LEFT(E35,5)="CET &gt;",IFERROR(S35/$S$6,"")=0),NOT(AND(LEFT(E35,4)="12.8",IFERROR(G35/$G$6,"")&lt;&gt;0)),NOT(AND(LEFT(E35,5)="12.31",IFERROR(S35/$G$6,"")&lt;&gt;0)),NOT(AND(LEFT(E35,5)="12.32",IFERROR(S35/$G$6,"")&lt;&gt;0))),"", IFERROR(S35/$S$6,""))</f>
      </c>
      <c r="U35" s="71">
        <f>SUMIFS(
INDEX('ETPT Format DDG'!$A:$FB,,IFERROR(MATCH(E35,'ETPT Format DDG'!$2:$2,0),MATCH(C35,'ETPT Format DDG'!$2:$2,0))),
INDEX( 'ETPT Format DDG'!$A:$ZZ,,MATCH("Fonction agrégat",'ETPT Format DDG'!2:2,0)),"C",
INDEX( 'ETPT Format DDG'!$A:$ZZ,,MATCH("Juridiction",'ETPT Format DDG'!2:2,0)),$A$3,
INDEX( 'ETPT Format DDG'!$A:$ZZ,,MATCH("Catégorie",'ETPT Format DDG'!2:2,0)),"Autour du magistrat")</f>
      </c>
      <c r="V35" s="74">
        <f>IF(AND(OR(LEFT(C35,3)="12.",LEFT(E35,3)="12.",LEFT(E35,5)="CET &gt;",IFERROR(U35/$U$6,"")=0),NOT(AND(LEFT(E35,4)="12.8",IFERROR(G35/$G$6,"")&lt;&gt;0)),NOT(AND(LEFT(E35,5)="12.31",IFERROR(U35/$G$6,"")&lt;&gt;0)),NOT(AND(LEFT(E35,5)="12.32",IFERROR(U35/$G$6,"")&lt;&gt;0))),"", IFERROR(U35/$U$6,""))</f>
      </c>
    </row>
    <row r="36" ht="16" customHeight="1" spans="1:23" x14ac:dyDescent="0.25">
      <c r="A36" s="40"/>
      <c r="C36" s="68"/>
      <c r="D36" s="68"/>
      <c r="E36" s="69" t="s">
        <v>71</v>
      </c>
      <c r="F36" s="70" t="s">
        <v>71</v>
      </c>
      <c r="G36" s="71">
        <f>SUMIFS(
INDEX('ETPT Format DDG'!$A:$ZZ,,IFERROR(MATCH(E36,'ETPT Format DDG'!$2:$2,0),MATCH(C36,'ETPT Format DDG'!$2:$2,0))),
INDEX( 'ETPT Format DDG'!$A:$ZZ,,MATCH("Fonction agrégat",'ETPT Format DDG'!2:2,0)),"M-TIT",
INDEX( 'ETPT Format DDG'!$A:$ZZ,,MATCH("Juridiction",'ETPT Format DDG'!2:2,0)),$A$3)</f>
      </c>
      <c r="H36" s="72">
        <f>IF(AND(OR(LEFT(C36,3)="12.",LEFT(E36,3)="12.",LEFT(E36,5)="CET &gt;",IFERROR(G36/$G$6,"")=0),NOT(AND(LEFT(E36,4)="12.8",IFERROR(G36/$G$6,"")&lt;&gt;0)),NOT(AND(LEFT(E36,5)="12.31",IFERROR(G36/$G$6,"")&lt;&gt;0)),NOT(AND(LEFT(E36,5)="12.32",IFERROR(G36/$G$6,"")&lt;&gt;0))),"", IFERROR(G36/$G$6,""))</f>
      </c>
      <c r="I36" s="73">
        <f>SUMIFS(
INDEX('ETPT Format DDG'!$A:$ZZ,,IFERROR(MATCH(E36,'ETPT Format DDG'!$2:$2,0),MATCH(C36,'ETPT Format DDG'!$2:$2,0))),
INDEX( 'ETPT Format DDG'!$A:$ZZ,,MATCH("Fonction agrégat",'ETPT Format DDG'!2:2,0)),"M-PLAC-ADD",
INDEX( 'ETPT Format DDG'!$A:$ZZ,,MATCH("Juridiction",'ETPT Format DDG'!2:2,0)),$A$3)</f>
      </c>
      <c r="J36" s="73">
        <f>SUMIFS(
INDEX('ETPT Format DDG'!$A:$ZZ,,IFERROR(MATCH(E36,'ETPT Format DDG'!$2:$2,0),MATCH(C36,'ETPT Format DDG'!$2:$2,0))),
INDEX( 'ETPT Format DDG'!$A:$ZZ,,MATCH("Fonction agrégat",'ETPT Format DDG'!2:2,0)),"M-PLAC-SUB",
INDEX( 'ETPT Format DDG'!$A:$ZZ,,MATCH("Juridiction",'ETPT Format DDG'!2:2,0)),$A$3)</f>
      </c>
      <c r="K36" s="73">
        <f>SUMIFS(
INDEX('ETPT Format DDG'!$A:$ZZ,,IFERROR(MATCH(E36,'ETPT Format DDG'!$2:$2,0),MATCH(C36,'ETPT Format DDG'!$2:$2,0))),
INDEX( 'ETPT Format DDG'!$A:$ZZ,,MATCH("Fonction agrégat",'ETPT Format DDG'!2:2,0)),"M-CONT",
INDEX( 'ETPT Format DDG'!$A:$ZZ,,MATCH("Juridiction",'ETPT Format DDG'!2:2,0)),$A$3,
INDEX( 'ETPT Format DDG'!$A:$ZZ,,MATCH("Catégorie",'ETPT Format DDG'!2:2,0)),"Magistrat")</f>
      </c>
      <c r="L36" s="71">
        <f>SUMIFS(
INDEX('ETPT Format DDG'!$A:$ZZ,,IFERROR(MATCH(E36,'ETPT Format DDG'!$2:$2,0),MATCH(C36,'ETPT Format DDG'!$2:$2,0))),
INDEX( 'ETPT Format DDG'!$A:$ZZ,,MATCH("Juridiction",'ETPT Format DDG'!2:2,0)),$A$3,
INDEX( 'ETPT Format DDG'!$A:$ZZ,,MATCH("Catégorie",'ETPT Format DDG'!2:2,0)),"Magistrat")</f>
      </c>
      <c r="M36" s="74">
        <f>IF(AND(OR(LEFT(C36,3)="12.",LEFT(E36,3)="12.",LEFT(E36,5)="CET &gt;", IFERROR(L36/$L$6,"")=0),NOT(AND(LEFT(E36,4)="12.8",IFERROR(G36/$G$6,"")&lt;&gt;0)),NOT(AND(LEFT(E36,5)="12.31",IFERROR(L36/$G$6,"")&lt;&gt;0)),NOT(AND(LEFT(E36,5)="12.32",IFERROR(L36/$G$6,"")&lt;&gt;0))),"", IFERROR(L36/$L$6,""))</f>
      </c>
      <c r="N36" s="73">
        <f>SUMIFS(
INDEX('ETPT Format DDG'!$A:$ZZ,,IFERROR(MATCH(E36,'ETPT Format DDG'!$2:$2,0),MATCH(C36,'ETPT Format DDG'!$2:$2,0))),
INDEX( 'ETPT Format DDG'!$A:$ZZ,,MATCH("Fonction agrégat",'ETPT Format DDG'!2:2,0)),"F-TIT",
INDEX( 'ETPT Format DDG'!$A:$ZZ,,MATCH("Juridiction",'ETPT Format DDG'!2:2,0)),$A$3)</f>
      </c>
      <c r="O36" s="72">
        <f>IF(AND(OR(LEFT(C36,3)="12.",LEFT(E36,3)="12.",LEFT(E36,5)="CET &gt;",IFERROR(N36/$N$6,"")=0),NOT(AND(LEFT(E36,4)="12.8",IFERROR(G36/$G$6,"")&lt;&gt;0)),NOT(AND(LEFT(E36,5)="12.31",IFERROR(N36/$G$6,"")&lt;&gt;0)),NOT(AND(LEFT(E36,5)="12.32",IFERROR(N36/$G$6,"")&lt;&gt;0))),"",IFERROR(N36/$N$6,""))</f>
      </c>
      <c r="P36" s="73">
        <f>SUMIFS(
INDEX('ETPT Format DDG'!$A:$FB,,IFERROR(MATCH(E36,'ETPT Format DDG'!$2:$2,0),MATCH(C36,'ETPT Format DDG'!$2:$2,0))),
INDEX( 'ETPT Format DDG'!$A:$ZZ,,MATCH("Fonction agrégat",'ETPT Format DDG'!2:2,0)),"F-PLAC-ADD",
INDEX( 'ETPT Format DDG'!$A:$ZZ,,MATCH("Juridiction",'ETPT Format DDG'!2:2,0)),$A$3)</f>
      </c>
      <c r="Q36" s="73">
        <f>SUMIFS(
INDEX('ETPT Format DDG'!$A:$FB,,IFERROR(MATCH(E36,'ETPT Format DDG'!$2:$2,0),MATCH(C36,'ETPT Format DDG'!$2:$2,0))),
INDEX( 'ETPT Format DDG'!$A:$ZZ,,MATCH("Fonction agrégat",'ETPT Format DDG'!2:2,0)),"F-PLAC-SUB",
INDEX( 'ETPT Format DDG'!$A:$ZZ,,MATCH("Juridiction",'ETPT Format DDG'!2:2,0)),$A$3)</f>
      </c>
      <c r="R36" s="73">
        <f>SUMIFS(
INDEX('ETPT Format DDG'!$A:$FB,,IFERROR(MATCH(E36,'ETPT Format DDG'!$2:$2,0),MATCH(C36,'ETPT Format DDG'!$2:$2,0))),
INDEX( 'ETPT Format DDG'!$A:$ZZ,,MATCH("Fonction agrégat",'ETPT Format DDG'!2:2,0)),"C",
'ETPT Format DDG'!$H:$H,"Greffe",
INDEX( 'ETPT Format DDG'!$A:$ZZ,,MATCH("Juridiction",'ETPT Format DDG'!2:2,0)),$A$3)</f>
      </c>
      <c r="S36" s="71">
        <f>SUMIFS(
INDEX('ETPT Format DDG'!$A:$FB,,IFERROR(MATCH(E36,'ETPT Format DDG'!$2:$2,0),MATCH(C36,'ETPT Format DDG'!$2:$2,0))),
INDEX( 'ETPT Format DDG'!$A:$ZZ,,MATCH("Catégorie",'ETPT Format DDG'!2:2,0)),"Greffe",
INDEX( 'ETPT Format DDG'!$A:$ZZ,,MATCH("Juridiction",'ETPT Format DDG'!2:2,0)),$A$3)</f>
      </c>
      <c r="T36" s="72">
        <f>IF(AND(OR(LEFT(C36,3)="12.",LEFT(E36,3)="12.",LEFT(E36,5)="CET &gt;",IFERROR(S36/$S$6,"")=0),NOT(AND(LEFT(E36,4)="12.8",IFERROR(G36/$G$6,"")&lt;&gt;0)),NOT(AND(LEFT(E36,5)="12.31",IFERROR(S36/$G$6,"")&lt;&gt;0)),NOT(AND(LEFT(E36,5)="12.32",IFERROR(S36/$G$6,"")&lt;&gt;0))),"", IFERROR(S36/$S$6,""))</f>
      </c>
      <c r="U36" s="71">
        <f>SUMIFS(
INDEX('ETPT Format DDG'!$A:$FB,,IFERROR(MATCH(E36,'ETPT Format DDG'!$2:$2,0),MATCH(C36,'ETPT Format DDG'!$2:$2,0))),
INDEX( 'ETPT Format DDG'!$A:$ZZ,,MATCH("Fonction agrégat",'ETPT Format DDG'!2:2,0)),"C",
INDEX( 'ETPT Format DDG'!$A:$ZZ,,MATCH("Juridiction",'ETPT Format DDG'!2:2,0)),$A$3,
INDEX( 'ETPT Format DDG'!$A:$ZZ,,MATCH("Catégorie",'ETPT Format DDG'!2:2,0)),"Autour du magistrat")</f>
      </c>
      <c r="V36" s="74">
        <f>IF(AND(OR(LEFT(C36,3)="12.",LEFT(E36,3)="12.",LEFT(E36,5)="CET &gt;",IFERROR(U36/$U$6,"")=0),NOT(AND(LEFT(E36,4)="12.8",IFERROR(G36/$G$6,"")&lt;&gt;0)),NOT(AND(LEFT(E36,5)="12.31",IFERROR(U36/$G$6,"")&lt;&gt;0)),NOT(AND(LEFT(E36,5)="12.32",IFERROR(U36/$G$6,"")&lt;&gt;0))),"", IFERROR(U36/$U$6,""))</f>
      </c>
    </row>
    <row r="37" ht="16" customHeight="1" spans="1:23" x14ac:dyDescent="0.25">
      <c r="A37" s="40"/>
      <c r="C37" s="68"/>
      <c r="D37" s="68"/>
      <c r="E37" s="69" t="s">
        <v>72</v>
      </c>
      <c r="F37" s="70" t="s">
        <v>72</v>
      </c>
      <c r="G37" s="71">
        <f>SUMIFS(
INDEX('ETPT Format DDG'!$A:$ZZ,,IFERROR(MATCH(E37,'ETPT Format DDG'!$2:$2,0),MATCH(C37,'ETPT Format DDG'!$2:$2,0))),
INDEX( 'ETPT Format DDG'!$A:$ZZ,,MATCH("Fonction agrégat",'ETPT Format DDG'!2:2,0)),"M-TIT",
INDEX( 'ETPT Format DDG'!$A:$ZZ,,MATCH("Juridiction",'ETPT Format DDG'!2:2,0)),$A$3)</f>
      </c>
      <c r="H37" s="72">
        <f>IF(AND(OR(LEFT(C37,3)="12.",LEFT(E37,3)="12.",LEFT(E37,5)="CET &gt;",IFERROR(G37/$G$6,"")=0),NOT(AND(LEFT(E37,4)="12.8",IFERROR(G37/$G$6,"")&lt;&gt;0)),NOT(AND(LEFT(E37,5)="12.31",IFERROR(G37/$G$6,"")&lt;&gt;0)),NOT(AND(LEFT(E37,5)="12.32",IFERROR(G37/$G$6,"")&lt;&gt;0))),"", IFERROR(G37/$G$6,""))</f>
      </c>
      <c r="I37" s="73">
        <f>SUMIFS(
INDEX('ETPT Format DDG'!$A:$ZZ,,IFERROR(MATCH(E37,'ETPT Format DDG'!$2:$2,0),MATCH(C37,'ETPT Format DDG'!$2:$2,0))),
INDEX( 'ETPT Format DDG'!$A:$ZZ,,MATCH("Fonction agrégat",'ETPT Format DDG'!2:2,0)),"M-PLAC-ADD",
INDEX( 'ETPT Format DDG'!$A:$ZZ,,MATCH("Juridiction",'ETPT Format DDG'!2:2,0)),$A$3)</f>
      </c>
      <c r="J37" s="73">
        <f>SUMIFS(
INDEX('ETPT Format DDG'!$A:$ZZ,,IFERROR(MATCH(E37,'ETPT Format DDG'!$2:$2,0),MATCH(C37,'ETPT Format DDG'!$2:$2,0))),
INDEX( 'ETPT Format DDG'!$A:$ZZ,,MATCH("Fonction agrégat",'ETPT Format DDG'!2:2,0)),"M-PLAC-SUB",
INDEX( 'ETPT Format DDG'!$A:$ZZ,,MATCH("Juridiction",'ETPT Format DDG'!2:2,0)),$A$3)</f>
      </c>
      <c r="K37" s="73">
        <f>SUMIFS(
INDEX('ETPT Format DDG'!$A:$ZZ,,IFERROR(MATCH(E37,'ETPT Format DDG'!$2:$2,0),MATCH(C37,'ETPT Format DDG'!$2:$2,0))),
INDEX( 'ETPT Format DDG'!$A:$ZZ,,MATCH("Fonction agrégat",'ETPT Format DDG'!2:2,0)),"M-CONT",
INDEX( 'ETPT Format DDG'!$A:$ZZ,,MATCH("Juridiction",'ETPT Format DDG'!2:2,0)),$A$3,
INDEX( 'ETPT Format DDG'!$A:$ZZ,,MATCH("Catégorie",'ETPT Format DDG'!2:2,0)),"Magistrat")</f>
      </c>
      <c r="L37" s="71">
        <f>SUMIFS(
INDEX('ETPT Format DDG'!$A:$ZZ,,IFERROR(MATCH(E37,'ETPT Format DDG'!$2:$2,0),MATCH(C37,'ETPT Format DDG'!$2:$2,0))),
INDEX( 'ETPT Format DDG'!$A:$ZZ,,MATCH("Juridiction",'ETPT Format DDG'!2:2,0)),$A$3,
INDEX( 'ETPT Format DDG'!$A:$ZZ,,MATCH("Catégorie",'ETPT Format DDG'!2:2,0)),"Magistrat")</f>
      </c>
      <c r="M37" s="74">
        <f>IF(AND(OR(LEFT(C37,3)="12.",LEFT(E37,3)="12.",LEFT(E37,5)="CET &gt;", IFERROR(L37/$L$6,"")=0),NOT(AND(LEFT(E37,4)="12.8",IFERROR(G37/$G$6,"")&lt;&gt;0)),NOT(AND(LEFT(E37,5)="12.31",IFERROR(L37/$G$6,"")&lt;&gt;0)),NOT(AND(LEFT(E37,5)="12.32",IFERROR(L37/$G$6,"")&lt;&gt;0))),"", IFERROR(L37/$L$6,""))</f>
      </c>
      <c r="N37" s="73">
        <f>SUMIFS(
INDEX('ETPT Format DDG'!$A:$ZZ,,IFERROR(MATCH(E37,'ETPT Format DDG'!$2:$2,0),MATCH(C37,'ETPT Format DDG'!$2:$2,0))),
INDEX( 'ETPT Format DDG'!$A:$ZZ,,MATCH("Fonction agrégat",'ETPT Format DDG'!2:2,0)),"F-TIT",
INDEX( 'ETPT Format DDG'!$A:$ZZ,,MATCH("Juridiction",'ETPT Format DDG'!2:2,0)),$A$3)</f>
      </c>
      <c r="O37" s="72">
        <f>IF(AND(OR(LEFT(C37,3)="12.",LEFT(E37,3)="12.",LEFT(E37,5)="CET &gt;",IFERROR(N37/$N$6,"")=0),NOT(AND(LEFT(E37,4)="12.8",IFERROR(G37/$G$6,"")&lt;&gt;0)),NOT(AND(LEFT(E37,5)="12.31",IFERROR(N37/$G$6,"")&lt;&gt;0)),NOT(AND(LEFT(E37,5)="12.32",IFERROR(N37/$G$6,"")&lt;&gt;0))),"",IFERROR(N37/$N$6,""))</f>
      </c>
      <c r="P37" s="73">
        <f>SUMIFS(
INDEX('ETPT Format DDG'!$A:$FB,,IFERROR(MATCH(E37,'ETPT Format DDG'!$2:$2,0),MATCH(C37,'ETPT Format DDG'!$2:$2,0))),
INDEX( 'ETPT Format DDG'!$A:$ZZ,,MATCH("Fonction agrégat",'ETPT Format DDG'!2:2,0)),"F-PLAC-ADD",
INDEX( 'ETPT Format DDG'!$A:$ZZ,,MATCH("Juridiction",'ETPT Format DDG'!2:2,0)),$A$3)</f>
      </c>
      <c r="Q37" s="73">
        <f>SUMIFS(
INDEX('ETPT Format DDG'!$A:$FB,,IFERROR(MATCH(E37,'ETPT Format DDG'!$2:$2,0),MATCH(C37,'ETPT Format DDG'!$2:$2,0))),
INDEX( 'ETPT Format DDG'!$A:$ZZ,,MATCH("Fonction agrégat",'ETPT Format DDG'!2:2,0)),"F-PLAC-SUB",
INDEX( 'ETPT Format DDG'!$A:$ZZ,,MATCH("Juridiction",'ETPT Format DDG'!2:2,0)),$A$3)</f>
      </c>
      <c r="R37" s="73">
        <f>SUMIFS(
INDEX('ETPT Format DDG'!$A:$FB,,IFERROR(MATCH(E37,'ETPT Format DDG'!$2:$2,0),MATCH(C37,'ETPT Format DDG'!$2:$2,0))),
INDEX( 'ETPT Format DDG'!$A:$ZZ,,MATCH("Fonction agrégat",'ETPT Format DDG'!2:2,0)),"C",
'ETPT Format DDG'!$H:$H,"Greffe",
INDEX( 'ETPT Format DDG'!$A:$ZZ,,MATCH("Juridiction",'ETPT Format DDG'!2:2,0)),$A$3)</f>
      </c>
      <c r="S37" s="71">
        <f>SUMIFS(
INDEX('ETPT Format DDG'!$A:$FB,,IFERROR(MATCH(E37,'ETPT Format DDG'!$2:$2,0),MATCH(C37,'ETPT Format DDG'!$2:$2,0))),
INDEX( 'ETPT Format DDG'!$A:$ZZ,,MATCH("Catégorie",'ETPT Format DDG'!2:2,0)),"Greffe",
INDEX( 'ETPT Format DDG'!$A:$ZZ,,MATCH("Juridiction",'ETPT Format DDG'!2:2,0)),$A$3)</f>
      </c>
      <c r="T37" s="72">
        <f>IF(AND(OR(LEFT(C37,3)="12.",LEFT(E37,3)="12.",LEFT(E37,5)="CET &gt;",IFERROR(S37/$S$6,"")=0),NOT(AND(LEFT(E37,4)="12.8",IFERROR(G37/$G$6,"")&lt;&gt;0)),NOT(AND(LEFT(E37,5)="12.31",IFERROR(S37/$G$6,"")&lt;&gt;0)),NOT(AND(LEFT(E37,5)="12.32",IFERROR(S37/$G$6,"")&lt;&gt;0))),"", IFERROR(S37/$S$6,""))</f>
      </c>
      <c r="U37" s="71">
        <f>SUMIFS(
INDEX('ETPT Format DDG'!$A:$FB,,IFERROR(MATCH(E37,'ETPT Format DDG'!$2:$2,0),MATCH(C37,'ETPT Format DDG'!$2:$2,0))),
INDEX( 'ETPT Format DDG'!$A:$ZZ,,MATCH("Fonction agrégat",'ETPT Format DDG'!2:2,0)),"C",
INDEX( 'ETPT Format DDG'!$A:$ZZ,,MATCH("Juridiction",'ETPT Format DDG'!2:2,0)),$A$3,
INDEX( 'ETPT Format DDG'!$A:$ZZ,,MATCH("Catégorie",'ETPT Format DDG'!2:2,0)),"Autour du magistrat")</f>
      </c>
      <c r="V37" s="74">
        <f>IF(AND(OR(LEFT(C37,3)="12.",LEFT(E37,3)="12.",LEFT(E37,5)="CET &gt;",IFERROR(U37/$U$6,"")=0),NOT(AND(LEFT(E37,4)="12.8",IFERROR(G37/$G$6,"")&lt;&gt;0)),NOT(AND(LEFT(E37,5)="12.31",IFERROR(U37/$G$6,"")&lt;&gt;0)),NOT(AND(LEFT(E37,5)="12.32",IFERROR(U37/$G$6,"")&lt;&gt;0))),"", IFERROR(U37/$U$6,""))</f>
      </c>
    </row>
    <row r="38" ht="16" customHeight="1" spans="1:23" x14ac:dyDescent="0.25">
      <c r="A38" s="40"/>
      <c r="C38" s="68"/>
      <c r="D38" s="68"/>
      <c r="E38" s="69" t="s">
        <v>73</v>
      </c>
      <c r="F38" s="70" t="s">
        <v>73</v>
      </c>
      <c r="G38" s="71">
        <f>SUMIFS(
INDEX('ETPT Format DDG'!$A:$ZZ,,IFERROR(MATCH(E38,'ETPT Format DDG'!$2:$2,0),MATCH(C38,'ETPT Format DDG'!$2:$2,0))),
INDEX( 'ETPT Format DDG'!$A:$ZZ,,MATCH("Fonction agrégat",'ETPT Format DDG'!2:2,0)),"M-TIT",
INDEX( 'ETPT Format DDG'!$A:$ZZ,,MATCH("Juridiction",'ETPT Format DDG'!2:2,0)),$A$3)</f>
      </c>
      <c r="H38" s="72">
        <f>IF(AND(OR(LEFT(C38,3)="12.",LEFT(E38,3)="12.",LEFT(E38,5)="CET &gt;",IFERROR(G38/$G$6,"")=0),NOT(AND(LEFT(E38,4)="12.8",IFERROR(G38/$G$6,"")&lt;&gt;0)),NOT(AND(LEFT(E38,5)="12.31",IFERROR(G38/$G$6,"")&lt;&gt;0)),NOT(AND(LEFT(E38,5)="12.32",IFERROR(G38/$G$6,"")&lt;&gt;0))),"", IFERROR(G38/$G$6,""))</f>
      </c>
      <c r="I38" s="73">
        <f>SUMIFS(
INDEX('ETPT Format DDG'!$A:$ZZ,,IFERROR(MATCH(E38,'ETPT Format DDG'!$2:$2,0),MATCH(C38,'ETPT Format DDG'!$2:$2,0))),
INDEX( 'ETPT Format DDG'!$A:$ZZ,,MATCH("Fonction agrégat",'ETPT Format DDG'!2:2,0)),"M-PLAC-ADD",
INDEX( 'ETPT Format DDG'!$A:$ZZ,,MATCH("Juridiction",'ETPT Format DDG'!2:2,0)),$A$3)</f>
      </c>
      <c r="J38" s="73">
        <f>SUMIFS(
INDEX('ETPT Format DDG'!$A:$ZZ,,IFERROR(MATCH(E38,'ETPT Format DDG'!$2:$2,0),MATCH(C38,'ETPT Format DDG'!$2:$2,0))),
INDEX( 'ETPT Format DDG'!$A:$ZZ,,MATCH("Fonction agrégat",'ETPT Format DDG'!2:2,0)),"M-PLAC-SUB",
INDEX( 'ETPT Format DDG'!$A:$ZZ,,MATCH("Juridiction",'ETPT Format DDG'!2:2,0)),$A$3)</f>
      </c>
      <c r="K38" s="73">
        <f>SUMIFS(
INDEX('ETPT Format DDG'!$A:$ZZ,,IFERROR(MATCH(E38,'ETPT Format DDG'!$2:$2,0),MATCH(C38,'ETPT Format DDG'!$2:$2,0))),
INDEX( 'ETPT Format DDG'!$A:$ZZ,,MATCH("Fonction agrégat",'ETPT Format DDG'!2:2,0)),"M-CONT",
INDEX( 'ETPT Format DDG'!$A:$ZZ,,MATCH("Juridiction",'ETPT Format DDG'!2:2,0)),$A$3,
INDEX( 'ETPT Format DDG'!$A:$ZZ,,MATCH("Catégorie",'ETPT Format DDG'!2:2,0)),"Magistrat")</f>
      </c>
      <c r="L38" s="71">
        <f>SUMIFS(
INDEX('ETPT Format DDG'!$A:$ZZ,,IFERROR(MATCH(E38,'ETPT Format DDG'!$2:$2,0),MATCH(C38,'ETPT Format DDG'!$2:$2,0))),
INDEX( 'ETPT Format DDG'!$A:$ZZ,,MATCH("Juridiction",'ETPT Format DDG'!2:2,0)),$A$3,
INDEX( 'ETPT Format DDG'!$A:$ZZ,,MATCH("Catégorie",'ETPT Format DDG'!2:2,0)),"Magistrat")</f>
      </c>
      <c r="M38" s="74">
        <f>IF(AND(OR(LEFT(C38,3)="12.",LEFT(E38,3)="12.",LEFT(E38,5)="CET &gt;", IFERROR(L38/$L$6,"")=0),NOT(AND(LEFT(E38,4)="12.8",IFERROR(G38/$G$6,"")&lt;&gt;0)),NOT(AND(LEFT(E38,5)="12.31",IFERROR(L38/$G$6,"")&lt;&gt;0)),NOT(AND(LEFT(E38,5)="12.32",IFERROR(L38/$G$6,"")&lt;&gt;0))),"", IFERROR(L38/$L$6,""))</f>
      </c>
      <c r="N38" s="73">
        <f>SUMIFS(
INDEX('ETPT Format DDG'!$A:$ZZ,,IFERROR(MATCH(E38,'ETPT Format DDG'!$2:$2,0),MATCH(C38,'ETPT Format DDG'!$2:$2,0))),
INDEX( 'ETPT Format DDG'!$A:$ZZ,,MATCH("Fonction agrégat",'ETPT Format DDG'!2:2,0)),"F-TIT",
INDEX( 'ETPT Format DDG'!$A:$ZZ,,MATCH("Juridiction",'ETPT Format DDG'!2:2,0)),$A$3)</f>
      </c>
      <c r="O38" s="72">
        <f>IF(AND(OR(LEFT(C38,3)="12.",LEFT(E38,3)="12.",LEFT(E38,5)="CET &gt;",IFERROR(N38/$N$6,"")=0),NOT(AND(LEFT(E38,4)="12.8",IFERROR(G38/$G$6,"")&lt;&gt;0)),NOT(AND(LEFT(E38,5)="12.31",IFERROR(N38/$G$6,"")&lt;&gt;0)),NOT(AND(LEFT(E38,5)="12.32",IFERROR(N38/$G$6,"")&lt;&gt;0))),"",IFERROR(N38/$N$6,""))</f>
      </c>
      <c r="P38" s="73">
        <f>SUMIFS(
INDEX('ETPT Format DDG'!$A:$FB,,IFERROR(MATCH(E38,'ETPT Format DDG'!$2:$2,0),MATCH(C38,'ETPT Format DDG'!$2:$2,0))),
INDEX( 'ETPT Format DDG'!$A:$ZZ,,MATCH("Fonction agrégat",'ETPT Format DDG'!2:2,0)),"F-PLAC-ADD",
INDEX( 'ETPT Format DDG'!$A:$ZZ,,MATCH("Juridiction",'ETPT Format DDG'!2:2,0)),$A$3)</f>
      </c>
      <c r="Q38" s="73">
        <f>SUMIFS(
INDEX('ETPT Format DDG'!$A:$FB,,IFERROR(MATCH(E38,'ETPT Format DDG'!$2:$2,0),MATCH(C38,'ETPT Format DDG'!$2:$2,0))),
INDEX( 'ETPT Format DDG'!$A:$ZZ,,MATCH("Fonction agrégat",'ETPT Format DDG'!2:2,0)),"F-PLAC-SUB",
INDEX( 'ETPT Format DDG'!$A:$ZZ,,MATCH("Juridiction",'ETPT Format DDG'!2:2,0)),$A$3)</f>
      </c>
      <c r="R38" s="73">
        <f>SUMIFS(
INDEX('ETPT Format DDG'!$A:$FB,,IFERROR(MATCH(E38,'ETPT Format DDG'!$2:$2,0),MATCH(C38,'ETPT Format DDG'!$2:$2,0))),
INDEX( 'ETPT Format DDG'!$A:$ZZ,,MATCH("Fonction agrégat",'ETPT Format DDG'!2:2,0)),"C",
'ETPT Format DDG'!$H:$H,"Greffe",
INDEX( 'ETPT Format DDG'!$A:$ZZ,,MATCH("Juridiction",'ETPT Format DDG'!2:2,0)),$A$3)</f>
      </c>
      <c r="S38" s="71">
        <f>SUMIFS(
INDEX('ETPT Format DDG'!$A:$FB,,IFERROR(MATCH(E38,'ETPT Format DDG'!$2:$2,0),MATCH(C38,'ETPT Format DDG'!$2:$2,0))),
INDEX( 'ETPT Format DDG'!$A:$ZZ,,MATCH("Catégorie",'ETPT Format DDG'!2:2,0)),"Greffe",
INDEX( 'ETPT Format DDG'!$A:$ZZ,,MATCH("Juridiction",'ETPT Format DDG'!2:2,0)),$A$3)</f>
      </c>
      <c r="T38" s="72">
        <f>IF(AND(OR(LEFT(C38,3)="12.",LEFT(E38,3)="12.",LEFT(E38,5)="CET &gt;",IFERROR(S38/$S$6,"")=0),NOT(AND(LEFT(E38,4)="12.8",IFERROR(G38/$G$6,"")&lt;&gt;0)),NOT(AND(LEFT(E38,5)="12.31",IFERROR(S38/$G$6,"")&lt;&gt;0)),NOT(AND(LEFT(E38,5)="12.32",IFERROR(S38/$G$6,"")&lt;&gt;0))),"", IFERROR(S38/$S$6,""))</f>
      </c>
      <c r="U38" s="71">
        <f>SUMIFS(
INDEX('ETPT Format DDG'!$A:$FB,,IFERROR(MATCH(E38,'ETPT Format DDG'!$2:$2,0),MATCH(C38,'ETPT Format DDG'!$2:$2,0))),
INDEX( 'ETPT Format DDG'!$A:$ZZ,,MATCH("Fonction agrégat",'ETPT Format DDG'!2:2,0)),"C",
INDEX( 'ETPT Format DDG'!$A:$ZZ,,MATCH("Juridiction",'ETPT Format DDG'!2:2,0)),$A$3,
INDEX( 'ETPT Format DDG'!$A:$ZZ,,MATCH("Catégorie",'ETPT Format DDG'!2:2,0)),"Autour du magistrat")</f>
      </c>
      <c r="V38" s="74">
        <f>IF(AND(OR(LEFT(C38,3)="12.",LEFT(E38,3)="12.",LEFT(E38,5)="CET &gt;",IFERROR(U38/$U$6,"")=0),NOT(AND(LEFT(E38,4)="12.8",IFERROR(G38/$G$6,"")&lt;&gt;0)),NOT(AND(LEFT(E38,5)="12.31",IFERROR(U38/$G$6,"")&lt;&gt;0)),NOT(AND(LEFT(E38,5)="12.32",IFERROR(U38/$G$6,"")&lt;&gt;0))),"", IFERROR(U38/$U$6,""))</f>
      </c>
    </row>
    <row r="39" ht="16" customHeight="1" spans="1:23" x14ac:dyDescent="0.25">
      <c r="A39" s="40"/>
      <c r="C39" s="68"/>
      <c r="D39" s="68"/>
      <c r="E39" s="69" t="s">
        <v>74</v>
      </c>
      <c r="F39" s="70" t="s">
        <v>74</v>
      </c>
      <c r="G39" s="71">
        <f>SUMIFS(
INDEX('ETPT Format DDG'!$A:$ZZ,,IFERROR(MATCH(E39,'ETPT Format DDG'!$2:$2,0),MATCH(C39,'ETPT Format DDG'!$2:$2,0))),
INDEX( 'ETPT Format DDG'!$A:$ZZ,,MATCH("Fonction agrégat",'ETPT Format DDG'!2:2,0)),"M-TIT",
INDEX( 'ETPT Format DDG'!$A:$ZZ,,MATCH("Juridiction",'ETPT Format DDG'!2:2,0)),$A$3)</f>
      </c>
      <c r="H39" s="72">
        <f>IF(AND(OR(LEFT(C39,3)="12.",LEFT(E39,3)="12.",LEFT(E39,5)="CET &gt;",IFERROR(G39/$G$6,"")=0),NOT(AND(LEFT(E39,4)="12.8",IFERROR(G39/$G$6,"")&lt;&gt;0)),NOT(AND(LEFT(E39,5)="12.31",IFERROR(G39/$G$6,"")&lt;&gt;0)),NOT(AND(LEFT(E39,5)="12.32",IFERROR(G39/$G$6,"")&lt;&gt;0))),"", IFERROR(G39/$G$6,""))</f>
      </c>
      <c r="I39" s="73">
        <f>SUMIFS(
INDEX('ETPT Format DDG'!$A:$ZZ,,IFERROR(MATCH(E39,'ETPT Format DDG'!$2:$2,0),MATCH(C39,'ETPT Format DDG'!$2:$2,0))),
INDEX( 'ETPT Format DDG'!$A:$ZZ,,MATCH("Fonction agrégat",'ETPT Format DDG'!2:2,0)),"M-PLAC-ADD",
INDEX( 'ETPT Format DDG'!$A:$ZZ,,MATCH("Juridiction",'ETPT Format DDG'!2:2,0)),$A$3)</f>
      </c>
      <c r="J39" s="73">
        <f>SUMIFS(
INDEX('ETPT Format DDG'!$A:$ZZ,,IFERROR(MATCH(E39,'ETPT Format DDG'!$2:$2,0),MATCH(C39,'ETPT Format DDG'!$2:$2,0))),
INDEX( 'ETPT Format DDG'!$A:$ZZ,,MATCH("Fonction agrégat",'ETPT Format DDG'!2:2,0)),"M-PLAC-SUB",
INDEX( 'ETPT Format DDG'!$A:$ZZ,,MATCH("Juridiction",'ETPT Format DDG'!2:2,0)),$A$3)</f>
      </c>
      <c r="K39" s="73">
        <f>SUMIFS(
INDEX('ETPT Format DDG'!$A:$ZZ,,IFERROR(MATCH(E39,'ETPT Format DDG'!$2:$2,0),MATCH(C39,'ETPT Format DDG'!$2:$2,0))),
INDEX( 'ETPT Format DDG'!$A:$ZZ,,MATCH("Fonction agrégat",'ETPT Format DDG'!2:2,0)),"M-CONT",
INDEX( 'ETPT Format DDG'!$A:$ZZ,,MATCH("Juridiction",'ETPT Format DDG'!2:2,0)),$A$3,
INDEX( 'ETPT Format DDG'!$A:$ZZ,,MATCH("Catégorie",'ETPT Format DDG'!2:2,0)),"Magistrat")</f>
      </c>
      <c r="L39" s="71">
        <f>SUMIFS(
INDEX('ETPT Format DDG'!$A:$ZZ,,IFERROR(MATCH(E39,'ETPT Format DDG'!$2:$2,0),MATCH(C39,'ETPT Format DDG'!$2:$2,0))),
INDEX( 'ETPT Format DDG'!$A:$ZZ,,MATCH("Juridiction",'ETPT Format DDG'!2:2,0)),$A$3,
INDEX( 'ETPT Format DDG'!$A:$ZZ,,MATCH("Catégorie",'ETPT Format DDG'!2:2,0)),"Magistrat")</f>
      </c>
      <c r="M39" s="74">
        <f>IF(AND(OR(LEFT(C39,3)="12.",LEFT(E39,3)="12.",LEFT(E39,5)="CET &gt;", IFERROR(L39/$L$6,"")=0),NOT(AND(LEFT(E39,4)="12.8",IFERROR(G39/$G$6,"")&lt;&gt;0)),NOT(AND(LEFT(E39,5)="12.31",IFERROR(L39/$G$6,"")&lt;&gt;0)),NOT(AND(LEFT(E39,5)="12.32",IFERROR(L39/$G$6,"")&lt;&gt;0))),"", IFERROR(L39/$L$6,""))</f>
      </c>
      <c r="N39" s="73">
        <f>SUMIFS(
INDEX('ETPT Format DDG'!$A:$ZZ,,IFERROR(MATCH(E39,'ETPT Format DDG'!$2:$2,0),MATCH(C39,'ETPT Format DDG'!$2:$2,0))),
INDEX( 'ETPT Format DDG'!$A:$ZZ,,MATCH("Fonction agrégat",'ETPT Format DDG'!2:2,0)),"F-TIT",
INDEX( 'ETPT Format DDG'!$A:$ZZ,,MATCH("Juridiction",'ETPT Format DDG'!2:2,0)),$A$3)</f>
      </c>
      <c r="O39" s="72">
        <f>IF(AND(OR(LEFT(C39,3)="12.",LEFT(E39,3)="12.",LEFT(E39,5)="CET &gt;",IFERROR(N39/$N$6,"")=0),NOT(AND(LEFT(E39,4)="12.8",IFERROR(G39/$G$6,"")&lt;&gt;0)),NOT(AND(LEFT(E39,5)="12.31",IFERROR(N39/$G$6,"")&lt;&gt;0)),NOT(AND(LEFT(E39,5)="12.32",IFERROR(N39/$G$6,"")&lt;&gt;0))),"",IFERROR(N39/$N$6,""))</f>
      </c>
      <c r="P39" s="73">
        <f>SUMIFS(
INDEX('ETPT Format DDG'!$A:$FB,,IFERROR(MATCH(E39,'ETPT Format DDG'!$2:$2,0),MATCH(C39,'ETPT Format DDG'!$2:$2,0))),
INDEX( 'ETPT Format DDG'!$A:$ZZ,,MATCH("Fonction agrégat",'ETPT Format DDG'!2:2,0)),"F-PLAC-ADD",
INDEX( 'ETPT Format DDG'!$A:$ZZ,,MATCH("Juridiction",'ETPT Format DDG'!2:2,0)),$A$3)</f>
      </c>
      <c r="Q39" s="73">
        <f>SUMIFS(
INDEX('ETPT Format DDG'!$A:$FB,,IFERROR(MATCH(E39,'ETPT Format DDG'!$2:$2,0),MATCH(C39,'ETPT Format DDG'!$2:$2,0))),
INDEX( 'ETPT Format DDG'!$A:$ZZ,,MATCH("Fonction agrégat",'ETPT Format DDG'!2:2,0)),"F-PLAC-SUB",
INDEX( 'ETPT Format DDG'!$A:$ZZ,,MATCH("Juridiction",'ETPT Format DDG'!2:2,0)),$A$3)</f>
      </c>
      <c r="R39" s="73">
        <f>SUMIFS(
INDEX('ETPT Format DDG'!$A:$FB,,IFERROR(MATCH(E39,'ETPT Format DDG'!$2:$2,0),MATCH(C39,'ETPT Format DDG'!$2:$2,0))),
INDEX( 'ETPT Format DDG'!$A:$ZZ,,MATCH("Fonction agrégat",'ETPT Format DDG'!2:2,0)),"C",
'ETPT Format DDG'!$H:$H,"Greffe",
INDEX( 'ETPT Format DDG'!$A:$ZZ,,MATCH("Juridiction",'ETPT Format DDG'!2:2,0)),$A$3)</f>
      </c>
      <c r="S39" s="71">
        <f>SUMIFS(
INDEX('ETPT Format DDG'!$A:$FB,,IFERROR(MATCH(E39,'ETPT Format DDG'!$2:$2,0),MATCH(C39,'ETPT Format DDG'!$2:$2,0))),
INDEX( 'ETPT Format DDG'!$A:$ZZ,,MATCH("Catégorie",'ETPT Format DDG'!2:2,0)),"Greffe",
INDEX( 'ETPT Format DDG'!$A:$ZZ,,MATCH("Juridiction",'ETPT Format DDG'!2:2,0)),$A$3)</f>
      </c>
      <c r="T39" s="72">
        <f>IF(AND(OR(LEFT(C39,3)="12.",LEFT(E39,3)="12.",LEFT(E39,5)="CET &gt;",IFERROR(S39/$S$6,"")=0),NOT(AND(LEFT(E39,4)="12.8",IFERROR(G39/$G$6,"")&lt;&gt;0)),NOT(AND(LEFT(E39,5)="12.31",IFERROR(S39/$G$6,"")&lt;&gt;0)),NOT(AND(LEFT(E39,5)="12.32",IFERROR(S39/$G$6,"")&lt;&gt;0))),"", IFERROR(S39/$S$6,""))</f>
      </c>
      <c r="U39" s="71">
        <f>SUMIFS(
INDEX('ETPT Format DDG'!$A:$FB,,IFERROR(MATCH(E39,'ETPT Format DDG'!$2:$2,0),MATCH(C39,'ETPT Format DDG'!$2:$2,0))),
INDEX( 'ETPT Format DDG'!$A:$ZZ,,MATCH("Fonction agrégat",'ETPT Format DDG'!2:2,0)),"C",
INDEX( 'ETPT Format DDG'!$A:$ZZ,,MATCH("Juridiction",'ETPT Format DDG'!2:2,0)),$A$3,
INDEX( 'ETPT Format DDG'!$A:$ZZ,,MATCH("Catégorie",'ETPT Format DDG'!2:2,0)),"Autour du magistrat")</f>
      </c>
      <c r="V39" s="74">
        <f>IF(AND(OR(LEFT(C39,3)="12.",LEFT(E39,3)="12.",LEFT(E39,5)="CET &gt;",IFERROR(U39/$U$6,"")=0),NOT(AND(LEFT(E39,4)="12.8",IFERROR(G39/$G$6,"")&lt;&gt;0)),NOT(AND(LEFT(E39,5)="12.31",IFERROR(U39/$G$6,"")&lt;&gt;0)),NOT(AND(LEFT(E39,5)="12.32",IFERROR(U39/$G$6,"")&lt;&gt;0))),"", IFERROR(U39/$U$6,""))</f>
      </c>
    </row>
    <row r="40" ht="16" customHeight="1" spans="1:23" x14ac:dyDescent="0.25">
      <c r="A40" s="40"/>
      <c r="C40" s="68"/>
      <c r="D40" s="68"/>
      <c r="E40" s="69" t="s">
        <v>75</v>
      </c>
      <c r="F40" s="70" t="s">
        <v>75</v>
      </c>
      <c r="G40" s="71">
        <f>SUMIFS(
INDEX('ETPT Format DDG'!$A:$ZZ,,IFERROR(MATCH(E40,'ETPT Format DDG'!$2:$2,0),MATCH(C40,'ETPT Format DDG'!$2:$2,0))),
INDEX( 'ETPT Format DDG'!$A:$ZZ,,MATCH("Fonction agrégat",'ETPT Format DDG'!2:2,0)),"M-TIT",
INDEX( 'ETPT Format DDG'!$A:$ZZ,,MATCH("Juridiction",'ETPT Format DDG'!2:2,0)),$A$3)</f>
      </c>
      <c r="H40" s="72">
        <f>IF(AND(OR(LEFT(C40,3)="12.",LEFT(E40,3)="12.",LEFT(E40,5)="CET &gt;",IFERROR(G40/$G$6,"")=0),NOT(AND(LEFT(E40,4)="12.8",IFERROR(G40/$G$6,"")&lt;&gt;0)),NOT(AND(LEFT(E40,5)="12.31",IFERROR(G40/$G$6,"")&lt;&gt;0)),NOT(AND(LEFT(E40,5)="12.32",IFERROR(G40/$G$6,"")&lt;&gt;0))),"", IFERROR(G40/$G$6,""))</f>
      </c>
      <c r="I40" s="73">
        <f>SUMIFS(
INDEX('ETPT Format DDG'!$A:$ZZ,,IFERROR(MATCH(E40,'ETPT Format DDG'!$2:$2,0),MATCH(C40,'ETPT Format DDG'!$2:$2,0))),
INDEX( 'ETPT Format DDG'!$A:$ZZ,,MATCH("Fonction agrégat",'ETPT Format DDG'!2:2,0)),"M-PLAC-ADD",
INDEX( 'ETPT Format DDG'!$A:$ZZ,,MATCH("Juridiction",'ETPT Format DDG'!2:2,0)),$A$3)</f>
      </c>
      <c r="J40" s="73">
        <f>SUMIFS(
INDEX('ETPT Format DDG'!$A:$ZZ,,IFERROR(MATCH(E40,'ETPT Format DDG'!$2:$2,0),MATCH(C40,'ETPT Format DDG'!$2:$2,0))),
INDEX( 'ETPT Format DDG'!$A:$ZZ,,MATCH("Fonction agrégat",'ETPT Format DDG'!2:2,0)),"M-PLAC-SUB",
INDEX( 'ETPT Format DDG'!$A:$ZZ,,MATCH("Juridiction",'ETPT Format DDG'!2:2,0)),$A$3)</f>
      </c>
      <c r="K40" s="73">
        <f>SUMIFS(
INDEX('ETPT Format DDG'!$A:$ZZ,,IFERROR(MATCH(E40,'ETPT Format DDG'!$2:$2,0),MATCH(C40,'ETPT Format DDG'!$2:$2,0))),
INDEX( 'ETPT Format DDG'!$A:$ZZ,,MATCH("Fonction agrégat",'ETPT Format DDG'!2:2,0)),"M-CONT",
INDEX( 'ETPT Format DDG'!$A:$ZZ,,MATCH("Juridiction",'ETPT Format DDG'!2:2,0)),$A$3,
INDEX( 'ETPT Format DDG'!$A:$ZZ,,MATCH("Catégorie",'ETPT Format DDG'!2:2,0)),"Magistrat")</f>
      </c>
      <c r="L40" s="71">
        <f>SUMIFS(
INDEX('ETPT Format DDG'!$A:$ZZ,,IFERROR(MATCH(E40,'ETPT Format DDG'!$2:$2,0),MATCH(C40,'ETPT Format DDG'!$2:$2,0))),
INDEX( 'ETPT Format DDG'!$A:$ZZ,,MATCH("Juridiction",'ETPT Format DDG'!2:2,0)),$A$3,
INDEX( 'ETPT Format DDG'!$A:$ZZ,,MATCH("Catégorie",'ETPT Format DDG'!2:2,0)),"Magistrat")</f>
      </c>
      <c r="M40" s="74">
        <f>IF(AND(OR(LEFT(C40,3)="12.",LEFT(E40,3)="12.",LEFT(E40,5)="CET &gt;", IFERROR(L40/$L$6,"")=0),NOT(AND(LEFT(E40,4)="12.8",IFERROR(G40/$G$6,"")&lt;&gt;0)),NOT(AND(LEFT(E40,5)="12.31",IFERROR(L40/$G$6,"")&lt;&gt;0)),NOT(AND(LEFT(E40,5)="12.32",IFERROR(L40/$G$6,"")&lt;&gt;0))),"", IFERROR(L40/$L$6,""))</f>
      </c>
      <c r="N40" s="73">
        <f>SUMIFS(
INDEX('ETPT Format DDG'!$A:$ZZ,,IFERROR(MATCH(E40,'ETPT Format DDG'!$2:$2,0),MATCH(C40,'ETPT Format DDG'!$2:$2,0))),
INDEX( 'ETPT Format DDG'!$A:$ZZ,,MATCH("Fonction agrégat",'ETPT Format DDG'!2:2,0)),"F-TIT",
INDEX( 'ETPT Format DDG'!$A:$ZZ,,MATCH("Juridiction",'ETPT Format DDG'!2:2,0)),$A$3)</f>
      </c>
      <c r="O40" s="72">
        <f>IF(AND(OR(LEFT(C40,3)="12.",LEFT(E40,3)="12.",LEFT(E40,5)="CET &gt;",IFERROR(N40/$N$6,"")=0),NOT(AND(LEFT(E40,4)="12.8",IFERROR(G40/$G$6,"")&lt;&gt;0)),NOT(AND(LEFT(E40,5)="12.31",IFERROR(N40/$G$6,"")&lt;&gt;0)),NOT(AND(LEFT(E40,5)="12.32",IFERROR(N40/$G$6,"")&lt;&gt;0))),"",IFERROR(N40/$N$6,""))</f>
      </c>
      <c r="P40" s="73">
        <f>SUMIFS(
INDEX('ETPT Format DDG'!$A:$FB,,IFERROR(MATCH(E40,'ETPT Format DDG'!$2:$2,0),MATCH(C40,'ETPT Format DDG'!$2:$2,0))),
INDEX( 'ETPT Format DDG'!$A:$ZZ,,MATCH("Fonction agrégat",'ETPT Format DDG'!2:2,0)),"F-PLAC-ADD",
INDEX( 'ETPT Format DDG'!$A:$ZZ,,MATCH("Juridiction",'ETPT Format DDG'!2:2,0)),$A$3)</f>
      </c>
      <c r="Q40" s="73">
        <f>SUMIFS(
INDEX('ETPT Format DDG'!$A:$FB,,IFERROR(MATCH(E40,'ETPT Format DDG'!$2:$2,0),MATCH(C40,'ETPT Format DDG'!$2:$2,0))),
INDEX( 'ETPT Format DDG'!$A:$ZZ,,MATCH("Fonction agrégat",'ETPT Format DDG'!2:2,0)),"F-PLAC-SUB",
INDEX( 'ETPT Format DDG'!$A:$ZZ,,MATCH("Juridiction",'ETPT Format DDG'!2:2,0)),$A$3)</f>
      </c>
      <c r="R40" s="73">
        <f>SUMIFS(
INDEX('ETPT Format DDG'!$A:$FB,,IFERROR(MATCH(E40,'ETPT Format DDG'!$2:$2,0),MATCH(C40,'ETPT Format DDG'!$2:$2,0))),
INDEX( 'ETPT Format DDG'!$A:$ZZ,,MATCH("Fonction agrégat",'ETPT Format DDG'!2:2,0)),"C",
'ETPT Format DDG'!$H:$H,"Greffe",
INDEX( 'ETPT Format DDG'!$A:$ZZ,,MATCH("Juridiction",'ETPT Format DDG'!2:2,0)),$A$3)</f>
      </c>
      <c r="S40" s="71">
        <f>SUMIFS(
INDEX('ETPT Format DDG'!$A:$FB,,IFERROR(MATCH(E40,'ETPT Format DDG'!$2:$2,0),MATCH(C40,'ETPT Format DDG'!$2:$2,0))),
INDEX( 'ETPT Format DDG'!$A:$ZZ,,MATCH("Catégorie",'ETPT Format DDG'!2:2,0)),"Greffe",
INDEX( 'ETPT Format DDG'!$A:$ZZ,,MATCH("Juridiction",'ETPT Format DDG'!2:2,0)),$A$3)</f>
      </c>
      <c r="T40" s="72">
        <f>IF(AND(OR(LEFT(C40,3)="12.",LEFT(E40,3)="12.",LEFT(E40,5)="CET &gt;",IFERROR(S40/$S$6,"")=0),NOT(AND(LEFT(E40,4)="12.8",IFERROR(G40/$G$6,"")&lt;&gt;0)),NOT(AND(LEFT(E40,5)="12.31",IFERROR(S40/$G$6,"")&lt;&gt;0)),NOT(AND(LEFT(E40,5)="12.32",IFERROR(S40/$G$6,"")&lt;&gt;0))),"", IFERROR(S40/$S$6,""))</f>
      </c>
      <c r="U40" s="71">
        <f>SUMIFS(
INDEX('ETPT Format DDG'!$A:$FB,,IFERROR(MATCH(E40,'ETPT Format DDG'!$2:$2,0),MATCH(C40,'ETPT Format DDG'!$2:$2,0))),
INDEX( 'ETPT Format DDG'!$A:$ZZ,,MATCH("Fonction agrégat",'ETPT Format DDG'!2:2,0)),"C",
INDEX( 'ETPT Format DDG'!$A:$ZZ,,MATCH("Juridiction",'ETPT Format DDG'!2:2,0)),$A$3,
INDEX( 'ETPT Format DDG'!$A:$ZZ,,MATCH("Catégorie",'ETPT Format DDG'!2:2,0)),"Autour du magistrat")</f>
      </c>
      <c r="V40" s="74">
        <f>IF(AND(OR(LEFT(C40,3)="12.",LEFT(E40,3)="12.",LEFT(E40,5)="CET &gt;",IFERROR(U40/$U$6,"")=0),NOT(AND(LEFT(E40,4)="12.8",IFERROR(G40/$G$6,"")&lt;&gt;0)),NOT(AND(LEFT(E40,5)="12.31",IFERROR(U40/$G$6,"")&lt;&gt;0)),NOT(AND(LEFT(E40,5)="12.32",IFERROR(U40/$G$6,"")&lt;&gt;0))),"", IFERROR(U40/$U$6,""))</f>
      </c>
    </row>
    <row r="41" ht="16" customHeight="1" spans="1:23" x14ac:dyDescent="0.25">
      <c r="A41" s="40"/>
      <c r="C41" s="68"/>
      <c r="D41" s="68"/>
      <c r="E41" s="69" t="s">
        <v>76</v>
      </c>
      <c r="F41" s="70" t="s">
        <v>76</v>
      </c>
      <c r="G41" s="71">
        <f>SUMIFS(
INDEX('ETPT Format DDG'!$A:$ZZ,,IFERROR(MATCH(E41,'ETPT Format DDG'!$2:$2,0),MATCH(C41,'ETPT Format DDG'!$2:$2,0))),
INDEX( 'ETPT Format DDG'!$A:$ZZ,,MATCH("Fonction agrégat",'ETPT Format DDG'!2:2,0)),"M-TIT",
INDEX( 'ETPT Format DDG'!$A:$ZZ,,MATCH("Juridiction",'ETPT Format DDG'!2:2,0)),$A$3)</f>
      </c>
      <c r="H41" s="72">
        <f>IF(AND(OR(LEFT(C41,3)="12.",LEFT(E41,3)="12.",LEFT(E41,5)="CET &gt;",IFERROR(G41/$G$6,"")=0),NOT(AND(LEFT(E41,4)="12.8",IFERROR(G41/$G$6,"")&lt;&gt;0)),NOT(AND(LEFT(E41,5)="12.31",IFERROR(G41/$G$6,"")&lt;&gt;0)),NOT(AND(LEFT(E41,5)="12.32",IFERROR(G41/$G$6,"")&lt;&gt;0))),"", IFERROR(G41/$G$6,""))</f>
      </c>
      <c r="I41" s="73">
        <f>SUMIFS(
INDEX('ETPT Format DDG'!$A:$ZZ,,IFERROR(MATCH(E41,'ETPT Format DDG'!$2:$2,0),MATCH(C41,'ETPT Format DDG'!$2:$2,0))),
INDEX( 'ETPT Format DDG'!$A:$ZZ,,MATCH("Fonction agrégat",'ETPT Format DDG'!2:2,0)),"M-PLAC-ADD",
INDEX( 'ETPT Format DDG'!$A:$ZZ,,MATCH("Juridiction",'ETPT Format DDG'!2:2,0)),$A$3)</f>
      </c>
      <c r="J41" s="73">
        <f>SUMIFS(
INDEX('ETPT Format DDG'!$A:$ZZ,,IFERROR(MATCH(E41,'ETPT Format DDG'!$2:$2,0),MATCH(C41,'ETPT Format DDG'!$2:$2,0))),
INDEX( 'ETPT Format DDG'!$A:$ZZ,,MATCH("Fonction agrégat",'ETPT Format DDG'!2:2,0)),"M-PLAC-SUB",
INDEX( 'ETPT Format DDG'!$A:$ZZ,,MATCH("Juridiction",'ETPT Format DDG'!2:2,0)),$A$3)</f>
      </c>
      <c r="K41" s="73">
        <f>SUMIFS(
INDEX('ETPT Format DDG'!$A:$ZZ,,IFERROR(MATCH(E41,'ETPT Format DDG'!$2:$2,0),MATCH(C41,'ETPT Format DDG'!$2:$2,0))),
INDEX( 'ETPT Format DDG'!$A:$ZZ,,MATCH("Fonction agrégat",'ETPT Format DDG'!2:2,0)),"M-CONT",
INDEX( 'ETPT Format DDG'!$A:$ZZ,,MATCH("Juridiction",'ETPT Format DDG'!2:2,0)),$A$3,
INDEX( 'ETPT Format DDG'!$A:$ZZ,,MATCH("Catégorie",'ETPT Format DDG'!2:2,0)),"Magistrat")</f>
      </c>
      <c r="L41" s="71">
        <f>SUMIFS(
INDEX('ETPT Format DDG'!$A:$ZZ,,IFERROR(MATCH(E41,'ETPT Format DDG'!$2:$2,0),MATCH(C41,'ETPT Format DDG'!$2:$2,0))),
INDEX( 'ETPT Format DDG'!$A:$ZZ,,MATCH("Juridiction",'ETPT Format DDG'!2:2,0)),$A$3,
INDEX( 'ETPT Format DDG'!$A:$ZZ,,MATCH("Catégorie",'ETPT Format DDG'!2:2,0)),"Magistrat")</f>
      </c>
      <c r="M41" s="74">
        <f>IF(AND(OR(LEFT(C41,3)="12.",LEFT(E41,3)="12.",LEFT(E41,5)="CET &gt;", IFERROR(L41/$L$6,"")=0),NOT(AND(LEFT(E41,4)="12.8",IFERROR(G41/$G$6,"")&lt;&gt;0)),NOT(AND(LEFT(E41,5)="12.31",IFERROR(L41/$G$6,"")&lt;&gt;0)),NOT(AND(LEFT(E41,5)="12.32",IFERROR(L41/$G$6,"")&lt;&gt;0))),"", IFERROR(L41/$L$6,""))</f>
      </c>
      <c r="N41" s="73">
        <f>SUMIFS(
INDEX('ETPT Format DDG'!$A:$ZZ,,IFERROR(MATCH(E41,'ETPT Format DDG'!$2:$2,0),MATCH(C41,'ETPT Format DDG'!$2:$2,0))),
INDEX( 'ETPT Format DDG'!$A:$ZZ,,MATCH("Fonction agrégat",'ETPT Format DDG'!2:2,0)),"F-TIT",
INDEX( 'ETPT Format DDG'!$A:$ZZ,,MATCH("Juridiction",'ETPT Format DDG'!2:2,0)),$A$3)</f>
      </c>
      <c r="O41" s="72">
        <f>IF(AND(OR(LEFT(C41,3)="12.",LEFT(E41,3)="12.",LEFT(E41,5)="CET &gt;",IFERROR(N41/$N$6,"")=0),NOT(AND(LEFT(E41,4)="12.8",IFERROR(G41/$G$6,"")&lt;&gt;0)),NOT(AND(LEFT(E41,5)="12.31",IFERROR(N41/$G$6,"")&lt;&gt;0)),NOT(AND(LEFT(E41,5)="12.32",IFERROR(N41/$G$6,"")&lt;&gt;0))),"",IFERROR(N41/$N$6,""))</f>
      </c>
      <c r="P41" s="73">
        <f>SUMIFS(
INDEX('ETPT Format DDG'!$A:$FB,,IFERROR(MATCH(E41,'ETPT Format DDG'!$2:$2,0),MATCH(C41,'ETPT Format DDG'!$2:$2,0))),
INDEX( 'ETPT Format DDG'!$A:$ZZ,,MATCH("Fonction agrégat",'ETPT Format DDG'!2:2,0)),"F-PLAC-ADD",
INDEX( 'ETPT Format DDG'!$A:$ZZ,,MATCH("Juridiction",'ETPT Format DDG'!2:2,0)),$A$3)</f>
      </c>
      <c r="Q41" s="73">
        <f>SUMIFS(
INDEX('ETPT Format DDG'!$A:$FB,,IFERROR(MATCH(E41,'ETPT Format DDG'!$2:$2,0),MATCH(C41,'ETPT Format DDG'!$2:$2,0))),
INDEX( 'ETPT Format DDG'!$A:$ZZ,,MATCH("Fonction agrégat",'ETPT Format DDG'!2:2,0)),"F-PLAC-SUB",
INDEX( 'ETPT Format DDG'!$A:$ZZ,,MATCH("Juridiction",'ETPT Format DDG'!2:2,0)),$A$3)</f>
      </c>
      <c r="R41" s="73">
        <f>SUMIFS(
INDEX('ETPT Format DDG'!$A:$FB,,IFERROR(MATCH(E41,'ETPT Format DDG'!$2:$2,0),MATCH(C41,'ETPT Format DDG'!$2:$2,0))),
INDEX( 'ETPT Format DDG'!$A:$ZZ,,MATCH("Fonction agrégat",'ETPT Format DDG'!2:2,0)),"C",
'ETPT Format DDG'!$H:$H,"Greffe",
INDEX( 'ETPT Format DDG'!$A:$ZZ,,MATCH("Juridiction",'ETPT Format DDG'!2:2,0)),$A$3)</f>
      </c>
      <c r="S41" s="71">
        <f>SUMIFS(
INDEX('ETPT Format DDG'!$A:$FB,,IFERROR(MATCH(E41,'ETPT Format DDG'!$2:$2,0),MATCH(C41,'ETPT Format DDG'!$2:$2,0))),
INDEX( 'ETPT Format DDG'!$A:$ZZ,,MATCH("Catégorie",'ETPT Format DDG'!2:2,0)),"Greffe",
INDEX( 'ETPT Format DDG'!$A:$ZZ,,MATCH("Juridiction",'ETPT Format DDG'!2:2,0)),$A$3)</f>
      </c>
      <c r="T41" s="72">
        <f>IF(AND(OR(LEFT(C41,3)="12.",LEFT(E41,3)="12.",LEFT(E41,5)="CET &gt;",IFERROR(S41/$S$6,"")=0),NOT(AND(LEFT(E41,4)="12.8",IFERROR(G41/$G$6,"")&lt;&gt;0)),NOT(AND(LEFT(E41,5)="12.31",IFERROR(S41/$G$6,"")&lt;&gt;0)),NOT(AND(LEFT(E41,5)="12.32",IFERROR(S41/$G$6,"")&lt;&gt;0))),"", IFERROR(S41/$S$6,""))</f>
      </c>
      <c r="U41" s="71">
        <f>SUMIFS(
INDEX('ETPT Format DDG'!$A:$FB,,IFERROR(MATCH(E41,'ETPT Format DDG'!$2:$2,0),MATCH(C41,'ETPT Format DDG'!$2:$2,0))),
INDEX( 'ETPT Format DDG'!$A:$ZZ,,MATCH("Fonction agrégat",'ETPT Format DDG'!2:2,0)),"C",
INDEX( 'ETPT Format DDG'!$A:$ZZ,,MATCH("Juridiction",'ETPT Format DDG'!2:2,0)),$A$3,
INDEX( 'ETPT Format DDG'!$A:$ZZ,,MATCH("Catégorie",'ETPT Format DDG'!2:2,0)),"Autour du magistrat")</f>
      </c>
      <c r="V41" s="74">
        <f>IF(AND(OR(LEFT(C41,3)="12.",LEFT(E41,3)="12.",LEFT(E41,5)="CET &gt;",IFERROR(U41/$U$6,"")=0),NOT(AND(LEFT(E41,4)="12.8",IFERROR(G41/$G$6,"")&lt;&gt;0)),NOT(AND(LEFT(E41,5)="12.31",IFERROR(U41/$G$6,"")&lt;&gt;0)),NOT(AND(LEFT(E41,5)="12.32",IFERROR(U41/$G$6,"")&lt;&gt;0))),"", IFERROR(U41/$U$6,""))</f>
      </c>
    </row>
    <row r="42" ht="16" customHeight="1" spans="1:23" x14ac:dyDescent="0.25">
      <c r="A42" s="40"/>
      <c r="C42" s="68"/>
      <c r="D42" s="68"/>
      <c r="E42" s="69" t="s">
        <v>77</v>
      </c>
      <c r="F42" s="70" t="s">
        <v>77</v>
      </c>
      <c r="G42" s="71">
        <f>SUMIFS(
INDEX('ETPT Format DDG'!$A:$ZZ,,IFERROR(MATCH(E42,'ETPT Format DDG'!$2:$2,0),MATCH(C42,'ETPT Format DDG'!$2:$2,0))),
INDEX( 'ETPT Format DDG'!$A:$ZZ,,MATCH("Fonction agrégat",'ETPT Format DDG'!2:2,0)),"M-TIT",
INDEX( 'ETPT Format DDG'!$A:$ZZ,,MATCH("Juridiction",'ETPT Format DDG'!2:2,0)),$A$3)</f>
      </c>
      <c r="H42" s="72">
        <f>IF(AND(OR(LEFT(C42,3)="12.",LEFT(E42,3)="12.",LEFT(E42,5)="CET &gt;",IFERROR(G42/$G$6,"")=0),NOT(AND(LEFT(E42,4)="12.8",IFERROR(G42/$G$6,"")&lt;&gt;0)),NOT(AND(LEFT(E42,5)="12.31",IFERROR(G42/$G$6,"")&lt;&gt;0)),NOT(AND(LEFT(E42,5)="12.32",IFERROR(G42/$G$6,"")&lt;&gt;0))),"", IFERROR(G42/$G$6,""))</f>
      </c>
      <c r="I42" s="73">
        <f>SUMIFS(
INDEX('ETPT Format DDG'!$A:$ZZ,,IFERROR(MATCH(E42,'ETPT Format DDG'!$2:$2,0),MATCH(C42,'ETPT Format DDG'!$2:$2,0))),
INDEX( 'ETPT Format DDG'!$A:$ZZ,,MATCH("Fonction agrégat",'ETPT Format DDG'!2:2,0)),"M-PLAC-ADD",
INDEX( 'ETPT Format DDG'!$A:$ZZ,,MATCH("Juridiction",'ETPT Format DDG'!2:2,0)),$A$3)</f>
      </c>
      <c r="J42" s="73">
        <f>SUMIFS(
INDEX('ETPT Format DDG'!$A:$ZZ,,IFERROR(MATCH(E42,'ETPT Format DDG'!$2:$2,0),MATCH(C42,'ETPT Format DDG'!$2:$2,0))),
INDEX( 'ETPT Format DDG'!$A:$ZZ,,MATCH("Fonction agrégat",'ETPT Format DDG'!2:2,0)),"M-PLAC-SUB",
INDEX( 'ETPT Format DDG'!$A:$ZZ,,MATCH("Juridiction",'ETPT Format DDG'!2:2,0)),$A$3)</f>
      </c>
      <c r="K42" s="73">
        <f>SUMIFS(
INDEX('ETPT Format DDG'!$A:$ZZ,,IFERROR(MATCH(E42,'ETPT Format DDG'!$2:$2,0),MATCH(C42,'ETPT Format DDG'!$2:$2,0))),
INDEX( 'ETPT Format DDG'!$A:$ZZ,,MATCH("Fonction agrégat",'ETPT Format DDG'!2:2,0)),"M-CONT",
INDEX( 'ETPT Format DDG'!$A:$ZZ,,MATCH("Juridiction",'ETPT Format DDG'!2:2,0)),$A$3,
INDEX( 'ETPT Format DDG'!$A:$ZZ,,MATCH("Catégorie",'ETPT Format DDG'!2:2,0)),"Magistrat")</f>
      </c>
      <c r="L42" s="71">
        <f>SUMIFS(
INDEX('ETPT Format DDG'!$A:$ZZ,,IFERROR(MATCH(E42,'ETPT Format DDG'!$2:$2,0),MATCH(C42,'ETPT Format DDG'!$2:$2,0))),
INDEX( 'ETPT Format DDG'!$A:$ZZ,,MATCH("Juridiction",'ETPT Format DDG'!2:2,0)),$A$3,
INDEX( 'ETPT Format DDG'!$A:$ZZ,,MATCH("Catégorie",'ETPT Format DDG'!2:2,0)),"Magistrat")</f>
      </c>
      <c r="M42" s="74">
        <f>IF(AND(OR(LEFT(C42,3)="12.",LEFT(E42,3)="12.",LEFT(E42,5)="CET &gt;", IFERROR(L42/$L$6,"")=0),NOT(AND(LEFT(E42,4)="12.8",IFERROR(G42/$G$6,"")&lt;&gt;0)),NOT(AND(LEFT(E42,5)="12.31",IFERROR(L42/$G$6,"")&lt;&gt;0)),NOT(AND(LEFT(E42,5)="12.32",IFERROR(L42/$G$6,"")&lt;&gt;0))),"", IFERROR(L42/$L$6,""))</f>
      </c>
      <c r="N42" s="73">
        <f>SUMIFS(
INDEX('ETPT Format DDG'!$A:$ZZ,,IFERROR(MATCH(E42,'ETPT Format DDG'!$2:$2,0),MATCH(C42,'ETPT Format DDG'!$2:$2,0))),
INDEX( 'ETPT Format DDG'!$A:$ZZ,,MATCH("Fonction agrégat",'ETPT Format DDG'!2:2,0)),"F-TIT",
INDEX( 'ETPT Format DDG'!$A:$ZZ,,MATCH("Juridiction",'ETPT Format DDG'!2:2,0)),$A$3)</f>
      </c>
      <c r="O42" s="72">
        <f>IF(AND(OR(LEFT(C42,3)="12.",LEFT(E42,3)="12.",LEFT(E42,5)="CET &gt;",IFERROR(N42/$N$6,"")=0),NOT(AND(LEFT(E42,4)="12.8",IFERROR(G42/$G$6,"")&lt;&gt;0)),NOT(AND(LEFT(E42,5)="12.31",IFERROR(N42/$G$6,"")&lt;&gt;0)),NOT(AND(LEFT(E42,5)="12.32",IFERROR(N42/$G$6,"")&lt;&gt;0))),"",IFERROR(N42/$N$6,""))</f>
      </c>
      <c r="P42" s="73">
        <f>SUMIFS(
INDEX('ETPT Format DDG'!$A:$FB,,IFERROR(MATCH(E42,'ETPT Format DDG'!$2:$2,0),MATCH(C42,'ETPT Format DDG'!$2:$2,0))),
INDEX( 'ETPT Format DDG'!$A:$ZZ,,MATCH("Fonction agrégat",'ETPT Format DDG'!2:2,0)),"F-PLAC-ADD",
INDEX( 'ETPT Format DDG'!$A:$ZZ,,MATCH("Juridiction",'ETPT Format DDG'!2:2,0)),$A$3)</f>
      </c>
      <c r="Q42" s="73">
        <f>SUMIFS(
INDEX('ETPT Format DDG'!$A:$FB,,IFERROR(MATCH(E42,'ETPT Format DDG'!$2:$2,0),MATCH(C42,'ETPT Format DDG'!$2:$2,0))),
INDEX( 'ETPT Format DDG'!$A:$ZZ,,MATCH("Fonction agrégat",'ETPT Format DDG'!2:2,0)),"F-PLAC-SUB",
INDEX( 'ETPT Format DDG'!$A:$ZZ,,MATCH("Juridiction",'ETPT Format DDG'!2:2,0)),$A$3)</f>
      </c>
      <c r="R42" s="73">
        <f>SUMIFS(
INDEX('ETPT Format DDG'!$A:$FB,,IFERROR(MATCH(E42,'ETPT Format DDG'!$2:$2,0),MATCH(C42,'ETPT Format DDG'!$2:$2,0))),
INDEX( 'ETPT Format DDG'!$A:$ZZ,,MATCH("Fonction agrégat",'ETPT Format DDG'!2:2,0)),"C",
'ETPT Format DDG'!$H:$H,"Greffe",
INDEX( 'ETPT Format DDG'!$A:$ZZ,,MATCH("Juridiction",'ETPT Format DDG'!2:2,0)),$A$3)</f>
      </c>
      <c r="S42" s="71">
        <f>SUMIFS(
INDEX('ETPT Format DDG'!$A:$FB,,IFERROR(MATCH(E42,'ETPT Format DDG'!$2:$2,0),MATCH(C42,'ETPT Format DDG'!$2:$2,0))),
INDEX( 'ETPT Format DDG'!$A:$ZZ,,MATCH("Catégorie",'ETPT Format DDG'!2:2,0)),"Greffe",
INDEX( 'ETPT Format DDG'!$A:$ZZ,,MATCH("Juridiction",'ETPT Format DDG'!2:2,0)),$A$3)</f>
      </c>
      <c r="T42" s="72">
        <f>IF(AND(OR(LEFT(C42,3)="12.",LEFT(E42,3)="12.",LEFT(E42,5)="CET &gt;",IFERROR(S42/$S$6,"")=0),NOT(AND(LEFT(E42,4)="12.8",IFERROR(G42/$G$6,"")&lt;&gt;0)),NOT(AND(LEFT(E42,5)="12.31",IFERROR(S42/$G$6,"")&lt;&gt;0)),NOT(AND(LEFT(E42,5)="12.32",IFERROR(S42/$G$6,"")&lt;&gt;0))),"", IFERROR(S42/$S$6,""))</f>
      </c>
      <c r="U42" s="71">
        <f>SUMIFS(
INDEX('ETPT Format DDG'!$A:$FB,,IFERROR(MATCH(E42,'ETPT Format DDG'!$2:$2,0),MATCH(C42,'ETPT Format DDG'!$2:$2,0))),
INDEX( 'ETPT Format DDG'!$A:$ZZ,,MATCH("Fonction agrégat",'ETPT Format DDG'!2:2,0)),"C",
INDEX( 'ETPT Format DDG'!$A:$ZZ,,MATCH("Juridiction",'ETPT Format DDG'!2:2,0)),$A$3,
INDEX( 'ETPT Format DDG'!$A:$ZZ,,MATCH("Catégorie",'ETPT Format DDG'!2:2,0)),"Autour du magistrat")</f>
      </c>
      <c r="V42" s="74">
        <f>IF(AND(OR(LEFT(C42,3)="12.",LEFT(E42,3)="12.",LEFT(E42,5)="CET &gt;",IFERROR(U42/$U$6,"")=0),NOT(AND(LEFT(E42,4)="12.8",IFERROR(G42/$G$6,"")&lt;&gt;0)),NOT(AND(LEFT(E42,5)="12.31",IFERROR(U42/$G$6,"")&lt;&gt;0)),NOT(AND(LEFT(E42,5)="12.32",IFERROR(U42/$G$6,"")&lt;&gt;0))),"", IFERROR(U42/$U$6,""))</f>
      </c>
    </row>
    <row r="43" ht="16" customHeight="1" spans="1:23" x14ac:dyDescent="0.25">
      <c r="A43" s="40"/>
      <c r="C43" s="68"/>
      <c r="D43" s="68"/>
      <c r="E43" s="69" t="s">
        <v>78</v>
      </c>
      <c r="F43" s="70" t="s">
        <v>78</v>
      </c>
      <c r="G43" s="71">
        <f>SUMIFS(
INDEX('ETPT Format DDG'!$A:$ZZ,,IFERROR(MATCH(E43,'ETPT Format DDG'!$2:$2,0),MATCH(C43,'ETPT Format DDG'!$2:$2,0))),
INDEX( 'ETPT Format DDG'!$A:$ZZ,,MATCH("Fonction agrégat",'ETPT Format DDG'!2:2,0)),"M-TIT",
INDEX( 'ETPT Format DDG'!$A:$ZZ,,MATCH("Juridiction",'ETPT Format DDG'!2:2,0)),$A$3)</f>
      </c>
      <c r="H43" s="72">
        <f>IF(AND(OR(LEFT(C43,3)="12.",LEFT(E43,3)="12.",LEFT(E43,5)="CET &gt;",IFERROR(G43/$G$6,"")=0),NOT(AND(LEFT(E43,4)="12.8",IFERROR(G43/$G$6,"")&lt;&gt;0)),NOT(AND(LEFT(E43,5)="12.31",IFERROR(G43/$G$6,"")&lt;&gt;0)),NOT(AND(LEFT(E43,5)="12.32",IFERROR(G43/$G$6,"")&lt;&gt;0))),"", IFERROR(G43/$G$6,""))</f>
      </c>
      <c r="I43" s="73">
        <f>SUMIFS(
INDEX('ETPT Format DDG'!$A:$ZZ,,IFERROR(MATCH(E43,'ETPT Format DDG'!$2:$2,0),MATCH(C43,'ETPT Format DDG'!$2:$2,0))),
INDEX( 'ETPT Format DDG'!$A:$ZZ,,MATCH("Fonction agrégat",'ETPT Format DDG'!2:2,0)),"M-PLAC-ADD",
INDEX( 'ETPT Format DDG'!$A:$ZZ,,MATCH("Juridiction",'ETPT Format DDG'!2:2,0)),$A$3)</f>
      </c>
      <c r="J43" s="73">
        <f>SUMIFS(
INDEX('ETPT Format DDG'!$A:$ZZ,,IFERROR(MATCH(E43,'ETPT Format DDG'!$2:$2,0),MATCH(C43,'ETPT Format DDG'!$2:$2,0))),
INDEX( 'ETPT Format DDG'!$A:$ZZ,,MATCH("Fonction agrégat",'ETPT Format DDG'!2:2,0)),"M-PLAC-SUB",
INDEX( 'ETPT Format DDG'!$A:$ZZ,,MATCH("Juridiction",'ETPT Format DDG'!2:2,0)),$A$3)</f>
      </c>
      <c r="K43" s="73">
        <f>SUMIFS(
INDEX('ETPT Format DDG'!$A:$ZZ,,IFERROR(MATCH(E43,'ETPT Format DDG'!$2:$2,0),MATCH(C43,'ETPT Format DDG'!$2:$2,0))),
INDEX( 'ETPT Format DDG'!$A:$ZZ,,MATCH("Fonction agrégat",'ETPT Format DDG'!2:2,0)),"M-CONT",
INDEX( 'ETPT Format DDG'!$A:$ZZ,,MATCH("Juridiction",'ETPT Format DDG'!2:2,0)),$A$3,
INDEX( 'ETPT Format DDG'!$A:$ZZ,,MATCH("Catégorie",'ETPT Format DDG'!2:2,0)),"Magistrat")</f>
      </c>
      <c r="L43" s="71">
        <f>SUMIFS(
INDEX('ETPT Format DDG'!$A:$ZZ,,IFERROR(MATCH(E43,'ETPT Format DDG'!$2:$2,0),MATCH(C43,'ETPT Format DDG'!$2:$2,0))),
INDEX( 'ETPT Format DDG'!$A:$ZZ,,MATCH("Juridiction",'ETPT Format DDG'!2:2,0)),$A$3,
INDEX( 'ETPT Format DDG'!$A:$ZZ,,MATCH("Catégorie",'ETPT Format DDG'!2:2,0)),"Magistrat")</f>
      </c>
      <c r="M43" s="74">
        <f>IF(AND(OR(LEFT(C43,3)="12.",LEFT(E43,3)="12.",LEFT(E43,5)="CET &gt;", IFERROR(L43/$L$6,"")=0),NOT(AND(LEFT(E43,4)="12.8",IFERROR(G43/$G$6,"")&lt;&gt;0)),NOT(AND(LEFT(E43,5)="12.31",IFERROR(L43/$G$6,"")&lt;&gt;0)),NOT(AND(LEFT(E43,5)="12.32",IFERROR(L43/$G$6,"")&lt;&gt;0))),"", IFERROR(L43/$L$6,""))</f>
      </c>
      <c r="N43" s="73">
        <f>SUMIFS(
INDEX('ETPT Format DDG'!$A:$ZZ,,IFERROR(MATCH(E43,'ETPT Format DDG'!$2:$2,0),MATCH(C43,'ETPT Format DDG'!$2:$2,0))),
INDEX( 'ETPT Format DDG'!$A:$ZZ,,MATCH("Fonction agrégat",'ETPT Format DDG'!2:2,0)),"F-TIT",
INDEX( 'ETPT Format DDG'!$A:$ZZ,,MATCH("Juridiction",'ETPT Format DDG'!2:2,0)),$A$3)</f>
      </c>
      <c r="O43" s="72">
        <f>IF(AND(OR(LEFT(C43,3)="12.",LEFT(E43,3)="12.",LEFT(E43,5)="CET &gt;",IFERROR(N43/$N$6,"")=0),NOT(AND(LEFT(E43,4)="12.8",IFERROR(G43/$G$6,"")&lt;&gt;0)),NOT(AND(LEFT(E43,5)="12.31",IFERROR(N43/$G$6,"")&lt;&gt;0)),NOT(AND(LEFT(E43,5)="12.32",IFERROR(N43/$G$6,"")&lt;&gt;0))),"",IFERROR(N43/$N$6,""))</f>
      </c>
      <c r="P43" s="73">
        <f>SUMIFS(
INDEX('ETPT Format DDG'!$A:$FB,,IFERROR(MATCH(E43,'ETPT Format DDG'!$2:$2,0),MATCH(C43,'ETPT Format DDG'!$2:$2,0))),
INDEX( 'ETPT Format DDG'!$A:$ZZ,,MATCH("Fonction agrégat",'ETPT Format DDG'!2:2,0)),"F-PLAC-ADD",
INDEX( 'ETPT Format DDG'!$A:$ZZ,,MATCH("Juridiction",'ETPT Format DDG'!2:2,0)),$A$3)</f>
      </c>
      <c r="Q43" s="73">
        <f>SUMIFS(
INDEX('ETPT Format DDG'!$A:$FB,,IFERROR(MATCH(E43,'ETPT Format DDG'!$2:$2,0),MATCH(C43,'ETPT Format DDG'!$2:$2,0))),
INDEX( 'ETPT Format DDG'!$A:$ZZ,,MATCH("Fonction agrégat",'ETPT Format DDG'!2:2,0)),"F-PLAC-SUB",
INDEX( 'ETPT Format DDG'!$A:$ZZ,,MATCH("Juridiction",'ETPT Format DDG'!2:2,0)),$A$3)</f>
      </c>
      <c r="R43" s="73">
        <f>SUMIFS(
INDEX('ETPT Format DDG'!$A:$FB,,IFERROR(MATCH(E43,'ETPT Format DDG'!$2:$2,0),MATCH(C43,'ETPT Format DDG'!$2:$2,0))),
INDEX( 'ETPT Format DDG'!$A:$ZZ,,MATCH("Fonction agrégat",'ETPT Format DDG'!2:2,0)),"C",
'ETPT Format DDG'!$H:$H,"Greffe",
INDEX( 'ETPT Format DDG'!$A:$ZZ,,MATCH("Juridiction",'ETPT Format DDG'!2:2,0)),$A$3)</f>
      </c>
      <c r="S43" s="71">
        <f>SUMIFS(
INDEX('ETPT Format DDG'!$A:$FB,,IFERROR(MATCH(E43,'ETPT Format DDG'!$2:$2,0),MATCH(C43,'ETPT Format DDG'!$2:$2,0))),
INDEX( 'ETPT Format DDG'!$A:$ZZ,,MATCH("Catégorie",'ETPT Format DDG'!2:2,0)),"Greffe",
INDEX( 'ETPT Format DDG'!$A:$ZZ,,MATCH("Juridiction",'ETPT Format DDG'!2:2,0)),$A$3)</f>
      </c>
      <c r="T43" s="72">
        <f>IF(AND(OR(LEFT(C43,3)="12.",LEFT(E43,3)="12.",LEFT(E43,5)="CET &gt;",IFERROR(S43/$S$6,"")=0),NOT(AND(LEFT(E43,4)="12.8",IFERROR(G43/$G$6,"")&lt;&gt;0)),NOT(AND(LEFT(E43,5)="12.31",IFERROR(S43/$G$6,"")&lt;&gt;0)),NOT(AND(LEFT(E43,5)="12.32",IFERROR(S43/$G$6,"")&lt;&gt;0))),"", IFERROR(S43/$S$6,""))</f>
      </c>
      <c r="U43" s="71">
        <f>SUMIFS(
INDEX('ETPT Format DDG'!$A:$FB,,IFERROR(MATCH(E43,'ETPT Format DDG'!$2:$2,0),MATCH(C43,'ETPT Format DDG'!$2:$2,0))),
INDEX( 'ETPT Format DDG'!$A:$ZZ,,MATCH("Fonction agrégat",'ETPT Format DDG'!2:2,0)),"C",
INDEX( 'ETPT Format DDG'!$A:$ZZ,,MATCH("Juridiction",'ETPT Format DDG'!2:2,0)),$A$3,
INDEX( 'ETPT Format DDG'!$A:$ZZ,,MATCH("Catégorie",'ETPT Format DDG'!2:2,0)),"Autour du magistrat")</f>
      </c>
      <c r="V43" s="74">
        <f>IF(AND(OR(LEFT(C43,3)="12.",LEFT(E43,3)="12.",LEFT(E43,5)="CET &gt;",IFERROR(U43/$U$6,"")=0),NOT(AND(LEFT(E43,4)="12.8",IFERROR(G43/$G$6,"")&lt;&gt;0)),NOT(AND(LEFT(E43,5)="12.31",IFERROR(U43/$G$6,"")&lt;&gt;0)),NOT(AND(LEFT(E43,5)="12.32",IFERROR(U43/$G$6,"")&lt;&gt;0))),"", IFERROR(U43/$U$6,""))</f>
      </c>
    </row>
    <row r="44" ht="16" customHeight="1" spans="1:23" x14ac:dyDescent="0.25">
      <c r="A44" s="40"/>
      <c r="C44" s="68"/>
      <c r="D44" s="68"/>
      <c r="E44" s="69" t="s">
        <v>79</v>
      </c>
      <c r="F44" s="70" t="s">
        <v>79</v>
      </c>
      <c r="G44" s="71">
        <f>SUMIFS(
INDEX('ETPT Format DDG'!$A:$ZZ,,IFERROR(MATCH(E44,'ETPT Format DDG'!$2:$2,0),MATCH(C44,'ETPT Format DDG'!$2:$2,0))),
INDEX( 'ETPT Format DDG'!$A:$ZZ,,MATCH("Fonction agrégat",'ETPT Format DDG'!2:2,0)),"M-TIT",
INDEX( 'ETPT Format DDG'!$A:$ZZ,,MATCH("Juridiction",'ETPT Format DDG'!2:2,0)),$A$3)</f>
      </c>
      <c r="H44" s="72">
        <f>IF(AND(OR(LEFT(C44,3)="12.",LEFT(E44,3)="12.",LEFT(E44,5)="CET &gt;",IFERROR(G44/$G$6,"")=0),NOT(AND(LEFT(E44,4)="12.8",IFERROR(G44/$G$6,"")&lt;&gt;0)),NOT(AND(LEFT(E44,5)="12.31",IFERROR(G44/$G$6,"")&lt;&gt;0)),NOT(AND(LEFT(E44,5)="12.32",IFERROR(G44/$G$6,"")&lt;&gt;0))),"", IFERROR(G44/$G$6,""))</f>
      </c>
      <c r="I44" s="73">
        <f>SUMIFS(
INDEX('ETPT Format DDG'!$A:$ZZ,,IFERROR(MATCH(E44,'ETPT Format DDG'!$2:$2,0),MATCH(C44,'ETPT Format DDG'!$2:$2,0))),
INDEX( 'ETPT Format DDG'!$A:$ZZ,,MATCH("Fonction agrégat",'ETPT Format DDG'!2:2,0)),"M-PLAC-ADD",
INDEX( 'ETPT Format DDG'!$A:$ZZ,,MATCH("Juridiction",'ETPT Format DDG'!2:2,0)),$A$3)</f>
      </c>
      <c r="J44" s="73">
        <f>SUMIFS(
INDEX('ETPT Format DDG'!$A:$ZZ,,IFERROR(MATCH(E44,'ETPT Format DDG'!$2:$2,0),MATCH(C44,'ETPT Format DDG'!$2:$2,0))),
INDEX( 'ETPT Format DDG'!$A:$ZZ,,MATCH("Fonction agrégat",'ETPT Format DDG'!2:2,0)),"M-PLAC-SUB",
INDEX( 'ETPT Format DDG'!$A:$ZZ,,MATCH("Juridiction",'ETPT Format DDG'!2:2,0)),$A$3)</f>
      </c>
      <c r="K44" s="73">
        <f>SUMIFS(
INDEX('ETPT Format DDG'!$A:$ZZ,,IFERROR(MATCH(E44,'ETPT Format DDG'!$2:$2,0),MATCH(C44,'ETPT Format DDG'!$2:$2,0))),
INDEX( 'ETPT Format DDG'!$A:$ZZ,,MATCH("Fonction agrégat",'ETPT Format DDG'!2:2,0)),"M-CONT",
INDEX( 'ETPT Format DDG'!$A:$ZZ,,MATCH("Juridiction",'ETPT Format DDG'!2:2,0)),$A$3,
INDEX( 'ETPT Format DDG'!$A:$ZZ,,MATCH("Catégorie",'ETPT Format DDG'!2:2,0)),"Magistrat")</f>
      </c>
      <c r="L44" s="71">
        <f>SUMIFS(
INDEX('ETPT Format DDG'!$A:$ZZ,,IFERROR(MATCH(E44,'ETPT Format DDG'!$2:$2,0),MATCH(C44,'ETPT Format DDG'!$2:$2,0))),
INDEX( 'ETPT Format DDG'!$A:$ZZ,,MATCH("Juridiction",'ETPT Format DDG'!2:2,0)),$A$3,
INDEX( 'ETPT Format DDG'!$A:$ZZ,,MATCH("Catégorie",'ETPT Format DDG'!2:2,0)),"Magistrat")</f>
      </c>
      <c r="M44" s="74">
        <f>IF(AND(OR(LEFT(C44,3)="12.",LEFT(E44,3)="12.",LEFT(E44,5)="CET &gt;", IFERROR(L44/$L$6,"")=0),NOT(AND(LEFT(E44,4)="12.8",IFERROR(G44/$G$6,"")&lt;&gt;0)),NOT(AND(LEFT(E44,5)="12.31",IFERROR(L44/$G$6,"")&lt;&gt;0)),NOT(AND(LEFT(E44,5)="12.32",IFERROR(L44/$G$6,"")&lt;&gt;0))),"", IFERROR(L44/$L$6,""))</f>
      </c>
      <c r="N44" s="73">
        <f>SUMIFS(
INDEX('ETPT Format DDG'!$A:$ZZ,,IFERROR(MATCH(E44,'ETPT Format DDG'!$2:$2,0),MATCH(C44,'ETPT Format DDG'!$2:$2,0))),
INDEX( 'ETPT Format DDG'!$A:$ZZ,,MATCH("Fonction agrégat",'ETPT Format DDG'!2:2,0)),"F-TIT",
INDEX( 'ETPT Format DDG'!$A:$ZZ,,MATCH("Juridiction",'ETPT Format DDG'!2:2,0)),$A$3)</f>
      </c>
      <c r="O44" s="72">
        <f>IF(AND(OR(LEFT(C44,3)="12.",LEFT(E44,3)="12.",LEFT(E44,5)="CET &gt;",IFERROR(N44/$N$6,"")=0),NOT(AND(LEFT(E44,4)="12.8",IFERROR(G44/$G$6,"")&lt;&gt;0)),NOT(AND(LEFT(E44,5)="12.31",IFERROR(N44/$G$6,"")&lt;&gt;0)),NOT(AND(LEFT(E44,5)="12.32",IFERROR(N44/$G$6,"")&lt;&gt;0))),"",IFERROR(N44/$N$6,""))</f>
      </c>
      <c r="P44" s="73">
        <f>SUMIFS(
INDEX('ETPT Format DDG'!$A:$FB,,IFERROR(MATCH(E44,'ETPT Format DDG'!$2:$2,0),MATCH(C44,'ETPT Format DDG'!$2:$2,0))),
INDEX( 'ETPT Format DDG'!$A:$ZZ,,MATCH("Fonction agrégat",'ETPT Format DDG'!2:2,0)),"F-PLAC-ADD",
INDEX( 'ETPT Format DDG'!$A:$ZZ,,MATCH("Juridiction",'ETPT Format DDG'!2:2,0)),$A$3)</f>
      </c>
      <c r="Q44" s="73">
        <f>SUMIFS(
INDEX('ETPT Format DDG'!$A:$FB,,IFERROR(MATCH(E44,'ETPT Format DDG'!$2:$2,0),MATCH(C44,'ETPT Format DDG'!$2:$2,0))),
INDEX( 'ETPT Format DDG'!$A:$ZZ,,MATCH("Fonction agrégat",'ETPT Format DDG'!2:2,0)),"F-PLAC-SUB",
INDEX( 'ETPT Format DDG'!$A:$ZZ,,MATCH("Juridiction",'ETPT Format DDG'!2:2,0)),$A$3)</f>
      </c>
      <c r="R44" s="73">
        <f>SUMIFS(
INDEX('ETPT Format DDG'!$A:$FB,,IFERROR(MATCH(E44,'ETPT Format DDG'!$2:$2,0),MATCH(C44,'ETPT Format DDG'!$2:$2,0))),
INDEX( 'ETPT Format DDG'!$A:$ZZ,,MATCH("Fonction agrégat",'ETPT Format DDG'!2:2,0)),"C",
'ETPT Format DDG'!$H:$H,"Greffe",
INDEX( 'ETPT Format DDG'!$A:$ZZ,,MATCH("Juridiction",'ETPT Format DDG'!2:2,0)),$A$3)</f>
      </c>
      <c r="S44" s="71">
        <f>SUMIFS(
INDEX('ETPT Format DDG'!$A:$FB,,IFERROR(MATCH(E44,'ETPT Format DDG'!$2:$2,0),MATCH(C44,'ETPT Format DDG'!$2:$2,0))),
INDEX( 'ETPT Format DDG'!$A:$ZZ,,MATCH("Catégorie",'ETPT Format DDG'!2:2,0)),"Greffe",
INDEX( 'ETPT Format DDG'!$A:$ZZ,,MATCH("Juridiction",'ETPT Format DDG'!2:2,0)),$A$3)</f>
      </c>
      <c r="T44" s="72">
        <f>IF(AND(OR(LEFT(C44,3)="12.",LEFT(E44,3)="12.",LEFT(E44,5)="CET &gt;",IFERROR(S44/$S$6,"")=0),NOT(AND(LEFT(E44,4)="12.8",IFERROR(G44/$G$6,"")&lt;&gt;0)),NOT(AND(LEFT(E44,5)="12.31",IFERROR(S44/$G$6,"")&lt;&gt;0)),NOT(AND(LEFT(E44,5)="12.32",IFERROR(S44/$G$6,"")&lt;&gt;0))),"", IFERROR(S44/$S$6,""))</f>
      </c>
      <c r="U44" s="71">
        <f>SUMIFS(
INDEX('ETPT Format DDG'!$A:$FB,,IFERROR(MATCH(E44,'ETPT Format DDG'!$2:$2,0),MATCH(C44,'ETPT Format DDG'!$2:$2,0))),
INDEX( 'ETPT Format DDG'!$A:$ZZ,,MATCH("Fonction agrégat",'ETPT Format DDG'!2:2,0)),"C",
INDEX( 'ETPT Format DDG'!$A:$ZZ,,MATCH("Juridiction",'ETPT Format DDG'!2:2,0)),$A$3,
INDEX( 'ETPT Format DDG'!$A:$ZZ,,MATCH("Catégorie",'ETPT Format DDG'!2:2,0)),"Autour du magistrat")</f>
      </c>
      <c r="V44" s="74">
        <f>IF(AND(OR(LEFT(C44,3)="12.",LEFT(E44,3)="12.",LEFT(E44,5)="CET &gt;",IFERROR(U44/$U$6,"")=0),NOT(AND(LEFT(E44,4)="12.8",IFERROR(G44/$G$6,"")&lt;&gt;0)),NOT(AND(LEFT(E44,5)="12.31",IFERROR(U44/$G$6,"")&lt;&gt;0)),NOT(AND(LEFT(E44,5)="12.32",IFERROR(U44/$G$6,"")&lt;&gt;0))),"", IFERROR(U44/$U$6,""))</f>
      </c>
    </row>
    <row r="45" ht="16" customHeight="1" spans="1:23" x14ac:dyDescent="0.25">
      <c r="A45" s="40"/>
      <c r="C45" s="68"/>
      <c r="D45" s="68"/>
      <c r="E45" s="69" t="s">
        <v>80</v>
      </c>
      <c r="F45" s="70" t="s">
        <v>80</v>
      </c>
      <c r="G45" s="71">
        <f>SUMIFS(
INDEX('ETPT Format DDG'!$A:$ZZ,,IFERROR(MATCH(E45,'ETPT Format DDG'!$2:$2,0),MATCH(C45,'ETPT Format DDG'!$2:$2,0))),
INDEX( 'ETPT Format DDG'!$A:$ZZ,,MATCH("Fonction agrégat",'ETPT Format DDG'!2:2,0)),"M-TIT",
INDEX( 'ETPT Format DDG'!$A:$ZZ,,MATCH("Juridiction",'ETPT Format DDG'!2:2,0)),$A$3)</f>
      </c>
      <c r="H45" s="72">
        <f>IF(AND(OR(LEFT(C45,3)="12.",LEFT(E45,3)="12.",LEFT(E45,5)="CET &gt;",IFERROR(G45/$G$6,"")=0),NOT(AND(LEFT(E45,4)="12.8",IFERROR(G45/$G$6,"")&lt;&gt;0)),NOT(AND(LEFT(E45,5)="12.31",IFERROR(G45/$G$6,"")&lt;&gt;0)),NOT(AND(LEFT(E45,5)="12.32",IFERROR(G45/$G$6,"")&lt;&gt;0))),"", IFERROR(G45/$G$6,""))</f>
      </c>
      <c r="I45" s="73">
        <f>SUMIFS(
INDEX('ETPT Format DDG'!$A:$ZZ,,IFERROR(MATCH(E45,'ETPT Format DDG'!$2:$2,0),MATCH(C45,'ETPT Format DDG'!$2:$2,0))),
INDEX( 'ETPT Format DDG'!$A:$ZZ,,MATCH("Fonction agrégat",'ETPT Format DDG'!2:2,0)),"M-PLAC-ADD",
INDEX( 'ETPT Format DDG'!$A:$ZZ,,MATCH("Juridiction",'ETPT Format DDG'!2:2,0)),$A$3)</f>
      </c>
      <c r="J45" s="73">
        <f>SUMIFS(
INDEX('ETPT Format DDG'!$A:$ZZ,,IFERROR(MATCH(E45,'ETPT Format DDG'!$2:$2,0),MATCH(C45,'ETPT Format DDG'!$2:$2,0))),
INDEX( 'ETPT Format DDG'!$A:$ZZ,,MATCH("Fonction agrégat",'ETPT Format DDG'!2:2,0)),"M-PLAC-SUB",
INDEX( 'ETPT Format DDG'!$A:$ZZ,,MATCH("Juridiction",'ETPT Format DDG'!2:2,0)),$A$3)</f>
      </c>
      <c r="K45" s="73">
        <f>SUMIFS(
INDEX('ETPT Format DDG'!$A:$ZZ,,IFERROR(MATCH(E45,'ETPT Format DDG'!$2:$2,0),MATCH(C45,'ETPT Format DDG'!$2:$2,0))),
INDEX( 'ETPT Format DDG'!$A:$ZZ,,MATCH("Fonction agrégat",'ETPT Format DDG'!2:2,0)),"M-CONT",
INDEX( 'ETPT Format DDG'!$A:$ZZ,,MATCH("Juridiction",'ETPT Format DDG'!2:2,0)),$A$3,
INDEX( 'ETPT Format DDG'!$A:$ZZ,,MATCH("Catégorie",'ETPT Format DDG'!2:2,0)),"Magistrat")</f>
      </c>
      <c r="L45" s="71">
        <f>SUMIFS(
INDEX('ETPT Format DDG'!$A:$ZZ,,IFERROR(MATCH(E45,'ETPT Format DDG'!$2:$2,0),MATCH(C45,'ETPT Format DDG'!$2:$2,0))),
INDEX( 'ETPT Format DDG'!$A:$ZZ,,MATCH("Juridiction",'ETPT Format DDG'!2:2,0)),$A$3,
INDEX( 'ETPT Format DDG'!$A:$ZZ,,MATCH("Catégorie",'ETPT Format DDG'!2:2,0)),"Magistrat")</f>
      </c>
      <c r="M45" s="74">
        <f>IF(AND(OR(LEFT(C45,3)="12.",LEFT(E45,3)="12.",LEFT(E45,5)="CET &gt;", IFERROR(L45/$L$6,"")=0),NOT(AND(LEFT(E45,4)="12.8",IFERROR(G45/$G$6,"")&lt;&gt;0)),NOT(AND(LEFT(E45,5)="12.31",IFERROR(L45/$G$6,"")&lt;&gt;0)),NOT(AND(LEFT(E45,5)="12.32",IFERROR(L45/$G$6,"")&lt;&gt;0))),"", IFERROR(L45/$L$6,""))</f>
      </c>
      <c r="N45" s="73">
        <f>SUMIFS(
INDEX('ETPT Format DDG'!$A:$ZZ,,IFERROR(MATCH(E45,'ETPT Format DDG'!$2:$2,0),MATCH(C45,'ETPT Format DDG'!$2:$2,0))),
INDEX( 'ETPT Format DDG'!$A:$ZZ,,MATCH("Fonction agrégat",'ETPT Format DDG'!2:2,0)),"F-TIT",
INDEX( 'ETPT Format DDG'!$A:$ZZ,,MATCH("Juridiction",'ETPT Format DDG'!2:2,0)),$A$3)</f>
      </c>
      <c r="O45" s="72">
        <f>IF(AND(OR(LEFT(C45,3)="12.",LEFT(E45,3)="12.",LEFT(E45,5)="CET &gt;",IFERROR(N45/$N$6,"")=0),NOT(AND(LEFT(E45,4)="12.8",IFERROR(G45/$G$6,"")&lt;&gt;0)),NOT(AND(LEFT(E45,5)="12.31",IFERROR(N45/$G$6,"")&lt;&gt;0)),NOT(AND(LEFT(E45,5)="12.32",IFERROR(N45/$G$6,"")&lt;&gt;0))),"",IFERROR(N45/$N$6,""))</f>
      </c>
      <c r="P45" s="73">
        <f>SUMIFS(
INDEX('ETPT Format DDG'!$A:$FB,,IFERROR(MATCH(E45,'ETPT Format DDG'!$2:$2,0),MATCH(C45,'ETPT Format DDG'!$2:$2,0))),
INDEX( 'ETPT Format DDG'!$A:$ZZ,,MATCH("Fonction agrégat",'ETPT Format DDG'!2:2,0)),"F-PLAC-ADD",
INDEX( 'ETPT Format DDG'!$A:$ZZ,,MATCH("Juridiction",'ETPT Format DDG'!2:2,0)),$A$3)</f>
      </c>
      <c r="Q45" s="73">
        <f>SUMIFS(
INDEX('ETPT Format DDG'!$A:$FB,,IFERROR(MATCH(E45,'ETPT Format DDG'!$2:$2,0),MATCH(C45,'ETPT Format DDG'!$2:$2,0))),
INDEX( 'ETPT Format DDG'!$A:$ZZ,,MATCH("Fonction agrégat",'ETPT Format DDG'!2:2,0)),"F-PLAC-SUB",
INDEX( 'ETPT Format DDG'!$A:$ZZ,,MATCH("Juridiction",'ETPT Format DDG'!2:2,0)),$A$3)</f>
      </c>
      <c r="R45" s="73">
        <f>SUMIFS(
INDEX('ETPT Format DDG'!$A:$FB,,IFERROR(MATCH(E45,'ETPT Format DDG'!$2:$2,0),MATCH(C45,'ETPT Format DDG'!$2:$2,0))),
INDEX( 'ETPT Format DDG'!$A:$ZZ,,MATCH("Fonction agrégat",'ETPT Format DDG'!2:2,0)),"C",
'ETPT Format DDG'!$H:$H,"Greffe",
INDEX( 'ETPT Format DDG'!$A:$ZZ,,MATCH("Juridiction",'ETPT Format DDG'!2:2,0)),$A$3)</f>
      </c>
      <c r="S45" s="71">
        <f>SUMIFS(
INDEX('ETPT Format DDG'!$A:$FB,,IFERROR(MATCH(E45,'ETPT Format DDG'!$2:$2,0),MATCH(C45,'ETPT Format DDG'!$2:$2,0))),
INDEX( 'ETPT Format DDG'!$A:$ZZ,,MATCH("Catégorie",'ETPT Format DDG'!2:2,0)),"Greffe",
INDEX( 'ETPT Format DDG'!$A:$ZZ,,MATCH("Juridiction",'ETPT Format DDG'!2:2,0)),$A$3)</f>
      </c>
      <c r="T45" s="72">
        <f>IF(AND(OR(LEFT(C45,3)="12.",LEFT(E45,3)="12.",LEFT(E45,5)="CET &gt;",IFERROR(S45/$S$6,"")=0),NOT(AND(LEFT(E45,4)="12.8",IFERROR(G45/$G$6,"")&lt;&gt;0)),NOT(AND(LEFT(E45,5)="12.31",IFERROR(S45/$G$6,"")&lt;&gt;0)),NOT(AND(LEFT(E45,5)="12.32",IFERROR(S45/$G$6,"")&lt;&gt;0))),"", IFERROR(S45/$S$6,""))</f>
      </c>
      <c r="U45" s="71">
        <f>SUMIFS(
INDEX('ETPT Format DDG'!$A:$FB,,IFERROR(MATCH(E45,'ETPT Format DDG'!$2:$2,0),MATCH(C45,'ETPT Format DDG'!$2:$2,0))),
INDEX( 'ETPT Format DDG'!$A:$ZZ,,MATCH("Fonction agrégat",'ETPT Format DDG'!2:2,0)),"C",
INDEX( 'ETPT Format DDG'!$A:$ZZ,,MATCH("Juridiction",'ETPT Format DDG'!2:2,0)),$A$3,
INDEX( 'ETPT Format DDG'!$A:$ZZ,,MATCH("Catégorie",'ETPT Format DDG'!2:2,0)),"Autour du magistrat")</f>
      </c>
      <c r="V45" s="74">
        <f>IF(AND(OR(LEFT(C45,3)="12.",LEFT(E45,3)="12.",LEFT(E45,5)="CET &gt;",IFERROR(U45/$U$6,"")=0),NOT(AND(LEFT(E45,4)="12.8",IFERROR(G45/$G$6,"")&lt;&gt;0)),NOT(AND(LEFT(E45,5)="12.31",IFERROR(U45/$G$6,"")&lt;&gt;0)),NOT(AND(LEFT(E45,5)="12.32",IFERROR(U45/$G$6,"")&lt;&gt;0))),"", IFERROR(U45/$U$6,""))</f>
      </c>
    </row>
    <row r="46" ht="16" customHeight="1" spans="1:23" x14ac:dyDescent="0.25">
      <c r="A46" s="40"/>
      <c r="C46" s="68"/>
      <c r="D46" s="68"/>
      <c r="E46" s="69" t="s">
        <v>81</v>
      </c>
      <c r="F46" s="70" t="s">
        <v>81</v>
      </c>
      <c r="G46" s="71">
        <f>SUMIFS(
INDEX('ETPT Format DDG'!$A:$ZZ,,IFERROR(MATCH(E46,'ETPT Format DDG'!$2:$2,0),MATCH(C46,'ETPT Format DDG'!$2:$2,0))),
INDEX( 'ETPT Format DDG'!$A:$ZZ,,MATCH("Fonction agrégat",'ETPT Format DDG'!2:2,0)),"M-TIT",
INDEX( 'ETPT Format DDG'!$A:$ZZ,,MATCH("Juridiction",'ETPT Format DDG'!2:2,0)),$A$3)</f>
      </c>
      <c r="H46" s="72">
        <f>IF(AND(OR(LEFT(C46,3)="12.",LEFT(E46,3)="12.",LEFT(E46,5)="CET &gt;",IFERROR(G46/$G$6,"")=0),NOT(AND(LEFT(E46,4)="12.8",IFERROR(G46/$G$6,"")&lt;&gt;0)),NOT(AND(LEFT(E46,5)="12.31",IFERROR(G46/$G$6,"")&lt;&gt;0)),NOT(AND(LEFT(E46,5)="12.32",IFERROR(G46/$G$6,"")&lt;&gt;0))),"", IFERROR(G46/$G$6,""))</f>
      </c>
      <c r="I46" s="73">
        <f>SUMIFS(
INDEX('ETPT Format DDG'!$A:$ZZ,,IFERROR(MATCH(E46,'ETPT Format DDG'!$2:$2,0),MATCH(C46,'ETPT Format DDG'!$2:$2,0))),
INDEX( 'ETPT Format DDG'!$A:$ZZ,,MATCH("Fonction agrégat",'ETPT Format DDG'!2:2,0)),"M-PLAC-ADD",
INDEX( 'ETPT Format DDG'!$A:$ZZ,,MATCH("Juridiction",'ETPT Format DDG'!2:2,0)),$A$3)</f>
      </c>
      <c r="J46" s="73">
        <f>SUMIFS(
INDEX('ETPT Format DDG'!$A:$ZZ,,IFERROR(MATCH(E46,'ETPT Format DDG'!$2:$2,0),MATCH(C46,'ETPT Format DDG'!$2:$2,0))),
INDEX( 'ETPT Format DDG'!$A:$ZZ,,MATCH("Fonction agrégat",'ETPT Format DDG'!2:2,0)),"M-PLAC-SUB",
INDEX( 'ETPT Format DDG'!$A:$ZZ,,MATCH("Juridiction",'ETPT Format DDG'!2:2,0)),$A$3)</f>
      </c>
      <c r="K46" s="73">
        <f>SUMIFS(
INDEX('ETPT Format DDG'!$A:$ZZ,,IFERROR(MATCH(E46,'ETPT Format DDG'!$2:$2,0),MATCH(C46,'ETPT Format DDG'!$2:$2,0))),
INDEX( 'ETPT Format DDG'!$A:$ZZ,,MATCH("Fonction agrégat",'ETPT Format DDG'!2:2,0)),"M-CONT",
INDEX( 'ETPT Format DDG'!$A:$ZZ,,MATCH("Juridiction",'ETPT Format DDG'!2:2,0)),$A$3,
INDEX( 'ETPT Format DDG'!$A:$ZZ,,MATCH("Catégorie",'ETPT Format DDG'!2:2,0)),"Magistrat")</f>
      </c>
      <c r="L46" s="71">
        <f>SUMIFS(
INDEX('ETPT Format DDG'!$A:$ZZ,,IFERROR(MATCH(E46,'ETPT Format DDG'!$2:$2,0),MATCH(C46,'ETPT Format DDG'!$2:$2,0))),
INDEX( 'ETPT Format DDG'!$A:$ZZ,,MATCH("Juridiction",'ETPT Format DDG'!2:2,0)),$A$3,
INDEX( 'ETPT Format DDG'!$A:$ZZ,,MATCH("Catégorie",'ETPT Format DDG'!2:2,0)),"Magistrat")</f>
      </c>
      <c r="M46" s="74">
        <f>IF(AND(OR(LEFT(C46,3)="12.",LEFT(E46,3)="12.",LEFT(E46,5)="CET &gt;", IFERROR(L46/$L$6,"")=0),NOT(AND(LEFT(E46,4)="12.8",IFERROR(G46/$G$6,"")&lt;&gt;0)),NOT(AND(LEFT(E46,5)="12.31",IFERROR(L46/$G$6,"")&lt;&gt;0)),NOT(AND(LEFT(E46,5)="12.32",IFERROR(L46/$G$6,"")&lt;&gt;0))),"", IFERROR(L46/$L$6,""))</f>
      </c>
      <c r="N46" s="73">
        <f>SUMIFS(
INDEX('ETPT Format DDG'!$A:$ZZ,,IFERROR(MATCH(E46,'ETPT Format DDG'!$2:$2,0),MATCH(C46,'ETPT Format DDG'!$2:$2,0))),
INDEX( 'ETPT Format DDG'!$A:$ZZ,,MATCH("Fonction agrégat",'ETPT Format DDG'!2:2,0)),"F-TIT",
INDEX( 'ETPT Format DDG'!$A:$ZZ,,MATCH("Juridiction",'ETPT Format DDG'!2:2,0)),$A$3)</f>
      </c>
      <c r="O46" s="72">
        <f>IF(AND(OR(LEFT(C46,3)="12.",LEFT(E46,3)="12.",LEFT(E46,5)="CET &gt;",IFERROR(N46/$N$6,"")=0),NOT(AND(LEFT(E46,4)="12.8",IFERROR(G46/$G$6,"")&lt;&gt;0)),NOT(AND(LEFT(E46,5)="12.31",IFERROR(N46/$G$6,"")&lt;&gt;0)),NOT(AND(LEFT(E46,5)="12.32",IFERROR(N46/$G$6,"")&lt;&gt;0))),"",IFERROR(N46/$N$6,""))</f>
      </c>
      <c r="P46" s="73">
        <f>SUMIFS(
INDEX('ETPT Format DDG'!$A:$FB,,IFERROR(MATCH(E46,'ETPT Format DDG'!$2:$2,0),MATCH(C46,'ETPT Format DDG'!$2:$2,0))),
INDEX( 'ETPT Format DDG'!$A:$ZZ,,MATCH("Fonction agrégat",'ETPT Format DDG'!2:2,0)),"F-PLAC-ADD",
INDEX( 'ETPT Format DDG'!$A:$ZZ,,MATCH("Juridiction",'ETPT Format DDG'!2:2,0)),$A$3)</f>
      </c>
      <c r="Q46" s="73">
        <f>SUMIFS(
INDEX('ETPT Format DDG'!$A:$FB,,IFERROR(MATCH(E46,'ETPT Format DDG'!$2:$2,0),MATCH(C46,'ETPT Format DDG'!$2:$2,0))),
INDEX( 'ETPT Format DDG'!$A:$ZZ,,MATCH("Fonction agrégat",'ETPT Format DDG'!2:2,0)),"F-PLAC-SUB",
INDEX( 'ETPT Format DDG'!$A:$ZZ,,MATCH("Juridiction",'ETPT Format DDG'!2:2,0)),$A$3)</f>
      </c>
      <c r="R46" s="73">
        <f>SUMIFS(
INDEX('ETPT Format DDG'!$A:$FB,,IFERROR(MATCH(E46,'ETPT Format DDG'!$2:$2,0),MATCH(C46,'ETPT Format DDG'!$2:$2,0))),
INDEX( 'ETPT Format DDG'!$A:$ZZ,,MATCH("Fonction agrégat",'ETPT Format DDG'!2:2,0)),"C",
'ETPT Format DDG'!$H:$H,"Greffe",
INDEX( 'ETPT Format DDG'!$A:$ZZ,,MATCH("Juridiction",'ETPT Format DDG'!2:2,0)),$A$3)</f>
      </c>
      <c r="S46" s="71">
        <f>SUMIFS(
INDEX('ETPT Format DDG'!$A:$FB,,IFERROR(MATCH(E46,'ETPT Format DDG'!$2:$2,0),MATCH(C46,'ETPT Format DDG'!$2:$2,0))),
INDEX( 'ETPT Format DDG'!$A:$ZZ,,MATCH("Catégorie",'ETPT Format DDG'!2:2,0)),"Greffe",
INDEX( 'ETPT Format DDG'!$A:$ZZ,,MATCH("Juridiction",'ETPT Format DDG'!2:2,0)),$A$3)</f>
      </c>
      <c r="T46" s="72">
        <f>IF(AND(OR(LEFT(C46,3)="12.",LEFT(E46,3)="12.",LEFT(E46,5)="CET &gt;",IFERROR(S46/$S$6,"")=0),NOT(AND(LEFT(E46,4)="12.8",IFERROR(G46/$G$6,"")&lt;&gt;0)),NOT(AND(LEFT(E46,5)="12.31",IFERROR(S46/$G$6,"")&lt;&gt;0)),NOT(AND(LEFT(E46,5)="12.32",IFERROR(S46/$G$6,"")&lt;&gt;0))),"", IFERROR(S46/$S$6,""))</f>
      </c>
      <c r="U46" s="71">
        <f>SUMIFS(
INDEX('ETPT Format DDG'!$A:$FB,,IFERROR(MATCH(E46,'ETPT Format DDG'!$2:$2,0),MATCH(C46,'ETPT Format DDG'!$2:$2,0))),
INDEX( 'ETPT Format DDG'!$A:$ZZ,,MATCH("Fonction agrégat",'ETPT Format DDG'!2:2,0)),"C",
INDEX( 'ETPT Format DDG'!$A:$ZZ,,MATCH("Juridiction",'ETPT Format DDG'!2:2,0)),$A$3,
INDEX( 'ETPT Format DDG'!$A:$ZZ,,MATCH("Catégorie",'ETPT Format DDG'!2:2,0)),"Autour du magistrat")</f>
      </c>
      <c r="V46" s="74">
        <f>IF(AND(OR(LEFT(C46,3)="12.",LEFT(E46,3)="12.",LEFT(E46,5)="CET &gt;",IFERROR(U46/$U$6,"")=0),NOT(AND(LEFT(E46,4)="12.8",IFERROR(G46/$G$6,"")&lt;&gt;0)),NOT(AND(LEFT(E46,5)="12.31",IFERROR(U46/$G$6,"")&lt;&gt;0)),NOT(AND(LEFT(E46,5)="12.32",IFERROR(U46/$G$6,"")&lt;&gt;0))),"", IFERROR(U46/$U$6,""))</f>
      </c>
    </row>
    <row r="47" ht="16" customHeight="1" spans="1:23" x14ac:dyDescent="0.25">
      <c r="A47" s="40"/>
      <c r="C47" s="68"/>
      <c r="D47" s="68"/>
      <c r="E47" s="69" t="s">
        <v>82</v>
      </c>
      <c r="F47" s="70" t="s">
        <v>82</v>
      </c>
      <c r="G47" s="71">
        <f>SUMIFS(
INDEX('ETPT Format DDG'!$A:$ZZ,,IFERROR(MATCH(E47,'ETPT Format DDG'!$2:$2,0),MATCH(C47,'ETPT Format DDG'!$2:$2,0))),
INDEX( 'ETPT Format DDG'!$A:$ZZ,,MATCH("Fonction agrégat",'ETPT Format DDG'!2:2,0)),"M-TIT",
INDEX( 'ETPT Format DDG'!$A:$ZZ,,MATCH("Juridiction",'ETPT Format DDG'!2:2,0)),$A$3)</f>
      </c>
      <c r="H47" s="72">
        <f>IF(AND(OR(LEFT(C47,3)="12.",LEFT(E47,3)="12.",LEFT(E47,5)="CET &gt;",IFERROR(G47/$G$6,"")=0),NOT(AND(LEFT(E47,4)="12.8",IFERROR(G47/$G$6,"")&lt;&gt;0)),NOT(AND(LEFT(E47,5)="12.31",IFERROR(G47/$G$6,"")&lt;&gt;0)),NOT(AND(LEFT(E47,5)="12.32",IFERROR(G47/$G$6,"")&lt;&gt;0))),"", IFERROR(G47/$G$6,""))</f>
      </c>
      <c r="I47" s="73">
        <f>SUMIFS(
INDEX('ETPT Format DDG'!$A:$ZZ,,IFERROR(MATCH(E47,'ETPT Format DDG'!$2:$2,0),MATCH(C47,'ETPT Format DDG'!$2:$2,0))),
INDEX( 'ETPT Format DDG'!$A:$ZZ,,MATCH("Fonction agrégat",'ETPT Format DDG'!2:2,0)),"M-PLAC-ADD",
INDEX( 'ETPT Format DDG'!$A:$ZZ,,MATCH("Juridiction",'ETPT Format DDG'!2:2,0)),$A$3)</f>
      </c>
      <c r="J47" s="73">
        <f>SUMIFS(
INDEX('ETPT Format DDG'!$A:$ZZ,,IFERROR(MATCH(E47,'ETPT Format DDG'!$2:$2,0),MATCH(C47,'ETPT Format DDG'!$2:$2,0))),
INDEX( 'ETPT Format DDG'!$A:$ZZ,,MATCH("Fonction agrégat",'ETPT Format DDG'!2:2,0)),"M-PLAC-SUB",
INDEX( 'ETPT Format DDG'!$A:$ZZ,,MATCH("Juridiction",'ETPT Format DDG'!2:2,0)),$A$3)</f>
      </c>
      <c r="K47" s="73">
        <f>SUMIFS(
INDEX('ETPT Format DDG'!$A:$ZZ,,IFERROR(MATCH(E47,'ETPT Format DDG'!$2:$2,0),MATCH(C47,'ETPT Format DDG'!$2:$2,0))),
INDEX( 'ETPT Format DDG'!$A:$ZZ,,MATCH("Fonction agrégat",'ETPT Format DDG'!2:2,0)),"M-CONT",
INDEX( 'ETPT Format DDG'!$A:$ZZ,,MATCH("Juridiction",'ETPT Format DDG'!2:2,0)),$A$3,
INDEX( 'ETPT Format DDG'!$A:$ZZ,,MATCH("Catégorie",'ETPT Format DDG'!2:2,0)),"Magistrat")</f>
      </c>
      <c r="L47" s="71">
        <f>SUMIFS(
INDEX('ETPT Format DDG'!$A:$ZZ,,IFERROR(MATCH(E47,'ETPT Format DDG'!$2:$2,0),MATCH(C47,'ETPT Format DDG'!$2:$2,0))),
INDEX( 'ETPT Format DDG'!$A:$ZZ,,MATCH("Juridiction",'ETPT Format DDG'!2:2,0)),$A$3,
INDEX( 'ETPT Format DDG'!$A:$ZZ,,MATCH("Catégorie",'ETPT Format DDG'!2:2,0)),"Magistrat")</f>
      </c>
      <c r="M47" s="74">
        <f>IF(AND(OR(LEFT(C47,3)="12.",LEFT(E47,3)="12.",LEFT(E47,5)="CET &gt;", IFERROR(L47/$L$6,"")=0),NOT(AND(LEFT(E47,4)="12.8",IFERROR(G47/$G$6,"")&lt;&gt;0)),NOT(AND(LEFT(E47,5)="12.31",IFERROR(L47/$G$6,"")&lt;&gt;0)),NOT(AND(LEFT(E47,5)="12.32",IFERROR(L47/$G$6,"")&lt;&gt;0))),"", IFERROR(L47/$L$6,""))</f>
      </c>
      <c r="N47" s="73">
        <f>SUMIFS(
INDEX('ETPT Format DDG'!$A:$ZZ,,IFERROR(MATCH(E47,'ETPT Format DDG'!$2:$2,0),MATCH(C47,'ETPT Format DDG'!$2:$2,0))),
INDEX( 'ETPT Format DDG'!$A:$ZZ,,MATCH("Fonction agrégat",'ETPT Format DDG'!2:2,0)),"F-TIT",
INDEX( 'ETPT Format DDG'!$A:$ZZ,,MATCH("Juridiction",'ETPT Format DDG'!2:2,0)),$A$3)</f>
      </c>
      <c r="O47" s="72">
        <f>IF(AND(OR(LEFT(C47,3)="12.",LEFT(E47,3)="12.",LEFT(E47,5)="CET &gt;",IFERROR(N47/$N$6,"")=0),NOT(AND(LEFT(E47,4)="12.8",IFERROR(G47/$G$6,"")&lt;&gt;0)),NOT(AND(LEFT(E47,5)="12.31",IFERROR(N47/$G$6,"")&lt;&gt;0)),NOT(AND(LEFT(E47,5)="12.32",IFERROR(N47/$G$6,"")&lt;&gt;0))),"",IFERROR(N47/$N$6,""))</f>
      </c>
      <c r="P47" s="73">
        <f>SUMIFS(
INDEX('ETPT Format DDG'!$A:$FB,,IFERROR(MATCH(E47,'ETPT Format DDG'!$2:$2,0),MATCH(C47,'ETPT Format DDG'!$2:$2,0))),
INDEX( 'ETPT Format DDG'!$A:$ZZ,,MATCH("Fonction agrégat",'ETPT Format DDG'!2:2,0)),"F-PLAC-ADD",
INDEX( 'ETPT Format DDG'!$A:$ZZ,,MATCH("Juridiction",'ETPT Format DDG'!2:2,0)),$A$3)</f>
      </c>
      <c r="Q47" s="73">
        <f>SUMIFS(
INDEX('ETPT Format DDG'!$A:$FB,,IFERROR(MATCH(E47,'ETPT Format DDG'!$2:$2,0),MATCH(C47,'ETPT Format DDG'!$2:$2,0))),
INDEX( 'ETPT Format DDG'!$A:$ZZ,,MATCH("Fonction agrégat",'ETPT Format DDG'!2:2,0)),"F-PLAC-SUB",
INDEX( 'ETPT Format DDG'!$A:$ZZ,,MATCH("Juridiction",'ETPT Format DDG'!2:2,0)),$A$3)</f>
      </c>
      <c r="R47" s="73">
        <f>SUMIFS(
INDEX('ETPT Format DDG'!$A:$FB,,IFERROR(MATCH(E47,'ETPT Format DDG'!$2:$2,0),MATCH(C47,'ETPT Format DDG'!$2:$2,0))),
INDEX( 'ETPT Format DDG'!$A:$ZZ,,MATCH("Fonction agrégat",'ETPT Format DDG'!2:2,0)),"C",
'ETPT Format DDG'!$H:$H,"Greffe",
INDEX( 'ETPT Format DDG'!$A:$ZZ,,MATCH("Juridiction",'ETPT Format DDG'!2:2,0)),$A$3)</f>
      </c>
      <c r="S47" s="71">
        <f>SUMIFS(
INDEX('ETPT Format DDG'!$A:$FB,,IFERROR(MATCH(E47,'ETPT Format DDG'!$2:$2,0),MATCH(C47,'ETPT Format DDG'!$2:$2,0))),
INDEX( 'ETPT Format DDG'!$A:$ZZ,,MATCH("Catégorie",'ETPT Format DDG'!2:2,0)),"Greffe",
INDEX( 'ETPT Format DDG'!$A:$ZZ,,MATCH("Juridiction",'ETPT Format DDG'!2:2,0)),$A$3)</f>
      </c>
      <c r="T47" s="72">
        <f>IF(AND(OR(LEFT(C47,3)="12.",LEFT(E47,3)="12.",LEFT(E47,5)="CET &gt;",IFERROR(S47/$S$6,"")=0),NOT(AND(LEFT(E47,4)="12.8",IFERROR(G47/$G$6,"")&lt;&gt;0)),NOT(AND(LEFT(E47,5)="12.31",IFERROR(S47/$G$6,"")&lt;&gt;0)),NOT(AND(LEFT(E47,5)="12.32",IFERROR(S47/$G$6,"")&lt;&gt;0))),"", IFERROR(S47/$S$6,""))</f>
      </c>
      <c r="U47" s="71">
        <f>SUMIFS(
INDEX('ETPT Format DDG'!$A:$FB,,IFERROR(MATCH(E47,'ETPT Format DDG'!$2:$2,0),MATCH(C47,'ETPT Format DDG'!$2:$2,0))),
INDEX( 'ETPT Format DDG'!$A:$ZZ,,MATCH("Fonction agrégat",'ETPT Format DDG'!2:2,0)),"C",
INDEX( 'ETPT Format DDG'!$A:$ZZ,,MATCH("Juridiction",'ETPT Format DDG'!2:2,0)),$A$3,
INDEX( 'ETPT Format DDG'!$A:$ZZ,,MATCH("Catégorie",'ETPT Format DDG'!2:2,0)),"Autour du magistrat")</f>
      </c>
      <c r="V47" s="74">
        <f>IF(AND(OR(LEFT(C47,3)="12.",LEFT(E47,3)="12.",LEFT(E47,5)="CET &gt;",IFERROR(U47/$U$6,"")=0),NOT(AND(LEFT(E47,4)="12.8",IFERROR(G47/$G$6,"")&lt;&gt;0)),NOT(AND(LEFT(E47,5)="12.31",IFERROR(U47/$G$6,"")&lt;&gt;0)),NOT(AND(LEFT(E47,5)="12.32",IFERROR(U47/$G$6,"")&lt;&gt;0))),"", IFERROR(U47/$U$6,""))</f>
      </c>
    </row>
    <row r="48" ht="16" customHeight="1" spans="1:23" x14ac:dyDescent="0.25">
      <c r="A48" s="40"/>
      <c r="C48" s="68"/>
      <c r="D48" s="68"/>
      <c r="E48" s="69" t="s">
        <v>83</v>
      </c>
      <c r="F48" s="70" t="s">
        <v>83</v>
      </c>
      <c r="G48" s="71">
        <f>SUMIFS(
INDEX('ETPT Format DDG'!$A:$ZZ,,IFERROR(MATCH(E48,'ETPT Format DDG'!$2:$2,0),MATCH(C48,'ETPT Format DDG'!$2:$2,0))),
INDEX( 'ETPT Format DDG'!$A:$ZZ,,MATCH("Fonction agrégat",'ETPT Format DDG'!2:2,0)),"M-TIT",
INDEX( 'ETPT Format DDG'!$A:$ZZ,,MATCH("Juridiction",'ETPT Format DDG'!2:2,0)),$A$3)</f>
      </c>
      <c r="H48" s="72">
        <f>IF(AND(OR(LEFT(C48,3)="12.",LEFT(E48,3)="12.",LEFT(E48,5)="CET &gt;",IFERROR(G48/$G$6,"")=0),NOT(AND(LEFT(E48,4)="12.8",IFERROR(G48/$G$6,"")&lt;&gt;0)),NOT(AND(LEFT(E48,5)="12.31",IFERROR(G48/$G$6,"")&lt;&gt;0)),NOT(AND(LEFT(E48,5)="12.32",IFERROR(G48/$G$6,"")&lt;&gt;0))),"", IFERROR(G48/$G$6,""))</f>
      </c>
      <c r="I48" s="73">
        <f>SUMIFS(
INDEX('ETPT Format DDG'!$A:$ZZ,,IFERROR(MATCH(E48,'ETPT Format DDG'!$2:$2,0),MATCH(C48,'ETPT Format DDG'!$2:$2,0))),
INDEX( 'ETPT Format DDG'!$A:$ZZ,,MATCH("Fonction agrégat",'ETPT Format DDG'!2:2,0)),"M-PLAC-ADD",
INDEX( 'ETPT Format DDG'!$A:$ZZ,,MATCH("Juridiction",'ETPT Format DDG'!2:2,0)),$A$3)</f>
      </c>
      <c r="J48" s="73">
        <f>SUMIFS(
INDEX('ETPT Format DDG'!$A:$ZZ,,IFERROR(MATCH(E48,'ETPT Format DDG'!$2:$2,0),MATCH(C48,'ETPT Format DDG'!$2:$2,0))),
INDEX( 'ETPT Format DDG'!$A:$ZZ,,MATCH("Fonction agrégat",'ETPT Format DDG'!2:2,0)),"M-PLAC-SUB",
INDEX( 'ETPT Format DDG'!$A:$ZZ,,MATCH("Juridiction",'ETPT Format DDG'!2:2,0)),$A$3)</f>
      </c>
      <c r="K48" s="73">
        <f>SUMIFS(
INDEX('ETPT Format DDG'!$A:$ZZ,,IFERROR(MATCH(E48,'ETPT Format DDG'!$2:$2,0),MATCH(C48,'ETPT Format DDG'!$2:$2,0))),
INDEX( 'ETPT Format DDG'!$A:$ZZ,,MATCH("Fonction agrégat",'ETPT Format DDG'!2:2,0)),"M-CONT",
INDEX( 'ETPT Format DDG'!$A:$ZZ,,MATCH("Juridiction",'ETPT Format DDG'!2:2,0)),$A$3,
INDEX( 'ETPT Format DDG'!$A:$ZZ,,MATCH("Catégorie",'ETPT Format DDG'!2:2,0)),"Magistrat")</f>
      </c>
      <c r="L48" s="71">
        <f>SUMIFS(
INDEX('ETPT Format DDG'!$A:$ZZ,,IFERROR(MATCH(E48,'ETPT Format DDG'!$2:$2,0),MATCH(C48,'ETPT Format DDG'!$2:$2,0))),
INDEX( 'ETPT Format DDG'!$A:$ZZ,,MATCH("Juridiction",'ETPT Format DDG'!2:2,0)),$A$3,
INDEX( 'ETPT Format DDG'!$A:$ZZ,,MATCH("Catégorie",'ETPT Format DDG'!2:2,0)),"Magistrat")</f>
      </c>
      <c r="M48" s="74">
        <f>IF(AND(OR(LEFT(C48,3)="12.",LEFT(E48,3)="12.",LEFT(E48,5)="CET &gt;", IFERROR(L48/$L$6,"")=0),NOT(AND(LEFT(E48,4)="12.8",IFERROR(G48/$G$6,"")&lt;&gt;0)),NOT(AND(LEFT(E48,5)="12.31",IFERROR(L48/$G$6,"")&lt;&gt;0)),NOT(AND(LEFT(E48,5)="12.32",IFERROR(L48/$G$6,"")&lt;&gt;0))),"", IFERROR(L48/$L$6,""))</f>
      </c>
      <c r="N48" s="73">
        <f>SUMIFS(
INDEX('ETPT Format DDG'!$A:$ZZ,,IFERROR(MATCH(E48,'ETPT Format DDG'!$2:$2,0),MATCH(C48,'ETPT Format DDG'!$2:$2,0))),
INDEX( 'ETPT Format DDG'!$A:$ZZ,,MATCH("Fonction agrégat",'ETPT Format DDG'!2:2,0)),"F-TIT",
INDEX( 'ETPT Format DDG'!$A:$ZZ,,MATCH("Juridiction",'ETPT Format DDG'!2:2,0)),$A$3)</f>
      </c>
      <c r="O48" s="72">
        <f>IF(AND(OR(LEFT(C48,3)="12.",LEFT(E48,3)="12.",LEFT(E48,5)="CET &gt;",IFERROR(N48/$N$6,"")=0),NOT(AND(LEFT(E48,4)="12.8",IFERROR(G48/$G$6,"")&lt;&gt;0)),NOT(AND(LEFT(E48,5)="12.31",IFERROR(N48/$G$6,"")&lt;&gt;0)),NOT(AND(LEFT(E48,5)="12.32",IFERROR(N48/$G$6,"")&lt;&gt;0))),"",IFERROR(N48/$N$6,""))</f>
      </c>
      <c r="P48" s="73">
        <f>SUMIFS(
INDEX('ETPT Format DDG'!$A:$FB,,IFERROR(MATCH(E48,'ETPT Format DDG'!$2:$2,0),MATCH(C48,'ETPT Format DDG'!$2:$2,0))),
INDEX( 'ETPT Format DDG'!$A:$ZZ,,MATCH("Fonction agrégat",'ETPT Format DDG'!2:2,0)),"F-PLAC-ADD",
INDEX( 'ETPT Format DDG'!$A:$ZZ,,MATCH("Juridiction",'ETPT Format DDG'!2:2,0)),$A$3)</f>
      </c>
      <c r="Q48" s="73">
        <f>SUMIFS(
INDEX('ETPT Format DDG'!$A:$FB,,IFERROR(MATCH(E48,'ETPT Format DDG'!$2:$2,0),MATCH(C48,'ETPT Format DDG'!$2:$2,0))),
INDEX( 'ETPT Format DDG'!$A:$ZZ,,MATCH("Fonction agrégat",'ETPT Format DDG'!2:2,0)),"F-PLAC-SUB",
INDEX( 'ETPT Format DDG'!$A:$ZZ,,MATCH("Juridiction",'ETPT Format DDG'!2:2,0)),$A$3)</f>
      </c>
      <c r="R48" s="73">
        <f>SUMIFS(
INDEX('ETPT Format DDG'!$A:$FB,,IFERROR(MATCH(E48,'ETPT Format DDG'!$2:$2,0),MATCH(C48,'ETPT Format DDG'!$2:$2,0))),
INDEX( 'ETPT Format DDG'!$A:$ZZ,,MATCH("Fonction agrégat",'ETPT Format DDG'!2:2,0)),"C",
'ETPT Format DDG'!$H:$H,"Greffe",
INDEX( 'ETPT Format DDG'!$A:$ZZ,,MATCH("Juridiction",'ETPT Format DDG'!2:2,0)),$A$3)</f>
      </c>
      <c r="S48" s="71">
        <f>SUMIFS(
INDEX('ETPT Format DDG'!$A:$FB,,IFERROR(MATCH(E48,'ETPT Format DDG'!$2:$2,0),MATCH(C48,'ETPT Format DDG'!$2:$2,0))),
INDEX( 'ETPT Format DDG'!$A:$ZZ,,MATCH("Catégorie",'ETPT Format DDG'!2:2,0)),"Greffe",
INDEX( 'ETPT Format DDG'!$A:$ZZ,,MATCH("Juridiction",'ETPT Format DDG'!2:2,0)),$A$3)</f>
      </c>
      <c r="T48" s="72">
        <f>IF(AND(OR(LEFT(C48,3)="12.",LEFT(E48,3)="12.",LEFT(E48,5)="CET &gt;",IFERROR(S48/$S$6,"")=0),NOT(AND(LEFT(E48,4)="12.8",IFERROR(G48/$G$6,"")&lt;&gt;0)),NOT(AND(LEFT(E48,5)="12.31",IFERROR(S48/$G$6,"")&lt;&gt;0)),NOT(AND(LEFT(E48,5)="12.32",IFERROR(S48/$G$6,"")&lt;&gt;0))),"", IFERROR(S48/$S$6,""))</f>
      </c>
      <c r="U48" s="71">
        <f>SUMIFS(
INDEX('ETPT Format DDG'!$A:$FB,,IFERROR(MATCH(E48,'ETPT Format DDG'!$2:$2,0),MATCH(C48,'ETPT Format DDG'!$2:$2,0))),
INDEX( 'ETPT Format DDG'!$A:$ZZ,,MATCH("Fonction agrégat",'ETPT Format DDG'!2:2,0)),"C",
INDEX( 'ETPT Format DDG'!$A:$ZZ,,MATCH("Juridiction",'ETPT Format DDG'!2:2,0)),$A$3,
INDEX( 'ETPT Format DDG'!$A:$ZZ,,MATCH("Catégorie",'ETPT Format DDG'!2:2,0)),"Autour du magistrat")</f>
      </c>
      <c r="V48" s="74">
        <f>IF(AND(OR(LEFT(C48,3)="12.",LEFT(E48,3)="12.",LEFT(E48,5)="CET &gt;",IFERROR(U48/$U$6,"")=0),NOT(AND(LEFT(E48,4)="12.8",IFERROR(G48/$G$6,"")&lt;&gt;0)),NOT(AND(LEFT(E48,5)="12.31",IFERROR(U48/$G$6,"")&lt;&gt;0)),NOT(AND(LEFT(E48,5)="12.32",IFERROR(U48/$G$6,"")&lt;&gt;0))),"", IFERROR(U48/$U$6,""))</f>
      </c>
    </row>
    <row r="49" ht="16" customHeight="1" spans="1:23" x14ac:dyDescent="0.25">
      <c r="A49" s="40"/>
      <c r="C49" s="68"/>
      <c r="D49" s="68"/>
      <c r="E49" s="69" t="s">
        <v>84</v>
      </c>
      <c r="F49" s="70" t="s">
        <v>84</v>
      </c>
      <c r="G49" s="71">
        <f>SUMIFS(
INDEX('ETPT Format DDG'!$A:$ZZ,,IFERROR(MATCH(E49,'ETPT Format DDG'!$2:$2,0),MATCH(C49,'ETPT Format DDG'!$2:$2,0))),
INDEX( 'ETPT Format DDG'!$A:$ZZ,,MATCH("Fonction agrégat",'ETPT Format DDG'!2:2,0)),"M-TIT",
INDEX( 'ETPT Format DDG'!$A:$ZZ,,MATCH("Juridiction",'ETPT Format DDG'!2:2,0)),$A$3)</f>
      </c>
      <c r="H49" s="72">
        <f>IF(AND(OR(LEFT(C49,3)="12.",LEFT(E49,3)="12.",LEFT(E49,5)="CET &gt;",IFERROR(G49/$G$6,"")=0),NOT(AND(LEFT(E49,4)="12.8",IFERROR(G49/$G$6,"")&lt;&gt;0)),NOT(AND(LEFT(E49,5)="12.31",IFERROR(G49/$G$6,"")&lt;&gt;0)),NOT(AND(LEFT(E49,5)="12.32",IFERROR(G49/$G$6,"")&lt;&gt;0))),"", IFERROR(G49/$G$6,""))</f>
      </c>
      <c r="I49" s="73">
        <f>SUMIFS(
INDEX('ETPT Format DDG'!$A:$ZZ,,IFERROR(MATCH(E49,'ETPT Format DDG'!$2:$2,0),MATCH(C49,'ETPT Format DDG'!$2:$2,0))),
INDEX( 'ETPT Format DDG'!$A:$ZZ,,MATCH("Fonction agrégat",'ETPT Format DDG'!2:2,0)),"M-PLAC-ADD",
INDEX( 'ETPT Format DDG'!$A:$ZZ,,MATCH("Juridiction",'ETPT Format DDG'!2:2,0)),$A$3)</f>
      </c>
      <c r="J49" s="73">
        <f>SUMIFS(
INDEX('ETPT Format DDG'!$A:$ZZ,,IFERROR(MATCH(E49,'ETPT Format DDG'!$2:$2,0),MATCH(C49,'ETPT Format DDG'!$2:$2,0))),
INDEX( 'ETPT Format DDG'!$A:$ZZ,,MATCH("Fonction agrégat",'ETPT Format DDG'!2:2,0)),"M-PLAC-SUB",
INDEX( 'ETPT Format DDG'!$A:$ZZ,,MATCH("Juridiction",'ETPT Format DDG'!2:2,0)),$A$3)</f>
      </c>
      <c r="K49" s="73">
        <f>SUMIFS(
INDEX('ETPT Format DDG'!$A:$ZZ,,IFERROR(MATCH(E49,'ETPT Format DDG'!$2:$2,0),MATCH(C49,'ETPT Format DDG'!$2:$2,0))),
INDEX( 'ETPT Format DDG'!$A:$ZZ,,MATCH("Fonction agrégat",'ETPT Format DDG'!2:2,0)),"M-CONT",
INDEX( 'ETPT Format DDG'!$A:$ZZ,,MATCH("Juridiction",'ETPT Format DDG'!2:2,0)),$A$3,
INDEX( 'ETPT Format DDG'!$A:$ZZ,,MATCH("Catégorie",'ETPT Format DDG'!2:2,0)),"Magistrat")</f>
      </c>
      <c r="L49" s="71">
        <f>SUMIFS(
INDEX('ETPT Format DDG'!$A:$ZZ,,IFERROR(MATCH(E49,'ETPT Format DDG'!$2:$2,0),MATCH(C49,'ETPT Format DDG'!$2:$2,0))),
INDEX( 'ETPT Format DDG'!$A:$ZZ,,MATCH("Juridiction",'ETPT Format DDG'!2:2,0)),$A$3,
INDEX( 'ETPT Format DDG'!$A:$ZZ,,MATCH("Catégorie",'ETPT Format DDG'!2:2,0)),"Magistrat")</f>
      </c>
      <c r="M49" s="74">
        <f>IF(AND(OR(LEFT(C49,3)="12.",LEFT(E49,3)="12.",LEFT(E49,5)="CET &gt;", IFERROR(L49/$L$6,"")=0),NOT(AND(LEFT(E49,4)="12.8",IFERROR(G49/$G$6,"")&lt;&gt;0)),NOT(AND(LEFT(E49,5)="12.31",IFERROR(L49/$G$6,"")&lt;&gt;0)),NOT(AND(LEFT(E49,5)="12.32",IFERROR(L49/$G$6,"")&lt;&gt;0))),"", IFERROR(L49/$L$6,""))</f>
      </c>
      <c r="N49" s="73">
        <f>SUMIFS(
INDEX('ETPT Format DDG'!$A:$ZZ,,IFERROR(MATCH(E49,'ETPT Format DDG'!$2:$2,0),MATCH(C49,'ETPT Format DDG'!$2:$2,0))),
INDEX( 'ETPT Format DDG'!$A:$ZZ,,MATCH("Fonction agrégat",'ETPT Format DDG'!2:2,0)),"F-TIT",
INDEX( 'ETPT Format DDG'!$A:$ZZ,,MATCH("Juridiction",'ETPT Format DDG'!2:2,0)),$A$3)</f>
      </c>
      <c r="O49" s="72">
        <f>IF(AND(OR(LEFT(C49,3)="12.",LEFT(E49,3)="12.",LEFT(E49,5)="CET &gt;",IFERROR(N49/$N$6,"")=0),NOT(AND(LEFT(E49,4)="12.8",IFERROR(G49/$G$6,"")&lt;&gt;0)),NOT(AND(LEFT(E49,5)="12.31",IFERROR(N49/$G$6,"")&lt;&gt;0)),NOT(AND(LEFT(E49,5)="12.32",IFERROR(N49/$G$6,"")&lt;&gt;0))),"",IFERROR(N49/$N$6,""))</f>
      </c>
      <c r="P49" s="73">
        <f>SUMIFS(
INDEX('ETPT Format DDG'!$A:$FB,,IFERROR(MATCH(E49,'ETPT Format DDG'!$2:$2,0),MATCH(C49,'ETPT Format DDG'!$2:$2,0))),
INDEX( 'ETPT Format DDG'!$A:$ZZ,,MATCH("Fonction agrégat",'ETPT Format DDG'!2:2,0)),"F-PLAC-ADD",
INDEX( 'ETPT Format DDG'!$A:$ZZ,,MATCH("Juridiction",'ETPT Format DDG'!2:2,0)),$A$3)</f>
      </c>
      <c r="Q49" s="73">
        <f>SUMIFS(
INDEX('ETPT Format DDG'!$A:$FB,,IFERROR(MATCH(E49,'ETPT Format DDG'!$2:$2,0),MATCH(C49,'ETPT Format DDG'!$2:$2,0))),
INDEX( 'ETPT Format DDG'!$A:$ZZ,,MATCH("Fonction agrégat",'ETPT Format DDG'!2:2,0)),"F-PLAC-SUB",
INDEX( 'ETPT Format DDG'!$A:$ZZ,,MATCH("Juridiction",'ETPT Format DDG'!2:2,0)),$A$3)</f>
      </c>
      <c r="R49" s="73">
        <f>SUMIFS(
INDEX('ETPT Format DDG'!$A:$FB,,IFERROR(MATCH(E49,'ETPT Format DDG'!$2:$2,0),MATCH(C49,'ETPT Format DDG'!$2:$2,0))),
INDEX( 'ETPT Format DDG'!$A:$ZZ,,MATCH("Fonction agrégat",'ETPT Format DDG'!2:2,0)),"C",
'ETPT Format DDG'!$H:$H,"Greffe",
INDEX( 'ETPT Format DDG'!$A:$ZZ,,MATCH("Juridiction",'ETPT Format DDG'!2:2,0)),$A$3)</f>
      </c>
      <c r="S49" s="71">
        <f>SUMIFS(
INDEX('ETPT Format DDG'!$A:$FB,,IFERROR(MATCH(E49,'ETPT Format DDG'!$2:$2,0),MATCH(C49,'ETPT Format DDG'!$2:$2,0))),
INDEX( 'ETPT Format DDG'!$A:$ZZ,,MATCH("Catégorie",'ETPT Format DDG'!2:2,0)),"Greffe",
INDEX( 'ETPT Format DDG'!$A:$ZZ,,MATCH("Juridiction",'ETPT Format DDG'!2:2,0)),$A$3)</f>
      </c>
      <c r="T49" s="72">
        <f>IF(AND(OR(LEFT(C49,3)="12.",LEFT(E49,3)="12.",LEFT(E49,5)="CET &gt;",IFERROR(S49/$S$6,"")=0),NOT(AND(LEFT(E49,4)="12.8",IFERROR(G49/$G$6,"")&lt;&gt;0)),NOT(AND(LEFT(E49,5)="12.31",IFERROR(S49/$G$6,"")&lt;&gt;0)),NOT(AND(LEFT(E49,5)="12.32",IFERROR(S49/$G$6,"")&lt;&gt;0))),"", IFERROR(S49/$S$6,""))</f>
      </c>
      <c r="U49" s="71">
        <f>SUMIFS(
INDEX('ETPT Format DDG'!$A:$FB,,IFERROR(MATCH(E49,'ETPT Format DDG'!$2:$2,0),MATCH(C49,'ETPT Format DDG'!$2:$2,0))),
INDEX( 'ETPT Format DDG'!$A:$ZZ,,MATCH("Fonction agrégat",'ETPT Format DDG'!2:2,0)),"C",
INDEX( 'ETPT Format DDG'!$A:$ZZ,,MATCH("Juridiction",'ETPT Format DDG'!2:2,0)),$A$3,
INDEX( 'ETPT Format DDG'!$A:$ZZ,,MATCH("Catégorie",'ETPT Format DDG'!2:2,0)),"Autour du magistrat")</f>
      </c>
      <c r="V49" s="74">
        <f>IF(AND(OR(LEFT(C49,3)="12.",LEFT(E49,3)="12.",LEFT(E49,5)="CET &gt;",IFERROR(U49/$U$6,"")=0),NOT(AND(LEFT(E49,4)="12.8",IFERROR(G49/$G$6,"")&lt;&gt;0)),NOT(AND(LEFT(E49,5)="12.31",IFERROR(U49/$G$6,"")&lt;&gt;0)),NOT(AND(LEFT(E49,5)="12.32",IFERROR(U49/$G$6,"")&lt;&gt;0))),"", IFERROR(U49/$U$6,""))</f>
      </c>
    </row>
    <row r="50" ht="16" customHeight="1" spans="1:23" x14ac:dyDescent="0.25">
      <c r="A50" s="40"/>
      <c r="C50" s="68"/>
      <c r="D50" s="68"/>
      <c r="E50" s="69" t="s">
        <v>85</v>
      </c>
      <c r="F50" s="70" t="s">
        <v>85</v>
      </c>
      <c r="G50" s="71">
        <f>SUMIFS(
INDEX('ETPT Format DDG'!$A:$ZZ,,IFERROR(MATCH(E50,'ETPT Format DDG'!$2:$2,0),MATCH(C50,'ETPT Format DDG'!$2:$2,0))),
INDEX( 'ETPT Format DDG'!$A:$ZZ,,MATCH("Fonction agrégat",'ETPT Format DDG'!2:2,0)),"M-TIT",
INDEX( 'ETPT Format DDG'!$A:$ZZ,,MATCH("Juridiction",'ETPT Format DDG'!2:2,0)),$A$3)</f>
      </c>
      <c r="H50" s="72">
        <f>IF(AND(OR(LEFT(C50,3)="12.",LEFT(E50,3)="12.",LEFT(E50,5)="CET &gt;",IFERROR(G50/$G$6,"")=0),NOT(AND(LEFT(E50,4)="12.8",IFERROR(G50/$G$6,"")&lt;&gt;0)),NOT(AND(LEFT(E50,5)="12.31",IFERROR(G50/$G$6,"")&lt;&gt;0)),NOT(AND(LEFT(E50,5)="12.32",IFERROR(G50/$G$6,"")&lt;&gt;0))),"", IFERROR(G50/$G$6,""))</f>
      </c>
      <c r="I50" s="73">
        <f>SUMIFS(
INDEX('ETPT Format DDG'!$A:$ZZ,,IFERROR(MATCH(E50,'ETPT Format DDG'!$2:$2,0),MATCH(C50,'ETPT Format DDG'!$2:$2,0))),
INDEX( 'ETPT Format DDG'!$A:$ZZ,,MATCH("Fonction agrégat",'ETPT Format DDG'!2:2,0)),"M-PLAC-ADD",
INDEX( 'ETPT Format DDG'!$A:$ZZ,,MATCH("Juridiction",'ETPT Format DDG'!2:2,0)),$A$3)</f>
      </c>
      <c r="J50" s="73">
        <f>SUMIFS(
INDEX('ETPT Format DDG'!$A:$ZZ,,IFERROR(MATCH(E50,'ETPT Format DDG'!$2:$2,0),MATCH(C50,'ETPT Format DDG'!$2:$2,0))),
INDEX( 'ETPT Format DDG'!$A:$ZZ,,MATCH("Fonction agrégat",'ETPT Format DDG'!2:2,0)),"M-PLAC-SUB",
INDEX( 'ETPT Format DDG'!$A:$ZZ,,MATCH("Juridiction",'ETPT Format DDG'!2:2,0)),$A$3)</f>
      </c>
      <c r="K50" s="73">
        <f>SUMIFS(
INDEX('ETPT Format DDG'!$A:$ZZ,,IFERROR(MATCH(E50,'ETPT Format DDG'!$2:$2,0),MATCH(C50,'ETPT Format DDG'!$2:$2,0))),
INDEX( 'ETPT Format DDG'!$A:$ZZ,,MATCH("Fonction agrégat",'ETPT Format DDG'!2:2,0)),"M-CONT",
INDEX( 'ETPT Format DDG'!$A:$ZZ,,MATCH("Juridiction",'ETPT Format DDG'!2:2,0)),$A$3,
INDEX( 'ETPT Format DDG'!$A:$ZZ,,MATCH("Catégorie",'ETPT Format DDG'!2:2,0)),"Magistrat")</f>
      </c>
      <c r="L50" s="71">
        <f>SUMIFS(
INDEX('ETPT Format DDG'!$A:$ZZ,,IFERROR(MATCH(E50,'ETPT Format DDG'!$2:$2,0),MATCH(C50,'ETPT Format DDG'!$2:$2,0))),
INDEX( 'ETPT Format DDG'!$A:$ZZ,,MATCH("Juridiction",'ETPT Format DDG'!2:2,0)),$A$3,
INDEX( 'ETPT Format DDG'!$A:$ZZ,,MATCH("Catégorie",'ETPT Format DDG'!2:2,0)),"Magistrat")</f>
      </c>
      <c r="M50" s="74">
        <f>IF(AND(OR(LEFT(C50,3)="12.",LEFT(E50,3)="12.",LEFT(E50,5)="CET &gt;", IFERROR(L50/$L$6,"")=0),NOT(AND(LEFT(E50,4)="12.8",IFERROR(G50/$G$6,"")&lt;&gt;0)),NOT(AND(LEFT(E50,5)="12.31",IFERROR(L50/$G$6,"")&lt;&gt;0)),NOT(AND(LEFT(E50,5)="12.32",IFERROR(L50/$G$6,"")&lt;&gt;0))),"", IFERROR(L50/$L$6,""))</f>
      </c>
      <c r="N50" s="73">
        <f>SUMIFS(
INDEX('ETPT Format DDG'!$A:$ZZ,,IFERROR(MATCH(E50,'ETPT Format DDG'!$2:$2,0),MATCH(C50,'ETPT Format DDG'!$2:$2,0))),
INDEX( 'ETPT Format DDG'!$A:$ZZ,,MATCH("Fonction agrégat",'ETPT Format DDG'!2:2,0)),"F-TIT",
INDEX( 'ETPT Format DDG'!$A:$ZZ,,MATCH("Juridiction",'ETPT Format DDG'!2:2,0)),$A$3)</f>
      </c>
      <c r="O50" s="72">
        <f>IF(AND(OR(LEFT(C50,3)="12.",LEFT(E50,3)="12.",LEFT(E50,5)="CET &gt;",IFERROR(N50/$N$6,"")=0),NOT(AND(LEFT(E50,4)="12.8",IFERROR(G50/$G$6,"")&lt;&gt;0)),NOT(AND(LEFT(E50,5)="12.31",IFERROR(N50/$G$6,"")&lt;&gt;0)),NOT(AND(LEFT(E50,5)="12.32",IFERROR(N50/$G$6,"")&lt;&gt;0))),"",IFERROR(N50/$N$6,""))</f>
      </c>
      <c r="P50" s="73">
        <f>SUMIFS(
INDEX('ETPT Format DDG'!$A:$FB,,IFERROR(MATCH(E50,'ETPT Format DDG'!$2:$2,0),MATCH(C50,'ETPT Format DDG'!$2:$2,0))),
INDEX( 'ETPT Format DDG'!$A:$ZZ,,MATCH("Fonction agrégat",'ETPT Format DDG'!2:2,0)),"F-PLAC-ADD",
INDEX( 'ETPT Format DDG'!$A:$ZZ,,MATCH("Juridiction",'ETPT Format DDG'!2:2,0)),$A$3)</f>
      </c>
      <c r="Q50" s="73">
        <f>SUMIFS(
INDEX('ETPT Format DDG'!$A:$FB,,IFERROR(MATCH(E50,'ETPT Format DDG'!$2:$2,0),MATCH(C50,'ETPT Format DDG'!$2:$2,0))),
INDEX( 'ETPT Format DDG'!$A:$ZZ,,MATCH("Fonction agrégat",'ETPT Format DDG'!2:2,0)),"F-PLAC-SUB",
INDEX( 'ETPT Format DDG'!$A:$ZZ,,MATCH("Juridiction",'ETPT Format DDG'!2:2,0)),$A$3)</f>
      </c>
      <c r="R50" s="73">
        <f>SUMIFS(
INDEX('ETPT Format DDG'!$A:$FB,,IFERROR(MATCH(E50,'ETPT Format DDG'!$2:$2,0),MATCH(C50,'ETPT Format DDG'!$2:$2,0))),
INDEX( 'ETPT Format DDG'!$A:$ZZ,,MATCH("Fonction agrégat",'ETPT Format DDG'!2:2,0)),"C",
'ETPT Format DDG'!$H:$H,"Greffe",
INDEX( 'ETPT Format DDG'!$A:$ZZ,,MATCH("Juridiction",'ETPT Format DDG'!2:2,0)),$A$3)</f>
      </c>
      <c r="S50" s="71">
        <f>SUMIFS(
INDEX('ETPT Format DDG'!$A:$FB,,IFERROR(MATCH(E50,'ETPT Format DDG'!$2:$2,0),MATCH(C50,'ETPT Format DDG'!$2:$2,0))),
INDEX( 'ETPT Format DDG'!$A:$ZZ,,MATCH("Catégorie",'ETPT Format DDG'!2:2,0)),"Greffe",
INDEX( 'ETPT Format DDG'!$A:$ZZ,,MATCH("Juridiction",'ETPT Format DDG'!2:2,0)),$A$3)</f>
      </c>
      <c r="T50" s="72">
        <f>IF(AND(OR(LEFT(C50,3)="12.",LEFT(E50,3)="12.",LEFT(E50,5)="CET &gt;",IFERROR(S50/$S$6,"")=0),NOT(AND(LEFT(E50,4)="12.8",IFERROR(G50/$G$6,"")&lt;&gt;0)),NOT(AND(LEFT(E50,5)="12.31",IFERROR(S50/$G$6,"")&lt;&gt;0)),NOT(AND(LEFT(E50,5)="12.32",IFERROR(S50/$G$6,"")&lt;&gt;0))),"", IFERROR(S50/$S$6,""))</f>
      </c>
      <c r="U50" s="71">
        <f>SUMIFS(
INDEX('ETPT Format DDG'!$A:$FB,,IFERROR(MATCH(E50,'ETPT Format DDG'!$2:$2,0),MATCH(C50,'ETPT Format DDG'!$2:$2,0))),
INDEX( 'ETPT Format DDG'!$A:$ZZ,,MATCH("Fonction agrégat",'ETPT Format DDG'!2:2,0)),"C",
INDEX( 'ETPT Format DDG'!$A:$ZZ,,MATCH("Juridiction",'ETPT Format DDG'!2:2,0)),$A$3,
INDEX( 'ETPT Format DDG'!$A:$ZZ,,MATCH("Catégorie",'ETPT Format DDG'!2:2,0)),"Autour du magistrat")</f>
      </c>
      <c r="V50" s="74">
        <f>IF(AND(OR(LEFT(C50,3)="12.",LEFT(E50,3)="12.",LEFT(E50,5)="CET &gt;",IFERROR(U50/$U$6,"")=0),NOT(AND(LEFT(E50,4)="12.8",IFERROR(G50/$G$6,"")&lt;&gt;0)),NOT(AND(LEFT(E50,5)="12.31",IFERROR(U50/$G$6,"")&lt;&gt;0)),NOT(AND(LEFT(E50,5)="12.32",IFERROR(U50/$G$6,"")&lt;&gt;0))),"", IFERROR(U50/$U$6,""))</f>
      </c>
    </row>
    <row r="51" ht="16" customHeight="1" spans="1:23" x14ac:dyDescent="0.25">
      <c r="A51" s="40"/>
      <c r="C51" s="68"/>
      <c r="D51" s="68"/>
      <c r="E51" s="69" t="s">
        <v>86</v>
      </c>
      <c r="F51" s="70" t="s">
        <v>86</v>
      </c>
      <c r="G51" s="71">
        <f>SUMIFS(
INDEX('ETPT Format DDG'!$A:$ZZ,,IFERROR(MATCH(E51,'ETPT Format DDG'!$2:$2,0),MATCH(C51,'ETPT Format DDG'!$2:$2,0))),
INDEX( 'ETPT Format DDG'!$A:$ZZ,,MATCH("Fonction agrégat",'ETPT Format DDG'!2:2,0)),"M-TIT",
INDEX( 'ETPT Format DDG'!$A:$ZZ,,MATCH("Juridiction",'ETPT Format DDG'!2:2,0)),$A$3)</f>
      </c>
      <c r="H51" s="72">
        <f>IF(AND(OR(LEFT(C51,3)="12.",LEFT(E51,3)="12.",LEFT(E51,5)="CET &gt;",IFERROR(G51/$G$6,"")=0),NOT(AND(LEFT(E51,4)="12.8",IFERROR(G51/$G$6,"")&lt;&gt;0)),NOT(AND(LEFT(E51,5)="12.31",IFERROR(G51/$G$6,"")&lt;&gt;0)),NOT(AND(LEFT(E51,5)="12.32",IFERROR(G51/$G$6,"")&lt;&gt;0))),"", IFERROR(G51/$G$6,""))</f>
      </c>
      <c r="I51" s="73">
        <f>SUMIFS(
INDEX('ETPT Format DDG'!$A:$ZZ,,IFERROR(MATCH(E51,'ETPT Format DDG'!$2:$2,0),MATCH(C51,'ETPT Format DDG'!$2:$2,0))),
INDEX( 'ETPT Format DDG'!$A:$ZZ,,MATCH("Fonction agrégat",'ETPT Format DDG'!2:2,0)),"M-PLAC-ADD",
INDEX( 'ETPT Format DDG'!$A:$ZZ,,MATCH("Juridiction",'ETPT Format DDG'!2:2,0)),$A$3)</f>
      </c>
      <c r="J51" s="73">
        <f>SUMIFS(
INDEX('ETPT Format DDG'!$A:$ZZ,,IFERROR(MATCH(E51,'ETPT Format DDG'!$2:$2,0),MATCH(C51,'ETPT Format DDG'!$2:$2,0))),
INDEX( 'ETPT Format DDG'!$A:$ZZ,,MATCH("Fonction agrégat",'ETPT Format DDG'!2:2,0)),"M-PLAC-SUB",
INDEX( 'ETPT Format DDG'!$A:$ZZ,,MATCH("Juridiction",'ETPT Format DDG'!2:2,0)),$A$3)</f>
      </c>
      <c r="K51" s="73">
        <f>SUMIFS(
INDEX('ETPT Format DDG'!$A:$ZZ,,IFERROR(MATCH(E51,'ETPT Format DDG'!$2:$2,0),MATCH(C51,'ETPT Format DDG'!$2:$2,0))),
INDEX( 'ETPT Format DDG'!$A:$ZZ,,MATCH("Fonction agrégat",'ETPT Format DDG'!2:2,0)),"M-CONT",
INDEX( 'ETPT Format DDG'!$A:$ZZ,,MATCH("Juridiction",'ETPT Format DDG'!2:2,0)),$A$3,
INDEX( 'ETPT Format DDG'!$A:$ZZ,,MATCH("Catégorie",'ETPT Format DDG'!2:2,0)),"Magistrat")</f>
      </c>
      <c r="L51" s="71">
        <f>SUMIFS(
INDEX('ETPT Format DDG'!$A:$ZZ,,IFERROR(MATCH(E51,'ETPT Format DDG'!$2:$2,0),MATCH(C51,'ETPT Format DDG'!$2:$2,0))),
INDEX( 'ETPT Format DDG'!$A:$ZZ,,MATCH("Juridiction",'ETPT Format DDG'!2:2,0)),$A$3,
INDEX( 'ETPT Format DDG'!$A:$ZZ,,MATCH("Catégorie",'ETPT Format DDG'!2:2,0)),"Magistrat")</f>
      </c>
      <c r="M51" s="74">
        <f>IF(AND(OR(LEFT(C51,3)="12.",LEFT(E51,3)="12.",LEFT(E51,5)="CET &gt;", IFERROR(L51/$L$6,"")=0),NOT(AND(LEFT(E51,4)="12.8",IFERROR(G51/$G$6,"")&lt;&gt;0)),NOT(AND(LEFT(E51,5)="12.31",IFERROR(L51/$G$6,"")&lt;&gt;0)),NOT(AND(LEFT(E51,5)="12.32",IFERROR(L51/$G$6,"")&lt;&gt;0))),"", IFERROR(L51/$L$6,""))</f>
      </c>
      <c r="N51" s="73">
        <f>SUMIFS(
INDEX('ETPT Format DDG'!$A:$ZZ,,IFERROR(MATCH(E51,'ETPT Format DDG'!$2:$2,0),MATCH(C51,'ETPT Format DDG'!$2:$2,0))),
INDEX( 'ETPT Format DDG'!$A:$ZZ,,MATCH("Fonction agrégat",'ETPT Format DDG'!2:2,0)),"F-TIT",
INDEX( 'ETPT Format DDG'!$A:$ZZ,,MATCH("Juridiction",'ETPT Format DDG'!2:2,0)),$A$3)</f>
      </c>
      <c r="O51" s="72">
        <f>IF(AND(OR(LEFT(C51,3)="12.",LEFT(E51,3)="12.",LEFT(E51,5)="CET &gt;",IFERROR(N51/$N$6,"")=0),NOT(AND(LEFT(E51,4)="12.8",IFERROR(G51/$G$6,"")&lt;&gt;0)),NOT(AND(LEFT(E51,5)="12.31",IFERROR(N51/$G$6,"")&lt;&gt;0)),NOT(AND(LEFT(E51,5)="12.32",IFERROR(N51/$G$6,"")&lt;&gt;0))),"",IFERROR(N51/$N$6,""))</f>
      </c>
      <c r="P51" s="73">
        <f>SUMIFS(
INDEX('ETPT Format DDG'!$A:$FB,,IFERROR(MATCH(E51,'ETPT Format DDG'!$2:$2,0),MATCH(C51,'ETPT Format DDG'!$2:$2,0))),
INDEX( 'ETPT Format DDG'!$A:$ZZ,,MATCH("Fonction agrégat",'ETPT Format DDG'!2:2,0)),"F-PLAC-ADD",
INDEX( 'ETPT Format DDG'!$A:$ZZ,,MATCH("Juridiction",'ETPT Format DDG'!2:2,0)),$A$3)</f>
      </c>
      <c r="Q51" s="73">
        <f>SUMIFS(
INDEX('ETPT Format DDG'!$A:$FB,,IFERROR(MATCH(E51,'ETPT Format DDG'!$2:$2,0),MATCH(C51,'ETPT Format DDG'!$2:$2,0))),
INDEX( 'ETPT Format DDG'!$A:$ZZ,,MATCH("Fonction agrégat",'ETPT Format DDG'!2:2,0)),"F-PLAC-SUB",
INDEX( 'ETPT Format DDG'!$A:$ZZ,,MATCH("Juridiction",'ETPT Format DDG'!2:2,0)),$A$3)</f>
      </c>
      <c r="R51" s="73">
        <f>SUMIFS(
INDEX('ETPT Format DDG'!$A:$FB,,IFERROR(MATCH(E51,'ETPT Format DDG'!$2:$2,0),MATCH(C51,'ETPT Format DDG'!$2:$2,0))),
INDEX( 'ETPT Format DDG'!$A:$ZZ,,MATCH("Fonction agrégat",'ETPT Format DDG'!2:2,0)),"C",
'ETPT Format DDG'!$H:$H,"Greffe",
INDEX( 'ETPT Format DDG'!$A:$ZZ,,MATCH("Juridiction",'ETPT Format DDG'!2:2,0)),$A$3)</f>
      </c>
      <c r="S51" s="71">
        <f>SUMIFS(
INDEX('ETPT Format DDG'!$A:$FB,,IFERROR(MATCH(E51,'ETPT Format DDG'!$2:$2,0),MATCH(C51,'ETPT Format DDG'!$2:$2,0))),
INDEX( 'ETPT Format DDG'!$A:$ZZ,,MATCH("Catégorie",'ETPT Format DDG'!2:2,0)),"Greffe",
INDEX( 'ETPT Format DDG'!$A:$ZZ,,MATCH("Juridiction",'ETPT Format DDG'!2:2,0)),$A$3)</f>
      </c>
      <c r="T51" s="72">
        <f>IF(AND(OR(LEFT(C51,3)="12.",LEFT(E51,3)="12.",LEFT(E51,5)="CET &gt;",IFERROR(S51/$S$6,"")=0),NOT(AND(LEFT(E51,4)="12.8",IFERROR(G51/$G$6,"")&lt;&gt;0)),NOT(AND(LEFT(E51,5)="12.31",IFERROR(S51/$G$6,"")&lt;&gt;0)),NOT(AND(LEFT(E51,5)="12.32",IFERROR(S51/$G$6,"")&lt;&gt;0))),"", IFERROR(S51/$S$6,""))</f>
      </c>
      <c r="U51" s="71">
        <f>SUMIFS(
INDEX('ETPT Format DDG'!$A:$FB,,IFERROR(MATCH(E51,'ETPT Format DDG'!$2:$2,0),MATCH(C51,'ETPT Format DDG'!$2:$2,0))),
INDEX( 'ETPT Format DDG'!$A:$ZZ,,MATCH("Fonction agrégat",'ETPT Format DDG'!2:2,0)),"C",
INDEX( 'ETPT Format DDG'!$A:$ZZ,,MATCH("Juridiction",'ETPT Format DDG'!2:2,0)),$A$3,
INDEX( 'ETPT Format DDG'!$A:$ZZ,,MATCH("Catégorie",'ETPT Format DDG'!2:2,0)),"Autour du magistrat")</f>
      </c>
      <c r="V51" s="74">
        <f>IF(AND(OR(LEFT(C51,3)="12.",LEFT(E51,3)="12.",LEFT(E51,5)="CET &gt;",IFERROR(U51/$U$6,"")=0),NOT(AND(LEFT(E51,4)="12.8",IFERROR(G51/$G$6,"")&lt;&gt;0)),NOT(AND(LEFT(E51,5)="12.31",IFERROR(U51/$G$6,"")&lt;&gt;0)),NOT(AND(LEFT(E51,5)="12.32",IFERROR(U51/$G$6,"")&lt;&gt;0))),"", IFERROR(U51/$U$6,""))</f>
      </c>
    </row>
    <row r="52" ht="16" customHeight="1" spans="1:23" x14ac:dyDescent="0.25">
      <c r="A52" s="40"/>
      <c r="C52" s="68" t="s">
        <v>87</v>
      </c>
      <c r="D52" s="68" t="s">
        <v>87</v>
      </c>
      <c r="E52" s="69"/>
      <c r="F52" s="70"/>
      <c r="G52" s="71">
        <f>SUMIFS(
INDEX('ETPT Format DDG'!$A:$ZZ,,IFERROR(MATCH(E52,'ETPT Format DDG'!$2:$2,0),MATCH(C52,'ETPT Format DDG'!$2:$2,0))),
INDEX( 'ETPT Format DDG'!$A:$ZZ,,MATCH("Fonction agrégat",'ETPT Format DDG'!2:2,0)),"M-TIT",
INDEX( 'ETPT Format DDG'!$A:$ZZ,,MATCH("Juridiction",'ETPT Format DDG'!2:2,0)),$A$3)</f>
      </c>
      <c r="H52" s="72">
        <f>IF(AND(OR(LEFT(C52,3)="12.",LEFT(E52,3)="12.",LEFT(E52,5)="CET &gt;",IFERROR(G52/$G$6,"")=0),NOT(AND(LEFT(E52,4)="12.8",IFERROR(G52/$G$6,"")&lt;&gt;0)),NOT(AND(LEFT(E52,5)="12.31",IFERROR(G52/$G$6,"")&lt;&gt;0)),NOT(AND(LEFT(E52,5)="12.32",IFERROR(G52/$G$6,"")&lt;&gt;0))),"", IFERROR(G52/$G$6,""))</f>
      </c>
      <c r="I52" s="73">
        <f>SUMIFS(
INDEX('ETPT Format DDG'!$A:$ZZ,,IFERROR(MATCH(E52,'ETPT Format DDG'!$2:$2,0),MATCH(C52,'ETPT Format DDG'!$2:$2,0))),
INDEX( 'ETPT Format DDG'!$A:$ZZ,,MATCH("Fonction agrégat",'ETPT Format DDG'!2:2,0)),"M-PLAC-ADD",
INDEX( 'ETPT Format DDG'!$A:$ZZ,,MATCH("Juridiction",'ETPT Format DDG'!2:2,0)),$A$3)</f>
      </c>
      <c r="J52" s="73">
        <f>SUMIFS(
INDEX('ETPT Format DDG'!$A:$ZZ,,IFERROR(MATCH(E52,'ETPT Format DDG'!$2:$2,0),MATCH(C52,'ETPT Format DDG'!$2:$2,0))),
INDEX( 'ETPT Format DDG'!$A:$ZZ,,MATCH("Fonction agrégat",'ETPT Format DDG'!2:2,0)),"M-PLAC-SUB",
INDEX( 'ETPT Format DDG'!$A:$ZZ,,MATCH("Juridiction",'ETPT Format DDG'!2:2,0)),$A$3)</f>
      </c>
      <c r="K52" s="73">
        <f>SUMIFS(
INDEX('ETPT Format DDG'!$A:$ZZ,,IFERROR(MATCH(E52,'ETPT Format DDG'!$2:$2,0),MATCH(C52,'ETPT Format DDG'!$2:$2,0))),
INDEX( 'ETPT Format DDG'!$A:$ZZ,,MATCH("Fonction agrégat",'ETPT Format DDG'!2:2,0)),"M-CONT",
INDEX( 'ETPT Format DDG'!$A:$ZZ,,MATCH("Juridiction",'ETPT Format DDG'!2:2,0)),$A$3,
INDEX( 'ETPT Format DDG'!$A:$ZZ,,MATCH("Catégorie",'ETPT Format DDG'!2:2,0)),"Magistrat")</f>
      </c>
      <c r="L52" s="71">
        <f>SUMIFS(
INDEX('ETPT Format DDG'!$A:$ZZ,,IFERROR(MATCH(E52,'ETPT Format DDG'!$2:$2,0),MATCH(C52,'ETPT Format DDG'!$2:$2,0))),
INDEX( 'ETPT Format DDG'!$A:$ZZ,,MATCH("Juridiction",'ETPT Format DDG'!2:2,0)),$A$3,
INDEX( 'ETPT Format DDG'!$A:$ZZ,,MATCH("Catégorie",'ETPT Format DDG'!2:2,0)),"Magistrat")</f>
      </c>
      <c r="M52" s="74">
        <f>IF(AND(OR(LEFT(C52,3)="12.",LEFT(E52,3)="12.",LEFT(E52,5)="CET &gt;", IFERROR(L52/$L$6,"")=0),NOT(AND(LEFT(E52,4)="12.8",IFERROR(G52/$G$6,"")&lt;&gt;0)),NOT(AND(LEFT(E52,5)="12.31",IFERROR(L52/$G$6,"")&lt;&gt;0)),NOT(AND(LEFT(E52,5)="12.32",IFERROR(L52/$G$6,"")&lt;&gt;0))),"", IFERROR(L52/$L$6,""))</f>
      </c>
      <c r="N52" s="73">
        <f>SUMIFS(
INDEX('ETPT Format DDG'!$A:$ZZ,,IFERROR(MATCH(E52,'ETPT Format DDG'!$2:$2,0),MATCH(C52,'ETPT Format DDG'!$2:$2,0))),
INDEX( 'ETPT Format DDG'!$A:$ZZ,,MATCH("Fonction agrégat",'ETPT Format DDG'!2:2,0)),"F-TIT",
INDEX( 'ETPT Format DDG'!$A:$ZZ,,MATCH("Juridiction",'ETPT Format DDG'!2:2,0)),$A$3)</f>
      </c>
      <c r="O52" s="72">
        <f>IF(AND(OR(LEFT(C52,3)="12.",LEFT(E52,3)="12.",LEFT(E52,5)="CET &gt;",IFERROR(N52/$N$6,"")=0),NOT(AND(LEFT(E52,4)="12.8",IFERROR(G52/$G$6,"")&lt;&gt;0)),NOT(AND(LEFT(E52,5)="12.31",IFERROR(N52/$G$6,"")&lt;&gt;0)),NOT(AND(LEFT(E52,5)="12.32",IFERROR(N52/$G$6,"")&lt;&gt;0))),"",IFERROR(N52/$N$6,""))</f>
      </c>
      <c r="P52" s="73">
        <f>SUMIFS(
INDEX('ETPT Format DDG'!$A:$FB,,IFERROR(MATCH(E52,'ETPT Format DDG'!$2:$2,0),MATCH(C52,'ETPT Format DDG'!$2:$2,0))),
INDEX( 'ETPT Format DDG'!$A:$ZZ,,MATCH("Fonction agrégat",'ETPT Format DDG'!2:2,0)),"F-PLAC-ADD",
INDEX( 'ETPT Format DDG'!$A:$ZZ,,MATCH("Juridiction",'ETPT Format DDG'!2:2,0)),$A$3)</f>
      </c>
      <c r="Q52" s="73">
        <f>SUMIFS(
INDEX('ETPT Format DDG'!$A:$FB,,IFERROR(MATCH(E52,'ETPT Format DDG'!$2:$2,0),MATCH(C52,'ETPT Format DDG'!$2:$2,0))),
INDEX( 'ETPT Format DDG'!$A:$ZZ,,MATCH("Fonction agrégat",'ETPT Format DDG'!2:2,0)),"F-PLAC-SUB",
INDEX( 'ETPT Format DDG'!$A:$ZZ,,MATCH("Juridiction",'ETPT Format DDG'!2:2,0)),$A$3)</f>
      </c>
      <c r="R52" s="73">
        <f>SUMIFS(
INDEX('ETPT Format DDG'!$A:$FB,,IFERROR(MATCH(E52,'ETPT Format DDG'!$2:$2,0),MATCH(C52,'ETPT Format DDG'!$2:$2,0))),
INDEX( 'ETPT Format DDG'!$A:$ZZ,,MATCH("Fonction agrégat",'ETPT Format DDG'!2:2,0)),"C",
'ETPT Format DDG'!$H:$H,"Greffe",
INDEX( 'ETPT Format DDG'!$A:$ZZ,,MATCH("Juridiction",'ETPT Format DDG'!2:2,0)),$A$3)</f>
      </c>
      <c r="S52" s="71">
        <f>SUMIFS(
INDEX('ETPT Format DDG'!$A:$FB,,IFERROR(MATCH(E52,'ETPT Format DDG'!$2:$2,0),MATCH(C52,'ETPT Format DDG'!$2:$2,0))),
INDEX( 'ETPT Format DDG'!$A:$ZZ,,MATCH("Catégorie",'ETPT Format DDG'!2:2,0)),"Greffe",
INDEX( 'ETPT Format DDG'!$A:$ZZ,,MATCH("Juridiction",'ETPT Format DDG'!2:2,0)),$A$3)</f>
      </c>
      <c r="T52" s="72">
        <f>IF(AND(OR(LEFT(C52,3)="12.",LEFT(E52,3)="12.",LEFT(E52,5)="CET &gt;",IFERROR(S52/$S$6,"")=0),NOT(AND(LEFT(E52,4)="12.8",IFERROR(G52/$G$6,"")&lt;&gt;0)),NOT(AND(LEFT(E52,5)="12.31",IFERROR(S52/$G$6,"")&lt;&gt;0)),NOT(AND(LEFT(E52,5)="12.32",IFERROR(S52/$G$6,"")&lt;&gt;0))),"", IFERROR(S52/$S$6,""))</f>
      </c>
      <c r="U52" s="71">
        <f>SUMIFS(
INDEX('ETPT Format DDG'!$A:$FB,,IFERROR(MATCH(E52,'ETPT Format DDG'!$2:$2,0),MATCH(C52,'ETPT Format DDG'!$2:$2,0))),
INDEX( 'ETPT Format DDG'!$A:$ZZ,,MATCH("Fonction agrégat",'ETPT Format DDG'!2:2,0)),"C",
INDEX( 'ETPT Format DDG'!$A:$ZZ,,MATCH("Juridiction",'ETPT Format DDG'!2:2,0)),$A$3,
INDEX( 'ETPT Format DDG'!$A:$ZZ,,MATCH("Catégorie",'ETPT Format DDG'!2:2,0)),"Autour du magistrat")</f>
      </c>
      <c r="V52" s="74">
        <f>IF(AND(OR(LEFT(C52,3)="12.",LEFT(E52,3)="12.",LEFT(E52,5)="CET &gt;",IFERROR(U52/$U$6,"")=0),NOT(AND(LEFT(E52,4)="12.8",IFERROR(G52/$G$6,"")&lt;&gt;0)),NOT(AND(LEFT(E52,5)="12.31",IFERROR(U52/$G$6,"")&lt;&gt;0)),NOT(AND(LEFT(E52,5)="12.32",IFERROR(U52/$G$6,"")&lt;&gt;0))),"", IFERROR(U52/$U$6,""))</f>
      </c>
    </row>
    <row r="53" ht="16" customHeight="1" spans="1:23" x14ac:dyDescent="0.25">
      <c r="A53" s="40"/>
      <c r="C53" s="68"/>
      <c r="D53" s="68"/>
      <c r="E53" s="69" t="s">
        <v>88</v>
      </c>
      <c r="F53" s="70" t="s">
        <v>88</v>
      </c>
      <c r="G53" s="71">
        <f>SUMIFS(
INDEX('ETPT Format DDG'!$A:$ZZ,,IFERROR(MATCH(E53,'ETPT Format DDG'!$2:$2,0),MATCH(C53,'ETPT Format DDG'!$2:$2,0))),
INDEX( 'ETPT Format DDG'!$A:$ZZ,,MATCH("Fonction agrégat",'ETPT Format DDG'!2:2,0)),"M-TIT",
INDEX( 'ETPT Format DDG'!$A:$ZZ,,MATCH("Juridiction",'ETPT Format DDG'!2:2,0)),$A$3)</f>
      </c>
      <c r="H53" s="72">
        <f>IF(AND(OR(LEFT(C53,3)="12.",LEFT(E53,3)="12.",LEFT(E53,5)="CET &gt;",IFERROR(G53/$G$6,"")=0),NOT(AND(LEFT(E53,4)="12.8",IFERROR(G53/$G$6,"")&lt;&gt;0)),NOT(AND(LEFT(E53,5)="12.31",IFERROR(G53/$G$6,"")&lt;&gt;0)),NOT(AND(LEFT(E53,5)="12.32",IFERROR(G53/$G$6,"")&lt;&gt;0))),"", IFERROR(G53/$G$6,""))</f>
      </c>
      <c r="I53" s="73">
        <f>SUMIFS(
INDEX('ETPT Format DDG'!$A:$ZZ,,IFERROR(MATCH(E53,'ETPT Format DDG'!$2:$2,0),MATCH(C53,'ETPT Format DDG'!$2:$2,0))),
INDEX( 'ETPT Format DDG'!$A:$ZZ,,MATCH("Fonction agrégat",'ETPT Format DDG'!2:2,0)),"M-PLAC-ADD",
INDEX( 'ETPT Format DDG'!$A:$ZZ,,MATCH("Juridiction",'ETPT Format DDG'!2:2,0)),$A$3)</f>
      </c>
      <c r="J53" s="73">
        <f>SUMIFS(
INDEX('ETPT Format DDG'!$A:$ZZ,,IFERROR(MATCH(E53,'ETPT Format DDG'!$2:$2,0),MATCH(C53,'ETPT Format DDG'!$2:$2,0))),
INDEX( 'ETPT Format DDG'!$A:$ZZ,,MATCH("Fonction agrégat",'ETPT Format DDG'!2:2,0)),"M-PLAC-SUB",
INDEX( 'ETPT Format DDG'!$A:$ZZ,,MATCH("Juridiction",'ETPT Format DDG'!2:2,0)),$A$3)</f>
      </c>
      <c r="K53" s="73">
        <f>SUMIFS(
INDEX('ETPT Format DDG'!$A:$ZZ,,IFERROR(MATCH(E53,'ETPT Format DDG'!$2:$2,0),MATCH(C53,'ETPT Format DDG'!$2:$2,0))),
INDEX( 'ETPT Format DDG'!$A:$ZZ,,MATCH("Fonction agrégat",'ETPT Format DDG'!2:2,0)),"M-CONT",
INDEX( 'ETPT Format DDG'!$A:$ZZ,,MATCH("Juridiction",'ETPT Format DDG'!2:2,0)),$A$3,
INDEX( 'ETPT Format DDG'!$A:$ZZ,,MATCH("Catégorie",'ETPT Format DDG'!2:2,0)),"Magistrat")</f>
      </c>
      <c r="L53" s="71">
        <f>SUMIFS(
INDEX('ETPT Format DDG'!$A:$ZZ,,IFERROR(MATCH(E53,'ETPT Format DDG'!$2:$2,0),MATCH(C53,'ETPT Format DDG'!$2:$2,0))),
INDEX( 'ETPT Format DDG'!$A:$ZZ,,MATCH("Juridiction",'ETPT Format DDG'!2:2,0)),$A$3,
INDEX( 'ETPT Format DDG'!$A:$ZZ,,MATCH("Catégorie",'ETPT Format DDG'!2:2,0)),"Magistrat")</f>
      </c>
      <c r="M53" s="74">
        <f>IF(AND(OR(LEFT(C53,3)="12.",LEFT(E53,3)="12.",LEFT(E53,5)="CET &gt;", IFERROR(L53/$L$6,"")=0),NOT(AND(LEFT(E53,4)="12.8",IFERROR(G53/$G$6,"")&lt;&gt;0)),NOT(AND(LEFT(E53,5)="12.31",IFERROR(L53/$G$6,"")&lt;&gt;0)),NOT(AND(LEFT(E53,5)="12.32",IFERROR(L53/$G$6,"")&lt;&gt;0))),"", IFERROR(L53/$L$6,""))</f>
      </c>
      <c r="N53" s="73">
        <f>SUMIFS(
INDEX('ETPT Format DDG'!$A:$ZZ,,IFERROR(MATCH(E53,'ETPT Format DDG'!$2:$2,0),MATCH(C53,'ETPT Format DDG'!$2:$2,0))),
INDEX( 'ETPT Format DDG'!$A:$ZZ,,MATCH("Fonction agrégat",'ETPT Format DDG'!2:2,0)),"F-TIT",
INDEX( 'ETPT Format DDG'!$A:$ZZ,,MATCH("Juridiction",'ETPT Format DDG'!2:2,0)),$A$3)</f>
      </c>
      <c r="O53" s="72">
        <f>IF(AND(OR(LEFT(C53,3)="12.",LEFT(E53,3)="12.",LEFT(E53,5)="CET &gt;",IFERROR(N53/$N$6,"")=0),NOT(AND(LEFT(E53,4)="12.8",IFERROR(G53/$G$6,"")&lt;&gt;0)),NOT(AND(LEFT(E53,5)="12.31",IFERROR(N53/$G$6,"")&lt;&gt;0)),NOT(AND(LEFT(E53,5)="12.32",IFERROR(N53/$G$6,"")&lt;&gt;0))),"",IFERROR(N53/$N$6,""))</f>
      </c>
      <c r="P53" s="73">
        <f>SUMIFS(
INDEX('ETPT Format DDG'!$A:$FB,,IFERROR(MATCH(E53,'ETPT Format DDG'!$2:$2,0),MATCH(C53,'ETPT Format DDG'!$2:$2,0))),
INDEX( 'ETPT Format DDG'!$A:$ZZ,,MATCH("Fonction agrégat",'ETPT Format DDG'!2:2,0)),"F-PLAC-ADD",
INDEX( 'ETPT Format DDG'!$A:$ZZ,,MATCH("Juridiction",'ETPT Format DDG'!2:2,0)),$A$3)</f>
      </c>
      <c r="Q53" s="73">
        <f>SUMIFS(
INDEX('ETPT Format DDG'!$A:$FB,,IFERROR(MATCH(E53,'ETPT Format DDG'!$2:$2,0),MATCH(C53,'ETPT Format DDG'!$2:$2,0))),
INDEX( 'ETPT Format DDG'!$A:$ZZ,,MATCH("Fonction agrégat",'ETPT Format DDG'!2:2,0)),"F-PLAC-SUB",
INDEX( 'ETPT Format DDG'!$A:$ZZ,,MATCH("Juridiction",'ETPT Format DDG'!2:2,0)),$A$3)</f>
      </c>
      <c r="R53" s="73">
        <f>SUMIFS(
INDEX('ETPT Format DDG'!$A:$FB,,IFERROR(MATCH(E53,'ETPT Format DDG'!$2:$2,0),MATCH(C53,'ETPT Format DDG'!$2:$2,0))),
INDEX( 'ETPT Format DDG'!$A:$ZZ,,MATCH("Fonction agrégat",'ETPT Format DDG'!2:2,0)),"C",
'ETPT Format DDG'!$H:$H,"Greffe",
INDEX( 'ETPT Format DDG'!$A:$ZZ,,MATCH("Juridiction",'ETPT Format DDG'!2:2,0)),$A$3)</f>
      </c>
      <c r="S53" s="71">
        <f>SUMIFS(
INDEX('ETPT Format DDG'!$A:$FB,,IFERROR(MATCH(E53,'ETPT Format DDG'!$2:$2,0),MATCH(C53,'ETPT Format DDG'!$2:$2,0))),
INDEX( 'ETPT Format DDG'!$A:$ZZ,,MATCH("Catégorie",'ETPT Format DDG'!2:2,0)),"Greffe",
INDEX( 'ETPT Format DDG'!$A:$ZZ,,MATCH("Juridiction",'ETPT Format DDG'!2:2,0)),$A$3)</f>
      </c>
      <c r="T53" s="72">
        <f>IF(AND(OR(LEFT(C53,3)="12.",LEFT(E53,3)="12.",LEFT(E53,5)="CET &gt;",IFERROR(S53/$S$6,"")=0),NOT(AND(LEFT(E53,4)="12.8",IFERROR(G53/$G$6,"")&lt;&gt;0)),NOT(AND(LEFT(E53,5)="12.31",IFERROR(S53/$G$6,"")&lt;&gt;0)),NOT(AND(LEFT(E53,5)="12.32",IFERROR(S53/$G$6,"")&lt;&gt;0))),"", IFERROR(S53/$S$6,""))</f>
      </c>
      <c r="U53" s="71">
        <f>SUMIFS(
INDEX('ETPT Format DDG'!$A:$FB,,IFERROR(MATCH(E53,'ETPT Format DDG'!$2:$2,0),MATCH(C53,'ETPT Format DDG'!$2:$2,0))),
INDEX( 'ETPT Format DDG'!$A:$ZZ,,MATCH("Fonction agrégat",'ETPT Format DDG'!2:2,0)),"C",
INDEX( 'ETPT Format DDG'!$A:$ZZ,,MATCH("Juridiction",'ETPT Format DDG'!2:2,0)),$A$3,
INDEX( 'ETPT Format DDG'!$A:$ZZ,,MATCH("Catégorie",'ETPT Format DDG'!2:2,0)),"Autour du magistrat")</f>
      </c>
      <c r="V53" s="74">
        <f>IF(AND(OR(LEFT(C53,3)="12.",LEFT(E53,3)="12.",LEFT(E53,5)="CET &gt;",IFERROR(U53/$U$6,"")=0),NOT(AND(LEFT(E53,4)="12.8",IFERROR(G53/$G$6,"")&lt;&gt;0)),NOT(AND(LEFT(E53,5)="12.31",IFERROR(U53/$G$6,"")&lt;&gt;0)),NOT(AND(LEFT(E53,5)="12.32",IFERROR(U53/$G$6,"")&lt;&gt;0))),"", IFERROR(U53/$U$6,""))</f>
      </c>
    </row>
    <row r="54" ht="16" customHeight="1" spans="1:23" x14ac:dyDescent="0.25">
      <c r="A54" s="40"/>
      <c r="C54" s="68"/>
      <c r="D54" s="68"/>
      <c r="E54" s="69" t="s">
        <v>89</v>
      </c>
      <c r="F54" s="70" t="s">
        <v>89</v>
      </c>
      <c r="G54" s="71">
        <f>SUMIFS(
INDEX('ETPT Format DDG'!$A:$ZZ,,IFERROR(MATCH(E54,'ETPT Format DDG'!$2:$2,0),MATCH(C54,'ETPT Format DDG'!$2:$2,0))),
INDEX( 'ETPT Format DDG'!$A:$ZZ,,MATCH("Fonction agrégat",'ETPT Format DDG'!2:2,0)),"M-TIT",
INDEX( 'ETPT Format DDG'!$A:$ZZ,,MATCH("Juridiction",'ETPT Format DDG'!2:2,0)),$A$3)</f>
      </c>
      <c r="H54" s="72">
        <f>IF(AND(OR(LEFT(C54,3)="12.",LEFT(E54,3)="12.",LEFT(E54,5)="CET &gt;",IFERROR(G54/$G$6,"")=0),NOT(AND(LEFT(E54,4)="12.8",IFERROR(G54/$G$6,"")&lt;&gt;0)),NOT(AND(LEFT(E54,5)="12.31",IFERROR(G54/$G$6,"")&lt;&gt;0)),NOT(AND(LEFT(E54,5)="12.32",IFERROR(G54/$G$6,"")&lt;&gt;0))),"", IFERROR(G54/$G$6,""))</f>
      </c>
      <c r="I54" s="73">
        <f>SUMIFS(
INDEX('ETPT Format DDG'!$A:$ZZ,,IFERROR(MATCH(E54,'ETPT Format DDG'!$2:$2,0),MATCH(C54,'ETPT Format DDG'!$2:$2,0))),
INDEX( 'ETPT Format DDG'!$A:$ZZ,,MATCH("Fonction agrégat",'ETPT Format DDG'!2:2,0)),"M-PLAC-ADD",
INDEX( 'ETPT Format DDG'!$A:$ZZ,,MATCH("Juridiction",'ETPT Format DDG'!2:2,0)),$A$3)</f>
      </c>
      <c r="J54" s="73">
        <f>SUMIFS(
INDEX('ETPT Format DDG'!$A:$ZZ,,IFERROR(MATCH(E54,'ETPT Format DDG'!$2:$2,0),MATCH(C54,'ETPT Format DDG'!$2:$2,0))),
INDEX( 'ETPT Format DDG'!$A:$ZZ,,MATCH("Fonction agrégat",'ETPT Format DDG'!2:2,0)),"M-PLAC-SUB",
INDEX( 'ETPT Format DDG'!$A:$ZZ,,MATCH("Juridiction",'ETPT Format DDG'!2:2,0)),$A$3)</f>
      </c>
      <c r="K54" s="73">
        <f>SUMIFS(
INDEX('ETPT Format DDG'!$A:$ZZ,,IFERROR(MATCH(E54,'ETPT Format DDG'!$2:$2,0),MATCH(C54,'ETPT Format DDG'!$2:$2,0))),
INDEX( 'ETPT Format DDG'!$A:$ZZ,,MATCH("Fonction agrégat",'ETPT Format DDG'!2:2,0)),"M-CONT",
INDEX( 'ETPT Format DDG'!$A:$ZZ,,MATCH("Juridiction",'ETPT Format DDG'!2:2,0)),$A$3,
INDEX( 'ETPT Format DDG'!$A:$ZZ,,MATCH("Catégorie",'ETPT Format DDG'!2:2,0)),"Magistrat")</f>
      </c>
      <c r="L54" s="71">
        <f>SUMIFS(
INDEX('ETPT Format DDG'!$A:$ZZ,,IFERROR(MATCH(E54,'ETPT Format DDG'!$2:$2,0),MATCH(C54,'ETPT Format DDG'!$2:$2,0))),
INDEX( 'ETPT Format DDG'!$A:$ZZ,,MATCH("Juridiction",'ETPT Format DDG'!2:2,0)),$A$3,
INDEX( 'ETPT Format DDG'!$A:$ZZ,,MATCH("Catégorie",'ETPT Format DDG'!2:2,0)),"Magistrat")</f>
      </c>
      <c r="M54" s="74">
        <f>IF(AND(OR(LEFT(C54,3)="12.",LEFT(E54,3)="12.",LEFT(E54,5)="CET &gt;", IFERROR(L54/$L$6,"")=0),NOT(AND(LEFT(E54,4)="12.8",IFERROR(G54/$G$6,"")&lt;&gt;0)),NOT(AND(LEFT(E54,5)="12.31",IFERROR(L54/$G$6,"")&lt;&gt;0)),NOT(AND(LEFT(E54,5)="12.32",IFERROR(L54/$G$6,"")&lt;&gt;0))),"", IFERROR(L54/$L$6,""))</f>
      </c>
      <c r="N54" s="73">
        <f>SUMIFS(
INDEX('ETPT Format DDG'!$A:$ZZ,,IFERROR(MATCH(E54,'ETPT Format DDG'!$2:$2,0),MATCH(C54,'ETPT Format DDG'!$2:$2,0))),
INDEX( 'ETPT Format DDG'!$A:$ZZ,,MATCH("Fonction agrégat",'ETPT Format DDG'!2:2,0)),"F-TIT",
INDEX( 'ETPT Format DDG'!$A:$ZZ,,MATCH("Juridiction",'ETPT Format DDG'!2:2,0)),$A$3)</f>
      </c>
      <c r="O54" s="72">
        <f>IF(AND(OR(LEFT(C54,3)="12.",LEFT(E54,3)="12.",LEFT(E54,5)="CET &gt;",IFERROR(N54/$N$6,"")=0),NOT(AND(LEFT(E54,4)="12.8",IFERROR(G54/$G$6,"")&lt;&gt;0)),NOT(AND(LEFT(E54,5)="12.31",IFERROR(N54/$G$6,"")&lt;&gt;0)),NOT(AND(LEFT(E54,5)="12.32",IFERROR(N54/$G$6,"")&lt;&gt;0))),"",IFERROR(N54/$N$6,""))</f>
      </c>
      <c r="P54" s="73">
        <f>SUMIFS(
INDEX('ETPT Format DDG'!$A:$FB,,IFERROR(MATCH(E54,'ETPT Format DDG'!$2:$2,0),MATCH(C54,'ETPT Format DDG'!$2:$2,0))),
INDEX( 'ETPT Format DDG'!$A:$ZZ,,MATCH("Fonction agrégat",'ETPT Format DDG'!2:2,0)),"F-PLAC-ADD",
INDEX( 'ETPT Format DDG'!$A:$ZZ,,MATCH("Juridiction",'ETPT Format DDG'!2:2,0)),$A$3)</f>
      </c>
      <c r="Q54" s="73">
        <f>SUMIFS(
INDEX('ETPT Format DDG'!$A:$FB,,IFERROR(MATCH(E54,'ETPT Format DDG'!$2:$2,0),MATCH(C54,'ETPT Format DDG'!$2:$2,0))),
INDEX( 'ETPT Format DDG'!$A:$ZZ,,MATCH("Fonction agrégat",'ETPT Format DDG'!2:2,0)),"F-PLAC-SUB",
INDEX( 'ETPT Format DDG'!$A:$ZZ,,MATCH("Juridiction",'ETPT Format DDG'!2:2,0)),$A$3)</f>
      </c>
      <c r="R54" s="73">
        <f>SUMIFS(
INDEX('ETPT Format DDG'!$A:$FB,,IFERROR(MATCH(E54,'ETPT Format DDG'!$2:$2,0),MATCH(C54,'ETPT Format DDG'!$2:$2,0))),
INDEX( 'ETPT Format DDG'!$A:$ZZ,,MATCH("Fonction agrégat",'ETPT Format DDG'!2:2,0)),"C",
'ETPT Format DDG'!$H:$H,"Greffe",
INDEX( 'ETPT Format DDG'!$A:$ZZ,,MATCH("Juridiction",'ETPT Format DDG'!2:2,0)),$A$3)</f>
      </c>
      <c r="S54" s="71">
        <f>SUMIFS(
INDEX('ETPT Format DDG'!$A:$FB,,IFERROR(MATCH(E54,'ETPT Format DDG'!$2:$2,0),MATCH(C54,'ETPT Format DDG'!$2:$2,0))),
INDEX( 'ETPT Format DDG'!$A:$ZZ,,MATCH("Catégorie",'ETPT Format DDG'!2:2,0)),"Greffe",
INDEX( 'ETPT Format DDG'!$A:$ZZ,,MATCH("Juridiction",'ETPT Format DDG'!2:2,0)),$A$3)</f>
      </c>
      <c r="T54" s="72">
        <f>IF(AND(OR(LEFT(C54,3)="12.",LEFT(E54,3)="12.",LEFT(E54,5)="CET &gt;",IFERROR(S54/$S$6,"")=0),NOT(AND(LEFT(E54,4)="12.8",IFERROR(G54/$G$6,"")&lt;&gt;0)),NOT(AND(LEFT(E54,5)="12.31",IFERROR(S54/$G$6,"")&lt;&gt;0)),NOT(AND(LEFT(E54,5)="12.32",IFERROR(S54/$G$6,"")&lt;&gt;0))),"", IFERROR(S54/$S$6,""))</f>
      </c>
      <c r="U54" s="71">
        <f>SUMIFS(
INDEX('ETPT Format DDG'!$A:$FB,,IFERROR(MATCH(E54,'ETPT Format DDG'!$2:$2,0),MATCH(C54,'ETPT Format DDG'!$2:$2,0))),
INDEX( 'ETPT Format DDG'!$A:$ZZ,,MATCH("Fonction agrégat",'ETPT Format DDG'!2:2,0)),"C",
INDEX( 'ETPT Format DDG'!$A:$ZZ,,MATCH("Juridiction",'ETPT Format DDG'!2:2,0)),$A$3,
INDEX( 'ETPT Format DDG'!$A:$ZZ,,MATCH("Catégorie",'ETPT Format DDG'!2:2,0)),"Autour du magistrat")</f>
      </c>
      <c r="V54" s="74">
        <f>IF(AND(OR(LEFT(C54,3)="12.",LEFT(E54,3)="12.",LEFT(E54,5)="CET &gt;",IFERROR(U54/$U$6,"")=0),NOT(AND(LEFT(E54,4)="12.8",IFERROR(G54/$G$6,"")&lt;&gt;0)),NOT(AND(LEFT(E54,5)="12.31",IFERROR(U54/$G$6,"")&lt;&gt;0)),NOT(AND(LEFT(E54,5)="12.32",IFERROR(U54/$G$6,"")&lt;&gt;0))),"", IFERROR(U54/$U$6,""))</f>
      </c>
    </row>
    <row r="55" ht="16" customHeight="1" spans="1:23" x14ac:dyDescent="0.25">
      <c r="A55" s="40"/>
      <c r="C55" s="68"/>
      <c r="D55" s="68"/>
      <c r="E55" s="69" t="s">
        <v>90</v>
      </c>
      <c r="F55" s="70" t="s">
        <v>90</v>
      </c>
      <c r="G55" s="71">
        <f>SUMIFS(
INDEX('ETPT Format DDG'!$A:$ZZ,,IFERROR(MATCH(E55,'ETPT Format DDG'!$2:$2,0),MATCH(C55,'ETPT Format DDG'!$2:$2,0))),
INDEX( 'ETPT Format DDG'!$A:$ZZ,,MATCH("Fonction agrégat",'ETPT Format DDG'!2:2,0)),"M-TIT",
INDEX( 'ETPT Format DDG'!$A:$ZZ,,MATCH("Juridiction",'ETPT Format DDG'!2:2,0)),$A$3)</f>
      </c>
      <c r="H55" s="72">
        <f>IF(AND(OR(LEFT(C55,3)="12.",LEFT(E55,3)="12.",LEFT(E55,5)="CET &gt;",IFERROR(G55/$G$6,"")=0),NOT(AND(LEFT(E55,4)="12.8",IFERROR(G55/$G$6,"")&lt;&gt;0)),NOT(AND(LEFT(E55,5)="12.31",IFERROR(G55/$G$6,"")&lt;&gt;0)),NOT(AND(LEFT(E55,5)="12.32",IFERROR(G55/$G$6,"")&lt;&gt;0))),"", IFERROR(G55/$G$6,""))</f>
      </c>
      <c r="I55" s="73">
        <f>SUMIFS(
INDEX('ETPT Format DDG'!$A:$ZZ,,IFERROR(MATCH(E55,'ETPT Format DDG'!$2:$2,0),MATCH(C55,'ETPT Format DDG'!$2:$2,0))),
INDEX( 'ETPT Format DDG'!$A:$ZZ,,MATCH("Fonction agrégat",'ETPT Format DDG'!2:2,0)),"M-PLAC-ADD",
INDEX( 'ETPT Format DDG'!$A:$ZZ,,MATCH("Juridiction",'ETPT Format DDG'!2:2,0)),$A$3)</f>
      </c>
      <c r="J55" s="73">
        <f>SUMIFS(
INDEX('ETPT Format DDG'!$A:$ZZ,,IFERROR(MATCH(E55,'ETPT Format DDG'!$2:$2,0),MATCH(C55,'ETPT Format DDG'!$2:$2,0))),
INDEX( 'ETPT Format DDG'!$A:$ZZ,,MATCH("Fonction agrégat",'ETPT Format DDG'!2:2,0)),"M-PLAC-SUB",
INDEX( 'ETPT Format DDG'!$A:$ZZ,,MATCH("Juridiction",'ETPT Format DDG'!2:2,0)),$A$3)</f>
      </c>
      <c r="K55" s="73">
        <f>SUMIFS(
INDEX('ETPT Format DDG'!$A:$ZZ,,IFERROR(MATCH(E55,'ETPT Format DDG'!$2:$2,0),MATCH(C55,'ETPT Format DDG'!$2:$2,0))),
INDEX( 'ETPT Format DDG'!$A:$ZZ,,MATCH("Fonction agrégat",'ETPT Format DDG'!2:2,0)),"M-CONT",
INDEX( 'ETPT Format DDG'!$A:$ZZ,,MATCH("Juridiction",'ETPT Format DDG'!2:2,0)),$A$3,
INDEX( 'ETPT Format DDG'!$A:$ZZ,,MATCH("Catégorie",'ETPT Format DDG'!2:2,0)),"Magistrat")</f>
      </c>
      <c r="L55" s="71">
        <f>SUMIFS(
INDEX('ETPT Format DDG'!$A:$ZZ,,IFERROR(MATCH(E55,'ETPT Format DDG'!$2:$2,0),MATCH(C55,'ETPT Format DDG'!$2:$2,0))),
INDEX( 'ETPT Format DDG'!$A:$ZZ,,MATCH("Juridiction",'ETPT Format DDG'!2:2,0)),$A$3,
INDEX( 'ETPT Format DDG'!$A:$ZZ,,MATCH("Catégorie",'ETPT Format DDG'!2:2,0)),"Magistrat")</f>
      </c>
      <c r="M55" s="74">
        <f>IF(AND(OR(LEFT(C55,3)="12.",LEFT(E55,3)="12.",LEFT(E55,5)="CET &gt;", IFERROR(L55/$L$6,"")=0),NOT(AND(LEFT(E55,4)="12.8",IFERROR(G55/$G$6,"")&lt;&gt;0)),NOT(AND(LEFT(E55,5)="12.31",IFERROR(L55/$G$6,"")&lt;&gt;0)),NOT(AND(LEFT(E55,5)="12.32",IFERROR(L55/$G$6,"")&lt;&gt;0))),"", IFERROR(L55/$L$6,""))</f>
      </c>
      <c r="N55" s="73">
        <f>SUMIFS(
INDEX('ETPT Format DDG'!$A:$ZZ,,IFERROR(MATCH(E55,'ETPT Format DDG'!$2:$2,0),MATCH(C55,'ETPT Format DDG'!$2:$2,0))),
INDEX( 'ETPT Format DDG'!$A:$ZZ,,MATCH("Fonction agrégat",'ETPT Format DDG'!2:2,0)),"F-TIT",
INDEX( 'ETPT Format DDG'!$A:$ZZ,,MATCH("Juridiction",'ETPT Format DDG'!2:2,0)),$A$3)</f>
      </c>
      <c r="O55" s="72">
        <f>IF(AND(OR(LEFT(C55,3)="12.",LEFT(E55,3)="12.",LEFT(E55,5)="CET &gt;",IFERROR(N55/$N$6,"")=0),NOT(AND(LEFT(E55,4)="12.8",IFERROR(G55/$G$6,"")&lt;&gt;0)),NOT(AND(LEFT(E55,5)="12.31",IFERROR(N55/$G$6,"")&lt;&gt;0)),NOT(AND(LEFT(E55,5)="12.32",IFERROR(N55/$G$6,"")&lt;&gt;0))),"",IFERROR(N55/$N$6,""))</f>
      </c>
      <c r="P55" s="73">
        <f>SUMIFS(
INDEX('ETPT Format DDG'!$A:$FB,,IFERROR(MATCH(E55,'ETPT Format DDG'!$2:$2,0),MATCH(C55,'ETPT Format DDG'!$2:$2,0))),
INDEX( 'ETPT Format DDG'!$A:$ZZ,,MATCH("Fonction agrégat",'ETPT Format DDG'!2:2,0)),"F-PLAC-ADD",
INDEX( 'ETPT Format DDG'!$A:$ZZ,,MATCH("Juridiction",'ETPT Format DDG'!2:2,0)),$A$3)</f>
      </c>
      <c r="Q55" s="73">
        <f>SUMIFS(
INDEX('ETPT Format DDG'!$A:$FB,,IFERROR(MATCH(E55,'ETPT Format DDG'!$2:$2,0),MATCH(C55,'ETPT Format DDG'!$2:$2,0))),
INDEX( 'ETPT Format DDG'!$A:$ZZ,,MATCH("Fonction agrégat",'ETPT Format DDG'!2:2,0)),"F-PLAC-SUB",
INDEX( 'ETPT Format DDG'!$A:$ZZ,,MATCH("Juridiction",'ETPT Format DDG'!2:2,0)),$A$3)</f>
      </c>
      <c r="R55" s="73">
        <f>SUMIFS(
INDEX('ETPT Format DDG'!$A:$FB,,IFERROR(MATCH(E55,'ETPT Format DDG'!$2:$2,0),MATCH(C55,'ETPT Format DDG'!$2:$2,0))),
INDEX( 'ETPT Format DDG'!$A:$ZZ,,MATCH("Fonction agrégat",'ETPT Format DDG'!2:2,0)),"C",
'ETPT Format DDG'!$H:$H,"Greffe",
INDEX( 'ETPT Format DDG'!$A:$ZZ,,MATCH("Juridiction",'ETPT Format DDG'!2:2,0)),$A$3)</f>
      </c>
      <c r="S55" s="71">
        <f>SUMIFS(
INDEX('ETPT Format DDG'!$A:$FB,,IFERROR(MATCH(E55,'ETPT Format DDG'!$2:$2,0),MATCH(C55,'ETPT Format DDG'!$2:$2,0))),
INDEX( 'ETPT Format DDG'!$A:$ZZ,,MATCH("Catégorie",'ETPT Format DDG'!2:2,0)),"Greffe",
INDEX( 'ETPT Format DDG'!$A:$ZZ,,MATCH("Juridiction",'ETPT Format DDG'!2:2,0)),$A$3)</f>
      </c>
      <c r="T55" s="72">
        <f>IF(AND(OR(LEFT(C55,3)="12.",LEFT(E55,3)="12.",LEFT(E55,5)="CET &gt;",IFERROR(S55/$S$6,"")=0),NOT(AND(LEFT(E55,4)="12.8",IFERROR(G55/$G$6,"")&lt;&gt;0)),NOT(AND(LEFT(E55,5)="12.31",IFERROR(S55/$G$6,"")&lt;&gt;0)),NOT(AND(LEFT(E55,5)="12.32",IFERROR(S55/$G$6,"")&lt;&gt;0))),"", IFERROR(S55/$S$6,""))</f>
      </c>
      <c r="U55" s="71">
        <f>SUMIFS(
INDEX('ETPT Format DDG'!$A:$FB,,IFERROR(MATCH(E55,'ETPT Format DDG'!$2:$2,0),MATCH(C55,'ETPT Format DDG'!$2:$2,0))),
INDEX( 'ETPT Format DDG'!$A:$ZZ,,MATCH("Fonction agrégat",'ETPT Format DDG'!2:2,0)),"C",
INDEX( 'ETPT Format DDG'!$A:$ZZ,,MATCH("Juridiction",'ETPT Format DDG'!2:2,0)),$A$3,
INDEX( 'ETPT Format DDG'!$A:$ZZ,,MATCH("Catégorie",'ETPT Format DDG'!2:2,0)),"Autour du magistrat")</f>
      </c>
      <c r="V55" s="74">
        <f>IF(AND(OR(LEFT(C55,3)="12.",LEFT(E55,3)="12.",LEFT(E55,5)="CET &gt;",IFERROR(U55/$U$6,"")=0),NOT(AND(LEFT(E55,4)="12.8",IFERROR(G55/$G$6,"")&lt;&gt;0)),NOT(AND(LEFT(E55,5)="12.31",IFERROR(U55/$G$6,"")&lt;&gt;0)),NOT(AND(LEFT(E55,5)="12.32",IFERROR(U55/$G$6,"")&lt;&gt;0))),"", IFERROR(U55/$U$6,""))</f>
      </c>
    </row>
    <row r="56" ht="16" customHeight="1" spans="1:23" x14ac:dyDescent="0.25">
      <c r="A56" s="40"/>
      <c r="C56" s="68" t="s">
        <v>91</v>
      </c>
      <c r="D56" s="68" t="s">
        <v>91</v>
      </c>
      <c r="E56" s="69"/>
      <c r="F56" s="70"/>
      <c r="G56" s="71">
        <f>SUMIFS(
INDEX('ETPT Format DDG'!$A:$ZZ,,IFERROR(MATCH(E56,'ETPT Format DDG'!$2:$2,0),MATCH(C56,'ETPT Format DDG'!$2:$2,0))),
INDEX( 'ETPT Format DDG'!$A:$ZZ,,MATCH("Fonction agrégat",'ETPT Format DDG'!2:2,0)),"M-TIT",
INDEX( 'ETPT Format DDG'!$A:$ZZ,,MATCH("Juridiction",'ETPT Format DDG'!2:2,0)),$A$3)</f>
      </c>
      <c r="H56" s="72">
        <f>IF(AND(OR(LEFT(C56,3)="12.",LEFT(E56,3)="12.",LEFT(E56,5)="CET &gt;",IFERROR(G56/$G$6,"")=0),NOT(AND(LEFT(E56,4)="12.8",IFERROR(G56/$G$6,"")&lt;&gt;0)),NOT(AND(LEFT(E56,5)="12.31",IFERROR(G56/$G$6,"")&lt;&gt;0)),NOT(AND(LEFT(E56,5)="12.32",IFERROR(G56/$G$6,"")&lt;&gt;0))),"", IFERROR(G56/$G$6,""))</f>
      </c>
      <c r="I56" s="73">
        <f>SUMIFS(
INDEX('ETPT Format DDG'!$A:$ZZ,,IFERROR(MATCH(E56,'ETPT Format DDG'!$2:$2,0),MATCH(C56,'ETPT Format DDG'!$2:$2,0))),
INDEX( 'ETPT Format DDG'!$A:$ZZ,,MATCH("Fonction agrégat",'ETPT Format DDG'!2:2,0)),"M-PLAC-ADD",
INDEX( 'ETPT Format DDG'!$A:$ZZ,,MATCH("Juridiction",'ETPT Format DDG'!2:2,0)),$A$3)</f>
      </c>
      <c r="J56" s="73">
        <f>SUMIFS(
INDEX('ETPT Format DDG'!$A:$ZZ,,IFERROR(MATCH(E56,'ETPT Format DDG'!$2:$2,0),MATCH(C56,'ETPT Format DDG'!$2:$2,0))),
INDEX( 'ETPT Format DDG'!$A:$ZZ,,MATCH("Fonction agrégat",'ETPT Format DDG'!2:2,0)),"M-PLAC-SUB",
INDEX( 'ETPT Format DDG'!$A:$ZZ,,MATCH("Juridiction",'ETPT Format DDG'!2:2,0)),$A$3)</f>
      </c>
      <c r="K56" s="73">
        <f>SUMIFS(
INDEX('ETPT Format DDG'!$A:$ZZ,,IFERROR(MATCH(E56,'ETPT Format DDG'!$2:$2,0),MATCH(C56,'ETPT Format DDG'!$2:$2,0))),
INDEX( 'ETPT Format DDG'!$A:$ZZ,,MATCH("Fonction agrégat",'ETPT Format DDG'!2:2,0)),"M-CONT",
INDEX( 'ETPT Format DDG'!$A:$ZZ,,MATCH("Juridiction",'ETPT Format DDG'!2:2,0)),$A$3,
INDEX( 'ETPT Format DDG'!$A:$ZZ,,MATCH("Catégorie",'ETPT Format DDG'!2:2,0)),"Magistrat")</f>
      </c>
      <c r="L56" s="71">
        <f>SUMIFS(
INDEX('ETPT Format DDG'!$A:$ZZ,,IFERROR(MATCH(E56,'ETPT Format DDG'!$2:$2,0),MATCH(C56,'ETPT Format DDG'!$2:$2,0))),
INDEX( 'ETPT Format DDG'!$A:$ZZ,,MATCH("Juridiction",'ETPT Format DDG'!2:2,0)),$A$3,
INDEX( 'ETPT Format DDG'!$A:$ZZ,,MATCH("Catégorie",'ETPT Format DDG'!2:2,0)),"Magistrat")</f>
      </c>
      <c r="M56" s="74">
        <f>IF(AND(OR(LEFT(C56,3)="12.",LEFT(E56,3)="12.",LEFT(E56,5)="CET &gt;", IFERROR(L56/$L$6,"")=0),NOT(AND(LEFT(E56,4)="12.8",IFERROR(G56/$G$6,"")&lt;&gt;0)),NOT(AND(LEFT(E56,5)="12.31",IFERROR(L56/$G$6,"")&lt;&gt;0)),NOT(AND(LEFT(E56,5)="12.32",IFERROR(L56/$G$6,"")&lt;&gt;0))),"", IFERROR(L56/$L$6,""))</f>
      </c>
      <c r="N56" s="73">
        <f>SUMIFS(
INDEX('ETPT Format DDG'!$A:$ZZ,,IFERROR(MATCH(E56,'ETPT Format DDG'!$2:$2,0),MATCH(C56,'ETPT Format DDG'!$2:$2,0))),
INDEX( 'ETPT Format DDG'!$A:$ZZ,,MATCH("Fonction agrégat",'ETPT Format DDG'!2:2,0)),"F-TIT",
INDEX( 'ETPT Format DDG'!$A:$ZZ,,MATCH("Juridiction",'ETPT Format DDG'!2:2,0)),$A$3)</f>
      </c>
      <c r="O56" s="72">
        <f>IF(AND(OR(LEFT(C56,3)="12.",LEFT(E56,3)="12.",LEFT(E56,5)="CET &gt;",IFERROR(N56/$N$6,"")=0),NOT(AND(LEFT(E56,4)="12.8",IFERROR(G56/$G$6,"")&lt;&gt;0)),NOT(AND(LEFT(E56,5)="12.31",IFERROR(N56/$G$6,"")&lt;&gt;0)),NOT(AND(LEFT(E56,5)="12.32",IFERROR(N56/$G$6,"")&lt;&gt;0))),"",IFERROR(N56/$N$6,""))</f>
      </c>
      <c r="P56" s="73">
        <f>SUMIFS(
INDEX('ETPT Format DDG'!$A:$FB,,IFERROR(MATCH(E56,'ETPT Format DDG'!$2:$2,0),MATCH(C56,'ETPT Format DDG'!$2:$2,0))),
INDEX( 'ETPT Format DDG'!$A:$ZZ,,MATCH("Fonction agrégat",'ETPT Format DDG'!2:2,0)),"F-PLAC-ADD",
INDEX( 'ETPT Format DDG'!$A:$ZZ,,MATCH("Juridiction",'ETPT Format DDG'!2:2,0)),$A$3)</f>
      </c>
      <c r="Q56" s="73">
        <f>SUMIFS(
INDEX('ETPT Format DDG'!$A:$FB,,IFERROR(MATCH(E56,'ETPT Format DDG'!$2:$2,0),MATCH(C56,'ETPT Format DDG'!$2:$2,0))),
INDEX( 'ETPT Format DDG'!$A:$ZZ,,MATCH("Fonction agrégat",'ETPT Format DDG'!2:2,0)),"F-PLAC-SUB",
INDEX( 'ETPT Format DDG'!$A:$ZZ,,MATCH("Juridiction",'ETPT Format DDG'!2:2,0)),$A$3)</f>
      </c>
      <c r="R56" s="73">
        <f>SUMIFS(
INDEX('ETPT Format DDG'!$A:$FB,,IFERROR(MATCH(E56,'ETPT Format DDG'!$2:$2,0),MATCH(C56,'ETPT Format DDG'!$2:$2,0))),
INDEX( 'ETPT Format DDG'!$A:$ZZ,,MATCH("Fonction agrégat",'ETPT Format DDG'!2:2,0)),"C",
'ETPT Format DDG'!$H:$H,"Greffe",
INDEX( 'ETPT Format DDG'!$A:$ZZ,,MATCH("Juridiction",'ETPT Format DDG'!2:2,0)),$A$3)</f>
      </c>
      <c r="S56" s="71">
        <f>SUMIFS(
INDEX('ETPT Format DDG'!$A:$FB,,IFERROR(MATCH(E56,'ETPT Format DDG'!$2:$2,0),MATCH(C56,'ETPT Format DDG'!$2:$2,0))),
INDEX( 'ETPT Format DDG'!$A:$ZZ,,MATCH("Catégorie",'ETPT Format DDG'!2:2,0)),"Greffe",
INDEX( 'ETPT Format DDG'!$A:$ZZ,,MATCH("Juridiction",'ETPT Format DDG'!2:2,0)),$A$3)</f>
      </c>
      <c r="T56" s="72">
        <f>IF(AND(OR(LEFT(C56,3)="12.",LEFT(E56,3)="12.",LEFT(E56,5)="CET &gt;",IFERROR(S56/$S$6,"")=0),NOT(AND(LEFT(E56,4)="12.8",IFERROR(G56/$G$6,"")&lt;&gt;0)),NOT(AND(LEFT(E56,5)="12.31",IFERROR(S56/$G$6,"")&lt;&gt;0)),NOT(AND(LEFT(E56,5)="12.32",IFERROR(S56/$G$6,"")&lt;&gt;0))),"", IFERROR(S56/$S$6,""))</f>
      </c>
      <c r="U56" s="71">
        <f>SUMIFS(
INDEX('ETPT Format DDG'!$A:$FB,,IFERROR(MATCH(E56,'ETPT Format DDG'!$2:$2,0),MATCH(C56,'ETPT Format DDG'!$2:$2,0))),
INDEX( 'ETPT Format DDG'!$A:$ZZ,,MATCH("Fonction agrégat",'ETPT Format DDG'!2:2,0)),"C",
INDEX( 'ETPT Format DDG'!$A:$ZZ,,MATCH("Juridiction",'ETPT Format DDG'!2:2,0)),$A$3,
INDEX( 'ETPT Format DDG'!$A:$ZZ,,MATCH("Catégorie",'ETPT Format DDG'!2:2,0)),"Autour du magistrat")</f>
      </c>
      <c r="V56" s="74">
        <f>IF(AND(OR(LEFT(C56,3)="12.",LEFT(E56,3)="12.",LEFT(E56,5)="CET &gt;",IFERROR(U56/$U$6,"")=0),NOT(AND(LEFT(E56,4)="12.8",IFERROR(G56/$G$6,"")&lt;&gt;0)),NOT(AND(LEFT(E56,5)="12.31",IFERROR(U56/$G$6,"")&lt;&gt;0)),NOT(AND(LEFT(E56,5)="12.32",IFERROR(U56/$G$6,"")&lt;&gt;0))),"", IFERROR(U56/$U$6,""))</f>
      </c>
    </row>
    <row r="57" ht="16" customHeight="1" spans="1:23" x14ac:dyDescent="0.25">
      <c r="A57" s="40"/>
      <c r="C57" s="68"/>
      <c r="D57" s="68"/>
      <c r="E57" s="69" t="s">
        <v>92</v>
      </c>
      <c r="F57" s="70" t="s">
        <v>92</v>
      </c>
      <c r="G57" s="71">
        <f>SUMIFS(
INDEX('ETPT Format DDG'!$A:$ZZ,,IFERROR(MATCH(E57,'ETPT Format DDG'!$2:$2,0),MATCH(C57,'ETPT Format DDG'!$2:$2,0))),
INDEX( 'ETPT Format DDG'!$A:$ZZ,,MATCH("Fonction agrégat",'ETPT Format DDG'!2:2,0)),"M-TIT",
INDEX( 'ETPT Format DDG'!$A:$ZZ,,MATCH("Juridiction",'ETPT Format DDG'!2:2,0)),$A$3)</f>
      </c>
      <c r="H57" s="72">
        <f>IF(AND(OR(LEFT(C57,3)="12.",LEFT(E57,3)="12.",LEFT(E57,5)="CET &gt;",IFERROR(G57/$G$6,"")=0),NOT(AND(LEFT(E57,4)="12.8",IFERROR(G57/$G$6,"")&lt;&gt;0)),NOT(AND(LEFT(E57,5)="12.31",IFERROR(G57/$G$6,"")&lt;&gt;0)),NOT(AND(LEFT(E57,5)="12.32",IFERROR(G57/$G$6,"")&lt;&gt;0))),"", IFERROR(G57/$G$6,""))</f>
      </c>
      <c r="I57" s="73">
        <f>SUMIFS(
INDEX('ETPT Format DDG'!$A:$ZZ,,IFERROR(MATCH(E57,'ETPT Format DDG'!$2:$2,0),MATCH(C57,'ETPT Format DDG'!$2:$2,0))),
INDEX( 'ETPT Format DDG'!$A:$ZZ,,MATCH("Fonction agrégat",'ETPT Format DDG'!2:2,0)),"M-PLAC-ADD",
INDEX( 'ETPT Format DDG'!$A:$ZZ,,MATCH("Juridiction",'ETPT Format DDG'!2:2,0)),$A$3)</f>
      </c>
      <c r="J57" s="73">
        <f>SUMIFS(
INDEX('ETPT Format DDG'!$A:$ZZ,,IFERROR(MATCH(E57,'ETPT Format DDG'!$2:$2,0),MATCH(C57,'ETPT Format DDG'!$2:$2,0))),
INDEX( 'ETPT Format DDG'!$A:$ZZ,,MATCH("Fonction agrégat",'ETPT Format DDG'!2:2,0)),"M-PLAC-SUB",
INDEX( 'ETPT Format DDG'!$A:$ZZ,,MATCH("Juridiction",'ETPT Format DDG'!2:2,0)),$A$3)</f>
      </c>
      <c r="K57" s="73">
        <f>SUMIFS(
INDEX('ETPT Format DDG'!$A:$ZZ,,IFERROR(MATCH(E57,'ETPT Format DDG'!$2:$2,0),MATCH(C57,'ETPT Format DDG'!$2:$2,0))),
INDEX( 'ETPT Format DDG'!$A:$ZZ,,MATCH("Fonction agrégat",'ETPT Format DDG'!2:2,0)),"M-CONT",
INDEX( 'ETPT Format DDG'!$A:$ZZ,,MATCH("Juridiction",'ETPT Format DDG'!2:2,0)),$A$3,
INDEX( 'ETPT Format DDG'!$A:$ZZ,,MATCH("Catégorie",'ETPT Format DDG'!2:2,0)),"Magistrat")</f>
      </c>
      <c r="L57" s="71">
        <f>SUMIFS(
INDEX('ETPT Format DDG'!$A:$ZZ,,IFERROR(MATCH(E57,'ETPT Format DDG'!$2:$2,0),MATCH(C57,'ETPT Format DDG'!$2:$2,0))),
INDEX( 'ETPT Format DDG'!$A:$ZZ,,MATCH("Juridiction",'ETPT Format DDG'!2:2,0)),$A$3,
INDEX( 'ETPT Format DDG'!$A:$ZZ,,MATCH("Catégorie",'ETPT Format DDG'!2:2,0)),"Magistrat")</f>
      </c>
      <c r="M57" s="74">
        <f>IF(AND(OR(LEFT(C57,3)="12.",LEFT(E57,3)="12.",LEFT(E57,5)="CET &gt;", IFERROR(L57/$L$6,"")=0),NOT(AND(LEFT(E57,4)="12.8",IFERROR(G57/$G$6,"")&lt;&gt;0)),NOT(AND(LEFT(E57,5)="12.31",IFERROR(L57/$G$6,"")&lt;&gt;0)),NOT(AND(LEFT(E57,5)="12.32",IFERROR(L57/$G$6,"")&lt;&gt;0))),"", IFERROR(L57/$L$6,""))</f>
      </c>
      <c r="N57" s="73">
        <f>SUMIFS(
INDEX('ETPT Format DDG'!$A:$ZZ,,IFERROR(MATCH(E57,'ETPT Format DDG'!$2:$2,0),MATCH(C57,'ETPT Format DDG'!$2:$2,0))),
INDEX( 'ETPT Format DDG'!$A:$ZZ,,MATCH("Fonction agrégat",'ETPT Format DDG'!2:2,0)),"F-TIT",
INDEX( 'ETPT Format DDG'!$A:$ZZ,,MATCH("Juridiction",'ETPT Format DDG'!2:2,0)),$A$3)</f>
      </c>
      <c r="O57" s="72">
        <f>IF(AND(OR(LEFT(C57,3)="12.",LEFT(E57,3)="12.",LEFT(E57,5)="CET &gt;",IFERROR(N57/$N$6,"")=0),NOT(AND(LEFT(E57,4)="12.8",IFERROR(G57/$G$6,"")&lt;&gt;0)),NOT(AND(LEFT(E57,5)="12.31",IFERROR(N57/$G$6,"")&lt;&gt;0)),NOT(AND(LEFT(E57,5)="12.32",IFERROR(N57/$G$6,"")&lt;&gt;0))),"",IFERROR(N57/$N$6,""))</f>
      </c>
      <c r="P57" s="73">
        <f>SUMIFS(
INDEX('ETPT Format DDG'!$A:$FB,,IFERROR(MATCH(E57,'ETPT Format DDG'!$2:$2,0),MATCH(C57,'ETPT Format DDG'!$2:$2,0))),
INDEX( 'ETPT Format DDG'!$A:$ZZ,,MATCH("Fonction agrégat",'ETPT Format DDG'!2:2,0)),"F-PLAC-ADD",
INDEX( 'ETPT Format DDG'!$A:$ZZ,,MATCH("Juridiction",'ETPT Format DDG'!2:2,0)),$A$3)</f>
      </c>
      <c r="Q57" s="73">
        <f>SUMIFS(
INDEX('ETPT Format DDG'!$A:$FB,,IFERROR(MATCH(E57,'ETPT Format DDG'!$2:$2,0),MATCH(C57,'ETPT Format DDG'!$2:$2,0))),
INDEX( 'ETPT Format DDG'!$A:$ZZ,,MATCH("Fonction agrégat",'ETPT Format DDG'!2:2,0)),"F-PLAC-SUB",
INDEX( 'ETPT Format DDG'!$A:$ZZ,,MATCH("Juridiction",'ETPT Format DDG'!2:2,0)),$A$3)</f>
      </c>
      <c r="R57" s="73">
        <f>SUMIFS(
INDEX('ETPT Format DDG'!$A:$FB,,IFERROR(MATCH(E57,'ETPT Format DDG'!$2:$2,0),MATCH(C57,'ETPT Format DDG'!$2:$2,0))),
INDEX( 'ETPT Format DDG'!$A:$ZZ,,MATCH("Fonction agrégat",'ETPT Format DDG'!2:2,0)),"C",
'ETPT Format DDG'!$H:$H,"Greffe",
INDEX( 'ETPT Format DDG'!$A:$ZZ,,MATCH("Juridiction",'ETPT Format DDG'!2:2,0)),$A$3)</f>
      </c>
      <c r="S57" s="71">
        <f>SUMIFS(
INDEX('ETPT Format DDG'!$A:$FB,,IFERROR(MATCH(E57,'ETPT Format DDG'!$2:$2,0),MATCH(C57,'ETPT Format DDG'!$2:$2,0))),
INDEX( 'ETPT Format DDG'!$A:$ZZ,,MATCH("Catégorie",'ETPT Format DDG'!2:2,0)),"Greffe",
INDEX( 'ETPT Format DDG'!$A:$ZZ,,MATCH("Juridiction",'ETPT Format DDG'!2:2,0)),$A$3)</f>
      </c>
      <c r="T57" s="72">
        <f>IF(AND(OR(LEFT(C57,3)="12.",LEFT(E57,3)="12.",LEFT(E57,5)="CET &gt;",IFERROR(S57/$S$6,"")=0),NOT(AND(LEFT(E57,4)="12.8",IFERROR(G57/$G$6,"")&lt;&gt;0)),NOT(AND(LEFT(E57,5)="12.31",IFERROR(S57/$G$6,"")&lt;&gt;0)),NOT(AND(LEFT(E57,5)="12.32",IFERROR(S57/$G$6,"")&lt;&gt;0))),"", IFERROR(S57/$S$6,""))</f>
      </c>
      <c r="U57" s="71">
        <f>SUMIFS(
INDEX('ETPT Format DDG'!$A:$FB,,IFERROR(MATCH(E57,'ETPT Format DDG'!$2:$2,0),MATCH(C57,'ETPT Format DDG'!$2:$2,0))),
INDEX( 'ETPT Format DDG'!$A:$ZZ,,MATCH("Fonction agrégat",'ETPT Format DDG'!2:2,0)),"C",
INDEX( 'ETPT Format DDG'!$A:$ZZ,,MATCH("Juridiction",'ETPT Format DDG'!2:2,0)),$A$3,
INDEX( 'ETPT Format DDG'!$A:$ZZ,,MATCH("Catégorie",'ETPT Format DDG'!2:2,0)),"Autour du magistrat")</f>
      </c>
      <c r="V57" s="74">
        <f>IF(AND(OR(LEFT(C57,3)="12.",LEFT(E57,3)="12.",LEFT(E57,5)="CET &gt;",IFERROR(U57/$U$6,"")=0),NOT(AND(LEFT(E57,4)="12.8",IFERROR(G57/$G$6,"")&lt;&gt;0)),NOT(AND(LEFT(E57,5)="12.31",IFERROR(U57/$G$6,"")&lt;&gt;0)),NOT(AND(LEFT(E57,5)="12.32",IFERROR(U57/$G$6,"")&lt;&gt;0))),"", IFERROR(U57/$U$6,""))</f>
      </c>
    </row>
    <row r="58" ht="16" customHeight="1" spans="1:23" x14ac:dyDescent="0.25">
      <c r="A58" s="40"/>
      <c r="C58" s="68"/>
      <c r="D58" s="68"/>
      <c r="E58" s="69" t="s">
        <v>93</v>
      </c>
      <c r="F58" s="70" t="s">
        <v>93</v>
      </c>
      <c r="G58" s="71">
        <f>SUMIFS(
INDEX('ETPT Format DDG'!$A:$ZZ,,IFERROR(MATCH(E58,'ETPT Format DDG'!$2:$2,0),MATCH(C58,'ETPT Format DDG'!$2:$2,0))),
INDEX( 'ETPT Format DDG'!$A:$ZZ,,MATCH("Fonction agrégat",'ETPT Format DDG'!2:2,0)),"M-TIT",
INDEX( 'ETPT Format DDG'!$A:$ZZ,,MATCH("Juridiction",'ETPT Format DDG'!2:2,0)),$A$3)</f>
      </c>
      <c r="H58" s="72">
        <f>IF(AND(OR(LEFT(C58,3)="12.",LEFT(E58,3)="12.",LEFT(E58,5)="CET &gt;",IFERROR(G58/$G$6,"")=0),NOT(AND(LEFT(E58,4)="12.8",IFERROR(G58/$G$6,"")&lt;&gt;0)),NOT(AND(LEFT(E58,5)="12.31",IFERROR(G58/$G$6,"")&lt;&gt;0)),NOT(AND(LEFT(E58,5)="12.32",IFERROR(G58/$G$6,"")&lt;&gt;0))),"", IFERROR(G58/$G$6,""))</f>
      </c>
      <c r="I58" s="73">
        <f>SUMIFS(
INDEX('ETPT Format DDG'!$A:$ZZ,,IFERROR(MATCH(E58,'ETPT Format DDG'!$2:$2,0),MATCH(C58,'ETPT Format DDG'!$2:$2,0))),
INDEX( 'ETPT Format DDG'!$A:$ZZ,,MATCH("Fonction agrégat",'ETPT Format DDG'!2:2,0)),"M-PLAC-ADD",
INDEX( 'ETPT Format DDG'!$A:$ZZ,,MATCH("Juridiction",'ETPT Format DDG'!2:2,0)),$A$3)</f>
      </c>
      <c r="J58" s="73">
        <f>SUMIFS(
INDEX('ETPT Format DDG'!$A:$ZZ,,IFERROR(MATCH(E58,'ETPT Format DDG'!$2:$2,0),MATCH(C58,'ETPT Format DDG'!$2:$2,0))),
INDEX( 'ETPT Format DDG'!$A:$ZZ,,MATCH("Fonction agrégat",'ETPT Format DDG'!2:2,0)),"M-PLAC-SUB",
INDEX( 'ETPT Format DDG'!$A:$ZZ,,MATCH("Juridiction",'ETPT Format DDG'!2:2,0)),$A$3)</f>
      </c>
      <c r="K58" s="73">
        <f>SUMIFS(
INDEX('ETPT Format DDG'!$A:$ZZ,,IFERROR(MATCH(E58,'ETPT Format DDG'!$2:$2,0),MATCH(C58,'ETPT Format DDG'!$2:$2,0))),
INDEX( 'ETPT Format DDG'!$A:$ZZ,,MATCH("Fonction agrégat",'ETPT Format DDG'!2:2,0)),"M-CONT",
INDEX( 'ETPT Format DDG'!$A:$ZZ,,MATCH("Juridiction",'ETPT Format DDG'!2:2,0)),$A$3,
INDEX( 'ETPT Format DDG'!$A:$ZZ,,MATCH("Catégorie",'ETPT Format DDG'!2:2,0)),"Magistrat")</f>
      </c>
      <c r="L58" s="71">
        <f>SUMIFS(
INDEX('ETPT Format DDG'!$A:$ZZ,,IFERROR(MATCH(E58,'ETPT Format DDG'!$2:$2,0),MATCH(C58,'ETPT Format DDG'!$2:$2,0))),
INDEX( 'ETPT Format DDG'!$A:$ZZ,,MATCH("Juridiction",'ETPT Format DDG'!2:2,0)),$A$3,
INDEX( 'ETPT Format DDG'!$A:$ZZ,,MATCH("Catégorie",'ETPT Format DDG'!2:2,0)),"Magistrat")</f>
      </c>
      <c r="M58" s="74">
        <f>IF(AND(OR(LEFT(C58,3)="12.",LEFT(E58,3)="12.",LEFT(E58,5)="CET &gt;", IFERROR(L58/$L$6,"")=0),NOT(AND(LEFT(E58,4)="12.8",IFERROR(G58/$G$6,"")&lt;&gt;0)),NOT(AND(LEFT(E58,5)="12.31",IFERROR(L58/$G$6,"")&lt;&gt;0)),NOT(AND(LEFT(E58,5)="12.32",IFERROR(L58/$G$6,"")&lt;&gt;0))),"", IFERROR(L58/$L$6,""))</f>
      </c>
      <c r="N58" s="73">
        <f>SUMIFS(
INDEX('ETPT Format DDG'!$A:$ZZ,,IFERROR(MATCH(E58,'ETPT Format DDG'!$2:$2,0),MATCH(C58,'ETPT Format DDG'!$2:$2,0))),
INDEX( 'ETPT Format DDG'!$A:$ZZ,,MATCH("Fonction agrégat",'ETPT Format DDG'!2:2,0)),"F-TIT",
INDEX( 'ETPT Format DDG'!$A:$ZZ,,MATCH("Juridiction",'ETPT Format DDG'!2:2,0)),$A$3)</f>
      </c>
      <c r="O58" s="72">
        <f>IF(AND(OR(LEFT(C58,3)="12.",LEFT(E58,3)="12.",LEFT(E58,5)="CET &gt;",IFERROR(N58/$N$6,"")=0),NOT(AND(LEFT(E58,4)="12.8",IFERROR(G58/$G$6,"")&lt;&gt;0)),NOT(AND(LEFT(E58,5)="12.31",IFERROR(N58/$G$6,"")&lt;&gt;0)),NOT(AND(LEFT(E58,5)="12.32",IFERROR(N58/$G$6,"")&lt;&gt;0))),"",IFERROR(N58/$N$6,""))</f>
      </c>
      <c r="P58" s="73">
        <f>SUMIFS(
INDEX('ETPT Format DDG'!$A:$FB,,IFERROR(MATCH(E58,'ETPT Format DDG'!$2:$2,0),MATCH(C58,'ETPT Format DDG'!$2:$2,0))),
INDEX( 'ETPT Format DDG'!$A:$ZZ,,MATCH("Fonction agrégat",'ETPT Format DDG'!2:2,0)),"F-PLAC-ADD",
INDEX( 'ETPT Format DDG'!$A:$ZZ,,MATCH("Juridiction",'ETPT Format DDG'!2:2,0)),$A$3)</f>
      </c>
      <c r="Q58" s="73">
        <f>SUMIFS(
INDEX('ETPT Format DDG'!$A:$FB,,IFERROR(MATCH(E58,'ETPT Format DDG'!$2:$2,0),MATCH(C58,'ETPT Format DDG'!$2:$2,0))),
INDEX( 'ETPT Format DDG'!$A:$ZZ,,MATCH("Fonction agrégat",'ETPT Format DDG'!2:2,0)),"F-PLAC-SUB",
INDEX( 'ETPT Format DDG'!$A:$ZZ,,MATCH("Juridiction",'ETPT Format DDG'!2:2,0)),$A$3)</f>
      </c>
      <c r="R58" s="73">
        <f>SUMIFS(
INDEX('ETPT Format DDG'!$A:$FB,,IFERROR(MATCH(E58,'ETPT Format DDG'!$2:$2,0),MATCH(C58,'ETPT Format DDG'!$2:$2,0))),
INDEX( 'ETPT Format DDG'!$A:$ZZ,,MATCH("Fonction agrégat",'ETPT Format DDG'!2:2,0)),"C",
'ETPT Format DDG'!$H:$H,"Greffe",
INDEX( 'ETPT Format DDG'!$A:$ZZ,,MATCH("Juridiction",'ETPT Format DDG'!2:2,0)),$A$3)</f>
      </c>
      <c r="S58" s="71">
        <f>SUMIFS(
INDEX('ETPT Format DDG'!$A:$FB,,IFERROR(MATCH(E58,'ETPT Format DDG'!$2:$2,0),MATCH(C58,'ETPT Format DDG'!$2:$2,0))),
INDEX( 'ETPT Format DDG'!$A:$ZZ,,MATCH("Catégorie",'ETPT Format DDG'!2:2,0)),"Greffe",
INDEX( 'ETPT Format DDG'!$A:$ZZ,,MATCH("Juridiction",'ETPT Format DDG'!2:2,0)),$A$3)</f>
      </c>
      <c r="T58" s="72">
        <f>IF(AND(OR(LEFT(C58,3)="12.",LEFT(E58,3)="12.",LEFT(E58,5)="CET &gt;",IFERROR(S58/$S$6,"")=0),NOT(AND(LEFT(E58,4)="12.8",IFERROR(G58/$G$6,"")&lt;&gt;0)),NOT(AND(LEFT(E58,5)="12.31",IFERROR(S58/$G$6,"")&lt;&gt;0)),NOT(AND(LEFT(E58,5)="12.32",IFERROR(S58/$G$6,"")&lt;&gt;0))),"", IFERROR(S58/$S$6,""))</f>
      </c>
      <c r="U58" s="71">
        <f>SUMIFS(
INDEX('ETPT Format DDG'!$A:$FB,,IFERROR(MATCH(E58,'ETPT Format DDG'!$2:$2,0),MATCH(C58,'ETPT Format DDG'!$2:$2,0))),
INDEX( 'ETPT Format DDG'!$A:$ZZ,,MATCH("Fonction agrégat",'ETPT Format DDG'!2:2,0)),"C",
INDEX( 'ETPT Format DDG'!$A:$ZZ,,MATCH("Juridiction",'ETPT Format DDG'!2:2,0)),$A$3,
INDEX( 'ETPT Format DDG'!$A:$ZZ,,MATCH("Catégorie",'ETPT Format DDG'!2:2,0)),"Autour du magistrat")</f>
      </c>
      <c r="V58" s="74">
        <f>IF(AND(OR(LEFT(C58,3)="12.",LEFT(E58,3)="12.",LEFT(E58,5)="CET &gt;",IFERROR(U58/$U$6,"")=0),NOT(AND(LEFT(E58,4)="12.8",IFERROR(G58/$G$6,"")&lt;&gt;0)),NOT(AND(LEFT(E58,5)="12.31",IFERROR(U58/$G$6,"")&lt;&gt;0)),NOT(AND(LEFT(E58,5)="12.32",IFERROR(U58/$G$6,"")&lt;&gt;0))),"", IFERROR(U58/$U$6,""))</f>
      </c>
    </row>
    <row r="59" ht="16" customHeight="1" spans="1:23" x14ac:dyDescent="0.25">
      <c r="A59" s="40"/>
      <c r="C59" s="68" t="s">
        <v>94</v>
      </c>
      <c r="D59" s="68" t="s">
        <v>94</v>
      </c>
      <c r="E59" s="69"/>
      <c r="F59" s="70"/>
      <c r="G59" s="71">
        <f>SUMIFS(
INDEX('ETPT Format DDG'!$A:$ZZ,,IFERROR(MATCH(E59,'ETPT Format DDG'!$2:$2,0),MATCH(C59,'ETPT Format DDG'!$2:$2,0))),
INDEX( 'ETPT Format DDG'!$A:$ZZ,,MATCH("Fonction agrégat",'ETPT Format DDG'!2:2,0)),"M-TIT",
INDEX( 'ETPT Format DDG'!$A:$ZZ,,MATCH("Juridiction",'ETPT Format DDG'!2:2,0)),$A$3)</f>
      </c>
      <c r="H59" s="72">
        <f>IF(AND(OR(LEFT(C59,3)="12.",LEFT(E59,3)="12.",LEFT(E59,5)="CET &gt;",IFERROR(G59/$G$6,"")=0),NOT(AND(LEFT(E59,4)="12.8",IFERROR(G59/$G$6,"")&lt;&gt;0)),NOT(AND(LEFT(E59,5)="12.31",IFERROR(G59/$G$6,"")&lt;&gt;0)),NOT(AND(LEFT(E59,5)="12.32",IFERROR(G59/$G$6,"")&lt;&gt;0))),"", IFERROR(G59/$G$6,""))</f>
      </c>
      <c r="I59" s="73">
        <f>SUMIFS(
INDEX('ETPT Format DDG'!$A:$ZZ,,IFERROR(MATCH(E59,'ETPT Format DDG'!$2:$2,0),MATCH(C59,'ETPT Format DDG'!$2:$2,0))),
INDEX( 'ETPT Format DDG'!$A:$ZZ,,MATCH("Fonction agrégat",'ETPT Format DDG'!2:2,0)),"M-PLAC-ADD",
INDEX( 'ETPT Format DDG'!$A:$ZZ,,MATCH("Juridiction",'ETPT Format DDG'!2:2,0)),$A$3)</f>
      </c>
      <c r="J59" s="73">
        <f>SUMIFS(
INDEX('ETPT Format DDG'!$A:$ZZ,,IFERROR(MATCH(E59,'ETPT Format DDG'!$2:$2,0),MATCH(C59,'ETPT Format DDG'!$2:$2,0))),
INDEX( 'ETPT Format DDG'!$A:$ZZ,,MATCH("Fonction agrégat",'ETPT Format DDG'!2:2,0)),"M-PLAC-SUB",
INDEX( 'ETPT Format DDG'!$A:$ZZ,,MATCH("Juridiction",'ETPT Format DDG'!2:2,0)),$A$3)</f>
      </c>
      <c r="K59" s="73">
        <f>SUMIFS(
INDEX('ETPT Format DDG'!$A:$ZZ,,IFERROR(MATCH(E59,'ETPT Format DDG'!$2:$2,0),MATCH(C59,'ETPT Format DDG'!$2:$2,0))),
INDEX( 'ETPT Format DDG'!$A:$ZZ,,MATCH("Fonction agrégat",'ETPT Format DDG'!2:2,0)),"M-CONT",
INDEX( 'ETPT Format DDG'!$A:$ZZ,,MATCH("Juridiction",'ETPT Format DDG'!2:2,0)),$A$3,
INDEX( 'ETPT Format DDG'!$A:$ZZ,,MATCH("Catégorie",'ETPT Format DDG'!2:2,0)),"Magistrat")</f>
      </c>
      <c r="L59" s="71">
        <f>SUMIFS(
INDEX('ETPT Format DDG'!$A:$ZZ,,IFERROR(MATCH(E59,'ETPT Format DDG'!$2:$2,0),MATCH(C59,'ETPT Format DDG'!$2:$2,0))),
INDEX( 'ETPT Format DDG'!$A:$ZZ,,MATCH("Juridiction",'ETPT Format DDG'!2:2,0)),$A$3,
INDEX( 'ETPT Format DDG'!$A:$ZZ,,MATCH("Catégorie",'ETPT Format DDG'!2:2,0)),"Magistrat")</f>
      </c>
      <c r="M59" s="74">
        <f>IF(AND(OR(LEFT(C59,3)="12.",LEFT(E59,3)="12.",LEFT(E59,5)="CET &gt;", IFERROR(L59/$L$6,"")=0),NOT(AND(LEFT(E59,4)="12.8",IFERROR(G59/$G$6,"")&lt;&gt;0)),NOT(AND(LEFT(E59,5)="12.31",IFERROR(L59/$G$6,"")&lt;&gt;0)),NOT(AND(LEFT(E59,5)="12.32",IFERROR(L59/$G$6,"")&lt;&gt;0))),"", IFERROR(L59/$L$6,""))</f>
      </c>
      <c r="N59" s="73">
        <f>SUMIFS(
INDEX('ETPT Format DDG'!$A:$ZZ,,IFERROR(MATCH(E59,'ETPT Format DDG'!$2:$2,0),MATCH(C59,'ETPT Format DDG'!$2:$2,0))),
INDEX( 'ETPT Format DDG'!$A:$ZZ,,MATCH("Fonction agrégat",'ETPT Format DDG'!2:2,0)),"F-TIT",
INDEX( 'ETPT Format DDG'!$A:$ZZ,,MATCH("Juridiction",'ETPT Format DDG'!2:2,0)),$A$3)</f>
      </c>
      <c r="O59" s="72">
        <f>IF(AND(OR(LEFT(C59,3)="12.",LEFT(E59,3)="12.",LEFT(E59,5)="CET &gt;",IFERROR(N59/$N$6,"")=0),NOT(AND(LEFT(E59,4)="12.8",IFERROR(G59/$G$6,"")&lt;&gt;0)),NOT(AND(LEFT(E59,5)="12.31",IFERROR(N59/$G$6,"")&lt;&gt;0)),NOT(AND(LEFT(E59,5)="12.32",IFERROR(N59/$G$6,"")&lt;&gt;0))),"",IFERROR(N59/$N$6,""))</f>
      </c>
      <c r="P59" s="73">
        <f>SUMIFS(
INDEX('ETPT Format DDG'!$A:$FB,,IFERROR(MATCH(E59,'ETPT Format DDG'!$2:$2,0),MATCH(C59,'ETPT Format DDG'!$2:$2,0))),
INDEX( 'ETPT Format DDG'!$A:$ZZ,,MATCH("Fonction agrégat",'ETPT Format DDG'!2:2,0)),"F-PLAC-ADD",
INDEX( 'ETPT Format DDG'!$A:$ZZ,,MATCH("Juridiction",'ETPT Format DDG'!2:2,0)),$A$3)</f>
      </c>
      <c r="Q59" s="73">
        <f>SUMIFS(
INDEX('ETPT Format DDG'!$A:$FB,,IFERROR(MATCH(E59,'ETPT Format DDG'!$2:$2,0),MATCH(C59,'ETPT Format DDG'!$2:$2,0))),
INDEX( 'ETPT Format DDG'!$A:$ZZ,,MATCH("Fonction agrégat",'ETPT Format DDG'!2:2,0)),"F-PLAC-SUB",
INDEX( 'ETPT Format DDG'!$A:$ZZ,,MATCH("Juridiction",'ETPT Format DDG'!2:2,0)),$A$3)</f>
      </c>
      <c r="R59" s="73">
        <f>SUMIFS(
INDEX('ETPT Format DDG'!$A:$FB,,IFERROR(MATCH(E59,'ETPT Format DDG'!$2:$2,0),MATCH(C59,'ETPT Format DDG'!$2:$2,0))),
INDEX( 'ETPT Format DDG'!$A:$ZZ,,MATCH("Fonction agrégat",'ETPT Format DDG'!2:2,0)),"C",
'ETPT Format DDG'!$H:$H,"Greffe",
INDEX( 'ETPT Format DDG'!$A:$ZZ,,MATCH("Juridiction",'ETPT Format DDG'!2:2,0)),$A$3)</f>
      </c>
      <c r="S59" s="71">
        <f>SUMIFS(
INDEX('ETPT Format DDG'!$A:$FB,,IFERROR(MATCH(E59,'ETPT Format DDG'!$2:$2,0),MATCH(C59,'ETPT Format DDG'!$2:$2,0))),
INDEX( 'ETPT Format DDG'!$A:$ZZ,,MATCH("Catégorie",'ETPT Format DDG'!2:2,0)),"Greffe",
INDEX( 'ETPT Format DDG'!$A:$ZZ,,MATCH("Juridiction",'ETPT Format DDG'!2:2,0)),$A$3)</f>
      </c>
      <c r="T59" s="72">
        <f>IF(AND(OR(LEFT(C59,3)="12.",LEFT(E59,3)="12.",LEFT(E59,5)="CET &gt;",IFERROR(S59/$S$6,"")=0),NOT(AND(LEFT(E59,4)="12.8",IFERROR(G59/$G$6,"")&lt;&gt;0)),NOT(AND(LEFT(E59,5)="12.31",IFERROR(S59/$G$6,"")&lt;&gt;0)),NOT(AND(LEFT(E59,5)="12.32",IFERROR(S59/$G$6,"")&lt;&gt;0))),"", IFERROR(S59/$S$6,""))</f>
      </c>
      <c r="U59" s="71">
        <f>SUMIFS(
INDEX('ETPT Format DDG'!$A:$FB,,IFERROR(MATCH(E59,'ETPT Format DDG'!$2:$2,0),MATCH(C59,'ETPT Format DDG'!$2:$2,0))),
INDEX( 'ETPT Format DDG'!$A:$ZZ,,MATCH("Fonction agrégat",'ETPT Format DDG'!2:2,0)),"C",
INDEX( 'ETPT Format DDG'!$A:$ZZ,,MATCH("Juridiction",'ETPT Format DDG'!2:2,0)),$A$3,
INDEX( 'ETPT Format DDG'!$A:$ZZ,,MATCH("Catégorie",'ETPT Format DDG'!2:2,0)),"Autour du magistrat")</f>
      </c>
      <c r="V59" s="74">
        <f>IF(AND(OR(LEFT(C59,3)="12.",LEFT(E59,3)="12.",LEFT(E59,5)="CET &gt;",IFERROR(U59/$U$6,"")=0),NOT(AND(LEFT(E59,4)="12.8",IFERROR(G59/$G$6,"")&lt;&gt;0)),NOT(AND(LEFT(E59,5)="12.31",IFERROR(U59/$G$6,"")&lt;&gt;0)),NOT(AND(LEFT(E59,5)="12.32",IFERROR(U59/$G$6,"")&lt;&gt;0))),"", IFERROR(U59/$U$6,""))</f>
      </c>
    </row>
    <row r="60" ht="16" customHeight="1" spans="1:23" x14ac:dyDescent="0.25">
      <c r="A60" s="40"/>
      <c r="C60" s="68"/>
      <c r="D60" s="68"/>
      <c r="E60" s="69" t="s">
        <v>95</v>
      </c>
      <c r="F60" s="70" t="s">
        <v>95</v>
      </c>
      <c r="G60" s="71">
        <f>SUMIFS(
INDEX('ETPT Format DDG'!$A:$ZZ,,IFERROR(MATCH(E60,'ETPT Format DDG'!$2:$2,0),MATCH(C60,'ETPT Format DDG'!$2:$2,0))),
INDEX( 'ETPT Format DDG'!$A:$ZZ,,MATCH("Fonction agrégat",'ETPT Format DDG'!2:2,0)),"M-TIT",
INDEX( 'ETPT Format DDG'!$A:$ZZ,,MATCH("Juridiction",'ETPT Format DDG'!2:2,0)),$A$3)</f>
      </c>
      <c r="H60" s="72">
        <f>IF(AND(OR(LEFT(C60,3)="12.",LEFT(E60,3)="12.",LEFT(E60,5)="CET &gt;",IFERROR(G60/$G$6,"")=0),NOT(AND(LEFT(E60,4)="12.8",IFERROR(G60/$G$6,"")&lt;&gt;0)),NOT(AND(LEFT(E60,5)="12.31",IFERROR(G60/$G$6,"")&lt;&gt;0)),NOT(AND(LEFT(E60,5)="12.32",IFERROR(G60/$G$6,"")&lt;&gt;0))),"", IFERROR(G60/$G$6,""))</f>
      </c>
      <c r="I60" s="73">
        <f>SUMIFS(
INDEX('ETPT Format DDG'!$A:$ZZ,,IFERROR(MATCH(E60,'ETPT Format DDG'!$2:$2,0),MATCH(C60,'ETPT Format DDG'!$2:$2,0))),
INDEX( 'ETPT Format DDG'!$A:$ZZ,,MATCH("Fonction agrégat",'ETPT Format DDG'!2:2,0)),"M-PLAC-ADD",
INDEX( 'ETPT Format DDG'!$A:$ZZ,,MATCH("Juridiction",'ETPT Format DDG'!2:2,0)),$A$3)</f>
      </c>
      <c r="J60" s="73">
        <f>SUMIFS(
INDEX('ETPT Format DDG'!$A:$ZZ,,IFERROR(MATCH(E60,'ETPT Format DDG'!$2:$2,0),MATCH(C60,'ETPT Format DDG'!$2:$2,0))),
INDEX( 'ETPT Format DDG'!$A:$ZZ,,MATCH("Fonction agrégat",'ETPT Format DDG'!2:2,0)),"M-PLAC-SUB",
INDEX( 'ETPT Format DDG'!$A:$ZZ,,MATCH("Juridiction",'ETPT Format DDG'!2:2,0)),$A$3)</f>
      </c>
      <c r="K60" s="73">
        <f>SUMIFS(
INDEX('ETPT Format DDG'!$A:$ZZ,,IFERROR(MATCH(E60,'ETPT Format DDG'!$2:$2,0),MATCH(C60,'ETPT Format DDG'!$2:$2,0))),
INDEX( 'ETPT Format DDG'!$A:$ZZ,,MATCH("Fonction agrégat",'ETPT Format DDG'!2:2,0)),"M-CONT",
INDEX( 'ETPT Format DDG'!$A:$ZZ,,MATCH("Juridiction",'ETPT Format DDG'!2:2,0)),$A$3,
INDEX( 'ETPT Format DDG'!$A:$ZZ,,MATCH("Catégorie",'ETPT Format DDG'!2:2,0)),"Magistrat")</f>
      </c>
      <c r="L60" s="71">
        <f>SUMIFS(
INDEX('ETPT Format DDG'!$A:$ZZ,,IFERROR(MATCH(E60,'ETPT Format DDG'!$2:$2,0),MATCH(C60,'ETPT Format DDG'!$2:$2,0))),
INDEX( 'ETPT Format DDG'!$A:$ZZ,,MATCH("Juridiction",'ETPT Format DDG'!2:2,0)),$A$3,
INDEX( 'ETPT Format DDG'!$A:$ZZ,,MATCH("Catégorie",'ETPT Format DDG'!2:2,0)),"Magistrat")</f>
      </c>
      <c r="M60" s="74">
        <f>IF(AND(OR(LEFT(C60,3)="12.",LEFT(E60,3)="12.",LEFT(E60,5)="CET &gt;", IFERROR(L60/$L$6,"")=0),NOT(AND(LEFT(E60,4)="12.8",IFERROR(G60/$G$6,"")&lt;&gt;0)),NOT(AND(LEFT(E60,5)="12.31",IFERROR(L60/$G$6,"")&lt;&gt;0)),NOT(AND(LEFT(E60,5)="12.32",IFERROR(L60/$G$6,"")&lt;&gt;0))),"", IFERROR(L60/$L$6,""))</f>
      </c>
      <c r="N60" s="73">
        <f>SUMIFS(
INDEX('ETPT Format DDG'!$A:$ZZ,,IFERROR(MATCH(E60,'ETPT Format DDG'!$2:$2,0),MATCH(C60,'ETPT Format DDG'!$2:$2,0))),
INDEX( 'ETPT Format DDG'!$A:$ZZ,,MATCH("Fonction agrégat",'ETPT Format DDG'!2:2,0)),"F-TIT",
INDEX( 'ETPT Format DDG'!$A:$ZZ,,MATCH("Juridiction",'ETPT Format DDG'!2:2,0)),$A$3)</f>
      </c>
      <c r="O60" s="72">
        <f>IF(AND(OR(LEFT(C60,3)="12.",LEFT(E60,3)="12.",LEFT(E60,5)="CET &gt;",IFERROR(N60/$N$6,"")=0),NOT(AND(LEFT(E60,4)="12.8",IFERROR(G60/$G$6,"")&lt;&gt;0)),NOT(AND(LEFT(E60,5)="12.31",IFERROR(N60/$G$6,"")&lt;&gt;0)),NOT(AND(LEFT(E60,5)="12.32",IFERROR(N60/$G$6,"")&lt;&gt;0))),"",IFERROR(N60/$N$6,""))</f>
      </c>
      <c r="P60" s="73">
        <f>SUMIFS(
INDEX('ETPT Format DDG'!$A:$FB,,IFERROR(MATCH(E60,'ETPT Format DDG'!$2:$2,0),MATCH(C60,'ETPT Format DDG'!$2:$2,0))),
INDEX( 'ETPT Format DDG'!$A:$ZZ,,MATCH("Fonction agrégat",'ETPT Format DDG'!2:2,0)),"F-PLAC-ADD",
INDEX( 'ETPT Format DDG'!$A:$ZZ,,MATCH("Juridiction",'ETPT Format DDG'!2:2,0)),$A$3)</f>
      </c>
      <c r="Q60" s="73">
        <f>SUMIFS(
INDEX('ETPT Format DDG'!$A:$FB,,IFERROR(MATCH(E60,'ETPT Format DDG'!$2:$2,0),MATCH(C60,'ETPT Format DDG'!$2:$2,0))),
INDEX( 'ETPT Format DDG'!$A:$ZZ,,MATCH("Fonction agrégat",'ETPT Format DDG'!2:2,0)),"F-PLAC-SUB",
INDEX( 'ETPT Format DDG'!$A:$ZZ,,MATCH("Juridiction",'ETPT Format DDG'!2:2,0)),$A$3)</f>
      </c>
      <c r="R60" s="73">
        <f>SUMIFS(
INDEX('ETPT Format DDG'!$A:$FB,,IFERROR(MATCH(E60,'ETPT Format DDG'!$2:$2,0),MATCH(C60,'ETPT Format DDG'!$2:$2,0))),
INDEX( 'ETPT Format DDG'!$A:$ZZ,,MATCH("Fonction agrégat",'ETPT Format DDG'!2:2,0)),"C",
'ETPT Format DDG'!$H:$H,"Greffe",
INDEX( 'ETPT Format DDG'!$A:$ZZ,,MATCH("Juridiction",'ETPT Format DDG'!2:2,0)),$A$3)</f>
      </c>
      <c r="S60" s="71">
        <f>SUMIFS(
INDEX('ETPT Format DDG'!$A:$FB,,IFERROR(MATCH(E60,'ETPT Format DDG'!$2:$2,0),MATCH(C60,'ETPT Format DDG'!$2:$2,0))),
INDEX( 'ETPT Format DDG'!$A:$ZZ,,MATCH("Catégorie",'ETPT Format DDG'!2:2,0)),"Greffe",
INDEX( 'ETPT Format DDG'!$A:$ZZ,,MATCH("Juridiction",'ETPT Format DDG'!2:2,0)),$A$3)</f>
      </c>
      <c r="T60" s="72">
        <f>IF(AND(OR(LEFT(C60,3)="12.",LEFT(E60,3)="12.",LEFT(E60,5)="CET &gt;",IFERROR(S60/$S$6,"")=0),NOT(AND(LEFT(E60,4)="12.8",IFERROR(G60/$G$6,"")&lt;&gt;0)),NOT(AND(LEFT(E60,5)="12.31",IFERROR(S60/$G$6,"")&lt;&gt;0)),NOT(AND(LEFT(E60,5)="12.32",IFERROR(S60/$G$6,"")&lt;&gt;0))),"", IFERROR(S60/$S$6,""))</f>
      </c>
      <c r="U60" s="71">
        <f>SUMIFS(
INDEX('ETPT Format DDG'!$A:$FB,,IFERROR(MATCH(E60,'ETPT Format DDG'!$2:$2,0),MATCH(C60,'ETPT Format DDG'!$2:$2,0))),
INDEX( 'ETPT Format DDG'!$A:$ZZ,,MATCH("Fonction agrégat",'ETPT Format DDG'!2:2,0)),"C",
INDEX( 'ETPT Format DDG'!$A:$ZZ,,MATCH("Juridiction",'ETPT Format DDG'!2:2,0)),$A$3,
INDEX( 'ETPT Format DDG'!$A:$ZZ,,MATCH("Catégorie",'ETPT Format DDG'!2:2,0)),"Autour du magistrat")</f>
      </c>
      <c r="V60" s="74">
        <f>IF(AND(OR(LEFT(C60,3)="12.",LEFT(E60,3)="12.",LEFT(E60,5)="CET &gt;",IFERROR(U60/$U$6,"")=0),NOT(AND(LEFT(E60,4)="12.8",IFERROR(G60/$G$6,"")&lt;&gt;0)),NOT(AND(LEFT(E60,5)="12.31",IFERROR(U60/$G$6,"")&lt;&gt;0)),NOT(AND(LEFT(E60,5)="12.32",IFERROR(U60/$G$6,"")&lt;&gt;0))),"", IFERROR(U60/$U$6,""))</f>
      </c>
    </row>
    <row r="61" ht="16" customHeight="1" spans="1:23" x14ac:dyDescent="0.25">
      <c r="A61" s="40"/>
      <c r="C61" s="68"/>
      <c r="D61" s="68"/>
      <c r="E61" s="69" t="s">
        <v>96</v>
      </c>
      <c r="F61" s="70" t="s">
        <v>96</v>
      </c>
      <c r="G61" s="71">
        <f>SUMIFS(
INDEX('ETPT Format DDG'!$A:$ZZ,,IFERROR(MATCH(E61,'ETPT Format DDG'!$2:$2,0),MATCH(C61,'ETPT Format DDG'!$2:$2,0))),
INDEX( 'ETPT Format DDG'!$A:$ZZ,,MATCH("Fonction agrégat",'ETPT Format DDG'!2:2,0)),"M-TIT",
INDEX( 'ETPT Format DDG'!$A:$ZZ,,MATCH("Juridiction",'ETPT Format DDG'!2:2,0)),$A$3)</f>
      </c>
      <c r="H61" s="72">
        <f>IF(AND(OR(LEFT(C61,3)="12.",LEFT(E61,3)="12.",LEFT(E61,5)="CET &gt;",IFERROR(G61/$G$6,"")=0),NOT(AND(LEFT(E61,4)="12.8",IFERROR(G61/$G$6,"")&lt;&gt;0)),NOT(AND(LEFT(E61,5)="12.31",IFERROR(G61/$G$6,"")&lt;&gt;0)),NOT(AND(LEFT(E61,5)="12.32",IFERROR(G61/$G$6,"")&lt;&gt;0))),"", IFERROR(G61/$G$6,""))</f>
      </c>
      <c r="I61" s="73">
        <f>SUMIFS(
INDEX('ETPT Format DDG'!$A:$ZZ,,IFERROR(MATCH(E61,'ETPT Format DDG'!$2:$2,0),MATCH(C61,'ETPT Format DDG'!$2:$2,0))),
INDEX( 'ETPT Format DDG'!$A:$ZZ,,MATCH("Fonction agrégat",'ETPT Format DDG'!2:2,0)),"M-PLAC-ADD",
INDEX( 'ETPT Format DDG'!$A:$ZZ,,MATCH("Juridiction",'ETPT Format DDG'!2:2,0)),$A$3)</f>
      </c>
      <c r="J61" s="73">
        <f>SUMIFS(
INDEX('ETPT Format DDG'!$A:$ZZ,,IFERROR(MATCH(E61,'ETPT Format DDG'!$2:$2,0),MATCH(C61,'ETPT Format DDG'!$2:$2,0))),
INDEX( 'ETPT Format DDG'!$A:$ZZ,,MATCH("Fonction agrégat",'ETPT Format DDG'!2:2,0)),"M-PLAC-SUB",
INDEX( 'ETPT Format DDG'!$A:$ZZ,,MATCH("Juridiction",'ETPT Format DDG'!2:2,0)),$A$3)</f>
      </c>
      <c r="K61" s="73">
        <f>SUMIFS(
INDEX('ETPT Format DDG'!$A:$ZZ,,IFERROR(MATCH(E61,'ETPT Format DDG'!$2:$2,0),MATCH(C61,'ETPT Format DDG'!$2:$2,0))),
INDEX( 'ETPT Format DDG'!$A:$ZZ,,MATCH("Fonction agrégat",'ETPT Format DDG'!2:2,0)),"M-CONT",
INDEX( 'ETPT Format DDG'!$A:$ZZ,,MATCH("Juridiction",'ETPT Format DDG'!2:2,0)),$A$3,
INDEX( 'ETPT Format DDG'!$A:$ZZ,,MATCH("Catégorie",'ETPT Format DDG'!2:2,0)),"Magistrat")</f>
      </c>
      <c r="L61" s="71">
        <f>SUMIFS(
INDEX('ETPT Format DDG'!$A:$ZZ,,IFERROR(MATCH(E61,'ETPT Format DDG'!$2:$2,0),MATCH(C61,'ETPT Format DDG'!$2:$2,0))),
INDEX( 'ETPT Format DDG'!$A:$ZZ,,MATCH("Juridiction",'ETPT Format DDG'!2:2,0)),$A$3,
INDEX( 'ETPT Format DDG'!$A:$ZZ,,MATCH("Catégorie",'ETPT Format DDG'!2:2,0)),"Magistrat")</f>
      </c>
      <c r="M61" s="74">
        <f>IF(AND(OR(LEFT(C61,3)="12.",LEFT(E61,3)="12.",LEFT(E61,5)="CET &gt;", IFERROR(L61/$L$6,"")=0),NOT(AND(LEFT(E61,4)="12.8",IFERROR(G61/$G$6,"")&lt;&gt;0)),NOT(AND(LEFT(E61,5)="12.31",IFERROR(L61/$G$6,"")&lt;&gt;0)),NOT(AND(LEFT(E61,5)="12.32",IFERROR(L61/$G$6,"")&lt;&gt;0))),"", IFERROR(L61/$L$6,""))</f>
      </c>
      <c r="N61" s="73">
        <f>SUMIFS(
INDEX('ETPT Format DDG'!$A:$ZZ,,IFERROR(MATCH(E61,'ETPT Format DDG'!$2:$2,0),MATCH(C61,'ETPT Format DDG'!$2:$2,0))),
INDEX( 'ETPT Format DDG'!$A:$ZZ,,MATCH("Fonction agrégat",'ETPT Format DDG'!2:2,0)),"F-TIT",
INDEX( 'ETPT Format DDG'!$A:$ZZ,,MATCH("Juridiction",'ETPT Format DDG'!2:2,0)),$A$3)</f>
      </c>
      <c r="O61" s="72">
        <f>IF(AND(OR(LEFT(C61,3)="12.",LEFT(E61,3)="12.",LEFT(E61,5)="CET &gt;",IFERROR(N61/$N$6,"")=0),NOT(AND(LEFT(E61,4)="12.8",IFERROR(G61/$G$6,"")&lt;&gt;0)),NOT(AND(LEFT(E61,5)="12.31",IFERROR(N61/$G$6,"")&lt;&gt;0)),NOT(AND(LEFT(E61,5)="12.32",IFERROR(N61/$G$6,"")&lt;&gt;0))),"",IFERROR(N61/$N$6,""))</f>
      </c>
      <c r="P61" s="73">
        <f>SUMIFS(
INDEX('ETPT Format DDG'!$A:$FB,,IFERROR(MATCH(E61,'ETPT Format DDG'!$2:$2,0),MATCH(C61,'ETPT Format DDG'!$2:$2,0))),
INDEX( 'ETPT Format DDG'!$A:$ZZ,,MATCH("Fonction agrégat",'ETPT Format DDG'!2:2,0)),"F-PLAC-ADD",
INDEX( 'ETPT Format DDG'!$A:$ZZ,,MATCH("Juridiction",'ETPT Format DDG'!2:2,0)),$A$3)</f>
      </c>
      <c r="Q61" s="73">
        <f>SUMIFS(
INDEX('ETPT Format DDG'!$A:$FB,,IFERROR(MATCH(E61,'ETPT Format DDG'!$2:$2,0),MATCH(C61,'ETPT Format DDG'!$2:$2,0))),
INDEX( 'ETPT Format DDG'!$A:$ZZ,,MATCH("Fonction agrégat",'ETPT Format DDG'!2:2,0)),"F-PLAC-SUB",
INDEX( 'ETPT Format DDG'!$A:$ZZ,,MATCH("Juridiction",'ETPT Format DDG'!2:2,0)),$A$3)</f>
      </c>
      <c r="R61" s="73">
        <f>SUMIFS(
INDEX('ETPT Format DDG'!$A:$FB,,IFERROR(MATCH(E61,'ETPT Format DDG'!$2:$2,0),MATCH(C61,'ETPT Format DDG'!$2:$2,0))),
INDEX( 'ETPT Format DDG'!$A:$ZZ,,MATCH("Fonction agrégat",'ETPT Format DDG'!2:2,0)),"C",
'ETPT Format DDG'!$H:$H,"Greffe",
INDEX( 'ETPT Format DDG'!$A:$ZZ,,MATCH("Juridiction",'ETPT Format DDG'!2:2,0)),$A$3)</f>
      </c>
      <c r="S61" s="71">
        <f>SUMIFS(
INDEX('ETPT Format DDG'!$A:$FB,,IFERROR(MATCH(E61,'ETPT Format DDG'!$2:$2,0),MATCH(C61,'ETPT Format DDG'!$2:$2,0))),
INDEX( 'ETPT Format DDG'!$A:$ZZ,,MATCH("Catégorie",'ETPT Format DDG'!2:2,0)),"Greffe",
INDEX( 'ETPT Format DDG'!$A:$ZZ,,MATCH("Juridiction",'ETPT Format DDG'!2:2,0)),$A$3)</f>
      </c>
      <c r="T61" s="72">
        <f>IF(AND(OR(LEFT(C61,3)="12.",LEFT(E61,3)="12.",LEFT(E61,5)="CET &gt;",IFERROR(S61/$S$6,"")=0),NOT(AND(LEFT(E61,4)="12.8",IFERROR(G61/$G$6,"")&lt;&gt;0)),NOT(AND(LEFT(E61,5)="12.31",IFERROR(S61/$G$6,"")&lt;&gt;0)),NOT(AND(LEFT(E61,5)="12.32",IFERROR(S61/$G$6,"")&lt;&gt;0))),"", IFERROR(S61/$S$6,""))</f>
      </c>
      <c r="U61" s="71">
        <f>SUMIFS(
INDEX('ETPT Format DDG'!$A:$FB,,IFERROR(MATCH(E61,'ETPT Format DDG'!$2:$2,0),MATCH(C61,'ETPT Format DDG'!$2:$2,0))),
INDEX( 'ETPT Format DDG'!$A:$ZZ,,MATCH("Fonction agrégat",'ETPT Format DDG'!2:2,0)),"C",
INDEX( 'ETPT Format DDG'!$A:$ZZ,,MATCH("Juridiction",'ETPT Format DDG'!2:2,0)),$A$3,
INDEX( 'ETPT Format DDG'!$A:$ZZ,,MATCH("Catégorie",'ETPT Format DDG'!2:2,0)),"Autour du magistrat")</f>
      </c>
      <c r="V61" s="74">
        <f>IF(AND(OR(LEFT(C61,3)="12.",LEFT(E61,3)="12.",LEFT(E61,5)="CET &gt;",IFERROR(U61/$U$6,"")=0),NOT(AND(LEFT(E61,4)="12.8",IFERROR(G61/$G$6,"")&lt;&gt;0)),NOT(AND(LEFT(E61,5)="12.31",IFERROR(U61/$G$6,"")&lt;&gt;0)),NOT(AND(LEFT(E61,5)="12.32",IFERROR(U61/$G$6,"")&lt;&gt;0))),"", IFERROR(U61/$U$6,""))</f>
      </c>
    </row>
    <row r="62" ht="16" customHeight="1" spans="1:23" x14ac:dyDescent="0.25">
      <c r="A62" s="40"/>
      <c r="C62" s="68"/>
      <c r="D62" s="68"/>
      <c r="E62" s="69" t="s">
        <v>97</v>
      </c>
      <c r="F62" s="70" t="s">
        <v>97</v>
      </c>
      <c r="G62" s="71">
        <f>SUMIFS(
INDEX('ETPT Format DDG'!$A:$ZZ,,IFERROR(MATCH(E62,'ETPT Format DDG'!$2:$2,0),MATCH(C62,'ETPT Format DDG'!$2:$2,0))),
INDEX( 'ETPT Format DDG'!$A:$ZZ,,MATCH("Fonction agrégat",'ETPT Format DDG'!2:2,0)),"M-TIT",
INDEX( 'ETPT Format DDG'!$A:$ZZ,,MATCH("Juridiction",'ETPT Format DDG'!2:2,0)),$A$3)</f>
      </c>
      <c r="H62" s="72">
        <f>IF(AND(OR(LEFT(C62,3)="12.",LEFT(E62,3)="12.",LEFT(E62,5)="CET &gt;",IFERROR(G62/$G$6,"")=0),NOT(AND(LEFT(E62,4)="12.8",IFERROR(G62/$G$6,"")&lt;&gt;0)),NOT(AND(LEFT(E62,5)="12.31",IFERROR(G62/$G$6,"")&lt;&gt;0)),NOT(AND(LEFT(E62,5)="12.32",IFERROR(G62/$G$6,"")&lt;&gt;0))),"", IFERROR(G62/$G$6,""))</f>
      </c>
      <c r="I62" s="73">
        <f>SUMIFS(
INDEX('ETPT Format DDG'!$A:$ZZ,,IFERROR(MATCH(E62,'ETPT Format DDG'!$2:$2,0),MATCH(C62,'ETPT Format DDG'!$2:$2,0))),
INDEX( 'ETPT Format DDG'!$A:$ZZ,,MATCH("Fonction agrégat",'ETPT Format DDG'!2:2,0)),"M-PLAC-ADD",
INDEX( 'ETPT Format DDG'!$A:$ZZ,,MATCH("Juridiction",'ETPT Format DDG'!2:2,0)),$A$3)</f>
      </c>
      <c r="J62" s="73">
        <f>SUMIFS(
INDEX('ETPT Format DDG'!$A:$ZZ,,IFERROR(MATCH(E62,'ETPT Format DDG'!$2:$2,0),MATCH(C62,'ETPT Format DDG'!$2:$2,0))),
INDEX( 'ETPT Format DDG'!$A:$ZZ,,MATCH("Fonction agrégat",'ETPT Format DDG'!2:2,0)),"M-PLAC-SUB",
INDEX( 'ETPT Format DDG'!$A:$ZZ,,MATCH("Juridiction",'ETPT Format DDG'!2:2,0)),$A$3)</f>
      </c>
      <c r="K62" s="73">
        <f>SUMIFS(
INDEX('ETPT Format DDG'!$A:$ZZ,,IFERROR(MATCH(E62,'ETPT Format DDG'!$2:$2,0),MATCH(C62,'ETPT Format DDG'!$2:$2,0))),
INDEX( 'ETPT Format DDG'!$A:$ZZ,,MATCH("Fonction agrégat",'ETPT Format DDG'!2:2,0)),"M-CONT",
INDEX( 'ETPT Format DDG'!$A:$ZZ,,MATCH("Juridiction",'ETPT Format DDG'!2:2,0)),$A$3,
INDEX( 'ETPT Format DDG'!$A:$ZZ,,MATCH("Catégorie",'ETPT Format DDG'!2:2,0)),"Magistrat")</f>
      </c>
      <c r="L62" s="71">
        <f>SUMIFS(
INDEX('ETPT Format DDG'!$A:$ZZ,,IFERROR(MATCH(E62,'ETPT Format DDG'!$2:$2,0),MATCH(C62,'ETPT Format DDG'!$2:$2,0))),
INDEX( 'ETPT Format DDG'!$A:$ZZ,,MATCH("Juridiction",'ETPT Format DDG'!2:2,0)),$A$3,
INDEX( 'ETPT Format DDG'!$A:$ZZ,,MATCH("Catégorie",'ETPT Format DDG'!2:2,0)),"Magistrat")</f>
      </c>
      <c r="M62" s="74">
        <f>IF(AND(OR(LEFT(C62,3)="12.",LEFT(E62,3)="12.",LEFT(E62,5)="CET &gt;", IFERROR(L62/$L$6,"")=0),NOT(AND(LEFT(E62,4)="12.8",IFERROR(G62/$G$6,"")&lt;&gt;0)),NOT(AND(LEFT(E62,5)="12.31",IFERROR(L62/$G$6,"")&lt;&gt;0)),NOT(AND(LEFT(E62,5)="12.32",IFERROR(L62/$G$6,"")&lt;&gt;0))),"", IFERROR(L62/$L$6,""))</f>
      </c>
      <c r="N62" s="73">
        <f>SUMIFS(
INDEX('ETPT Format DDG'!$A:$ZZ,,IFERROR(MATCH(E62,'ETPT Format DDG'!$2:$2,0),MATCH(C62,'ETPT Format DDG'!$2:$2,0))),
INDEX( 'ETPT Format DDG'!$A:$ZZ,,MATCH("Fonction agrégat",'ETPT Format DDG'!2:2,0)),"F-TIT",
INDEX( 'ETPT Format DDG'!$A:$ZZ,,MATCH("Juridiction",'ETPT Format DDG'!2:2,0)),$A$3)</f>
      </c>
      <c r="O62" s="72">
        <f>IF(AND(OR(LEFT(C62,3)="12.",LEFT(E62,3)="12.",LEFT(E62,5)="CET &gt;",IFERROR(N62/$N$6,"")=0),NOT(AND(LEFT(E62,4)="12.8",IFERROR(G62/$G$6,"")&lt;&gt;0)),NOT(AND(LEFT(E62,5)="12.31",IFERROR(N62/$G$6,"")&lt;&gt;0)),NOT(AND(LEFT(E62,5)="12.32",IFERROR(N62/$G$6,"")&lt;&gt;0))),"",IFERROR(N62/$N$6,""))</f>
      </c>
      <c r="P62" s="73">
        <f>SUMIFS(
INDEX('ETPT Format DDG'!$A:$FB,,IFERROR(MATCH(E62,'ETPT Format DDG'!$2:$2,0),MATCH(C62,'ETPT Format DDG'!$2:$2,0))),
INDEX( 'ETPT Format DDG'!$A:$ZZ,,MATCH("Fonction agrégat",'ETPT Format DDG'!2:2,0)),"F-PLAC-ADD",
INDEX( 'ETPT Format DDG'!$A:$ZZ,,MATCH("Juridiction",'ETPT Format DDG'!2:2,0)),$A$3)</f>
      </c>
      <c r="Q62" s="73">
        <f>SUMIFS(
INDEX('ETPT Format DDG'!$A:$FB,,IFERROR(MATCH(E62,'ETPT Format DDG'!$2:$2,0),MATCH(C62,'ETPT Format DDG'!$2:$2,0))),
INDEX( 'ETPT Format DDG'!$A:$ZZ,,MATCH("Fonction agrégat",'ETPT Format DDG'!2:2,0)),"F-PLAC-SUB",
INDEX( 'ETPT Format DDG'!$A:$ZZ,,MATCH("Juridiction",'ETPT Format DDG'!2:2,0)),$A$3)</f>
      </c>
      <c r="R62" s="73">
        <f>SUMIFS(
INDEX('ETPT Format DDG'!$A:$FB,,IFERROR(MATCH(E62,'ETPT Format DDG'!$2:$2,0),MATCH(C62,'ETPT Format DDG'!$2:$2,0))),
INDEX( 'ETPT Format DDG'!$A:$ZZ,,MATCH("Fonction agrégat",'ETPT Format DDG'!2:2,0)),"C",
'ETPT Format DDG'!$H:$H,"Greffe",
INDEX( 'ETPT Format DDG'!$A:$ZZ,,MATCH("Juridiction",'ETPT Format DDG'!2:2,0)),$A$3)</f>
      </c>
      <c r="S62" s="71">
        <f>SUMIFS(
INDEX('ETPT Format DDG'!$A:$FB,,IFERROR(MATCH(E62,'ETPT Format DDG'!$2:$2,0),MATCH(C62,'ETPT Format DDG'!$2:$2,0))),
INDEX( 'ETPT Format DDG'!$A:$ZZ,,MATCH("Catégorie",'ETPT Format DDG'!2:2,0)),"Greffe",
INDEX( 'ETPT Format DDG'!$A:$ZZ,,MATCH("Juridiction",'ETPT Format DDG'!2:2,0)),$A$3)</f>
      </c>
      <c r="T62" s="72">
        <f>IF(AND(OR(LEFT(C62,3)="12.",LEFT(E62,3)="12.",LEFT(E62,5)="CET &gt;",IFERROR(S62/$S$6,"")=0),NOT(AND(LEFT(E62,4)="12.8",IFERROR(G62/$G$6,"")&lt;&gt;0)),NOT(AND(LEFT(E62,5)="12.31",IFERROR(S62/$G$6,"")&lt;&gt;0)),NOT(AND(LEFT(E62,5)="12.32",IFERROR(S62/$G$6,"")&lt;&gt;0))),"", IFERROR(S62/$S$6,""))</f>
      </c>
      <c r="U62" s="71">
        <f>SUMIFS(
INDEX('ETPT Format DDG'!$A:$FB,,IFERROR(MATCH(E62,'ETPT Format DDG'!$2:$2,0),MATCH(C62,'ETPT Format DDG'!$2:$2,0))),
INDEX( 'ETPT Format DDG'!$A:$ZZ,,MATCH("Fonction agrégat",'ETPT Format DDG'!2:2,0)),"C",
INDEX( 'ETPT Format DDG'!$A:$ZZ,,MATCH("Juridiction",'ETPT Format DDG'!2:2,0)),$A$3,
INDEX( 'ETPT Format DDG'!$A:$ZZ,,MATCH("Catégorie",'ETPT Format DDG'!2:2,0)),"Autour du magistrat")</f>
      </c>
      <c r="V62" s="74">
        <f>IF(AND(OR(LEFT(C62,3)="12.",LEFT(E62,3)="12.",LEFT(E62,5)="CET &gt;",IFERROR(U62/$U$6,"")=0),NOT(AND(LEFT(E62,4)="12.8",IFERROR(G62/$G$6,"")&lt;&gt;0)),NOT(AND(LEFT(E62,5)="12.31",IFERROR(U62/$G$6,"")&lt;&gt;0)),NOT(AND(LEFT(E62,5)="12.32",IFERROR(U62/$G$6,"")&lt;&gt;0))),"", IFERROR(U62/$U$6,""))</f>
      </c>
    </row>
    <row r="63" ht="16" customHeight="1" spans="1:23" x14ac:dyDescent="0.25">
      <c r="A63" s="40"/>
      <c r="C63" s="68"/>
      <c r="D63" s="68"/>
      <c r="E63" s="69" t="s">
        <v>98</v>
      </c>
      <c r="F63" s="70" t="s">
        <v>98</v>
      </c>
      <c r="G63" s="71">
        <f>SUMIFS(
INDEX('ETPT Format DDG'!$A:$ZZ,,IFERROR(MATCH(E63,'ETPT Format DDG'!$2:$2,0),MATCH(C63,'ETPT Format DDG'!$2:$2,0))),
INDEX( 'ETPT Format DDG'!$A:$ZZ,,MATCH("Fonction agrégat",'ETPT Format DDG'!2:2,0)),"M-TIT",
INDEX( 'ETPT Format DDG'!$A:$ZZ,,MATCH("Juridiction",'ETPT Format DDG'!2:2,0)),$A$3)</f>
      </c>
      <c r="H63" s="72">
        <f>IF(AND(OR(LEFT(C63,3)="12.",LEFT(E63,3)="12.",LEFT(E63,5)="CET &gt;",IFERROR(G63/$G$6,"")=0),NOT(AND(LEFT(E63,4)="12.8",IFERROR(G63/$G$6,"")&lt;&gt;0)),NOT(AND(LEFT(E63,5)="12.31",IFERROR(G63/$G$6,"")&lt;&gt;0)),NOT(AND(LEFT(E63,5)="12.32",IFERROR(G63/$G$6,"")&lt;&gt;0))),"", IFERROR(G63/$G$6,""))</f>
      </c>
      <c r="I63" s="73">
        <f>SUMIFS(
INDEX('ETPT Format DDG'!$A:$ZZ,,IFERROR(MATCH(E63,'ETPT Format DDG'!$2:$2,0),MATCH(C63,'ETPT Format DDG'!$2:$2,0))),
INDEX( 'ETPT Format DDG'!$A:$ZZ,,MATCH("Fonction agrégat",'ETPT Format DDG'!2:2,0)),"M-PLAC-ADD",
INDEX( 'ETPT Format DDG'!$A:$ZZ,,MATCH("Juridiction",'ETPT Format DDG'!2:2,0)),$A$3)</f>
      </c>
      <c r="J63" s="73">
        <f>SUMIFS(
INDEX('ETPT Format DDG'!$A:$ZZ,,IFERROR(MATCH(E63,'ETPT Format DDG'!$2:$2,0),MATCH(C63,'ETPT Format DDG'!$2:$2,0))),
INDEX( 'ETPT Format DDG'!$A:$ZZ,,MATCH("Fonction agrégat",'ETPT Format DDG'!2:2,0)),"M-PLAC-SUB",
INDEX( 'ETPT Format DDG'!$A:$ZZ,,MATCH("Juridiction",'ETPT Format DDG'!2:2,0)),$A$3)</f>
      </c>
      <c r="K63" s="73">
        <f>SUMIFS(
INDEX('ETPT Format DDG'!$A:$ZZ,,IFERROR(MATCH(E63,'ETPT Format DDG'!$2:$2,0),MATCH(C63,'ETPT Format DDG'!$2:$2,0))),
INDEX( 'ETPT Format DDG'!$A:$ZZ,,MATCH("Fonction agrégat",'ETPT Format DDG'!2:2,0)),"M-CONT",
INDEX( 'ETPT Format DDG'!$A:$ZZ,,MATCH("Juridiction",'ETPT Format DDG'!2:2,0)),$A$3,
INDEX( 'ETPT Format DDG'!$A:$ZZ,,MATCH("Catégorie",'ETPT Format DDG'!2:2,0)),"Magistrat")</f>
      </c>
      <c r="L63" s="71">
        <f>SUMIFS(
INDEX('ETPT Format DDG'!$A:$ZZ,,IFERROR(MATCH(E63,'ETPT Format DDG'!$2:$2,0),MATCH(C63,'ETPT Format DDG'!$2:$2,0))),
INDEX( 'ETPT Format DDG'!$A:$ZZ,,MATCH("Juridiction",'ETPT Format DDG'!2:2,0)),$A$3,
INDEX( 'ETPT Format DDG'!$A:$ZZ,,MATCH("Catégorie",'ETPT Format DDG'!2:2,0)),"Magistrat")</f>
      </c>
      <c r="M63" s="74">
        <f>IF(AND(OR(LEFT(C63,3)="12.",LEFT(E63,3)="12.",LEFT(E63,5)="CET &gt;", IFERROR(L63/$L$6,"")=0),NOT(AND(LEFT(E63,4)="12.8",IFERROR(G63/$G$6,"")&lt;&gt;0)),NOT(AND(LEFT(E63,5)="12.31",IFERROR(L63/$G$6,"")&lt;&gt;0)),NOT(AND(LEFT(E63,5)="12.32",IFERROR(L63/$G$6,"")&lt;&gt;0))),"", IFERROR(L63/$L$6,""))</f>
      </c>
      <c r="N63" s="73">
        <f>SUMIFS(
INDEX('ETPT Format DDG'!$A:$ZZ,,IFERROR(MATCH(E63,'ETPT Format DDG'!$2:$2,0),MATCH(C63,'ETPT Format DDG'!$2:$2,0))),
INDEX( 'ETPT Format DDG'!$A:$ZZ,,MATCH("Fonction agrégat",'ETPT Format DDG'!2:2,0)),"F-TIT",
INDEX( 'ETPT Format DDG'!$A:$ZZ,,MATCH("Juridiction",'ETPT Format DDG'!2:2,0)),$A$3)</f>
      </c>
      <c r="O63" s="72">
        <f>IF(AND(OR(LEFT(C63,3)="12.",LEFT(E63,3)="12.",LEFT(E63,5)="CET &gt;",IFERROR(N63/$N$6,"")=0),NOT(AND(LEFT(E63,4)="12.8",IFERROR(G63/$G$6,"")&lt;&gt;0)),NOT(AND(LEFT(E63,5)="12.31",IFERROR(N63/$G$6,"")&lt;&gt;0)),NOT(AND(LEFT(E63,5)="12.32",IFERROR(N63/$G$6,"")&lt;&gt;0))),"",IFERROR(N63/$N$6,""))</f>
      </c>
      <c r="P63" s="73">
        <f>SUMIFS(
INDEX('ETPT Format DDG'!$A:$FB,,IFERROR(MATCH(E63,'ETPT Format DDG'!$2:$2,0),MATCH(C63,'ETPT Format DDG'!$2:$2,0))),
INDEX( 'ETPT Format DDG'!$A:$ZZ,,MATCH("Fonction agrégat",'ETPT Format DDG'!2:2,0)),"F-PLAC-ADD",
INDEX( 'ETPT Format DDG'!$A:$ZZ,,MATCH("Juridiction",'ETPT Format DDG'!2:2,0)),$A$3)</f>
      </c>
      <c r="Q63" s="73">
        <f>SUMIFS(
INDEX('ETPT Format DDG'!$A:$FB,,IFERROR(MATCH(E63,'ETPT Format DDG'!$2:$2,0),MATCH(C63,'ETPT Format DDG'!$2:$2,0))),
INDEX( 'ETPT Format DDG'!$A:$ZZ,,MATCH("Fonction agrégat",'ETPT Format DDG'!2:2,0)),"F-PLAC-SUB",
INDEX( 'ETPT Format DDG'!$A:$ZZ,,MATCH("Juridiction",'ETPT Format DDG'!2:2,0)),$A$3)</f>
      </c>
      <c r="R63" s="73">
        <f>SUMIFS(
INDEX('ETPT Format DDG'!$A:$FB,,IFERROR(MATCH(E63,'ETPT Format DDG'!$2:$2,0),MATCH(C63,'ETPT Format DDG'!$2:$2,0))),
INDEX( 'ETPT Format DDG'!$A:$ZZ,,MATCH("Fonction agrégat",'ETPT Format DDG'!2:2,0)),"C",
'ETPT Format DDG'!$H:$H,"Greffe",
INDEX( 'ETPT Format DDG'!$A:$ZZ,,MATCH("Juridiction",'ETPT Format DDG'!2:2,0)),$A$3)</f>
      </c>
      <c r="S63" s="71">
        <f>SUMIFS(
INDEX('ETPT Format DDG'!$A:$FB,,IFERROR(MATCH(E63,'ETPT Format DDG'!$2:$2,0),MATCH(C63,'ETPT Format DDG'!$2:$2,0))),
INDEX( 'ETPT Format DDG'!$A:$ZZ,,MATCH("Catégorie",'ETPT Format DDG'!2:2,0)),"Greffe",
INDEX( 'ETPT Format DDG'!$A:$ZZ,,MATCH("Juridiction",'ETPT Format DDG'!2:2,0)),$A$3)</f>
      </c>
      <c r="T63" s="72">
        <f>IF(AND(OR(LEFT(C63,3)="12.",LEFT(E63,3)="12.",LEFT(E63,5)="CET &gt;",IFERROR(S63/$S$6,"")=0),NOT(AND(LEFT(E63,4)="12.8",IFERROR(G63/$G$6,"")&lt;&gt;0)),NOT(AND(LEFT(E63,5)="12.31",IFERROR(S63/$G$6,"")&lt;&gt;0)),NOT(AND(LEFT(E63,5)="12.32",IFERROR(S63/$G$6,"")&lt;&gt;0))),"", IFERROR(S63/$S$6,""))</f>
      </c>
      <c r="U63" s="71">
        <f>SUMIFS(
INDEX('ETPT Format DDG'!$A:$FB,,IFERROR(MATCH(E63,'ETPT Format DDG'!$2:$2,0),MATCH(C63,'ETPT Format DDG'!$2:$2,0))),
INDEX( 'ETPT Format DDG'!$A:$ZZ,,MATCH("Fonction agrégat",'ETPT Format DDG'!2:2,0)),"C",
INDEX( 'ETPT Format DDG'!$A:$ZZ,,MATCH("Juridiction",'ETPT Format DDG'!2:2,0)),$A$3,
INDEX( 'ETPT Format DDG'!$A:$ZZ,,MATCH("Catégorie",'ETPT Format DDG'!2:2,0)),"Autour du magistrat")</f>
      </c>
      <c r="V63" s="74">
        <f>IF(AND(OR(LEFT(C63,3)="12.",LEFT(E63,3)="12.",LEFT(E63,5)="CET &gt;",IFERROR(U63/$U$6,"")=0),NOT(AND(LEFT(E63,4)="12.8",IFERROR(G63/$G$6,"")&lt;&gt;0)),NOT(AND(LEFT(E63,5)="12.31",IFERROR(U63/$G$6,"")&lt;&gt;0)),NOT(AND(LEFT(E63,5)="12.32",IFERROR(U63/$G$6,"")&lt;&gt;0))),"", IFERROR(U63/$U$6,""))</f>
      </c>
    </row>
    <row r="64" ht="16" customHeight="1" spans="1:23" x14ac:dyDescent="0.25">
      <c r="A64" s="40"/>
      <c r="C64" s="68"/>
      <c r="D64" s="68"/>
      <c r="E64" s="69" t="s">
        <v>99</v>
      </c>
      <c r="F64" s="70" t="s">
        <v>99</v>
      </c>
      <c r="G64" s="71">
        <f>SUMIFS(
INDEX('ETPT Format DDG'!$A:$ZZ,,IFERROR(MATCH(E64,'ETPT Format DDG'!$2:$2,0),MATCH(C64,'ETPT Format DDG'!$2:$2,0))),
INDEX( 'ETPT Format DDG'!$A:$ZZ,,MATCH("Fonction agrégat",'ETPT Format DDG'!2:2,0)),"M-TIT",
INDEX( 'ETPT Format DDG'!$A:$ZZ,,MATCH("Juridiction",'ETPT Format DDG'!2:2,0)),$A$3)</f>
      </c>
      <c r="H64" s="72">
        <f>IF(AND(OR(LEFT(C64,3)="12.",LEFT(E64,3)="12.",LEFT(E64,5)="CET &gt;",IFERROR(G64/$G$6,"")=0),NOT(AND(LEFT(E64,4)="12.8",IFERROR(G64/$G$6,"")&lt;&gt;0)),NOT(AND(LEFT(E64,5)="12.31",IFERROR(G64/$G$6,"")&lt;&gt;0)),NOT(AND(LEFT(E64,5)="12.32",IFERROR(G64/$G$6,"")&lt;&gt;0))),"", IFERROR(G64/$G$6,""))</f>
      </c>
      <c r="I64" s="73">
        <f>SUMIFS(
INDEX('ETPT Format DDG'!$A:$ZZ,,IFERROR(MATCH(E64,'ETPT Format DDG'!$2:$2,0),MATCH(C64,'ETPT Format DDG'!$2:$2,0))),
INDEX( 'ETPT Format DDG'!$A:$ZZ,,MATCH("Fonction agrégat",'ETPT Format DDG'!2:2,0)),"M-PLAC-ADD",
INDEX( 'ETPT Format DDG'!$A:$ZZ,,MATCH("Juridiction",'ETPT Format DDG'!2:2,0)),$A$3)</f>
      </c>
      <c r="J64" s="73">
        <f>SUMIFS(
INDEX('ETPT Format DDG'!$A:$ZZ,,IFERROR(MATCH(E64,'ETPT Format DDG'!$2:$2,0),MATCH(C64,'ETPT Format DDG'!$2:$2,0))),
INDEX( 'ETPT Format DDG'!$A:$ZZ,,MATCH("Fonction agrégat",'ETPT Format DDG'!2:2,0)),"M-PLAC-SUB",
INDEX( 'ETPT Format DDG'!$A:$ZZ,,MATCH("Juridiction",'ETPT Format DDG'!2:2,0)),$A$3)</f>
      </c>
      <c r="K64" s="73">
        <f>SUMIFS(
INDEX('ETPT Format DDG'!$A:$ZZ,,IFERROR(MATCH(E64,'ETPT Format DDG'!$2:$2,0),MATCH(C64,'ETPT Format DDG'!$2:$2,0))),
INDEX( 'ETPT Format DDG'!$A:$ZZ,,MATCH("Fonction agrégat",'ETPT Format DDG'!2:2,0)),"M-CONT",
INDEX( 'ETPT Format DDG'!$A:$ZZ,,MATCH("Juridiction",'ETPT Format DDG'!2:2,0)),$A$3,
INDEX( 'ETPT Format DDG'!$A:$ZZ,,MATCH("Catégorie",'ETPT Format DDG'!2:2,0)),"Magistrat")</f>
      </c>
      <c r="L64" s="71">
        <f>SUMIFS(
INDEX('ETPT Format DDG'!$A:$ZZ,,IFERROR(MATCH(E64,'ETPT Format DDG'!$2:$2,0),MATCH(C64,'ETPT Format DDG'!$2:$2,0))),
INDEX( 'ETPT Format DDG'!$A:$ZZ,,MATCH("Juridiction",'ETPT Format DDG'!2:2,0)),$A$3,
INDEX( 'ETPT Format DDG'!$A:$ZZ,,MATCH("Catégorie",'ETPT Format DDG'!2:2,0)),"Magistrat")</f>
      </c>
      <c r="M64" s="74">
        <f>IF(AND(OR(LEFT(C64,3)="12.",LEFT(E64,3)="12.",LEFT(E64,5)="CET &gt;", IFERROR(L64/$L$6,"")=0),NOT(AND(LEFT(E64,4)="12.8",IFERROR(G64/$G$6,"")&lt;&gt;0)),NOT(AND(LEFT(E64,5)="12.31",IFERROR(L64/$G$6,"")&lt;&gt;0)),NOT(AND(LEFT(E64,5)="12.32",IFERROR(L64/$G$6,"")&lt;&gt;0))),"", IFERROR(L64/$L$6,""))</f>
      </c>
      <c r="N64" s="73">
        <f>SUMIFS(
INDEX('ETPT Format DDG'!$A:$ZZ,,IFERROR(MATCH(E64,'ETPT Format DDG'!$2:$2,0),MATCH(C64,'ETPT Format DDG'!$2:$2,0))),
INDEX( 'ETPT Format DDG'!$A:$ZZ,,MATCH("Fonction agrégat",'ETPT Format DDG'!2:2,0)),"F-TIT",
INDEX( 'ETPT Format DDG'!$A:$ZZ,,MATCH("Juridiction",'ETPT Format DDG'!2:2,0)),$A$3)</f>
      </c>
      <c r="O64" s="72">
        <f>IF(AND(OR(LEFT(C64,3)="12.",LEFT(E64,3)="12.",LEFT(E64,5)="CET &gt;",IFERROR(N64/$N$6,"")=0),NOT(AND(LEFT(E64,4)="12.8",IFERROR(G64/$G$6,"")&lt;&gt;0)),NOT(AND(LEFT(E64,5)="12.31",IFERROR(N64/$G$6,"")&lt;&gt;0)),NOT(AND(LEFT(E64,5)="12.32",IFERROR(N64/$G$6,"")&lt;&gt;0))),"",IFERROR(N64/$N$6,""))</f>
      </c>
      <c r="P64" s="73">
        <f>SUMIFS(
INDEX('ETPT Format DDG'!$A:$FB,,IFERROR(MATCH(E64,'ETPT Format DDG'!$2:$2,0),MATCH(C64,'ETPT Format DDG'!$2:$2,0))),
INDEX( 'ETPT Format DDG'!$A:$ZZ,,MATCH("Fonction agrégat",'ETPT Format DDG'!2:2,0)),"F-PLAC-ADD",
INDEX( 'ETPT Format DDG'!$A:$ZZ,,MATCH("Juridiction",'ETPT Format DDG'!2:2,0)),$A$3)</f>
      </c>
      <c r="Q64" s="73">
        <f>SUMIFS(
INDEX('ETPT Format DDG'!$A:$FB,,IFERROR(MATCH(E64,'ETPT Format DDG'!$2:$2,0),MATCH(C64,'ETPT Format DDG'!$2:$2,0))),
INDEX( 'ETPT Format DDG'!$A:$ZZ,,MATCH("Fonction agrégat",'ETPT Format DDG'!2:2,0)),"F-PLAC-SUB",
INDEX( 'ETPT Format DDG'!$A:$ZZ,,MATCH("Juridiction",'ETPT Format DDG'!2:2,0)),$A$3)</f>
      </c>
      <c r="R64" s="73">
        <f>SUMIFS(
INDEX('ETPT Format DDG'!$A:$FB,,IFERROR(MATCH(E64,'ETPT Format DDG'!$2:$2,0),MATCH(C64,'ETPT Format DDG'!$2:$2,0))),
INDEX( 'ETPT Format DDG'!$A:$ZZ,,MATCH("Fonction agrégat",'ETPT Format DDG'!2:2,0)),"C",
'ETPT Format DDG'!$H:$H,"Greffe",
INDEX( 'ETPT Format DDG'!$A:$ZZ,,MATCH("Juridiction",'ETPT Format DDG'!2:2,0)),$A$3)</f>
      </c>
      <c r="S64" s="71">
        <f>SUMIFS(
INDEX('ETPT Format DDG'!$A:$FB,,IFERROR(MATCH(E64,'ETPT Format DDG'!$2:$2,0),MATCH(C64,'ETPT Format DDG'!$2:$2,0))),
INDEX( 'ETPT Format DDG'!$A:$ZZ,,MATCH("Catégorie",'ETPT Format DDG'!2:2,0)),"Greffe",
INDEX( 'ETPT Format DDG'!$A:$ZZ,,MATCH("Juridiction",'ETPT Format DDG'!2:2,0)),$A$3)</f>
      </c>
      <c r="T64" s="72">
        <f>IF(AND(OR(LEFT(C64,3)="12.",LEFT(E64,3)="12.",LEFT(E64,5)="CET &gt;",IFERROR(S64/$S$6,"")=0),NOT(AND(LEFT(E64,4)="12.8",IFERROR(G64/$G$6,"")&lt;&gt;0)),NOT(AND(LEFT(E64,5)="12.31",IFERROR(S64/$G$6,"")&lt;&gt;0)),NOT(AND(LEFT(E64,5)="12.32",IFERROR(S64/$G$6,"")&lt;&gt;0))),"", IFERROR(S64/$S$6,""))</f>
      </c>
      <c r="U64" s="71">
        <f>SUMIFS(
INDEX('ETPT Format DDG'!$A:$FB,,IFERROR(MATCH(E64,'ETPT Format DDG'!$2:$2,0),MATCH(C64,'ETPT Format DDG'!$2:$2,0))),
INDEX( 'ETPT Format DDG'!$A:$ZZ,,MATCH("Fonction agrégat",'ETPT Format DDG'!2:2,0)),"C",
INDEX( 'ETPT Format DDG'!$A:$ZZ,,MATCH("Juridiction",'ETPT Format DDG'!2:2,0)),$A$3,
INDEX( 'ETPT Format DDG'!$A:$ZZ,,MATCH("Catégorie",'ETPT Format DDG'!2:2,0)),"Autour du magistrat")</f>
      </c>
      <c r="V64" s="74">
        <f>IF(AND(OR(LEFT(C64,3)="12.",LEFT(E64,3)="12.",LEFT(E64,5)="CET &gt;",IFERROR(U64/$U$6,"")=0),NOT(AND(LEFT(E64,4)="12.8",IFERROR(G64/$G$6,"")&lt;&gt;0)),NOT(AND(LEFT(E64,5)="12.31",IFERROR(U64/$G$6,"")&lt;&gt;0)),NOT(AND(LEFT(E64,5)="12.32",IFERROR(U64/$G$6,"")&lt;&gt;0))),"", IFERROR(U64/$U$6,""))</f>
      </c>
    </row>
    <row r="65" ht="16" customHeight="1" spans="1:23" x14ac:dyDescent="0.25">
      <c r="A65" s="40"/>
      <c r="C65" s="68"/>
      <c r="D65" s="68"/>
      <c r="E65" s="69" t="s">
        <v>100</v>
      </c>
      <c r="F65" s="70" t="s">
        <v>100</v>
      </c>
      <c r="G65" s="71">
        <f>SUMIFS(
INDEX('ETPT Format DDG'!$A:$ZZ,,IFERROR(MATCH(E65,'ETPT Format DDG'!$2:$2,0),MATCH(C65,'ETPT Format DDG'!$2:$2,0))),
INDEX( 'ETPT Format DDG'!$A:$ZZ,,MATCH("Fonction agrégat",'ETPT Format DDG'!2:2,0)),"M-TIT",
INDEX( 'ETPT Format DDG'!$A:$ZZ,,MATCH("Juridiction",'ETPT Format DDG'!2:2,0)),$A$3)</f>
      </c>
      <c r="H65" s="72">
        <f>IF(AND(OR(LEFT(C65,3)="12.",LEFT(E65,3)="12.",LEFT(E65,5)="CET &gt;",IFERROR(G65/$G$6,"")=0),NOT(AND(LEFT(E65,4)="12.8",IFERROR(G65/$G$6,"")&lt;&gt;0)),NOT(AND(LEFT(E65,5)="12.31",IFERROR(G65/$G$6,"")&lt;&gt;0)),NOT(AND(LEFT(E65,5)="12.32",IFERROR(G65/$G$6,"")&lt;&gt;0))),"", IFERROR(G65/$G$6,""))</f>
      </c>
      <c r="I65" s="73">
        <f>SUMIFS(
INDEX('ETPT Format DDG'!$A:$ZZ,,IFERROR(MATCH(E65,'ETPT Format DDG'!$2:$2,0),MATCH(C65,'ETPT Format DDG'!$2:$2,0))),
INDEX( 'ETPT Format DDG'!$A:$ZZ,,MATCH("Fonction agrégat",'ETPT Format DDG'!2:2,0)),"M-PLAC-ADD",
INDEX( 'ETPT Format DDG'!$A:$ZZ,,MATCH("Juridiction",'ETPT Format DDG'!2:2,0)),$A$3)</f>
      </c>
      <c r="J65" s="73">
        <f>SUMIFS(
INDEX('ETPT Format DDG'!$A:$ZZ,,IFERROR(MATCH(E65,'ETPT Format DDG'!$2:$2,0),MATCH(C65,'ETPT Format DDG'!$2:$2,0))),
INDEX( 'ETPT Format DDG'!$A:$ZZ,,MATCH("Fonction agrégat",'ETPT Format DDG'!2:2,0)),"M-PLAC-SUB",
INDEX( 'ETPT Format DDG'!$A:$ZZ,,MATCH("Juridiction",'ETPT Format DDG'!2:2,0)),$A$3)</f>
      </c>
      <c r="K65" s="73">
        <f>SUMIFS(
INDEX('ETPT Format DDG'!$A:$ZZ,,IFERROR(MATCH(E65,'ETPT Format DDG'!$2:$2,0),MATCH(C65,'ETPT Format DDG'!$2:$2,0))),
INDEX( 'ETPT Format DDG'!$A:$ZZ,,MATCH("Fonction agrégat",'ETPT Format DDG'!2:2,0)),"M-CONT",
INDEX( 'ETPT Format DDG'!$A:$ZZ,,MATCH("Juridiction",'ETPT Format DDG'!2:2,0)),$A$3,
INDEX( 'ETPT Format DDG'!$A:$ZZ,,MATCH("Catégorie",'ETPT Format DDG'!2:2,0)),"Magistrat")</f>
      </c>
      <c r="L65" s="71">
        <f>SUMIFS(
INDEX('ETPT Format DDG'!$A:$ZZ,,IFERROR(MATCH(E65,'ETPT Format DDG'!$2:$2,0),MATCH(C65,'ETPT Format DDG'!$2:$2,0))),
INDEX( 'ETPT Format DDG'!$A:$ZZ,,MATCH("Juridiction",'ETPT Format DDG'!2:2,0)),$A$3,
INDEX( 'ETPT Format DDG'!$A:$ZZ,,MATCH("Catégorie",'ETPT Format DDG'!2:2,0)),"Magistrat")</f>
      </c>
      <c r="M65" s="74">
        <f>IF(AND(OR(LEFT(C65,3)="12.",LEFT(E65,3)="12.",LEFT(E65,5)="CET &gt;", IFERROR(L65/$L$6,"")=0),NOT(AND(LEFT(E65,4)="12.8",IFERROR(G65/$G$6,"")&lt;&gt;0)),NOT(AND(LEFT(E65,5)="12.31",IFERROR(L65/$G$6,"")&lt;&gt;0)),NOT(AND(LEFT(E65,5)="12.32",IFERROR(L65/$G$6,"")&lt;&gt;0))),"", IFERROR(L65/$L$6,""))</f>
      </c>
      <c r="N65" s="73">
        <f>SUMIFS(
INDEX('ETPT Format DDG'!$A:$ZZ,,IFERROR(MATCH(E65,'ETPT Format DDG'!$2:$2,0),MATCH(C65,'ETPT Format DDG'!$2:$2,0))),
INDEX( 'ETPT Format DDG'!$A:$ZZ,,MATCH("Fonction agrégat",'ETPT Format DDG'!2:2,0)),"F-TIT",
INDEX( 'ETPT Format DDG'!$A:$ZZ,,MATCH("Juridiction",'ETPT Format DDG'!2:2,0)),$A$3)</f>
      </c>
      <c r="O65" s="72">
        <f>IF(AND(OR(LEFT(C65,3)="12.",LEFT(E65,3)="12.",LEFT(E65,5)="CET &gt;",IFERROR(N65/$N$6,"")=0),NOT(AND(LEFT(E65,4)="12.8",IFERROR(G65/$G$6,"")&lt;&gt;0)),NOT(AND(LEFT(E65,5)="12.31",IFERROR(N65/$G$6,"")&lt;&gt;0)),NOT(AND(LEFT(E65,5)="12.32",IFERROR(N65/$G$6,"")&lt;&gt;0))),"",IFERROR(N65/$N$6,""))</f>
      </c>
      <c r="P65" s="73">
        <f>SUMIFS(
INDEX('ETPT Format DDG'!$A:$FB,,IFERROR(MATCH(E65,'ETPT Format DDG'!$2:$2,0),MATCH(C65,'ETPT Format DDG'!$2:$2,0))),
INDEX( 'ETPT Format DDG'!$A:$ZZ,,MATCH("Fonction agrégat",'ETPT Format DDG'!2:2,0)),"F-PLAC-ADD",
INDEX( 'ETPT Format DDG'!$A:$ZZ,,MATCH("Juridiction",'ETPT Format DDG'!2:2,0)),$A$3)</f>
      </c>
      <c r="Q65" s="73">
        <f>SUMIFS(
INDEX('ETPT Format DDG'!$A:$FB,,IFERROR(MATCH(E65,'ETPT Format DDG'!$2:$2,0),MATCH(C65,'ETPT Format DDG'!$2:$2,0))),
INDEX( 'ETPT Format DDG'!$A:$ZZ,,MATCH("Fonction agrégat",'ETPT Format DDG'!2:2,0)),"F-PLAC-SUB",
INDEX( 'ETPT Format DDG'!$A:$ZZ,,MATCH("Juridiction",'ETPT Format DDG'!2:2,0)),$A$3)</f>
      </c>
      <c r="R65" s="73">
        <f>SUMIFS(
INDEX('ETPT Format DDG'!$A:$FB,,IFERROR(MATCH(E65,'ETPT Format DDG'!$2:$2,0),MATCH(C65,'ETPT Format DDG'!$2:$2,0))),
INDEX( 'ETPT Format DDG'!$A:$ZZ,,MATCH("Fonction agrégat",'ETPT Format DDG'!2:2,0)),"C",
'ETPT Format DDG'!$H:$H,"Greffe",
INDEX( 'ETPT Format DDG'!$A:$ZZ,,MATCH("Juridiction",'ETPT Format DDG'!2:2,0)),$A$3)</f>
      </c>
      <c r="S65" s="71">
        <f>SUMIFS(
INDEX('ETPT Format DDG'!$A:$FB,,IFERROR(MATCH(E65,'ETPT Format DDG'!$2:$2,0),MATCH(C65,'ETPT Format DDG'!$2:$2,0))),
INDEX( 'ETPT Format DDG'!$A:$ZZ,,MATCH("Catégorie",'ETPT Format DDG'!2:2,0)),"Greffe",
INDEX( 'ETPT Format DDG'!$A:$ZZ,,MATCH("Juridiction",'ETPT Format DDG'!2:2,0)),$A$3)</f>
      </c>
      <c r="T65" s="72">
        <f>IF(AND(OR(LEFT(C65,3)="12.",LEFT(E65,3)="12.",LEFT(E65,5)="CET &gt;",IFERROR(S65/$S$6,"")=0),NOT(AND(LEFT(E65,4)="12.8",IFERROR(G65/$G$6,"")&lt;&gt;0)),NOT(AND(LEFT(E65,5)="12.31",IFERROR(S65/$G$6,"")&lt;&gt;0)),NOT(AND(LEFT(E65,5)="12.32",IFERROR(S65/$G$6,"")&lt;&gt;0))),"", IFERROR(S65/$S$6,""))</f>
      </c>
      <c r="U65" s="71">
        <f>SUMIFS(
INDEX('ETPT Format DDG'!$A:$FB,,IFERROR(MATCH(E65,'ETPT Format DDG'!$2:$2,0),MATCH(C65,'ETPT Format DDG'!$2:$2,0))),
INDEX( 'ETPT Format DDG'!$A:$ZZ,,MATCH("Fonction agrégat",'ETPT Format DDG'!2:2,0)),"C",
INDEX( 'ETPT Format DDG'!$A:$ZZ,,MATCH("Juridiction",'ETPT Format DDG'!2:2,0)),$A$3,
INDEX( 'ETPT Format DDG'!$A:$ZZ,,MATCH("Catégorie",'ETPT Format DDG'!2:2,0)),"Autour du magistrat")</f>
      </c>
      <c r="V65" s="74">
        <f>IF(AND(OR(LEFT(C65,3)="12.",LEFT(E65,3)="12.",LEFT(E65,5)="CET &gt;",IFERROR(U65/$U$6,"")=0),NOT(AND(LEFT(E65,4)="12.8",IFERROR(G65/$G$6,"")&lt;&gt;0)),NOT(AND(LEFT(E65,5)="12.31",IFERROR(U65/$G$6,"")&lt;&gt;0)),NOT(AND(LEFT(E65,5)="12.32",IFERROR(U65/$G$6,"")&lt;&gt;0))),"", IFERROR(U65/$U$6,""))</f>
      </c>
    </row>
    <row r="66" ht="16" customHeight="1" spans="1:23" x14ac:dyDescent="0.25">
      <c r="A66" s="40"/>
      <c r="C66" s="68"/>
      <c r="D66" s="68"/>
      <c r="E66" s="69" t="s">
        <v>101</v>
      </c>
      <c r="F66" s="70" t="s">
        <v>101</v>
      </c>
      <c r="G66" s="71">
        <f>SUMIFS(
INDEX('ETPT Format DDG'!$A:$ZZ,,IFERROR(MATCH(E66,'ETPT Format DDG'!$2:$2,0),MATCH(C66,'ETPT Format DDG'!$2:$2,0))),
INDEX( 'ETPT Format DDG'!$A:$ZZ,,MATCH("Fonction agrégat",'ETPT Format DDG'!2:2,0)),"M-TIT",
INDEX( 'ETPT Format DDG'!$A:$ZZ,,MATCH("Juridiction",'ETPT Format DDG'!2:2,0)),$A$3)</f>
      </c>
      <c r="H66" s="72">
        <f>IF(AND(OR(LEFT(C66,3)="12.",LEFT(E66,3)="12.",LEFT(E66,5)="CET &gt;",IFERROR(G66/$G$6,"")=0),NOT(AND(LEFT(E66,4)="12.8",IFERROR(G66/$G$6,"")&lt;&gt;0)),NOT(AND(LEFT(E66,5)="12.31",IFERROR(G66/$G$6,"")&lt;&gt;0)),NOT(AND(LEFT(E66,5)="12.32",IFERROR(G66/$G$6,"")&lt;&gt;0))),"", IFERROR(G66/$G$6,""))</f>
      </c>
      <c r="I66" s="73">
        <f>SUMIFS(
INDEX('ETPT Format DDG'!$A:$ZZ,,IFERROR(MATCH(E66,'ETPT Format DDG'!$2:$2,0),MATCH(C66,'ETPT Format DDG'!$2:$2,0))),
INDEX( 'ETPT Format DDG'!$A:$ZZ,,MATCH("Fonction agrégat",'ETPT Format DDG'!2:2,0)),"M-PLAC-ADD",
INDEX( 'ETPT Format DDG'!$A:$ZZ,,MATCH("Juridiction",'ETPT Format DDG'!2:2,0)),$A$3)</f>
      </c>
      <c r="J66" s="73">
        <f>SUMIFS(
INDEX('ETPT Format DDG'!$A:$ZZ,,IFERROR(MATCH(E66,'ETPT Format DDG'!$2:$2,0),MATCH(C66,'ETPT Format DDG'!$2:$2,0))),
INDEX( 'ETPT Format DDG'!$A:$ZZ,,MATCH("Fonction agrégat",'ETPT Format DDG'!2:2,0)),"M-PLAC-SUB",
INDEX( 'ETPT Format DDG'!$A:$ZZ,,MATCH("Juridiction",'ETPT Format DDG'!2:2,0)),$A$3)</f>
      </c>
      <c r="K66" s="73">
        <f>SUMIFS(
INDEX('ETPT Format DDG'!$A:$ZZ,,IFERROR(MATCH(E66,'ETPT Format DDG'!$2:$2,0),MATCH(C66,'ETPT Format DDG'!$2:$2,0))),
INDEX( 'ETPT Format DDG'!$A:$ZZ,,MATCH("Fonction agrégat",'ETPT Format DDG'!2:2,0)),"M-CONT",
INDEX( 'ETPT Format DDG'!$A:$ZZ,,MATCH("Juridiction",'ETPT Format DDG'!2:2,0)),$A$3,
INDEX( 'ETPT Format DDG'!$A:$ZZ,,MATCH("Catégorie",'ETPT Format DDG'!2:2,0)),"Magistrat")</f>
      </c>
      <c r="L66" s="71">
        <f>SUMIFS(
INDEX('ETPT Format DDG'!$A:$ZZ,,IFERROR(MATCH(E66,'ETPT Format DDG'!$2:$2,0),MATCH(C66,'ETPT Format DDG'!$2:$2,0))),
INDEX( 'ETPT Format DDG'!$A:$ZZ,,MATCH("Juridiction",'ETPT Format DDG'!2:2,0)),$A$3,
INDEX( 'ETPT Format DDG'!$A:$ZZ,,MATCH("Catégorie",'ETPT Format DDG'!2:2,0)),"Magistrat")</f>
      </c>
      <c r="M66" s="74">
        <f>IF(AND(OR(LEFT(C66,3)="12.",LEFT(E66,3)="12.",LEFT(E66,5)="CET &gt;", IFERROR(L66/$L$6,"")=0),NOT(AND(LEFT(E66,4)="12.8",IFERROR(G66/$G$6,"")&lt;&gt;0)),NOT(AND(LEFT(E66,5)="12.31",IFERROR(L66/$G$6,"")&lt;&gt;0)),NOT(AND(LEFT(E66,5)="12.32",IFERROR(L66/$G$6,"")&lt;&gt;0))),"", IFERROR(L66/$L$6,""))</f>
      </c>
      <c r="N66" s="73">
        <f>SUMIFS(
INDEX('ETPT Format DDG'!$A:$ZZ,,IFERROR(MATCH(E66,'ETPT Format DDG'!$2:$2,0),MATCH(C66,'ETPT Format DDG'!$2:$2,0))),
INDEX( 'ETPT Format DDG'!$A:$ZZ,,MATCH("Fonction agrégat",'ETPT Format DDG'!2:2,0)),"F-TIT",
INDEX( 'ETPT Format DDG'!$A:$ZZ,,MATCH("Juridiction",'ETPT Format DDG'!2:2,0)),$A$3)</f>
      </c>
      <c r="O66" s="72">
        <f>IF(AND(OR(LEFT(C66,3)="12.",LEFT(E66,3)="12.",LEFT(E66,5)="CET &gt;",IFERROR(N66/$N$6,"")=0),NOT(AND(LEFT(E66,4)="12.8",IFERROR(G66/$G$6,"")&lt;&gt;0)),NOT(AND(LEFT(E66,5)="12.31",IFERROR(N66/$G$6,"")&lt;&gt;0)),NOT(AND(LEFT(E66,5)="12.32",IFERROR(N66/$G$6,"")&lt;&gt;0))),"",IFERROR(N66/$N$6,""))</f>
      </c>
      <c r="P66" s="73">
        <f>SUMIFS(
INDEX('ETPT Format DDG'!$A:$FB,,IFERROR(MATCH(E66,'ETPT Format DDG'!$2:$2,0),MATCH(C66,'ETPT Format DDG'!$2:$2,0))),
INDEX( 'ETPT Format DDG'!$A:$ZZ,,MATCH("Fonction agrégat",'ETPT Format DDG'!2:2,0)),"F-PLAC-ADD",
INDEX( 'ETPT Format DDG'!$A:$ZZ,,MATCH("Juridiction",'ETPT Format DDG'!2:2,0)),$A$3)</f>
      </c>
      <c r="Q66" s="73">
        <f>SUMIFS(
INDEX('ETPT Format DDG'!$A:$FB,,IFERROR(MATCH(E66,'ETPT Format DDG'!$2:$2,0),MATCH(C66,'ETPT Format DDG'!$2:$2,0))),
INDEX( 'ETPT Format DDG'!$A:$ZZ,,MATCH("Fonction agrégat",'ETPT Format DDG'!2:2,0)),"F-PLAC-SUB",
INDEX( 'ETPT Format DDG'!$A:$ZZ,,MATCH("Juridiction",'ETPT Format DDG'!2:2,0)),$A$3)</f>
      </c>
      <c r="R66" s="73">
        <f>SUMIFS(
INDEX('ETPT Format DDG'!$A:$FB,,IFERROR(MATCH(E66,'ETPT Format DDG'!$2:$2,0),MATCH(C66,'ETPT Format DDG'!$2:$2,0))),
INDEX( 'ETPT Format DDG'!$A:$ZZ,,MATCH("Fonction agrégat",'ETPT Format DDG'!2:2,0)),"C",
'ETPT Format DDG'!$H:$H,"Greffe",
INDEX( 'ETPT Format DDG'!$A:$ZZ,,MATCH("Juridiction",'ETPT Format DDG'!2:2,0)),$A$3)</f>
      </c>
      <c r="S66" s="71">
        <f>SUMIFS(
INDEX('ETPT Format DDG'!$A:$FB,,IFERROR(MATCH(E66,'ETPT Format DDG'!$2:$2,0),MATCH(C66,'ETPT Format DDG'!$2:$2,0))),
INDEX( 'ETPT Format DDG'!$A:$ZZ,,MATCH("Catégorie",'ETPT Format DDG'!2:2,0)),"Greffe",
INDEX( 'ETPT Format DDG'!$A:$ZZ,,MATCH("Juridiction",'ETPT Format DDG'!2:2,0)),$A$3)</f>
      </c>
      <c r="T66" s="72">
        <f>IF(AND(OR(LEFT(C66,3)="12.",LEFT(E66,3)="12.",LEFT(E66,5)="CET &gt;",IFERROR(S66/$S$6,"")=0),NOT(AND(LEFT(E66,4)="12.8",IFERROR(G66/$G$6,"")&lt;&gt;0)),NOT(AND(LEFT(E66,5)="12.31",IFERROR(S66/$G$6,"")&lt;&gt;0)),NOT(AND(LEFT(E66,5)="12.32",IFERROR(S66/$G$6,"")&lt;&gt;0))),"", IFERROR(S66/$S$6,""))</f>
      </c>
      <c r="U66" s="71">
        <f>SUMIFS(
INDEX('ETPT Format DDG'!$A:$FB,,IFERROR(MATCH(E66,'ETPT Format DDG'!$2:$2,0),MATCH(C66,'ETPT Format DDG'!$2:$2,0))),
INDEX( 'ETPT Format DDG'!$A:$ZZ,,MATCH("Fonction agrégat",'ETPT Format DDG'!2:2,0)),"C",
INDEX( 'ETPT Format DDG'!$A:$ZZ,,MATCH("Juridiction",'ETPT Format DDG'!2:2,0)),$A$3,
INDEX( 'ETPT Format DDG'!$A:$ZZ,,MATCH("Catégorie",'ETPT Format DDG'!2:2,0)),"Autour du magistrat")</f>
      </c>
      <c r="V66" s="74">
        <f>IF(AND(OR(LEFT(C66,3)="12.",LEFT(E66,3)="12.",LEFT(E66,5)="CET &gt;",IFERROR(U66/$U$6,"")=0),NOT(AND(LEFT(E66,4)="12.8",IFERROR(G66/$G$6,"")&lt;&gt;0)),NOT(AND(LEFT(E66,5)="12.31",IFERROR(U66/$G$6,"")&lt;&gt;0)),NOT(AND(LEFT(E66,5)="12.32",IFERROR(U66/$G$6,"")&lt;&gt;0))),"", IFERROR(U66/$U$6,""))</f>
      </c>
    </row>
    <row r="67" ht="16" customHeight="1" spans="1:23" x14ac:dyDescent="0.25">
      <c r="A67" s="40"/>
      <c r="C67" s="68"/>
      <c r="D67" s="68"/>
      <c r="E67" s="69" t="s">
        <v>102</v>
      </c>
      <c r="F67" s="70" t="s">
        <v>102</v>
      </c>
      <c r="G67" s="71">
        <f>SUMIFS(
INDEX('ETPT Format DDG'!$A:$ZZ,,IFERROR(MATCH(E67,'ETPT Format DDG'!$2:$2,0),MATCH(C67,'ETPT Format DDG'!$2:$2,0))),
INDEX( 'ETPT Format DDG'!$A:$ZZ,,MATCH("Fonction agrégat",'ETPT Format DDG'!2:2,0)),"M-TIT",
INDEX( 'ETPT Format DDG'!$A:$ZZ,,MATCH("Juridiction",'ETPT Format DDG'!2:2,0)),$A$3)</f>
      </c>
      <c r="H67" s="72">
        <f>IF(AND(OR(LEFT(C67,3)="12.",LEFT(E67,3)="12.",LEFT(E67,5)="CET &gt;",IFERROR(G67/$G$6,"")=0),NOT(AND(LEFT(E67,4)="12.8",IFERROR(G67/$G$6,"")&lt;&gt;0)),NOT(AND(LEFT(E67,5)="12.31",IFERROR(G67/$G$6,"")&lt;&gt;0)),NOT(AND(LEFT(E67,5)="12.32",IFERROR(G67/$G$6,"")&lt;&gt;0))),"", IFERROR(G67/$G$6,""))</f>
      </c>
      <c r="I67" s="73">
        <f>SUMIFS(
INDEX('ETPT Format DDG'!$A:$ZZ,,IFERROR(MATCH(E67,'ETPT Format DDG'!$2:$2,0),MATCH(C67,'ETPT Format DDG'!$2:$2,0))),
INDEX( 'ETPT Format DDG'!$A:$ZZ,,MATCH("Fonction agrégat",'ETPT Format DDG'!2:2,0)),"M-PLAC-ADD",
INDEX( 'ETPT Format DDG'!$A:$ZZ,,MATCH("Juridiction",'ETPT Format DDG'!2:2,0)),$A$3)</f>
      </c>
      <c r="J67" s="73">
        <f>SUMIFS(
INDEX('ETPT Format DDG'!$A:$ZZ,,IFERROR(MATCH(E67,'ETPT Format DDG'!$2:$2,0),MATCH(C67,'ETPT Format DDG'!$2:$2,0))),
INDEX( 'ETPT Format DDG'!$A:$ZZ,,MATCH("Fonction agrégat",'ETPT Format DDG'!2:2,0)),"M-PLAC-SUB",
INDEX( 'ETPT Format DDG'!$A:$ZZ,,MATCH("Juridiction",'ETPT Format DDG'!2:2,0)),$A$3)</f>
      </c>
      <c r="K67" s="73">
        <f>SUMIFS(
INDEX('ETPT Format DDG'!$A:$ZZ,,IFERROR(MATCH(E67,'ETPT Format DDG'!$2:$2,0),MATCH(C67,'ETPT Format DDG'!$2:$2,0))),
INDEX( 'ETPT Format DDG'!$A:$ZZ,,MATCH("Fonction agrégat",'ETPT Format DDG'!2:2,0)),"M-CONT",
INDEX( 'ETPT Format DDG'!$A:$ZZ,,MATCH("Juridiction",'ETPT Format DDG'!2:2,0)),$A$3,
INDEX( 'ETPT Format DDG'!$A:$ZZ,,MATCH("Catégorie",'ETPT Format DDG'!2:2,0)),"Magistrat")</f>
      </c>
      <c r="L67" s="71">
        <f>SUMIFS(
INDEX('ETPT Format DDG'!$A:$ZZ,,IFERROR(MATCH(E67,'ETPT Format DDG'!$2:$2,0),MATCH(C67,'ETPT Format DDG'!$2:$2,0))),
INDEX( 'ETPT Format DDG'!$A:$ZZ,,MATCH("Juridiction",'ETPT Format DDG'!2:2,0)),$A$3,
INDEX( 'ETPT Format DDG'!$A:$ZZ,,MATCH("Catégorie",'ETPT Format DDG'!2:2,0)),"Magistrat")</f>
      </c>
      <c r="M67" s="74">
        <f>IF(AND(OR(LEFT(C67,3)="12.",LEFT(E67,3)="12.",LEFT(E67,5)="CET &gt;", IFERROR(L67/$L$6,"")=0),NOT(AND(LEFT(E67,4)="12.8",IFERROR(G67/$G$6,"")&lt;&gt;0)),NOT(AND(LEFT(E67,5)="12.31",IFERROR(L67/$G$6,"")&lt;&gt;0)),NOT(AND(LEFT(E67,5)="12.32",IFERROR(L67/$G$6,"")&lt;&gt;0))),"", IFERROR(L67/$L$6,""))</f>
      </c>
      <c r="N67" s="73">
        <f>SUMIFS(
INDEX('ETPT Format DDG'!$A:$ZZ,,IFERROR(MATCH(E67,'ETPT Format DDG'!$2:$2,0),MATCH(C67,'ETPT Format DDG'!$2:$2,0))),
INDEX( 'ETPT Format DDG'!$A:$ZZ,,MATCH("Fonction agrégat",'ETPT Format DDG'!2:2,0)),"F-TIT",
INDEX( 'ETPT Format DDG'!$A:$ZZ,,MATCH("Juridiction",'ETPT Format DDG'!2:2,0)),$A$3)</f>
      </c>
      <c r="O67" s="72">
        <f>IF(AND(OR(LEFT(C67,3)="12.",LEFT(E67,3)="12.",LEFT(E67,5)="CET &gt;",IFERROR(N67/$N$6,"")=0),NOT(AND(LEFT(E67,4)="12.8",IFERROR(G67/$G$6,"")&lt;&gt;0)),NOT(AND(LEFT(E67,5)="12.31",IFERROR(N67/$G$6,"")&lt;&gt;0)),NOT(AND(LEFT(E67,5)="12.32",IFERROR(N67/$G$6,"")&lt;&gt;0))),"",IFERROR(N67/$N$6,""))</f>
      </c>
      <c r="P67" s="73">
        <f>SUMIFS(
INDEX('ETPT Format DDG'!$A:$FB,,IFERROR(MATCH(E67,'ETPT Format DDG'!$2:$2,0),MATCH(C67,'ETPT Format DDG'!$2:$2,0))),
INDEX( 'ETPT Format DDG'!$A:$ZZ,,MATCH("Fonction agrégat",'ETPT Format DDG'!2:2,0)),"F-PLAC-ADD",
INDEX( 'ETPT Format DDG'!$A:$ZZ,,MATCH("Juridiction",'ETPT Format DDG'!2:2,0)),$A$3)</f>
      </c>
      <c r="Q67" s="73">
        <f>SUMIFS(
INDEX('ETPT Format DDG'!$A:$FB,,IFERROR(MATCH(E67,'ETPT Format DDG'!$2:$2,0),MATCH(C67,'ETPT Format DDG'!$2:$2,0))),
INDEX( 'ETPT Format DDG'!$A:$ZZ,,MATCH("Fonction agrégat",'ETPT Format DDG'!2:2,0)),"F-PLAC-SUB",
INDEX( 'ETPT Format DDG'!$A:$ZZ,,MATCH("Juridiction",'ETPT Format DDG'!2:2,0)),$A$3)</f>
      </c>
      <c r="R67" s="73">
        <f>SUMIFS(
INDEX('ETPT Format DDG'!$A:$FB,,IFERROR(MATCH(E67,'ETPT Format DDG'!$2:$2,0),MATCH(C67,'ETPT Format DDG'!$2:$2,0))),
INDEX( 'ETPT Format DDG'!$A:$ZZ,,MATCH("Fonction agrégat",'ETPT Format DDG'!2:2,0)),"C",
'ETPT Format DDG'!$H:$H,"Greffe",
INDEX( 'ETPT Format DDG'!$A:$ZZ,,MATCH("Juridiction",'ETPT Format DDG'!2:2,0)),$A$3)</f>
      </c>
      <c r="S67" s="71">
        <f>SUMIFS(
INDEX('ETPT Format DDG'!$A:$FB,,IFERROR(MATCH(E67,'ETPT Format DDG'!$2:$2,0),MATCH(C67,'ETPT Format DDG'!$2:$2,0))),
INDEX( 'ETPT Format DDG'!$A:$ZZ,,MATCH("Catégorie",'ETPT Format DDG'!2:2,0)),"Greffe",
INDEX( 'ETPT Format DDG'!$A:$ZZ,,MATCH("Juridiction",'ETPT Format DDG'!2:2,0)),$A$3)</f>
      </c>
      <c r="T67" s="72">
        <f>IF(AND(OR(LEFT(C67,3)="12.",LEFT(E67,3)="12.",LEFT(E67,5)="CET &gt;",IFERROR(S67/$S$6,"")=0),NOT(AND(LEFT(E67,4)="12.8",IFERROR(G67/$G$6,"")&lt;&gt;0)),NOT(AND(LEFT(E67,5)="12.31",IFERROR(S67/$G$6,"")&lt;&gt;0)),NOT(AND(LEFT(E67,5)="12.32",IFERROR(S67/$G$6,"")&lt;&gt;0))),"", IFERROR(S67/$S$6,""))</f>
      </c>
      <c r="U67" s="71">
        <f>SUMIFS(
INDEX('ETPT Format DDG'!$A:$FB,,IFERROR(MATCH(E67,'ETPT Format DDG'!$2:$2,0),MATCH(C67,'ETPT Format DDG'!$2:$2,0))),
INDEX( 'ETPT Format DDG'!$A:$ZZ,,MATCH("Fonction agrégat",'ETPT Format DDG'!2:2,0)),"C",
INDEX( 'ETPT Format DDG'!$A:$ZZ,,MATCH("Juridiction",'ETPT Format DDG'!2:2,0)),$A$3,
INDEX( 'ETPT Format DDG'!$A:$ZZ,,MATCH("Catégorie",'ETPT Format DDG'!2:2,0)),"Autour du magistrat")</f>
      </c>
      <c r="V67" s="74">
        <f>IF(AND(OR(LEFT(C67,3)="12.",LEFT(E67,3)="12.",LEFT(E67,5)="CET &gt;",IFERROR(U67/$U$6,"")=0),NOT(AND(LEFT(E67,4)="12.8",IFERROR(G67/$G$6,"")&lt;&gt;0)),NOT(AND(LEFT(E67,5)="12.31",IFERROR(U67/$G$6,"")&lt;&gt;0)),NOT(AND(LEFT(E67,5)="12.32",IFERROR(U67/$G$6,"")&lt;&gt;0))),"", IFERROR(U67/$U$6,""))</f>
      </c>
    </row>
    <row r="68" ht="16" customHeight="1" spans="1:23" x14ac:dyDescent="0.25">
      <c r="A68" s="40"/>
      <c r="C68" s="68"/>
      <c r="D68" s="68"/>
      <c r="E68" s="69" t="s">
        <v>103</v>
      </c>
      <c r="F68" s="70" t="s">
        <v>103</v>
      </c>
      <c r="G68" s="71">
        <f>SUMIFS(
INDEX('ETPT Format DDG'!$A:$ZZ,,IFERROR(MATCH(E68,'ETPT Format DDG'!$2:$2,0),MATCH(C68,'ETPT Format DDG'!$2:$2,0))),
INDEX( 'ETPT Format DDG'!$A:$ZZ,,MATCH("Fonction agrégat",'ETPT Format DDG'!2:2,0)),"M-TIT",
INDEX( 'ETPT Format DDG'!$A:$ZZ,,MATCH("Juridiction",'ETPT Format DDG'!2:2,0)),$A$3)</f>
      </c>
      <c r="H68" s="72">
        <f>IF(AND(OR(LEFT(C68,3)="12.",LEFT(E68,3)="12.",LEFT(E68,5)="CET &gt;",IFERROR(G68/$G$6,"")=0),NOT(AND(LEFT(E68,4)="12.8",IFERROR(G68/$G$6,"")&lt;&gt;0)),NOT(AND(LEFT(E68,5)="12.31",IFERROR(G68/$G$6,"")&lt;&gt;0)),NOT(AND(LEFT(E68,5)="12.32",IFERROR(G68/$G$6,"")&lt;&gt;0))),"", IFERROR(G68/$G$6,""))</f>
      </c>
      <c r="I68" s="73">
        <f>SUMIFS(
INDEX('ETPT Format DDG'!$A:$ZZ,,IFERROR(MATCH(E68,'ETPT Format DDG'!$2:$2,0),MATCH(C68,'ETPT Format DDG'!$2:$2,0))),
INDEX( 'ETPT Format DDG'!$A:$ZZ,,MATCH("Fonction agrégat",'ETPT Format DDG'!2:2,0)),"M-PLAC-ADD",
INDEX( 'ETPT Format DDG'!$A:$ZZ,,MATCH("Juridiction",'ETPT Format DDG'!2:2,0)),$A$3)</f>
      </c>
      <c r="J68" s="73">
        <f>SUMIFS(
INDEX('ETPT Format DDG'!$A:$ZZ,,IFERROR(MATCH(E68,'ETPT Format DDG'!$2:$2,0),MATCH(C68,'ETPT Format DDG'!$2:$2,0))),
INDEX( 'ETPT Format DDG'!$A:$ZZ,,MATCH("Fonction agrégat",'ETPT Format DDG'!2:2,0)),"M-PLAC-SUB",
INDEX( 'ETPT Format DDG'!$A:$ZZ,,MATCH("Juridiction",'ETPT Format DDG'!2:2,0)),$A$3)</f>
      </c>
      <c r="K68" s="73">
        <f>SUMIFS(
INDEX('ETPT Format DDG'!$A:$ZZ,,IFERROR(MATCH(E68,'ETPT Format DDG'!$2:$2,0),MATCH(C68,'ETPT Format DDG'!$2:$2,0))),
INDEX( 'ETPT Format DDG'!$A:$ZZ,,MATCH("Fonction agrégat",'ETPT Format DDG'!2:2,0)),"M-CONT",
INDEX( 'ETPT Format DDG'!$A:$ZZ,,MATCH("Juridiction",'ETPT Format DDG'!2:2,0)),$A$3,
INDEX( 'ETPT Format DDG'!$A:$ZZ,,MATCH("Catégorie",'ETPT Format DDG'!2:2,0)),"Magistrat")</f>
      </c>
      <c r="L68" s="71">
        <f>SUMIFS(
INDEX('ETPT Format DDG'!$A:$ZZ,,IFERROR(MATCH(E68,'ETPT Format DDG'!$2:$2,0),MATCH(C68,'ETPT Format DDG'!$2:$2,0))),
INDEX( 'ETPT Format DDG'!$A:$ZZ,,MATCH("Juridiction",'ETPT Format DDG'!2:2,0)),$A$3,
INDEX( 'ETPT Format DDG'!$A:$ZZ,,MATCH("Catégorie",'ETPT Format DDG'!2:2,0)),"Magistrat")</f>
      </c>
      <c r="M68" s="74">
        <f>IF(AND(OR(LEFT(C68,3)="12.",LEFT(E68,3)="12.",LEFT(E68,5)="CET &gt;", IFERROR(L68/$L$6,"")=0),NOT(AND(LEFT(E68,4)="12.8",IFERROR(G68/$G$6,"")&lt;&gt;0)),NOT(AND(LEFT(E68,5)="12.31",IFERROR(L68/$G$6,"")&lt;&gt;0)),NOT(AND(LEFT(E68,5)="12.32",IFERROR(L68/$G$6,"")&lt;&gt;0))),"", IFERROR(L68/$L$6,""))</f>
      </c>
      <c r="N68" s="73">
        <f>SUMIFS(
INDEX('ETPT Format DDG'!$A:$ZZ,,IFERROR(MATCH(E68,'ETPT Format DDG'!$2:$2,0),MATCH(C68,'ETPT Format DDG'!$2:$2,0))),
INDEX( 'ETPT Format DDG'!$A:$ZZ,,MATCH("Fonction agrégat",'ETPT Format DDG'!2:2,0)),"F-TIT",
INDEX( 'ETPT Format DDG'!$A:$ZZ,,MATCH("Juridiction",'ETPT Format DDG'!2:2,0)),$A$3)</f>
      </c>
      <c r="O68" s="72">
        <f>IF(AND(OR(LEFT(C68,3)="12.",LEFT(E68,3)="12.",LEFT(E68,5)="CET &gt;",IFERROR(N68/$N$6,"")=0),NOT(AND(LEFT(E68,4)="12.8",IFERROR(G68/$G$6,"")&lt;&gt;0)),NOT(AND(LEFT(E68,5)="12.31",IFERROR(N68/$G$6,"")&lt;&gt;0)),NOT(AND(LEFT(E68,5)="12.32",IFERROR(N68/$G$6,"")&lt;&gt;0))),"",IFERROR(N68/$N$6,""))</f>
      </c>
      <c r="P68" s="73">
        <f>SUMIFS(
INDEX('ETPT Format DDG'!$A:$FB,,IFERROR(MATCH(E68,'ETPT Format DDG'!$2:$2,0),MATCH(C68,'ETPT Format DDG'!$2:$2,0))),
INDEX( 'ETPT Format DDG'!$A:$ZZ,,MATCH("Fonction agrégat",'ETPT Format DDG'!2:2,0)),"F-PLAC-ADD",
INDEX( 'ETPT Format DDG'!$A:$ZZ,,MATCH("Juridiction",'ETPT Format DDG'!2:2,0)),$A$3)</f>
      </c>
      <c r="Q68" s="73">
        <f>SUMIFS(
INDEX('ETPT Format DDG'!$A:$FB,,IFERROR(MATCH(E68,'ETPT Format DDG'!$2:$2,0),MATCH(C68,'ETPT Format DDG'!$2:$2,0))),
INDEX( 'ETPT Format DDG'!$A:$ZZ,,MATCH("Fonction agrégat",'ETPT Format DDG'!2:2,0)),"F-PLAC-SUB",
INDEX( 'ETPT Format DDG'!$A:$ZZ,,MATCH("Juridiction",'ETPT Format DDG'!2:2,0)),$A$3)</f>
      </c>
      <c r="R68" s="73">
        <f>SUMIFS(
INDEX('ETPT Format DDG'!$A:$FB,,IFERROR(MATCH(E68,'ETPT Format DDG'!$2:$2,0),MATCH(C68,'ETPT Format DDG'!$2:$2,0))),
INDEX( 'ETPT Format DDG'!$A:$ZZ,,MATCH("Fonction agrégat",'ETPT Format DDG'!2:2,0)),"C",
'ETPT Format DDG'!$H:$H,"Greffe",
INDEX( 'ETPT Format DDG'!$A:$ZZ,,MATCH("Juridiction",'ETPT Format DDG'!2:2,0)),$A$3)</f>
      </c>
      <c r="S68" s="71">
        <f>SUMIFS(
INDEX('ETPT Format DDG'!$A:$FB,,IFERROR(MATCH(E68,'ETPT Format DDG'!$2:$2,0),MATCH(C68,'ETPT Format DDG'!$2:$2,0))),
INDEX( 'ETPT Format DDG'!$A:$ZZ,,MATCH("Catégorie",'ETPT Format DDG'!2:2,0)),"Greffe",
INDEX( 'ETPT Format DDG'!$A:$ZZ,,MATCH("Juridiction",'ETPT Format DDG'!2:2,0)),$A$3)</f>
      </c>
      <c r="T68" s="72">
        <f>IF(AND(OR(LEFT(C68,3)="12.",LEFT(E68,3)="12.",LEFT(E68,5)="CET &gt;",IFERROR(S68/$S$6,"")=0),NOT(AND(LEFT(E68,4)="12.8",IFERROR(G68/$G$6,"")&lt;&gt;0)),NOT(AND(LEFT(E68,5)="12.31",IFERROR(S68/$G$6,"")&lt;&gt;0)),NOT(AND(LEFT(E68,5)="12.32",IFERROR(S68/$G$6,"")&lt;&gt;0))),"", IFERROR(S68/$S$6,""))</f>
      </c>
      <c r="U68" s="71">
        <f>SUMIFS(
INDEX('ETPT Format DDG'!$A:$FB,,IFERROR(MATCH(E68,'ETPT Format DDG'!$2:$2,0),MATCH(C68,'ETPT Format DDG'!$2:$2,0))),
INDEX( 'ETPT Format DDG'!$A:$ZZ,,MATCH("Fonction agrégat",'ETPT Format DDG'!2:2,0)),"C",
INDEX( 'ETPT Format DDG'!$A:$ZZ,,MATCH("Juridiction",'ETPT Format DDG'!2:2,0)),$A$3,
INDEX( 'ETPT Format DDG'!$A:$ZZ,,MATCH("Catégorie",'ETPT Format DDG'!2:2,0)),"Autour du magistrat")</f>
      </c>
      <c r="V68" s="74">
        <f>IF(AND(OR(LEFT(C68,3)="12.",LEFT(E68,3)="12.",LEFT(E68,5)="CET &gt;",IFERROR(U68/$U$6,"")=0),NOT(AND(LEFT(E68,4)="12.8",IFERROR(G68/$G$6,"")&lt;&gt;0)),NOT(AND(LEFT(E68,5)="12.31",IFERROR(U68/$G$6,"")&lt;&gt;0)),NOT(AND(LEFT(E68,5)="12.32",IFERROR(U68/$G$6,"")&lt;&gt;0))),"", IFERROR(U68/$U$6,""))</f>
      </c>
    </row>
    <row r="69" ht="16" customHeight="1" spans="1:23" x14ac:dyDescent="0.25">
      <c r="A69" s="40"/>
      <c r="C69" s="68"/>
      <c r="D69" s="68"/>
      <c r="E69" s="69" t="s">
        <v>104</v>
      </c>
      <c r="F69" s="70" t="s">
        <v>104</v>
      </c>
      <c r="G69" s="71">
        <f>SUMIFS(
INDEX('ETPT Format DDG'!$A:$ZZ,,IFERROR(MATCH(E69,'ETPT Format DDG'!$2:$2,0),MATCH(C69,'ETPT Format DDG'!$2:$2,0))),
INDEX( 'ETPT Format DDG'!$A:$ZZ,,MATCH("Fonction agrégat",'ETPT Format DDG'!2:2,0)),"M-TIT",
INDEX( 'ETPT Format DDG'!$A:$ZZ,,MATCH("Juridiction",'ETPT Format DDG'!2:2,0)),$A$3)</f>
      </c>
      <c r="H69" s="72">
        <f>IF(AND(OR(LEFT(C69,3)="12.",LEFT(E69,3)="12.",LEFT(E69,5)="CET &gt;",IFERROR(G69/$G$6,"")=0),NOT(AND(LEFT(E69,4)="12.8",IFERROR(G69/$G$6,"")&lt;&gt;0)),NOT(AND(LEFT(E69,5)="12.31",IFERROR(G69/$G$6,"")&lt;&gt;0)),NOT(AND(LEFT(E69,5)="12.32",IFERROR(G69/$G$6,"")&lt;&gt;0))),"", IFERROR(G69/$G$6,""))</f>
      </c>
      <c r="I69" s="73">
        <f>SUMIFS(
INDEX('ETPT Format DDG'!$A:$ZZ,,IFERROR(MATCH(E69,'ETPT Format DDG'!$2:$2,0),MATCH(C69,'ETPT Format DDG'!$2:$2,0))),
INDEX( 'ETPT Format DDG'!$A:$ZZ,,MATCH("Fonction agrégat",'ETPT Format DDG'!2:2,0)),"M-PLAC-ADD",
INDEX( 'ETPT Format DDG'!$A:$ZZ,,MATCH("Juridiction",'ETPT Format DDG'!2:2,0)),$A$3)</f>
      </c>
      <c r="J69" s="73">
        <f>SUMIFS(
INDEX('ETPT Format DDG'!$A:$ZZ,,IFERROR(MATCH(E69,'ETPT Format DDG'!$2:$2,0),MATCH(C69,'ETPT Format DDG'!$2:$2,0))),
INDEX( 'ETPT Format DDG'!$A:$ZZ,,MATCH("Fonction agrégat",'ETPT Format DDG'!2:2,0)),"M-PLAC-SUB",
INDEX( 'ETPT Format DDG'!$A:$ZZ,,MATCH("Juridiction",'ETPT Format DDG'!2:2,0)),$A$3)</f>
      </c>
      <c r="K69" s="73">
        <f>SUMIFS(
INDEX('ETPT Format DDG'!$A:$ZZ,,IFERROR(MATCH(E69,'ETPT Format DDG'!$2:$2,0),MATCH(C69,'ETPT Format DDG'!$2:$2,0))),
INDEX( 'ETPT Format DDG'!$A:$ZZ,,MATCH("Fonction agrégat",'ETPT Format DDG'!2:2,0)),"M-CONT",
INDEX( 'ETPT Format DDG'!$A:$ZZ,,MATCH("Juridiction",'ETPT Format DDG'!2:2,0)),$A$3,
INDEX( 'ETPT Format DDG'!$A:$ZZ,,MATCH("Catégorie",'ETPT Format DDG'!2:2,0)),"Magistrat")</f>
      </c>
      <c r="L69" s="71">
        <f>SUMIFS(
INDEX('ETPT Format DDG'!$A:$ZZ,,IFERROR(MATCH(E69,'ETPT Format DDG'!$2:$2,0),MATCH(C69,'ETPT Format DDG'!$2:$2,0))),
INDEX( 'ETPT Format DDG'!$A:$ZZ,,MATCH("Juridiction",'ETPT Format DDG'!2:2,0)),$A$3,
INDEX( 'ETPT Format DDG'!$A:$ZZ,,MATCH("Catégorie",'ETPT Format DDG'!2:2,0)),"Magistrat")</f>
      </c>
      <c r="M69" s="74">
        <f>IF(AND(OR(LEFT(C69,3)="12.",LEFT(E69,3)="12.",LEFT(E69,5)="CET &gt;", IFERROR(L69/$L$6,"")=0),NOT(AND(LEFT(E69,4)="12.8",IFERROR(G69/$G$6,"")&lt;&gt;0)),NOT(AND(LEFT(E69,5)="12.31",IFERROR(L69/$G$6,"")&lt;&gt;0)),NOT(AND(LEFT(E69,5)="12.32",IFERROR(L69/$G$6,"")&lt;&gt;0))),"", IFERROR(L69/$L$6,""))</f>
      </c>
      <c r="N69" s="73">
        <f>SUMIFS(
INDEX('ETPT Format DDG'!$A:$ZZ,,IFERROR(MATCH(E69,'ETPT Format DDG'!$2:$2,0),MATCH(C69,'ETPT Format DDG'!$2:$2,0))),
INDEX( 'ETPT Format DDG'!$A:$ZZ,,MATCH("Fonction agrégat",'ETPT Format DDG'!2:2,0)),"F-TIT",
INDEX( 'ETPT Format DDG'!$A:$ZZ,,MATCH("Juridiction",'ETPT Format DDG'!2:2,0)),$A$3)</f>
      </c>
      <c r="O69" s="72">
        <f>IF(AND(OR(LEFT(C69,3)="12.",LEFT(E69,3)="12.",LEFT(E69,5)="CET &gt;",IFERROR(N69/$N$6,"")=0),NOT(AND(LEFT(E69,4)="12.8",IFERROR(G69/$G$6,"")&lt;&gt;0)),NOT(AND(LEFT(E69,5)="12.31",IFERROR(N69/$G$6,"")&lt;&gt;0)),NOT(AND(LEFT(E69,5)="12.32",IFERROR(N69/$G$6,"")&lt;&gt;0))),"",IFERROR(N69/$N$6,""))</f>
      </c>
      <c r="P69" s="73">
        <f>SUMIFS(
INDEX('ETPT Format DDG'!$A:$FB,,IFERROR(MATCH(E69,'ETPT Format DDG'!$2:$2,0),MATCH(C69,'ETPT Format DDG'!$2:$2,0))),
INDEX( 'ETPT Format DDG'!$A:$ZZ,,MATCH("Fonction agrégat",'ETPT Format DDG'!2:2,0)),"F-PLAC-ADD",
INDEX( 'ETPT Format DDG'!$A:$ZZ,,MATCH("Juridiction",'ETPT Format DDG'!2:2,0)),$A$3)</f>
      </c>
      <c r="Q69" s="73">
        <f>SUMIFS(
INDEX('ETPT Format DDG'!$A:$FB,,IFERROR(MATCH(E69,'ETPT Format DDG'!$2:$2,0),MATCH(C69,'ETPT Format DDG'!$2:$2,0))),
INDEX( 'ETPT Format DDG'!$A:$ZZ,,MATCH("Fonction agrégat",'ETPT Format DDG'!2:2,0)),"F-PLAC-SUB",
INDEX( 'ETPT Format DDG'!$A:$ZZ,,MATCH("Juridiction",'ETPT Format DDG'!2:2,0)),$A$3)</f>
      </c>
      <c r="R69" s="73">
        <f>SUMIFS(
INDEX('ETPT Format DDG'!$A:$FB,,IFERROR(MATCH(E69,'ETPT Format DDG'!$2:$2,0),MATCH(C69,'ETPT Format DDG'!$2:$2,0))),
INDEX( 'ETPT Format DDG'!$A:$ZZ,,MATCH("Fonction agrégat",'ETPT Format DDG'!2:2,0)),"C",
'ETPT Format DDG'!$H:$H,"Greffe",
INDEX( 'ETPT Format DDG'!$A:$ZZ,,MATCH("Juridiction",'ETPT Format DDG'!2:2,0)),$A$3)</f>
      </c>
      <c r="S69" s="71">
        <f>SUMIFS(
INDEX('ETPT Format DDG'!$A:$FB,,IFERROR(MATCH(E69,'ETPT Format DDG'!$2:$2,0),MATCH(C69,'ETPT Format DDG'!$2:$2,0))),
INDEX( 'ETPT Format DDG'!$A:$ZZ,,MATCH("Catégorie",'ETPT Format DDG'!2:2,0)),"Greffe",
INDEX( 'ETPT Format DDG'!$A:$ZZ,,MATCH("Juridiction",'ETPT Format DDG'!2:2,0)),$A$3)</f>
      </c>
      <c r="T69" s="72">
        <f>IF(AND(OR(LEFT(C69,3)="12.",LEFT(E69,3)="12.",LEFT(E69,5)="CET &gt;",IFERROR(S69/$S$6,"")=0),NOT(AND(LEFT(E69,4)="12.8",IFERROR(G69/$G$6,"")&lt;&gt;0)),NOT(AND(LEFT(E69,5)="12.31",IFERROR(S69/$G$6,"")&lt;&gt;0)),NOT(AND(LEFT(E69,5)="12.32",IFERROR(S69/$G$6,"")&lt;&gt;0))),"", IFERROR(S69/$S$6,""))</f>
      </c>
      <c r="U69" s="71">
        <f>SUMIFS(
INDEX('ETPT Format DDG'!$A:$FB,,IFERROR(MATCH(E69,'ETPT Format DDG'!$2:$2,0),MATCH(C69,'ETPT Format DDG'!$2:$2,0))),
INDEX( 'ETPT Format DDG'!$A:$ZZ,,MATCH("Fonction agrégat",'ETPT Format DDG'!2:2,0)),"C",
INDEX( 'ETPT Format DDG'!$A:$ZZ,,MATCH("Juridiction",'ETPT Format DDG'!2:2,0)),$A$3,
INDEX( 'ETPT Format DDG'!$A:$ZZ,,MATCH("Catégorie",'ETPT Format DDG'!2:2,0)),"Autour du magistrat")</f>
      </c>
      <c r="V69" s="74">
        <f>IF(AND(OR(LEFT(C69,3)="12.",LEFT(E69,3)="12.",LEFT(E69,5)="CET &gt;",IFERROR(U69/$U$6,"")=0),NOT(AND(LEFT(E69,4)="12.8",IFERROR(G69/$G$6,"")&lt;&gt;0)),NOT(AND(LEFT(E69,5)="12.31",IFERROR(U69/$G$6,"")&lt;&gt;0)),NOT(AND(LEFT(E69,5)="12.32",IFERROR(U69/$G$6,"")&lt;&gt;0))),"", IFERROR(U69/$U$6,""))</f>
      </c>
    </row>
    <row r="70" ht="16" customHeight="1" spans="1:23" x14ac:dyDescent="0.25">
      <c r="A70" s="40"/>
      <c r="C70" s="68"/>
      <c r="D70" s="68"/>
      <c r="E70" s="69" t="s">
        <v>105</v>
      </c>
      <c r="F70" s="70" t="s">
        <v>105</v>
      </c>
      <c r="G70" s="71">
        <f>SUMIFS(
INDEX('ETPT Format DDG'!$A:$ZZ,,IFERROR(MATCH(E70,'ETPT Format DDG'!$2:$2,0),MATCH(C70,'ETPT Format DDG'!$2:$2,0))),
INDEX( 'ETPT Format DDG'!$A:$ZZ,,MATCH("Fonction agrégat",'ETPT Format DDG'!2:2,0)),"M-TIT",
INDEX( 'ETPT Format DDG'!$A:$ZZ,,MATCH("Juridiction",'ETPT Format DDG'!2:2,0)),$A$3)</f>
      </c>
      <c r="H70" s="72">
        <f>IF(AND(OR(LEFT(C70,3)="12.",LEFT(E70,3)="12.",LEFT(E70,5)="CET &gt;",IFERROR(G70/$G$6,"")=0),NOT(AND(LEFT(E70,4)="12.8",IFERROR(G70/$G$6,"")&lt;&gt;0)),NOT(AND(LEFT(E70,5)="12.31",IFERROR(G70/$G$6,"")&lt;&gt;0)),NOT(AND(LEFT(E70,5)="12.32",IFERROR(G70/$G$6,"")&lt;&gt;0))),"", IFERROR(G70/$G$6,""))</f>
      </c>
      <c r="I70" s="73">
        <f>SUMIFS(
INDEX('ETPT Format DDG'!$A:$ZZ,,IFERROR(MATCH(E70,'ETPT Format DDG'!$2:$2,0),MATCH(C70,'ETPT Format DDG'!$2:$2,0))),
INDEX( 'ETPT Format DDG'!$A:$ZZ,,MATCH("Fonction agrégat",'ETPT Format DDG'!2:2,0)),"M-PLAC-ADD",
INDEX( 'ETPT Format DDG'!$A:$ZZ,,MATCH("Juridiction",'ETPT Format DDG'!2:2,0)),$A$3)</f>
      </c>
      <c r="J70" s="73">
        <f>SUMIFS(
INDEX('ETPT Format DDG'!$A:$ZZ,,IFERROR(MATCH(E70,'ETPT Format DDG'!$2:$2,0),MATCH(C70,'ETPT Format DDG'!$2:$2,0))),
INDEX( 'ETPT Format DDG'!$A:$ZZ,,MATCH("Fonction agrégat",'ETPT Format DDG'!2:2,0)),"M-PLAC-SUB",
INDEX( 'ETPT Format DDG'!$A:$ZZ,,MATCH("Juridiction",'ETPT Format DDG'!2:2,0)),$A$3)</f>
      </c>
      <c r="K70" s="73">
        <f>SUMIFS(
INDEX('ETPT Format DDG'!$A:$ZZ,,IFERROR(MATCH(E70,'ETPT Format DDG'!$2:$2,0),MATCH(C70,'ETPT Format DDG'!$2:$2,0))),
INDEX( 'ETPT Format DDG'!$A:$ZZ,,MATCH("Fonction agrégat",'ETPT Format DDG'!2:2,0)),"M-CONT",
INDEX( 'ETPT Format DDG'!$A:$ZZ,,MATCH("Juridiction",'ETPT Format DDG'!2:2,0)),$A$3,
INDEX( 'ETPT Format DDG'!$A:$ZZ,,MATCH("Catégorie",'ETPT Format DDG'!2:2,0)),"Magistrat")</f>
      </c>
      <c r="L70" s="71">
        <f>SUMIFS(
INDEX('ETPT Format DDG'!$A:$ZZ,,IFERROR(MATCH(E70,'ETPT Format DDG'!$2:$2,0),MATCH(C70,'ETPT Format DDG'!$2:$2,0))),
INDEX( 'ETPT Format DDG'!$A:$ZZ,,MATCH("Juridiction",'ETPT Format DDG'!2:2,0)),$A$3,
INDEX( 'ETPT Format DDG'!$A:$ZZ,,MATCH("Catégorie",'ETPT Format DDG'!2:2,0)),"Magistrat")</f>
      </c>
      <c r="M70" s="74">
        <f>IF(AND(OR(LEFT(C70,3)="12.",LEFT(E70,3)="12.",LEFT(E70,5)="CET &gt;", IFERROR(L70/$L$6,"")=0),NOT(AND(LEFT(E70,4)="12.8",IFERROR(G70/$G$6,"")&lt;&gt;0)),NOT(AND(LEFT(E70,5)="12.31",IFERROR(L70/$G$6,"")&lt;&gt;0)),NOT(AND(LEFT(E70,5)="12.32",IFERROR(L70/$G$6,"")&lt;&gt;0))),"", IFERROR(L70/$L$6,""))</f>
      </c>
      <c r="N70" s="73">
        <f>SUMIFS(
INDEX('ETPT Format DDG'!$A:$ZZ,,IFERROR(MATCH(E70,'ETPT Format DDG'!$2:$2,0),MATCH(C70,'ETPT Format DDG'!$2:$2,0))),
INDEX( 'ETPT Format DDG'!$A:$ZZ,,MATCH("Fonction agrégat",'ETPT Format DDG'!2:2,0)),"F-TIT",
INDEX( 'ETPT Format DDG'!$A:$ZZ,,MATCH("Juridiction",'ETPT Format DDG'!2:2,0)),$A$3)</f>
      </c>
      <c r="O70" s="72">
        <f>IF(AND(OR(LEFT(C70,3)="12.",LEFT(E70,3)="12.",LEFT(E70,5)="CET &gt;",IFERROR(N70/$N$6,"")=0),NOT(AND(LEFT(E70,4)="12.8",IFERROR(G70/$G$6,"")&lt;&gt;0)),NOT(AND(LEFT(E70,5)="12.31",IFERROR(N70/$G$6,"")&lt;&gt;0)),NOT(AND(LEFT(E70,5)="12.32",IFERROR(N70/$G$6,"")&lt;&gt;0))),"",IFERROR(N70/$N$6,""))</f>
      </c>
      <c r="P70" s="73">
        <f>SUMIFS(
INDEX('ETPT Format DDG'!$A:$FB,,IFERROR(MATCH(E70,'ETPT Format DDG'!$2:$2,0),MATCH(C70,'ETPT Format DDG'!$2:$2,0))),
INDEX( 'ETPT Format DDG'!$A:$ZZ,,MATCH("Fonction agrégat",'ETPT Format DDG'!2:2,0)),"F-PLAC-ADD",
INDEX( 'ETPT Format DDG'!$A:$ZZ,,MATCH("Juridiction",'ETPT Format DDG'!2:2,0)),$A$3)</f>
      </c>
      <c r="Q70" s="73">
        <f>SUMIFS(
INDEX('ETPT Format DDG'!$A:$FB,,IFERROR(MATCH(E70,'ETPT Format DDG'!$2:$2,0),MATCH(C70,'ETPT Format DDG'!$2:$2,0))),
INDEX( 'ETPT Format DDG'!$A:$ZZ,,MATCH("Fonction agrégat",'ETPT Format DDG'!2:2,0)),"F-PLAC-SUB",
INDEX( 'ETPT Format DDG'!$A:$ZZ,,MATCH("Juridiction",'ETPT Format DDG'!2:2,0)),$A$3)</f>
      </c>
      <c r="R70" s="73">
        <f>SUMIFS(
INDEX('ETPT Format DDG'!$A:$FB,,IFERROR(MATCH(E70,'ETPT Format DDG'!$2:$2,0),MATCH(C70,'ETPT Format DDG'!$2:$2,0))),
INDEX( 'ETPT Format DDG'!$A:$ZZ,,MATCH("Fonction agrégat",'ETPT Format DDG'!2:2,0)),"C",
'ETPT Format DDG'!$H:$H,"Greffe",
INDEX( 'ETPT Format DDG'!$A:$ZZ,,MATCH("Juridiction",'ETPT Format DDG'!2:2,0)),$A$3)</f>
      </c>
      <c r="S70" s="71">
        <f>SUMIFS(
INDEX('ETPT Format DDG'!$A:$FB,,IFERROR(MATCH(E70,'ETPT Format DDG'!$2:$2,0),MATCH(C70,'ETPT Format DDG'!$2:$2,0))),
INDEX( 'ETPT Format DDG'!$A:$ZZ,,MATCH("Catégorie",'ETPT Format DDG'!2:2,0)),"Greffe",
INDEX( 'ETPT Format DDG'!$A:$ZZ,,MATCH("Juridiction",'ETPT Format DDG'!2:2,0)),$A$3)</f>
      </c>
      <c r="T70" s="72">
        <f>IF(AND(OR(LEFT(C70,3)="12.",LEFT(E70,3)="12.",LEFT(E70,5)="CET &gt;",IFERROR(S70/$S$6,"")=0),NOT(AND(LEFT(E70,4)="12.8",IFERROR(G70/$G$6,"")&lt;&gt;0)),NOT(AND(LEFT(E70,5)="12.31",IFERROR(S70/$G$6,"")&lt;&gt;0)),NOT(AND(LEFT(E70,5)="12.32",IFERROR(S70/$G$6,"")&lt;&gt;0))),"", IFERROR(S70/$S$6,""))</f>
      </c>
      <c r="U70" s="71">
        <f>SUMIFS(
INDEX('ETPT Format DDG'!$A:$FB,,IFERROR(MATCH(E70,'ETPT Format DDG'!$2:$2,0),MATCH(C70,'ETPT Format DDG'!$2:$2,0))),
INDEX( 'ETPT Format DDG'!$A:$ZZ,,MATCH("Fonction agrégat",'ETPT Format DDG'!2:2,0)),"C",
INDEX( 'ETPT Format DDG'!$A:$ZZ,,MATCH("Juridiction",'ETPT Format DDG'!2:2,0)),$A$3,
INDEX( 'ETPT Format DDG'!$A:$ZZ,,MATCH("Catégorie",'ETPT Format DDG'!2:2,0)),"Autour du magistrat")</f>
      </c>
      <c r="V70" s="74">
        <f>IF(AND(OR(LEFT(C70,3)="12.",LEFT(E70,3)="12.",LEFT(E70,5)="CET &gt;",IFERROR(U70/$U$6,"")=0),NOT(AND(LEFT(E70,4)="12.8",IFERROR(G70/$G$6,"")&lt;&gt;0)),NOT(AND(LEFT(E70,5)="12.31",IFERROR(U70/$G$6,"")&lt;&gt;0)),NOT(AND(LEFT(E70,5)="12.32",IFERROR(U70/$G$6,"")&lt;&gt;0))),"", IFERROR(U70/$U$6,""))</f>
      </c>
    </row>
    <row r="71" ht="16" customHeight="1" spans="1:23" x14ac:dyDescent="0.25">
      <c r="A71" s="40"/>
      <c r="C71" s="68"/>
      <c r="D71" s="68"/>
      <c r="E71" s="69" t="s">
        <v>106</v>
      </c>
      <c r="F71" s="70" t="s">
        <v>106</v>
      </c>
      <c r="G71" s="71">
        <f>SUMIFS(
INDEX('ETPT Format DDG'!$A:$ZZ,,IFERROR(MATCH(E71,'ETPT Format DDG'!$2:$2,0),MATCH(C71,'ETPT Format DDG'!$2:$2,0))),
INDEX( 'ETPT Format DDG'!$A:$ZZ,,MATCH("Fonction agrégat",'ETPT Format DDG'!2:2,0)),"M-TIT",
INDEX( 'ETPT Format DDG'!$A:$ZZ,,MATCH("Juridiction",'ETPT Format DDG'!2:2,0)),$A$3)</f>
      </c>
      <c r="H71" s="72">
        <f>IF(AND(OR(LEFT(C71,3)="12.",LEFT(E71,3)="12.",LEFT(E71,5)="CET &gt;",IFERROR(G71/$G$6,"")=0),NOT(AND(LEFT(E71,4)="12.8",IFERROR(G71/$G$6,"")&lt;&gt;0)),NOT(AND(LEFT(E71,5)="12.31",IFERROR(G71/$G$6,"")&lt;&gt;0)),NOT(AND(LEFT(E71,5)="12.32",IFERROR(G71/$G$6,"")&lt;&gt;0))),"", IFERROR(G71/$G$6,""))</f>
      </c>
      <c r="I71" s="73">
        <f>SUMIFS(
INDEX('ETPT Format DDG'!$A:$ZZ,,IFERROR(MATCH(E71,'ETPT Format DDG'!$2:$2,0),MATCH(C71,'ETPT Format DDG'!$2:$2,0))),
INDEX( 'ETPT Format DDG'!$A:$ZZ,,MATCH("Fonction agrégat",'ETPT Format DDG'!2:2,0)),"M-PLAC-ADD",
INDEX( 'ETPT Format DDG'!$A:$ZZ,,MATCH("Juridiction",'ETPT Format DDG'!2:2,0)),$A$3)</f>
      </c>
      <c r="J71" s="73">
        <f>SUMIFS(
INDEX('ETPT Format DDG'!$A:$ZZ,,IFERROR(MATCH(E71,'ETPT Format DDG'!$2:$2,0),MATCH(C71,'ETPT Format DDG'!$2:$2,0))),
INDEX( 'ETPT Format DDG'!$A:$ZZ,,MATCH("Fonction agrégat",'ETPT Format DDG'!2:2,0)),"M-PLAC-SUB",
INDEX( 'ETPT Format DDG'!$A:$ZZ,,MATCH("Juridiction",'ETPT Format DDG'!2:2,0)),$A$3)</f>
      </c>
      <c r="K71" s="73">
        <f>SUMIFS(
INDEX('ETPT Format DDG'!$A:$ZZ,,IFERROR(MATCH(E71,'ETPT Format DDG'!$2:$2,0),MATCH(C71,'ETPT Format DDG'!$2:$2,0))),
INDEX( 'ETPT Format DDG'!$A:$ZZ,,MATCH("Fonction agrégat",'ETPT Format DDG'!2:2,0)),"M-CONT",
INDEX( 'ETPT Format DDG'!$A:$ZZ,,MATCH("Juridiction",'ETPT Format DDG'!2:2,0)),$A$3,
INDEX( 'ETPT Format DDG'!$A:$ZZ,,MATCH("Catégorie",'ETPT Format DDG'!2:2,0)),"Magistrat")</f>
      </c>
      <c r="L71" s="71">
        <f>SUMIFS(
INDEX('ETPT Format DDG'!$A:$ZZ,,IFERROR(MATCH(E71,'ETPT Format DDG'!$2:$2,0),MATCH(C71,'ETPT Format DDG'!$2:$2,0))),
INDEX( 'ETPT Format DDG'!$A:$ZZ,,MATCH("Juridiction",'ETPT Format DDG'!2:2,0)),$A$3,
INDEX( 'ETPT Format DDG'!$A:$ZZ,,MATCH("Catégorie",'ETPT Format DDG'!2:2,0)),"Magistrat")</f>
      </c>
      <c r="M71" s="74">
        <f>IF(AND(OR(LEFT(C71,3)="12.",LEFT(E71,3)="12.",LEFT(E71,5)="CET &gt;", IFERROR(L71/$L$6,"")=0),NOT(AND(LEFT(E71,4)="12.8",IFERROR(G71/$G$6,"")&lt;&gt;0)),NOT(AND(LEFT(E71,5)="12.31",IFERROR(L71/$G$6,"")&lt;&gt;0)),NOT(AND(LEFT(E71,5)="12.32",IFERROR(L71/$G$6,"")&lt;&gt;0))),"", IFERROR(L71/$L$6,""))</f>
      </c>
      <c r="N71" s="73">
        <f>SUMIFS(
INDEX('ETPT Format DDG'!$A:$ZZ,,IFERROR(MATCH(E71,'ETPT Format DDG'!$2:$2,0),MATCH(C71,'ETPT Format DDG'!$2:$2,0))),
INDEX( 'ETPT Format DDG'!$A:$ZZ,,MATCH("Fonction agrégat",'ETPT Format DDG'!2:2,0)),"F-TIT",
INDEX( 'ETPT Format DDG'!$A:$ZZ,,MATCH("Juridiction",'ETPT Format DDG'!2:2,0)),$A$3)</f>
      </c>
      <c r="O71" s="72">
        <f>IF(AND(OR(LEFT(C71,3)="12.",LEFT(E71,3)="12.",LEFT(E71,5)="CET &gt;",IFERROR(N71/$N$6,"")=0),NOT(AND(LEFT(E71,4)="12.8",IFERROR(G71/$G$6,"")&lt;&gt;0)),NOT(AND(LEFT(E71,5)="12.31",IFERROR(N71/$G$6,"")&lt;&gt;0)),NOT(AND(LEFT(E71,5)="12.32",IFERROR(N71/$G$6,"")&lt;&gt;0))),"",IFERROR(N71/$N$6,""))</f>
      </c>
      <c r="P71" s="73">
        <f>SUMIFS(
INDEX('ETPT Format DDG'!$A:$FB,,IFERROR(MATCH(E71,'ETPT Format DDG'!$2:$2,0),MATCH(C71,'ETPT Format DDG'!$2:$2,0))),
INDEX( 'ETPT Format DDG'!$A:$ZZ,,MATCH("Fonction agrégat",'ETPT Format DDG'!2:2,0)),"F-PLAC-ADD",
INDEX( 'ETPT Format DDG'!$A:$ZZ,,MATCH("Juridiction",'ETPT Format DDG'!2:2,0)),$A$3)</f>
      </c>
      <c r="Q71" s="73">
        <f>SUMIFS(
INDEX('ETPT Format DDG'!$A:$FB,,IFERROR(MATCH(E71,'ETPT Format DDG'!$2:$2,0),MATCH(C71,'ETPT Format DDG'!$2:$2,0))),
INDEX( 'ETPT Format DDG'!$A:$ZZ,,MATCH("Fonction agrégat",'ETPT Format DDG'!2:2,0)),"F-PLAC-SUB",
INDEX( 'ETPT Format DDG'!$A:$ZZ,,MATCH("Juridiction",'ETPT Format DDG'!2:2,0)),$A$3)</f>
      </c>
      <c r="R71" s="73">
        <f>SUMIFS(
INDEX('ETPT Format DDG'!$A:$FB,,IFERROR(MATCH(E71,'ETPT Format DDG'!$2:$2,0),MATCH(C71,'ETPT Format DDG'!$2:$2,0))),
INDEX( 'ETPT Format DDG'!$A:$ZZ,,MATCH("Fonction agrégat",'ETPT Format DDG'!2:2,0)),"C",
'ETPT Format DDG'!$H:$H,"Greffe",
INDEX( 'ETPT Format DDG'!$A:$ZZ,,MATCH("Juridiction",'ETPT Format DDG'!2:2,0)),$A$3)</f>
      </c>
      <c r="S71" s="71">
        <f>SUMIFS(
INDEX('ETPT Format DDG'!$A:$FB,,IFERROR(MATCH(E71,'ETPT Format DDG'!$2:$2,0),MATCH(C71,'ETPT Format DDG'!$2:$2,0))),
INDEX( 'ETPT Format DDG'!$A:$ZZ,,MATCH("Catégorie",'ETPT Format DDG'!2:2,0)),"Greffe",
INDEX( 'ETPT Format DDG'!$A:$ZZ,,MATCH("Juridiction",'ETPT Format DDG'!2:2,0)),$A$3)</f>
      </c>
      <c r="T71" s="72">
        <f>IF(AND(OR(LEFT(C71,3)="12.",LEFT(E71,3)="12.",LEFT(E71,5)="CET &gt;",IFERROR(S71/$S$6,"")=0),NOT(AND(LEFT(E71,4)="12.8",IFERROR(G71/$G$6,"")&lt;&gt;0)),NOT(AND(LEFT(E71,5)="12.31",IFERROR(S71/$G$6,"")&lt;&gt;0)),NOT(AND(LEFT(E71,5)="12.32",IFERROR(S71/$G$6,"")&lt;&gt;0))),"", IFERROR(S71/$S$6,""))</f>
      </c>
      <c r="U71" s="71">
        <f>SUMIFS(
INDEX('ETPT Format DDG'!$A:$FB,,IFERROR(MATCH(E71,'ETPT Format DDG'!$2:$2,0),MATCH(C71,'ETPT Format DDG'!$2:$2,0))),
INDEX( 'ETPT Format DDG'!$A:$ZZ,,MATCH("Fonction agrégat",'ETPT Format DDG'!2:2,0)),"C",
INDEX( 'ETPT Format DDG'!$A:$ZZ,,MATCH("Juridiction",'ETPT Format DDG'!2:2,0)),$A$3,
INDEX( 'ETPT Format DDG'!$A:$ZZ,,MATCH("Catégorie",'ETPT Format DDG'!2:2,0)),"Autour du magistrat")</f>
      </c>
      <c r="V71" s="74">
        <f>IF(AND(OR(LEFT(C71,3)="12.",LEFT(E71,3)="12.",LEFT(E71,5)="CET &gt;",IFERROR(U71/$U$6,"")=0),NOT(AND(LEFT(E71,4)="12.8",IFERROR(G71/$G$6,"")&lt;&gt;0)),NOT(AND(LEFT(E71,5)="12.31",IFERROR(U71/$G$6,"")&lt;&gt;0)),NOT(AND(LEFT(E71,5)="12.32",IFERROR(U71/$G$6,"")&lt;&gt;0))),"", IFERROR(U71/$U$6,""))</f>
      </c>
    </row>
    <row r="72" ht="16" customHeight="1" spans="1:23" x14ac:dyDescent="0.25">
      <c r="A72" s="40"/>
      <c r="C72" s="68"/>
      <c r="D72" s="68"/>
      <c r="E72" s="69" t="s">
        <v>107</v>
      </c>
      <c r="F72" s="70" t="s">
        <v>107</v>
      </c>
      <c r="G72" s="71">
        <f>SUMIFS(
INDEX('ETPT Format DDG'!$A:$ZZ,,IFERROR(MATCH(E72,'ETPT Format DDG'!$2:$2,0),MATCH(C72,'ETPT Format DDG'!$2:$2,0))),
INDEX( 'ETPT Format DDG'!$A:$ZZ,,MATCH("Fonction agrégat",'ETPT Format DDG'!2:2,0)),"M-TIT",
INDEX( 'ETPT Format DDG'!$A:$ZZ,,MATCH("Juridiction",'ETPT Format DDG'!2:2,0)),$A$3)</f>
      </c>
      <c r="H72" s="72">
        <f>IF(AND(OR(LEFT(C72,3)="12.",LEFT(E72,3)="12.",LEFT(E72,5)="CET &gt;",IFERROR(G72/$G$6,"")=0),NOT(AND(LEFT(E72,4)="12.8",IFERROR(G72/$G$6,"")&lt;&gt;0)),NOT(AND(LEFT(E72,5)="12.31",IFERROR(G72/$G$6,"")&lt;&gt;0)),NOT(AND(LEFT(E72,5)="12.32",IFERROR(G72/$G$6,"")&lt;&gt;0))),"", IFERROR(G72/$G$6,""))</f>
      </c>
      <c r="I72" s="73">
        <f>SUMIFS(
INDEX('ETPT Format DDG'!$A:$ZZ,,IFERROR(MATCH(E72,'ETPT Format DDG'!$2:$2,0),MATCH(C72,'ETPT Format DDG'!$2:$2,0))),
INDEX( 'ETPT Format DDG'!$A:$ZZ,,MATCH("Fonction agrégat",'ETPT Format DDG'!2:2,0)),"M-PLAC-ADD",
INDEX( 'ETPT Format DDG'!$A:$ZZ,,MATCH("Juridiction",'ETPT Format DDG'!2:2,0)),$A$3)</f>
      </c>
      <c r="J72" s="73">
        <f>SUMIFS(
INDEX('ETPT Format DDG'!$A:$ZZ,,IFERROR(MATCH(E72,'ETPT Format DDG'!$2:$2,0),MATCH(C72,'ETPT Format DDG'!$2:$2,0))),
INDEX( 'ETPT Format DDG'!$A:$ZZ,,MATCH("Fonction agrégat",'ETPT Format DDG'!2:2,0)),"M-PLAC-SUB",
INDEX( 'ETPT Format DDG'!$A:$ZZ,,MATCH("Juridiction",'ETPT Format DDG'!2:2,0)),$A$3)</f>
      </c>
      <c r="K72" s="73">
        <f>SUMIFS(
INDEX('ETPT Format DDG'!$A:$ZZ,,IFERROR(MATCH(E72,'ETPT Format DDG'!$2:$2,0),MATCH(C72,'ETPT Format DDG'!$2:$2,0))),
INDEX( 'ETPT Format DDG'!$A:$ZZ,,MATCH("Fonction agrégat",'ETPT Format DDG'!2:2,0)),"M-CONT",
INDEX( 'ETPT Format DDG'!$A:$ZZ,,MATCH("Juridiction",'ETPT Format DDG'!2:2,0)),$A$3,
INDEX( 'ETPT Format DDG'!$A:$ZZ,,MATCH("Catégorie",'ETPT Format DDG'!2:2,0)),"Magistrat")</f>
      </c>
      <c r="L72" s="71">
        <f>SUMIFS(
INDEX('ETPT Format DDG'!$A:$ZZ,,IFERROR(MATCH(E72,'ETPT Format DDG'!$2:$2,0),MATCH(C72,'ETPT Format DDG'!$2:$2,0))),
INDEX( 'ETPT Format DDG'!$A:$ZZ,,MATCH("Juridiction",'ETPT Format DDG'!2:2,0)),$A$3,
INDEX( 'ETPT Format DDG'!$A:$ZZ,,MATCH("Catégorie",'ETPT Format DDG'!2:2,0)),"Magistrat")</f>
      </c>
      <c r="M72" s="74">
        <f>IF(AND(OR(LEFT(C72,3)="12.",LEFT(E72,3)="12.",LEFT(E72,5)="CET &gt;", IFERROR(L72/$L$6,"")=0),NOT(AND(LEFT(E72,4)="12.8",IFERROR(G72/$G$6,"")&lt;&gt;0)),NOT(AND(LEFT(E72,5)="12.31",IFERROR(L72/$G$6,"")&lt;&gt;0)),NOT(AND(LEFT(E72,5)="12.32",IFERROR(L72/$G$6,"")&lt;&gt;0))),"", IFERROR(L72/$L$6,""))</f>
      </c>
      <c r="N72" s="73">
        <f>SUMIFS(
INDEX('ETPT Format DDG'!$A:$ZZ,,IFERROR(MATCH(E72,'ETPT Format DDG'!$2:$2,0),MATCH(C72,'ETPT Format DDG'!$2:$2,0))),
INDEX( 'ETPT Format DDG'!$A:$ZZ,,MATCH("Fonction agrégat",'ETPT Format DDG'!2:2,0)),"F-TIT",
INDEX( 'ETPT Format DDG'!$A:$ZZ,,MATCH("Juridiction",'ETPT Format DDG'!2:2,0)),$A$3)</f>
      </c>
      <c r="O72" s="72">
        <f>IF(AND(OR(LEFT(C72,3)="12.",LEFT(E72,3)="12.",LEFT(E72,5)="CET &gt;",IFERROR(N72/$N$6,"")=0),NOT(AND(LEFT(E72,4)="12.8",IFERROR(G72/$G$6,"")&lt;&gt;0)),NOT(AND(LEFT(E72,5)="12.31",IFERROR(N72/$G$6,"")&lt;&gt;0)),NOT(AND(LEFT(E72,5)="12.32",IFERROR(N72/$G$6,"")&lt;&gt;0))),"",IFERROR(N72/$N$6,""))</f>
      </c>
      <c r="P72" s="73">
        <f>SUMIFS(
INDEX('ETPT Format DDG'!$A:$FB,,IFERROR(MATCH(E72,'ETPT Format DDG'!$2:$2,0),MATCH(C72,'ETPT Format DDG'!$2:$2,0))),
INDEX( 'ETPT Format DDG'!$A:$ZZ,,MATCH("Fonction agrégat",'ETPT Format DDG'!2:2,0)),"F-PLAC-ADD",
INDEX( 'ETPT Format DDG'!$A:$ZZ,,MATCH("Juridiction",'ETPT Format DDG'!2:2,0)),$A$3)</f>
      </c>
      <c r="Q72" s="73">
        <f>SUMIFS(
INDEX('ETPT Format DDG'!$A:$FB,,IFERROR(MATCH(E72,'ETPT Format DDG'!$2:$2,0),MATCH(C72,'ETPT Format DDG'!$2:$2,0))),
INDEX( 'ETPT Format DDG'!$A:$ZZ,,MATCH("Fonction agrégat",'ETPT Format DDG'!2:2,0)),"F-PLAC-SUB",
INDEX( 'ETPT Format DDG'!$A:$ZZ,,MATCH("Juridiction",'ETPT Format DDG'!2:2,0)),$A$3)</f>
      </c>
      <c r="R72" s="73">
        <f>SUMIFS(
INDEX('ETPT Format DDG'!$A:$FB,,IFERROR(MATCH(E72,'ETPT Format DDG'!$2:$2,0),MATCH(C72,'ETPT Format DDG'!$2:$2,0))),
INDEX( 'ETPT Format DDG'!$A:$ZZ,,MATCH("Fonction agrégat",'ETPT Format DDG'!2:2,0)),"C",
'ETPT Format DDG'!$H:$H,"Greffe",
INDEX( 'ETPT Format DDG'!$A:$ZZ,,MATCH("Juridiction",'ETPT Format DDG'!2:2,0)),$A$3)</f>
      </c>
      <c r="S72" s="71">
        <f>SUMIFS(
INDEX('ETPT Format DDG'!$A:$FB,,IFERROR(MATCH(E72,'ETPT Format DDG'!$2:$2,0),MATCH(C72,'ETPT Format DDG'!$2:$2,0))),
INDEX( 'ETPT Format DDG'!$A:$ZZ,,MATCH("Catégorie",'ETPT Format DDG'!2:2,0)),"Greffe",
INDEX( 'ETPT Format DDG'!$A:$ZZ,,MATCH("Juridiction",'ETPT Format DDG'!2:2,0)),$A$3)</f>
      </c>
      <c r="T72" s="72">
        <f>IF(AND(OR(LEFT(C72,3)="12.",LEFT(E72,3)="12.",LEFT(E72,5)="CET &gt;",IFERROR(S72/$S$6,"")=0),NOT(AND(LEFT(E72,4)="12.8",IFERROR(G72/$G$6,"")&lt;&gt;0)),NOT(AND(LEFT(E72,5)="12.31",IFERROR(S72/$G$6,"")&lt;&gt;0)),NOT(AND(LEFT(E72,5)="12.32",IFERROR(S72/$G$6,"")&lt;&gt;0))),"", IFERROR(S72/$S$6,""))</f>
      </c>
      <c r="U72" s="71">
        <f>SUMIFS(
INDEX('ETPT Format DDG'!$A:$FB,,IFERROR(MATCH(E72,'ETPT Format DDG'!$2:$2,0),MATCH(C72,'ETPT Format DDG'!$2:$2,0))),
INDEX( 'ETPT Format DDG'!$A:$ZZ,,MATCH("Fonction agrégat",'ETPT Format DDG'!2:2,0)),"C",
INDEX( 'ETPT Format DDG'!$A:$ZZ,,MATCH("Juridiction",'ETPT Format DDG'!2:2,0)),$A$3,
INDEX( 'ETPT Format DDG'!$A:$ZZ,,MATCH("Catégorie",'ETPT Format DDG'!2:2,0)),"Autour du magistrat")</f>
      </c>
      <c r="V72" s="74">
        <f>IF(AND(OR(LEFT(C72,3)="12.",LEFT(E72,3)="12.",LEFT(E72,5)="CET &gt;",IFERROR(U72/$U$6,"")=0),NOT(AND(LEFT(E72,4)="12.8",IFERROR(G72/$G$6,"")&lt;&gt;0)),NOT(AND(LEFT(E72,5)="12.31",IFERROR(U72/$G$6,"")&lt;&gt;0)),NOT(AND(LEFT(E72,5)="12.32",IFERROR(U72/$G$6,"")&lt;&gt;0))),"", IFERROR(U72/$U$6,""))</f>
      </c>
    </row>
    <row r="73" ht="16" customHeight="1" spans="1:23" x14ac:dyDescent="0.25">
      <c r="A73" s="40"/>
      <c r="C73" s="68"/>
      <c r="D73" s="68"/>
      <c r="E73" s="69" t="s">
        <v>108</v>
      </c>
      <c r="F73" s="70" t="s">
        <v>108</v>
      </c>
      <c r="G73" s="71">
        <f>SUMIFS(
INDEX('ETPT Format DDG'!$A:$ZZ,,IFERROR(MATCH(E73,'ETPT Format DDG'!$2:$2,0),MATCH(C73,'ETPT Format DDG'!$2:$2,0))),
INDEX( 'ETPT Format DDG'!$A:$ZZ,,MATCH("Fonction agrégat",'ETPT Format DDG'!2:2,0)),"M-TIT",
INDEX( 'ETPT Format DDG'!$A:$ZZ,,MATCH("Juridiction",'ETPT Format DDG'!2:2,0)),$A$3)</f>
      </c>
      <c r="H73" s="72">
        <f>IF(AND(OR(LEFT(C73,3)="12.",LEFT(E73,3)="12.",LEFT(E73,5)="CET &gt;",IFERROR(G73/$G$6,"")=0),NOT(AND(LEFT(E73,4)="12.8",IFERROR(G73/$G$6,"")&lt;&gt;0)),NOT(AND(LEFT(E73,5)="12.31",IFERROR(G73/$G$6,"")&lt;&gt;0)),NOT(AND(LEFT(E73,5)="12.32",IFERROR(G73/$G$6,"")&lt;&gt;0))),"", IFERROR(G73/$G$6,""))</f>
      </c>
      <c r="I73" s="73">
        <f>SUMIFS(
INDEX('ETPT Format DDG'!$A:$ZZ,,IFERROR(MATCH(E73,'ETPT Format DDG'!$2:$2,0),MATCH(C73,'ETPT Format DDG'!$2:$2,0))),
INDEX( 'ETPT Format DDG'!$A:$ZZ,,MATCH("Fonction agrégat",'ETPT Format DDG'!2:2,0)),"M-PLAC-ADD",
INDEX( 'ETPT Format DDG'!$A:$ZZ,,MATCH("Juridiction",'ETPT Format DDG'!2:2,0)),$A$3)</f>
      </c>
      <c r="J73" s="73">
        <f>SUMIFS(
INDEX('ETPT Format DDG'!$A:$ZZ,,IFERROR(MATCH(E73,'ETPT Format DDG'!$2:$2,0),MATCH(C73,'ETPT Format DDG'!$2:$2,0))),
INDEX( 'ETPT Format DDG'!$A:$ZZ,,MATCH("Fonction agrégat",'ETPT Format DDG'!2:2,0)),"M-PLAC-SUB",
INDEX( 'ETPT Format DDG'!$A:$ZZ,,MATCH("Juridiction",'ETPT Format DDG'!2:2,0)),$A$3)</f>
      </c>
      <c r="K73" s="73">
        <f>SUMIFS(
INDEX('ETPT Format DDG'!$A:$ZZ,,IFERROR(MATCH(E73,'ETPT Format DDG'!$2:$2,0),MATCH(C73,'ETPT Format DDG'!$2:$2,0))),
INDEX( 'ETPT Format DDG'!$A:$ZZ,,MATCH("Fonction agrégat",'ETPT Format DDG'!2:2,0)),"M-CONT",
INDEX( 'ETPT Format DDG'!$A:$ZZ,,MATCH("Juridiction",'ETPT Format DDG'!2:2,0)),$A$3,
INDEX( 'ETPT Format DDG'!$A:$ZZ,,MATCH("Catégorie",'ETPT Format DDG'!2:2,0)),"Magistrat")</f>
      </c>
      <c r="L73" s="71">
        <f>SUMIFS(
INDEX('ETPT Format DDG'!$A:$ZZ,,IFERROR(MATCH(E73,'ETPT Format DDG'!$2:$2,0),MATCH(C73,'ETPT Format DDG'!$2:$2,0))),
INDEX( 'ETPT Format DDG'!$A:$ZZ,,MATCH("Juridiction",'ETPT Format DDG'!2:2,0)),$A$3,
INDEX( 'ETPT Format DDG'!$A:$ZZ,,MATCH("Catégorie",'ETPT Format DDG'!2:2,0)),"Magistrat")</f>
      </c>
      <c r="M73" s="74">
        <f>IF(AND(OR(LEFT(C73,3)="12.",LEFT(E73,3)="12.",LEFT(E73,5)="CET &gt;", IFERROR(L73/$L$6,"")=0),NOT(AND(LEFT(E73,4)="12.8",IFERROR(G73/$G$6,"")&lt;&gt;0)),NOT(AND(LEFT(E73,5)="12.31",IFERROR(L73/$G$6,"")&lt;&gt;0)),NOT(AND(LEFT(E73,5)="12.32",IFERROR(L73/$G$6,"")&lt;&gt;0))),"", IFERROR(L73/$L$6,""))</f>
      </c>
      <c r="N73" s="73">
        <f>SUMIFS(
INDEX('ETPT Format DDG'!$A:$ZZ,,IFERROR(MATCH(E73,'ETPT Format DDG'!$2:$2,0),MATCH(C73,'ETPT Format DDG'!$2:$2,0))),
INDEX( 'ETPT Format DDG'!$A:$ZZ,,MATCH("Fonction agrégat",'ETPT Format DDG'!2:2,0)),"F-TIT",
INDEX( 'ETPT Format DDG'!$A:$ZZ,,MATCH("Juridiction",'ETPT Format DDG'!2:2,0)),$A$3)</f>
      </c>
      <c r="O73" s="72">
        <f>IF(AND(OR(LEFT(C73,3)="12.",LEFT(E73,3)="12.",LEFT(E73,5)="CET &gt;",IFERROR(N73/$N$6,"")=0),NOT(AND(LEFT(E73,4)="12.8",IFERROR(G73/$G$6,"")&lt;&gt;0)),NOT(AND(LEFT(E73,5)="12.31",IFERROR(N73/$G$6,"")&lt;&gt;0)),NOT(AND(LEFT(E73,5)="12.32",IFERROR(N73/$G$6,"")&lt;&gt;0))),"",IFERROR(N73/$N$6,""))</f>
      </c>
      <c r="P73" s="73">
        <f>SUMIFS(
INDEX('ETPT Format DDG'!$A:$FB,,IFERROR(MATCH(E73,'ETPT Format DDG'!$2:$2,0),MATCH(C73,'ETPT Format DDG'!$2:$2,0))),
INDEX( 'ETPT Format DDG'!$A:$ZZ,,MATCH("Fonction agrégat",'ETPT Format DDG'!2:2,0)),"F-PLAC-ADD",
INDEX( 'ETPT Format DDG'!$A:$ZZ,,MATCH("Juridiction",'ETPT Format DDG'!2:2,0)),$A$3)</f>
      </c>
      <c r="Q73" s="73">
        <f>SUMIFS(
INDEX('ETPT Format DDG'!$A:$FB,,IFERROR(MATCH(E73,'ETPT Format DDG'!$2:$2,0),MATCH(C73,'ETPT Format DDG'!$2:$2,0))),
INDEX( 'ETPT Format DDG'!$A:$ZZ,,MATCH("Fonction agrégat",'ETPT Format DDG'!2:2,0)),"F-PLAC-SUB",
INDEX( 'ETPT Format DDG'!$A:$ZZ,,MATCH("Juridiction",'ETPT Format DDG'!2:2,0)),$A$3)</f>
      </c>
      <c r="R73" s="73">
        <f>SUMIFS(
INDEX('ETPT Format DDG'!$A:$FB,,IFERROR(MATCH(E73,'ETPT Format DDG'!$2:$2,0),MATCH(C73,'ETPT Format DDG'!$2:$2,0))),
INDEX( 'ETPT Format DDG'!$A:$ZZ,,MATCH("Fonction agrégat",'ETPT Format DDG'!2:2,0)),"C",
'ETPT Format DDG'!$H:$H,"Greffe",
INDEX( 'ETPT Format DDG'!$A:$ZZ,,MATCH("Juridiction",'ETPT Format DDG'!2:2,0)),$A$3)</f>
      </c>
      <c r="S73" s="71">
        <f>SUMIFS(
INDEX('ETPT Format DDG'!$A:$FB,,IFERROR(MATCH(E73,'ETPT Format DDG'!$2:$2,0),MATCH(C73,'ETPT Format DDG'!$2:$2,0))),
INDEX( 'ETPT Format DDG'!$A:$ZZ,,MATCH("Catégorie",'ETPT Format DDG'!2:2,0)),"Greffe",
INDEX( 'ETPT Format DDG'!$A:$ZZ,,MATCH("Juridiction",'ETPT Format DDG'!2:2,0)),$A$3)</f>
      </c>
      <c r="T73" s="72">
        <f>IF(AND(OR(LEFT(C73,3)="12.",LEFT(E73,3)="12.",LEFT(E73,5)="CET &gt;",IFERROR(S73/$S$6,"")=0),NOT(AND(LEFT(E73,4)="12.8",IFERROR(G73/$G$6,"")&lt;&gt;0)),NOT(AND(LEFT(E73,5)="12.31",IFERROR(S73/$G$6,"")&lt;&gt;0)),NOT(AND(LEFT(E73,5)="12.32",IFERROR(S73/$G$6,"")&lt;&gt;0))),"", IFERROR(S73/$S$6,""))</f>
      </c>
      <c r="U73" s="71">
        <f>SUMIFS(
INDEX('ETPT Format DDG'!$A:$FB,,IFERROR(MATCH(E73,'ETPT Format DDG'!$2:$2,0),MATCH(C73,'ETPT Format DDG'!$2:$2,0))),
INDEX( 'ETPT Format DDG'!$A:$ZZ,,MATCH("Fonction agrégat",'ETPT Format DDG'!2:2,0)),"C",
INDEX( 'ETPT Format DDG'!$A:$ZZ,,MATCH("Juridiction",'ETPT Format DDG'!2:2,0)),$A$3,
INDEX( 'ETPT Format DDG'!$A:$ZZ,,MATCH("Catégorie",'ETPT Format DDG'!2:2,0)),"Autour du magistrat")</f>
      </c>
      <c r="V73" s="74">
        <f>IF(AND(OR(LEFT(C73,3)="12.",LEFT(E73,3)="12.",LEFT(E73,5)="CET &gt;",IFERROR(U73/$U$6,"")=0),NOT(AND(LEFT(E73,4)="12.8",IFERROR(G73/$G$6,"")&lt;&gt;0)),NOT(AND(LEFT(E73,5)="12.31",IFERROR(U73/$G$6,"")&lt;&gt;0)),NOT(AND(LEFT(E73,5)="12.32",IFERROR(U73/$G$6,"")&lt;&gt;0))),"", IFERROR(U73/$U$6,""))</f>
      </c>
    </row>
    <row r="74" ht="16" customHeight="1" spans="1:23" x14ac:dyDescent="0.25">
      <c r="A74" s="40"/>
      <c r="C74" s="68"/>
      <c r="D74" s="68"/>
      <c r="E74" s="69" t="s">
        <v>109</v>
      </c>
      <c r="F74" s="70" t="s">
        <v>109</v>
      </c>
      <c r="G74" s="71">
        <f>SUMIFS(
INDEX('ETPT Format DDG'!$A:$ZZ,,IFERROR(MATCH(E74,'ETPT Format DDG'!$2:$2,0),MATCH(C74,'ETPT Format DDG'!$2:$2,0))),
INDEX( 'ETPT Format DDG'!$A:$ZZ,,MATCH("Fonction agrégat",'ETPT Format DDG'!2:2,0)),"M-TIT",
INDEX( 'ETPT Format DDG'!$A:$ZZ,,MATCH("Juridiction",'ETPT Format DDG'!2:2,0)),$A$3)</f>
      </c>
      <c r="H74" s="72">
        <f>IF(AND(OR(LEFT(C74,3)="12.",LEFT(E74,3)="12.",LEFT(E74,5)="CET &gt;",IFERROR(G74/$G$6,"")=0),NOT(AND(LEFT(E74,4)="12.8",IFERROR(G74/$G$6,"")&lt;&gt;0)),NOT(AND(LEFT(E74,5)="12.31",IFERROR(G74/$G$6,"")&lt;&gt;0)),NOT(AND(LEFT(E74,5)="12.32",IFERROR(G74/$G$6,"")&lt;&gt;0))),"", IFERROR(G74/$G$6,""))</f>
      </c>
      <c r="I74" s="73">
        <f>SUMIFS(
INDEX('ETPT Format DDG'!$A:$ZZ,,IFERROR(MATCH(E74,'ETPT Format DDG'!$2:$2,0),MATCH(C74,'ETPT Format DDG'!$2:$2,0))),
INDEX( 'ETPT Format DDG'!$A:$ZZ,,MATCH("Fonction agrégat",'ETPT Format DDG'!2:2,0)),"M-PLAC-ADD",
INDEX( 'ETPT Format DDG'!$A:$ZZ,,MATCH("Juridiction",'ETPT Format DDG'!2:2,0)),$A$3)</f>
      </c>
      <c r="J74" s="73">
        <f>SUMIFS(
INDEX('ETPT Format DDG'!$A:$ZZ,,IFERROR(MATCH(E74,'ETPT Format DDG'!$2:$2,0),MATCH(C74,'ETPT Format DDG'!$2:$2,0))),
INDEX( 'ETPT Format DDG'!$A:$ZZ,,MATCH("Fonction agrégat",'ETPT Format DDG'!2:2,0)),"M-PLAC-SUB",
INDEX( 'ETPT Format DDG'!$A:$ZZ,,MATCH("Juridiction",'ETPT Format DDG'!2:2,0)),$A$3)</f>
      </c>
      <c r="K74" s="73">
        <f>SUMIFS(
INDEX('ETPT Format DDG'!$A:$ZZ,,IFERROR(MATCH(E74,'ETPT Format DDG'!$2:$2,0),MATCH(C74,'ETPT Format DDG'!$2:$2,0))),
INDEX( 'ETPT Format DDG'!$A:$ZZ,,MATCH("Fonction agrégat",'ETPT Format DDG'!2:2,0)),"M-CONT",
INDEX( 'ETPT Format DDG'!$A:$ZZ,,MATCH("Juridiction",'ETPT Format DDG'!2:2,0)),$A$3,
INDEX( 'ETPT Format DDG'!$A:$ZZ,,MATCH("Catégorie",'ETPT Format DDG'!2:2,0)),"Magistrat")</f>
      </c>
      <c r="L74" s="71">
        <f>SUMIFS(
INDEX('ETPT Format DDG'!$A:$ZZ,,IFERROR(MATCH(E74,'ETPT Format DDG'!$2:$2,0),MATCH(C74,'ETPT Format DDG'!$2:$2,0))),
INDEX( 'ETPT Format DDG'!$A:$ZZ,,MATCH("Juridiction",'ETPT Format DDG'!2:2,0)),$A$3,
INDEX( 'ETPT Format DDG'!$A:$ZZ,,MATCH("Catégorie",'ETPT Format DDG'!2:2,0)),"Magistrat")</f>
      </c>
      <c r="M74" s="74">
        <f>IF(AND(OR(LEFT(C74,3)="12.",LEFT(E74,3)="12.",LEFT(E74,5)="CET &gt;", IFERROR(L74/$L$6,"")=0),NOT(AND(LEFT(E74,4)="12.8",IFERROR(G74/$G$6,"")&lt;&gt;0)),NOT(AND(LEFT(E74,5)="12.31",IFERROR(L74/$G$6,"")&lt;&gt;0)),NOT(AND(LEFT(E74,5)="12.32",IFERROR(L74/$G$6,"")&lt;&gt;0))),"", IFERROR(L74/$L$6,""))</f>
      </c>
      <c r="N74" s="73">
        <f>SUMIFS(
INDEX('ETPT Format DDG'!$A:$ZZ,,IFERROR(MATCH(E74,'ETPT Format DDG'!$2:$2,0),MATCH(C74,'ETPT Format DDG'!$2:$2,0))),
INDEX( 'ETPT Format DDG'!$A:$ZZ,,MATCH("Fonction agrégat",'ETPT Format DDG'!2:2,0)),"F-TIT",
INDEX( 'ETPT Format DDG'!$A:$ZZ,,MATCH("Juridiction",'ETPT Format DDG'!2:2,0)),$A$3)</f>
      </c>
      <c r="O74" s="72">
        <f>IF(AND(OR(LEFT(C74,3)="12.",LEFT(E74,3)="12.",LEFT(E74,5)="CET &gt;",IFERROR(N74/$N$6,"")=0),NOT(AND(LEFT(E74,4)="12.8",IFERROR(G74/$G$6,"")&lt;&gt;0)),NOT(AND(LEFT(E74,5)="12.31",IFERROR(N74/$G$6,"")&lt;&gt;0)),NOT(AND(LEFT(E74,5)="12.32",IFERROR(N74/$G$6,"")&lt;&gt;0))),"",IFERROR(N74/$N$6,""))</f>
      </c>
      <c r="P74" s="73">
        <f>SUMIFS(
INDEX('ETPT Format DDG'!$A:$FB,,IFERROR(MATCH(E74,'ETPT Format DDG'!$2:$2,0),MATCH(C74,'ETPT Format DDG'!$2:$2,0))),
INDEX( 'ETPT Format DDG'!$A:$ZZ,,MATCH("Fonction agrégat",'ETPT Format DDG'!2:2,0)),"F-PLAC-ADD",
INDEX( 'ETPT Format DDG'!$A:$ZZ,,MATCH("Juridiction",'ETPT Format DDG'!2:2,0)),$A$3)</f>
      </c>
      <c r="Q74" s="73">
        <f>SUMIFS(
INDEX('ETPT Format DDG'!$A:$FB,,IFERROR(MATCH(E74,'ETPT Format DDG'!$2:$2,0),MATCH(C74,'ETPT Format DDG'!$2:$2,0))),
INDEX( 'ETPT Format DDG'!$A:$ZZ,,MATCH("Fonction agrégat",'ETPT Format DDG'!2:2,0)),"F-PLAC-SUB",
INDEX( 'ETPT Format DDG'!$A:$ZZ,,MATCH("Juridiction",'ETPT Format DDG'!2:2,0)),$A$3)</f>
      </c>
      <c r="R74" s="73">
        <f>SUMIFS(
INDEX('ETPT Format DDG'!$A:$FB,,IFERROR(MATCH(E74,'ETPT Format DDG'!$2:$2,0),MATCH(C74,'ETPT Format DDG'!$2:$2,0))),
INDEX( 'ETPT Format DDG'!$A:$ZZ,,MATCH("Fonction agrégat",'ETPT Format DDG'!2:2,0)),"C",
'ETPT Format DDG'!$H:$H,"Greffe",
INDEX( 'ETPT Format DDG'!$A:$ZZ,,MATCH("Juridiction",'ETPT Format DDG'!2:2,0)),$A$3)</f>
      </c>
      <c r="S74" s="71">
        <f>SUMIFS(
INDEX('ETPT Format DDG'!$A:$FB,,IFERROR(MATCH(E74,'ETPT Format DDG'!$2:$2,0),MATCH(C74,'ETPT Format DDG'!$2:$2,0))),
INDEX( 'ETPT Format DDG'!$A:$ZZ,,MATCH("Catégorie",'ETPT Format DDG'!2:2,0)),"Greffe",
INDEX( 'ETPT Format DDG'!$A:$ZZ,,MATCH("Juridiction",'ETPT Format DDG'!2:2,0)),$A$3)</f>
      </c>
      <c r="T74" s="72">
        <f>IF(AND(OR(LEFT(C74,3)="12.",LEFT(E74,3)="12.",LEFT(E74,5)="CET &gt;",IFERROR(S74/$S$6,"")=0),NOT(AND(LEFT(E74,4)="12.8",IFERROR(G74/$G$6,"")&lt;&gt;0)),NOT(AND(LEFT(E74,5)="12.31",IFERROR(S74/$G$6,"")&lt;&gt;0)),NOT(AND(LEFT(E74,5)="12.32",IFERROR(S74/$G$6,"")&lt;&gt;0))),"", IFERROR(S74/$S$6,""))</f>
      </c>
      <c r="U74" s="71">
        <f>SUMIFS(
INDEX('ETPT Format DDG'!$A:$FB,,IFERROR(MATCH(E74,'ETPT Format DDG'!$2:$2,0),MATCH(C74,'ETPT Format DDG'!$2:$2,0))),
INDEX( 'ETPT Format DDG'!$A:$ZZ,,MATCH("Fonction agrégat",'ETPT Format DDG'!2:2,0)),"C",
INDEX( 'ETPT Format DDG'!$A:$ZZ,,MATCH("Juridiction",'ETPT Format DDG'!2:2,0)),$A$3,
INDEX( 'ETPT Format DDG'!$A:$ZZ,,MATCH("Catégorie",'ETPT Format DDG'!2:2,0)),"Autour du magistrat")</f>
      </c>
      <c r="V74" s="74">
        <f>IF(AND(OR(LEFT(C74,3)="12.",LEFT(E74,3)="12.",LEFT(E74,5)="CET &gt;",IFERROR(U74/$U$6,"")=0),NOT(AND(LEFT(E74,4)="12.8",IFERROR(G74/$G$6,"")&lt;&gt;0)),NOT(AND(LEFT(E74,5)="12.31",IFERROR(U74/$G$6,"")&lt;&gt;0)),NOT(AND(LEFT(E74,5)="12.32",IFERROR(U74/$G$6,"")&lt;&gt;0))),"", IFERROR(U74/$U$6,""))</f>
      </c>
    </row>
    <row r="75" ht="16" customHeight="1" spans="1:23" x14ac:dyDescent="0.25">
      <c r="A75" s="40"/>
      <c r="C75" s="68"/>
      <c r="D75" s="68"/>
      <c r="E75" s="69" t="s">
        <v>110</v>
      </c>
      <c r="F75" s="70" t="s">
        <v>110</v>
      </c>
      <c r="G75" s="71">
        <f>SUMIFS(
INDEX('ETPT Format DDG'!$A:$ZZ,,IFERROR(MATCH(E75,'ETPT Format DDG'!$2:$2,0),MATCH(C75,'ETPT Format DDG'!$2:$2,0))),
INDEX( 'ETPT Format DDG'!$A:$ZZ,,MATCH("Fonction agrégat",'ETPT Format DDG'!2:2,0)),"M-TIT",
INDEX( 'ETPT Format DDG'!$A:$ZZ,,MATCH("Juridiction",'ETPT Format DDG'!2:2,0)),$A$3)</f>
      </c>
      <c r="H75" s="72">
        <f>IF(AND(OR(LEFT(C75,3)="12.",LEFT(E75,3)="12.",LEFT(E75,5)="CET &gt;",IFERROR(G75/$G$6,"")=0),NOT(AND(LEFT(E75,4)="12.8",IFERROR(G75/$G$6,"")&lt;&gt;0)),NOT(AND(LEFT(E75,5)="12.31",IFERROR(G75/$G$6,"")&lt;&gt;0)),NOT(AND(LEFT(E75,5)="12.32",IFERROR(G75/$G$6,"")&lt;&gt;0))),"", IFERROR(G75/$G$6,""))</f>
      </c>
      <c r="I75" s="73">
        <f>SUMIFS(
INDEX('ETPT Format DDG'!$A:$ZZ,,IFERROR(MATCH(E75,'ETPT Format DDG'!$2:$2,0),MATCH(C75,'ETPT Format DDG'!$2:$2,0))),
INDEX( 'ETPT Format DDG'!$A:$ZZ,,MATCH("Fonction agrégat",'ETPT Format DDG'!2:2,0)),"M-PLAC-ADD",
INDEX( 'ETPT Format DDG'!$A:$ZZ,,MATCH("Juridiction",'ETPT Format DDG'!2:2,0)),$A$3)</f>
      </c>
      <c r="J75" s="73">
        <f>SUMIFS(
INDEX('ETPT Format DDG'!$A:$ZZ,,IFERROR(MATCH(E75,'ETPT Format DDG'!$2:$2,0),MATCH(C75,'ETPT Format DDG'!$2:$2,0))),
INDEX( 'ETPT Format DDG'!$A:$ZZ,,MATCH("Fonction agrégat",'ETPT Format DDG'!2:2,0)),"M-PLAC-SUB",
INDEX( 'ETPT Format DDG'!$A:$ZZ,,MATCH("Juridiction",'ETPT Format DDG'!2:2,0)),$A$3)</f>
      </c>
      <c r="K75" s="73">
        <f>SUMIFS(
INDEX('ETPT Format DDG'!$A:$ZZ,,IFERROR(MATCH(E75,'ETPT Format DDG'!$2:$2,0),MATCH(C75,'ETPT Format DDG'!$2:$2,0))),
INDEX( 'ETPT Format DDG'!$A:$ZZ,,MATCH("Fonction agrégat",'ETPT Format DDG'!2:2,0)),"M-CONT",
INDEX( 'ETPT Format DDG'!$A:$ZZ,,MATCH("Juridiction",'ETPT Format DDG'!2:2,0)),$A$3,
INDEX( 'ETPT Format DDG'!$A:$ZZ,,MATCH("Catégorie",'ETPT Format DDG'!2:2,0)),"Magistrat")</f>
      </c>
      <c r="L75" s="71">
        <f>SUMIFS(
INDEX('ETPT Format DDG'!$A:$ZZ,,IFERROR(MATCH(E75,'ETPT Format DDG'!$2:$2,0),MATCH(C75,'ETPT Format DDG'!$2:$2,0))),
INDEX( 'ETPT Format DDG'!$A:$ZZ,,MATCH("Juridiction",'ETPT Format DDG'!2:2,0)),$A$3,
INDEX( 'ETPT Format DDG'!$A:$ZZ,,MATCH("Catégorie",'ETPT Format DDG'!2:2,0)),"Magistrat")</f>
      </c>
      <c r="M75" s="74">
        <f>IF(AND(OR(LEFT(C75,3)="12.",LEFT(E75,3)="12.",LEFT(E75,5)="CET &gt;", IFERROR(L75/$L$6,"")=0),NOT(AND(LEFT(E75,4)="12.8",IFERROR(G75/$G$6,"")&lt;&gt;0)),NOT(AND(LEFT(E75,5)="12.31",IFERROR(L75/$G$6,"")&lt;&gt;0)),NOT(AND(LEFT(E75,5)="12.32",IFERROR(L75/$G$6,"")&lt;&gt;0))),"", IFERROR(L75/$L$6,""))</f>
      </c>
      <c r="N75" s="73">
        <f>SUMIFS(
INDEX('ETPT Format DDG'!$A:$ZZ,,IFERROR(MATCH(E75,'ETPT Format DDG'!$2:$2,0),MATCH(C75,'ETPT Format DDG'!$2:$2,0))),
INDEX( 'ETPT Format DDG'!$A:$ZZ,,MATCH("Fonction agrégat",'ETPT Format DDG'!2:2,0)),"F-TIT",
INDEX( 'ETPT Format DDG'!$A:$ZZ,,MATCH("Juridiction",'ETPT Format DDG'!2:2,0)),$A$3)</f>
      </c>
      <c r="O75" s="72">
        <f>IF(AND(OR(LEFT(C75,3)="12.",LEFT(E75,3)="12.",LEFT(E75,5)="CET &gt;",IFERROR(N75/$N$6,"")=0),NOT(AND(LEFT(E75,4)="12.8",IFERROR(G75/$G$6,"")&lt;&gt;0)),NOT(AND(LEFT(E75,5)="12.31",IFERROR(N75/$G$6,"")&lt;&gt;0)),NOT(AND(LEFT(E75,5)="12.32",IFERROR(N75/$G$6,"")&lt;&gt;0))),"",IFERROR(N75/$N$6,""))</f>
      </c>
      <c r="P75" s="73">
        <f>SUMIFS(
INDEX('ETPT Format DDG'!$A:$FB,,IFERROR(MATCH(E75,'ETPT Format DDG'!$2:$2,0),MATCH(C75,'ETPT Format DDG'!$2:$2,0))),
INDEX( 'ETPT Format DDG'!$A:$ZZ,,MATCH("Fonction agrégat",'ETPT Format DDG'!2:2,0)),"F-PLAC-ADD",
INDEX( 'ETPT Format DDG'!$A:$ZZ,,MATCH("Juridiction",'ETPT Format DDG'!2:2,0)),$A$3)</f>
      </c>
      <c r="Q75" s="73">
        <f>SUMIFS(
INDEX('ETPT Format DDG'!$A:$FB,,IFERROR(MATCH(E75,'ETPT Format DDG'!$2:$2,0),MATCH(C75,'ETPT Format DDG'!$2:$2,0))),
INDEX( 'ETPT Format DDG'!$A:$ZZ,,MATCH("Fonction agrégat",'ETPT Format DDG'!2:2,0)),"F-PLAC-SUB",
INDEX( 'ETPT Format DDG'!$A:$ZZ,,MATCH("Juridiction",'ETPT Format DDG'!2:2,0)),$A$3)</f>
      </c>
      <c r="R75" s="73">
        <f>SUMIFS(
INDEX('ETPT Format DDG'!$A:$FB,,IFERROR(MATCH(E75,'ETPT Format DDG'!$2:$2,0),MATCH(C75,'ETPT Format DDG'!$2:$2,0))),
INDEX( 'ETPT Format DDG'!$A:$ZZ,,MATCH("Fonction agrégat",'ETPT Format DDG'!2:2,0)),"C",
'ETPT Format DDG'!$H:$H,"Greffe",
INDEX( 'ETPT Format DDG'!$A:$ZZ,,MATCH("Juridiction",'ETPT Format DDG'!2:2,0)),$A$3)</f>
      </c>
      <c r="S75" s="71">
        <f>SUMIFS(
INDEX('ETPT Format DDG'!$A:$FB,,IFERROR(MATCH(E75,'ETPT Format DDG'!$2:$2,0),MATCH(C75,'ETPT Format DDG'!$2:$2,0))),
INDEX( 'ETPT Format DDG'!$A:$ZZ,,MATCH("Catégorie",'ETPT Format DDG'!2:2,0)),"Greffe",
INDEX( 'ETPT Format DDG'!$A:$ZZ,,MATCH("Juridiction",'ETPT Format DDG'!2:2,0)),$A$3)</f>
      </c>
      <c r="T75" s="72">
        <f>IF(AND(OR(LEFT(C75,3)="12.",LEFT(E75,3)="12.",LEFT(E75,5)="CET &gt;",IFERROR(S75/$S$6,"")=0),NOT(AND(LEFT(E75,4)="12.8",IFERROR(G75/$G$6,"")&lt;&gt;0)),NOT(AND(LEFT(E75,5)="12.31",IFERROR(S75/$G$6,"")&lt;&gt;0)),NOT(AND(LEFT(E75,5)="12.32",IFERROR(S75/$G$6,"")&lt;&gt;0))),"", IFERROR(S75/$S$6,""))</f>
      </c>
      <c r="U75" s="71">
        <f>SUMIFS(
INDEX('ETPT Format DDG'!$A:$FB,,IFERROR(MATCH(E75,'ETPT Format DDG'!$2:$2,0),MATCH(C75,'ETPT Format DDG'!$2:$2,0))),
INDEX( 'ETPT Format DDG'!$A:$ZZ,,MATCH("Fonction agrégat",'ETPT Format DDG'!2:2,0)),"C",
INDEX( 'ETPT Format DDG'!$A:$ZZ,,MATCH("Juridiction",'ETPT Format DDG'!2:2,0)),$A$3,
INDEX( 'ETPT Format DDG'!$A:$ZZ,,MATCH("Catégorie",'ETPT Format DDG'!2:2,0)),"Autour du magistrat")</f>
      </c>
      <c r="V75" s="74">
        <f>IF(AND(OR(LEFT(C75,3)="12.",LEFT(E75,3)="12.",LEFT(E75,5)="CET &gt;",IFERROR(U75/$U$6,"")=0),NOT(AND(LEFT(E75,4)="12.8",IFERROR(G75/$G$6,"")&lt;&gt;0)),NOT(AND(LEFT(E75,5)="12.31",IFERROR(U75/$G$6,"")&lt;&gt;0)),NOT(AND(LEFT(E75,5)="12.32",IFERROR(U75/$G$6,"")&lt;&gt;0))),"", IFERROR(U75/$U$6,""))</f>
      </c>
    </row>
    <row r="76" ht="16" customHeight="1" spans="1:23" x14ac:dyDescent="0.25">
      <c r="A76" s="40"/>
      <c r="C76" s="68" t="s">
        <v>111</v>
      </c>
      <c r="D76" s="68" t="s">
        <v>111</v>
      </c>
      <c r="E76" s="69"/>
      <c r="F76" s="70"/>
      <c r="G76" s="71">
        <f>SUMIFS(
INDEX('ETPT Format DDG'!$A:$ZZ,,IFERROR(MATCH(E76,'ETPT Format DDG'!$2:$2,0),MATCH(C76,'ETPT Format DDG'!$2:$2,0))),
INDEX( 'ETPT Format DDG'!$A:$ZZ,,MATCH("Fonction agrégat",'ETPT Format DDG'!2:2,0)),"M-TIT",
INDEX( 'ETPT Format DDG'!$A:$ZZ,,MATCH("Juridiction",'ETPT Format DDG'!2:2,0)),$A$3)</f>
      </c>
      <c r="H76" s="72">
        <f>IF(AND(OR(LEFT(C76,3)="12.",LEFT(E76,3)="12.",LEFT(E76,5)="CET &gt;",IFERROR(G76/$G$6,"")=0),NOT(AND(LEFT(E76,4)="12.8",IFERROR(G76/$G$6,"")&lt;&gt;0)),NOT(AND(LEFT(E76,5)="12.31",IFERROR(G76/$G$6,"")&lt;&gt;0)),NOT(AND(LEFT(E76,5)="12.32",IFERROR(G76/$G$6,"")&lt;&gt;0))),"", IFERROR(G76/$G$6,""))</f>
      </c>
      <c r="I76" s="73">
        <f>SUMIFS(
INDEX('ETPT Format DDG'!$A:$ZZ,,IFERROR(MATCH(E76,'ETPT Format DDG'!$2:$2,0),MATCH(C76,'ETPT Format DDG'!$2:$2,0))),
INDEX( 'ETPT Format DDG'!$A:$ZZ,,MATCH("Fonction agrégat",'ETPT Format DDG'!2:2,0)),"M-PLAC-ADD",
INDEX( 'ETPT Format DDG'!$A:$ZZ,,MATCH("Juridiction",'ETPT Format DDG'!2:2,0)),$A$3)</f>
      </c>
      <c r="J76" s="73">
        <f>SUMIFS(
INDEX('ETPT Format DDG'!$A:$ZZ,,IFERROR(MATCH(E76,'ETPT Format DDG'!$2:$2,0),MATCH(C76,'ETPT Format DDG'!$2:$2,0))),
INDEX( 'ETPT Format DDG'!$A:$ZZ,,MATCH("Fonction agrégat",'ETPT Format DDG'!2:2,0)),"M-PLAC-SUB",
INDEX( 'ETPT Format DDG'!$A:$ZZ,,MATCH("Juridiction",'ETPT Format DDG'!2:2,0)),$A$3)</f>
      </c>
      <c r="K76" s="73">
        <f>SUMIFS(
INDEX('ETPT Format DDG'!$A:$ZZ,,IFERROR(MATCH(E76,'ETPT Format DDG'!$2:$2,0),MATCH(C76,'ETPT Format DDG'!$2:$2,0))),
INDEX( 'ETPT Format DDG'!$A:$ZZ,,MATCH("Fonction agrégat",'ETPT Format DDG'!2:2,0)),"M-CONT",
INDEX( 'ETPT Format DDG'!$A:$ZZ,,MATCH("Juridiction",'ETPT Format DDG'!2:2,0)),$A$3,
INDEX( 'ETPT Format DDG'!$A:$ZZ,,MATCH("Catégorie",'ETPT Format DDG'!2:2,0)),"Magistrat")</f>
      </c>
      <c r="L76" s="71">
        <f>SUMIFS(
INDEX('ETPT Format DDG'!$A:$ZZ,,IFERROR(MATCH(E76,'ETPT Format DDG'!$2:$2,0),MATCH(C76,'ETPT Format DDG'!$2:$2,0))),
INDEX( 'ETPT Format DDG'!$A:$ZZ,,MATCH("Juridiction",'ETPT Format DDG'!2:2,0)),$A$3,
INDEX( 'ETPT Format DDG'!$A:$ZZ,,MATCH("Catégorie",'ETPT Format DDG'!2:2,0)),"Magistrat")</f>
      </c>
      <c r="M76" s="74">
        <f>IF(AND(OR(LEFT(C76,3)="12.",LEFT(E76,3)="12.",LEFT(E76,5)="CET &gt;", IFERROR(L76/$L$6,"")=0),NOT(AND(LEFT(E76,4)="12.8",IFERROR(G76/$G$6,"")&lt;&gt;0)),NOT(AND(LEFT(E76,5)="12.31",IFERROR(L76/$G$6,"")&lt;&gt;0)),NOT(AND(LEFT(E76,5)="12.32",IFERROR(L76/$G$6,"")&lt;&gt;0))),"", IFERROR(L76/$L$6,""))</f>
      </c>
      <c r="N76" s="73">
        <f>SUMIFS(
INDEX('ETPT Format DDG'!$A:$ZZ,,IFERROR(MATCH(E76,'ETPT Format DDG'!$2:$2,0),MATCH(C76,'ETPT Format DDG'!$2:$2,0))),
INDEX( 'ETPT Format DDG'!$A:$ZZ,,MATCH("Fonction agrégat",'ETPT Format DDG'!2:2,0)),"F-TIT",
INDEX( 'ETPT Format DDG'!$A:$ZZ,,MATCH("Juridiction",'ETPT Format DDG'!2:2,0)),$A$3)</f>
      </c>
      <c r="O76" s="72">
        <f>IF(AND(OR(LEFT(C76,3)="12.",LEFT(E76,3)="12.",LEFT(E76,5)="CET &gt;",IFERROR(N76/$N$6,"")=0),NOT(AND(LEFT(E76,4)="12.8",IFERROR(G76/$G$6,"")&lt;&gt;0)),NOT(AND(LEFT(E76,5)="12.31",IFERROR(N76/$G$6,"")&lt;&gt;0)),NOT(AND(LEFT(E76,5)="12.32",IFERROR(N76/$G$6,"")&lt;&gt;0))),"",IFERROR(N76/$N$6,""))</f>
      </c>
      <c r="P76" s="73">
        <f>SUMIFS(
INDEX('ETPT Format DDG'!$A:$FB,,IFERROR(MATCH(E76,'ETPT Format DDG'!$2:$2,0),MATCH(C76,'ETPT Format DDG'!$2:$2,0))),
INDEX( 'ETPT Format DDG'!$A:$ZZ,,MATCH("Fonction agrégat",'ETPT Format DDG'!2:2,0)),"F-PLAC-ADD",
INDEX( 'ETPT Format DDG'!$A:$ZZ,,MATCH("Juridiction",'ETPT Format DDG'!2:2,0)),$A$3)</f>
      </c>
      <c r="Q76" s="73">
        <f>SUMIFS(
INDEX('ETPT Format DDG'!$A:$FB,,IFERROR(MATCH(E76,'ETPT Format DDG'!$2:$2,0),MATCH(C76,'ETPT Format DDG'!$2:$2,0))),
INDEX( 'ETPT Format DDG'!$A:$ZZ,,MATCH("Fonction agrégat",'ETPT Format DDG'!2:2,0)),"F-PLAC-SUB",
INDEX( 'ETPT Format DDG'!$A:$ZZ,,MATCH("Juridiction",'ETPT Format DDG'!2:2,0)),$A$3)</f>
      </c>
      <c r="R76" s="73">
        <f>SUMIFS(
INDEX('ETPT Format DDG'!$A:$FB,,IFERROR(MATCH(E76,'ETPT Format DDG'!$2:$2,0),MATCH(C76,'ETPT Format DDG'!$2:$2,0))),
INDEX( 'ETPT Format DDG'!$A:$ZZ,,MATCH("Fonction agrégat",'ETPT Format DDG'!2:2,0)),"C",
'ETPT Format DDG'!$H:$H,"Greffe",
INDEX( 'ETPT Format DDG'!$A:$ZZ,,MATCH("Juridiction",'ETPT Format DDG'!2:2,0)),$A$3)</f>
      </c>
      <c r="S76" s="71">
        <f>SUMIFS(
INDEX('ETPT Format DDG'!$A:$FB,,IFERROR(MATCH(E76,'ETPT Format DDG'!$2:$2,0),MATCH(C76,'ETPT Format DDG'!$2:$2,0))),
INDEX( 'ETPT Format DDG'!$A:$ZZ,,MATCH("Catégorie",'ETPT Format DDG'!2:2,0)),"Greffe",
INDEX( 'ETPT Format DDG'!$A:$ZZ,,MATCH("Juridiction",'ETPT Format DDG'!2:2,0)),$A$3)</f>
      </c>
      <c r="T76" s="72">
        <f>IF(AND(OR(LEFT(C76,3)="12.",LEFT(E76,3)="12.",LEFT(E76,5)="CET &gt;",IFERROR(S76/$S$6,"")=0),NOT(AND(LEFT(E76,4)="12.8",IFERROR(G76/$G$6,"")&lt;&gt;0)),NOT(AND(LEFT(E76,5)="12.31",IFERROR(S76/$G$6,"")&lt;&gt;0)),NOT(AND(LEFT(E76,5)="12.32",IFERROR(S76/$G$6,"")&lt;&gt;0))),"", IFERROR(S76/$S$6,""))</f>
      </c>
      <c r="U76" s="71">
        <f>SUMIFS(
INDEX('ETPT Format DDG'!$A:$FB,,IFERROR(MATCH(E76,'ETPT Format DDG'!$2:$2,0),MATCH(C76,'ETPT Format DDG'!$2:$2,0))),
INDEX( 'ETPT Format DDG'!$A:$ZZ,,MATCH("Fonction agrégat",'ETPT Format DDG'!2:2,0)),"C",
INDEX( 'ETPT Format DDG'!$A:$ZZ,,MATCH("Juridiction",'ETPT Format DDG'!2:2,0)),$A$3,
INDEX( 'ETPT Format DDG'!$A:$ZZ,,MATCH("Catégorie",'ETPT Format DDG'!2:2,0)),"Autour du magistrat")</f>
      </c>
      <c r="V76" s="74">
        <f>IF(AND(OR(LEFT(C76,3)="12.",LEFT(E76,3)="12.",LEFT(E76,5)="CET &gt;",IFERROR(U76/$U$6,"")=0),NOT(AND(LEFT(E76,4)="12.8",IFERROR(G76/$G$6,"")&lt;&gt;0)),NOT(AND(LEFT(E76,5)="12.31",IFERROR(U76/$G$6,"")&lt;&gt;0)),NOT(AND(LEFT(E76,5)="12.32",IFERROR(U76/$G$6,"")&lt;&gt;0))),"", IFERROR(U76/$U$6,""))</f>
      </c>
    </row>
    <row r="77" ht="16" customHeight="1" spans="1:23" x14ac:dyDescent="0.25">
      <c r="A77" s="40"/>
      <c r="C77" s="68"/>
      <c r="D77" s="68"/>
      <c r="E77" s="69" t="s">
        <v>112</v>
      </c>
      <c r="F77" s="70" t="s">
        <v>112</v>
      </c>
      <c r="G77" s="71">
        <f>SUMIFS(
INDEX('ETPT Format DDG'!$A:$ZZ,,IFERROR(MATCH(E77,'ETPT Format DDG'!$2:$2,0),MATCH(C77,'ETPT Format DDG'!$2:$2,0))),
INDEX( 'ETPT Format DDG'!$A:$ZZ,,MATCH("Fonction agrégat",'ETPT Format DDG'!2:2,0)),"M-TIT",
INDEX( 'ETPT Format DDG'!$A:$ZZ,,MATCH("Juridiction",'ETPT Format DDG'!2:2,0)),$A$3)</f>
      </c>
      <c r="H77" s="72">
        <f>IF(AND(OR(LEFT(C77,3)="12.",LEFT(E77,3)="12.",LEFT(E77,5)="CET &gt;",IFERROR(G77/$G$6,"")=0),NOT(AND(LEFT(E77,4)="12.8",IFERROR(G77/$G$6,"")&lt;&gt;0)),NOT(AND(LEFT(E77,5)="12.31",IFERROR(G77/$G$6,"")&lt;&gt;0)),NOT(AND(LEFT(E77,5)="12.32",IFERROR(G77/$G$6,"")&lt;&gt;0))),"", IFERROR(G77/$G$6,""))</f>
      </c>
      <c r="I77" s="73">
        <f>SUMIFS(
INDEX('ETPT Format DDG'!$A:$ZZ,,IFERROR(MATCH(E77,'ETPT Format DDG'!$2:$2,0),MATCH(C77,'ETPT Format DDG'!$2:$2,0))),
INDEX( 'ETPT Format DDG'!$A:$ZZ,,MATCH("Fonction agrégat",'ETPT Format DDG'!2:2,0)),"M-PLAC-ADD",
INDEX( 'ETPT Format DDG'!$A:$ZZ,,MATCH("Juridiction",'ETPT Format DDG'!2:2,0)),$A$3)</f>
      </c>
      <c r="J77" s="73">
        <f>SUMIFS(
INDEX('ETPT Format DDG'!$A:$ZZ,,IFERROR(MATCH(E77,'ETPT Format DDG'!$2:$2,0),MATCH(C77,'ETPT Format DDG'!$2:$2,0))),
INDEX( 'ETPT Format DDG'!$A:$ZZ,,MATCH("Fonction agrégat",'ETPT Format DDG'!2:2,0)),"M-PLAC-SUB",
INDEX( 'ETPT Format DDG'!$A:$ZZ,,MATCH("Juridiction",'ETPT Format DDG'!2:2,0)),$A$3)</f>
      </c>
      <c r="K77" s="73">
        <f>SUMIFS(
INDEX('ETPT Format DDG'!$A:$ZZ,,IFERROR(MATCH(E77,'ETPT Format DDG'!$2:$2,0),MATCH(C77,'ETPT Format DDG'!$2:$2,0))),
INDEX( 'ETPT Format DDG'!$A:$ZZ,,MATCH("Fonction agrégat",'ETPT Format DDG'!2:2,0)),"M-CONT",
INDEX( 'ETPT Format DDG'!$A:$ZZ,,MATCH("Juridiction",'ETPT Format DDG'!2:2,0)),$A$3,
INDEX( 'ETPT Format DDG'!$A:$ZZ,,MATCH("Catégorie",'ETPT Format DDG'!2:2,0)),"Magistrat")</f>
      </c>
      <c r="L77" s="71">
        <f>SUMIFS(
INDEX('ETPT Format DDG'!$A:$ZZ,,IFERROR(MATCH(E77,'ETPT Format DDG'!$2:$2,0),MATCH(C77,'ETPT Format DDG'!$2:$2,0))),
INDEX( 'ETPT Format DDG'!$A:$ZZ,,MATCH("Juridiction",'ETPT Format DDG'!2:2,0)),$A$3,
INDEX( 'ETPT Format DDG'!$A:$ZZ,,MATCH("Catégorie",'ETPT Format DDG'!2:2,0)),"Magistrat")</f>
      </c>
      <c r="M77" s="74">
        <f>IF(AND(OR(LEFT(C77,3)="12.",LEFT(E77,3)="12.",LEFT(E77,5)="CET &gt;", IFERROR(L77/$L$6,"")=0),NOT(AND(LEFT(E77,4)="12.8",IFERROR(G77/$G$6,"")&lt;&gt;0)),NOT(AND(LEFT(E77,5)="12.31",IFERROR(L77/$G$6,"")&lt;&gt;0)),NOT(AND(LEFT(E77,5)="12.32",IFERROR(L77/$G$6,"")&lt;&gt;0))),"", IFERROR(L77/$L$6,""))</f>
      </c>
      <c r="N77" s="73">
        <f>SUMIFS(
INDEX('ETPT Format DDG'!$A:$ZZ,,IFERROR(MATCH(E77,'ETPT Format DDG'!$2:$2,0),MATCH(C77,'ETPT Format DDG'!$2:$2,0))),
INDEX( 'ETPT Format DDG'!$A:$ZZ,,MATCH("Fonction agrégat",'ETPT Format DDG'!2:2,0)),"F-TIT",
INDEX( 'ETPT Format DDG'!$A:$ZZ,,MATCH("Juridiction",'ETPT Format DDG'!2:2,0)),$A$3)</f>
      </c>
      <c r="O77" s="72">
        <f>IF(AND(OR(LEFT(C77,3)="12.",LEFT(E77,3)="12.",LEFT(E77,5)="CET &gt;",IFERROR(N77/$N$6,"")=0),NOT(AND(LEFT(E77,4)="12.8",IFERROR(G77/$G$6,"")&lt;&gt;0)),NOT(AND(LEFT(E77,5)="12.31",IFERROR(N77/$G$6,"")&lt;&gt;0)),NOT(AND(LEFT(E77,5)="12.32",IFERROR(N77/$G$6,"")&lt;&gt;0))),"",IFERROR(N77/$N$6,""))</f>
      </c>
      <c r="P77" s="73">
        <f>SUMIFS(
INDEX('ETPT Format DDG'!$A:$FB,,IFERROR(MATCH(E77,'ETPT Format DDG'!$2:$2,0),MATCH(C77,'ETPT Format DDG'!$2:$2,0))),
INDEX( 'ETPT Format DDG'!$A:$ZZ,,MATCH("Fonction agrégat",'ETPT Format DDG'!2:2,0)),"F-PLAC-ADD",
INDEX( 'ETPT Format DDG'!$A:$ZZ,,MATCH("Juridiction",'ETPT Format DDG'!2:2,0)),$A$3)</f>
      </c>
      <c r="Q77" s="73">
        <f>SUMIFS(
INDEX('ETPT Format DDG'!$A:$FB,,IFERROR(MATCH(E77,'ETPT Format DDG'!$2:$2,0),MATCH(C77,'ETPT Format DDG'!$2:$2,0))),
INDEX( 'ETPT Format DDG'!$A:$ZZ,,MATCH("Fonction agrégat",'ETPT Format DDG'!2:2,0)),"F-PLAC-SUB",
INDEX( 'ETPT Format DDG'!$A:$ZZ,,MATCH("Juridiction",'ETPT Format DDG'!2:2,0)),$A$3)</f>
      </c>
      <c r="R77" s="73">
        <f>SUMIFS(
INDEX('ETPT Format DDG'!$A:$FB,,IFERROR(MATCH(E77,'ETPT Format DDG'!$2:$2,0),MATCH(C77,'ETPT Format DDG'!$2:$2,0))),
INDEX( 'ETPT Format DDG'!$A:$ZZ,,MATCH("Fonction agrégat",'ETPT Format DDG'!2:2,0)),"C",
'ETPT Format DDG'!$H:$H,"Greffe",
INDEX( 'ETPT Format DDG'!$A:$ZZ,,MATCH("Juridiction",'ETPT Format DDG'!2:2,0)),$A$3)</f>
      </c>
      <c r="S77" s="71">
        <f>SUMIFS(
INDEX('ETPT Format DDG'!$A:$FB,,IFERROR(MATCH(E77,'ETPT Format DDG'!$2:$2,0),MATCH(C77,'ETPT Format DDG'!$2:$2,0))),
INDEX( 'ETPT Format DDG'!$A:$ZZ,,MATCH("Catégorie",'ETPT Format DDG'!2:2,0)),"Greffe",
INDEX( 'ETPT Format DDG'!$A:$ZZ,,MATCH("Juridiction",'ETPT Format DDG'!2:2,0)),$A$3)</f>
      </c>
      <c r="T77" s="72">
        <f>IF(AND(OR(LEFT(C77,3)="12.",LEFT(E77,3)="12.",LEFT(E77,5)="CET &gt;",IFERROR(S77/$S$6,"")=0),NOT(AND(LEFT(E77,4)="12.8",IFERROR(G77/$G$6,"")&lt;&gt;0)),NOT(AND(LEFT(E77,5)="12.31",IFERROR(S77/$G$6,"")&lt;&gt;0)),NOT(AND(LEFT(E77,5)="12.32",IFERROR(S77/$G$6,"")&lt;&gt;0))),"", IFERROR(S77/$S$6,""))</f>
      </c>
      <c r="U77" s="71">
        <f>SUMIFS(
INDEX('ETPT Format DDG'!$A:$FB,,IFERROR(MATCH(E77,'ETPT Format DDG'!$2:$2,0),MATCH(C77,'ETPT Format DDG'!$2:$2,0))),
INDEX( 'ETPT Format DDG'!$A:$ZZ,,MATCH("Fonction agrégat",'ETPT Format DDG'!2:2,0)),"C",
INDEX( 'ETPT Format DDG'!$A:$ZZ,,MATCH("Juridiction",'ETPT Format DDG'!2:2,0)),$A$3,
INDEX( 'ETPT Format DDG'!$A:$ZZ,,MATCH("Catégorie",'ETPT Format DDG'!2:2,0)),"Autour du magistrat")</f>
      </c>
      <c r="V77" s="74">
        <f>IF(AND(OR(LEFT(C77,3)="12.",LEFT(E77,3)="12.",LEFT(E77,5)="CET &gt;",IFERROR(U77/$U$6,"")=0),NOT(AND(LEFT(E77,4)="12.8",IFERROR(G77/$G$6,"")&lt;&gt;0)),NOT(AND(LEFT(E77,5)="12.31",IFERROR(U77/$G$6,"")&lt;&gt;0)),NOT(AND(LEFT(E77,5)="12.32",IFERROR(U77/$G$6,"")&lt;&gt;0))),"", IFERROR(U77/$U$6,""))</f>
      </c>
    </row>
    <row r="78" ht="16" customHeight="1" spans="1:23" x14ac:dyDescent="0.25">
      <c r="A78" s="40"/>
      <c r="C78" s="68"/>
      <c r="D78" s="68"/>
      <c r="E78" s="69" t="s">
        <v>113</v>
      </c>
      <c r="F78" s="70" t="s">
        <v>113</v>
      </c>
      <c r="G78" s="71">
        <f>SUMIFS(
INDEX('ETPT Format DDG'!$A:$ZZ,,IFERROR(MATCH(E78,'ETPT Format DDG'!$2:$2,0),MATCH(C78,'ETPT Format DDG'!$2:$2,0))),
INDEX( 'ETPT Format DDG'!$A:$ZZ,,MATCH("Fonction agrégat",'ETPT Format DDG'!2:2,0)),"M-TIT",
INDEX( 'ETPT Format DDG'!$A:$ZZ,,MATCH("Juridiction",'ETPT Format DDG'!2:2,0)),$A$3)</f>
      </c>
      <c r="H78" s="72">
        <f>IF(AND(OR(LEFT(C78,3)="12.",LEFT(E78,3)="12.",LEFT(E78,5)="CET &gt;",IFERROR(G78/$G$6,"")=0),NOT(AND(LEFT(E78,4)="12.8",IFERROR(G78/$G$6,"")&lt;&gt;0)),NOT(AND(LEFT(E78,5)="12.31",IFERROR(G78/$G$6,"")&lt;&gt;0)),NOT(AND(LEFT(E78,5)="12.32",IFERROR(G78/$G$6,"")&lt;&gt;0))),"", IFERROR(G78/$G$6,""))</f>
      </c>
      <c r="I78" s="73">
        <f>SUMIFS(
INDEX('ETPT Format DDG'!$A:$ZZ,,IFERROR(MATCH(E78,'ETPT Format DDG'!$2:$2,0),MATCH(C78,'ETPT Format DDG'!$2:$2,0))),
INDEX( 'ETPT Format DDG'!$A:$ZZ,,MATCH("Fonction agrégat",'ETPT Format DDG'!2:2,0)),"M-PLAC-ADD",
INDEX( 'ETPT Format DDG'!$A:$ZZ,,MATCH("Juridiction",'ETPT Format DDG'!2:2,0)),$A$3)</f>
      </c>
      <c r="J78" s="73">
        <f>SUMIFS(
INDEX('ETPT Format DDG'!$A:$ZZ,,IFERROR(MATCH(E78,'ETPT Format DDG'!$2:$2,0),MATCH(C78,'ETPT Format DDG'!$2:$2,0))),
INDEX( 'ETPT Format DDG'!$A:$ZZ,,MATCH("Fonction agrégat",'ETPT Format DDG'!2:2,0)),"M-PLAC-SUB",
INDEX( 'ETPT Format DDG'!$A:$ZZ,,MATCH("Juridiction",'ETPT Format DDG'!2:2,0)),$A$3)</f>
      </c>
      <c r="K78" s="73">
        <f>SUMIFS(
INDEX('ETPT Format DDG'!$A:$ZZ,,IFERROR(MATCH(E78,'ETPT Format DDG'!$2:$2,0),MATCH(C78,'ETPT Format DDG'!$2:$2,0))),
INDEX( 'ETPT Format DDG'!$A:$ZZ,,MATCH("Fonction agrégat",'ETPT Format DDG'!2:2,0)),"M-CONT",
INDEX( 'ETPT Format DDG'!$A:$ZZ,,MATCH("Juridiction",'ETPT Format DDG'!2:2,0)),$A$3,
INDEX( 'ETPT Format DDG'!$A:$ZZ,,MATCH("Catégorie",'ETPT Format DDG'!2:2,0)),"Magistrat")</f>
      </c>
      <c r="L78" s="71">
        <f>SUMIFS(
INDEX('ETPT Format DDG'!$A:$ZZ,,IFERROR(MATCH(E78,'ETPT Format DDG'!$2:$2,0),MATCH(C78,'ETPT Format DDG'!$2:$2,0))),
INDEX( 'ETPT Format DDG'!$A:$ZZ,,MATCH("Juridiction",'ETPT Format DDG'!2:2,0)),$A$3,
INDEX( 'ETPT Format DDG'!$A:$ZZ,,MATCH("Catégorie",'ETPT Format DDG'!2:2,0)),"Magistrat")</f>
      </c>
      <c r="M78" s="74">
        <f>IF(AND(OR(LEFT(C78,3)="12.",LEFT(E78,3)="12.",LEFT(E78,5)="CET &gt;", IFERROR(L78/$L$6,"")=0),NOT(AND(LEFT(E78,4)="12.8",IFERROR(G78/$G$6,"")&lt;&gt;0)),NOT(AND(LEFT(E78,5)="12.31",IFERROR(L78/$G$6,"")&lt;&gt;0)),NOT(AND(LEFT(E78,5)="12.32",IFERROR(L78/$G$6,"")&lt;&gt;0))),"", IFERROR(L78/$L$6,""))</f>
      </c>
      <c r="N78" s="73">
        <f>SUMIFS(
INDEX('ETPT Format DDG'!$A:$ZZ,,IFERROR(MATCH(E78,'ETPT Format DDG'!$2:$2,0),MATCH(C78,'ETPT Format DDG'!$2:$2,0))),
INDEX( 'ETPT Format DDG'!$A:$ZZ,,MATCH("Fonction agrégat",'ETPT Format DDG'!2:2,0)),"F-TIT",
INDEX( 'ETPT Format DDG'!$A:$ZZ,,MATCH("Juridiction",'ETPT Format DDG'!2:2,0)),$A$3)</f>
      </c>
      <c r="O78" s="72">
        <f>IF(AND(OR(LEFT(C78,3)="12.",LEFT(E78,3)="12.",LEFT(E78,5)="CET &gt;",IFERROR(N78/$N$6,"")=0),NOT(AND(LEFT(E78,4)="12.8",IFERROR(G78/$G$6,"")&lt;&gt;0)),NOT(AND(LEFT(E78,5)="12.31",IFERROR(N78/$G$6,"")&lt;&gt;0)),NOT(AND(LEFT(E78,5)="12.32",IFERROR(N78/$G$6,"")&lt;&gt;0))),"",IFERROR(N78/$N$6,""))</f>
      </c>
      <c r="P78" s="73">
        <f>SUMIFS(
INDEX('ETPT Format DDG'!$A:$FB,,IFERROR(MATCH(E78,'ETPT Format DDG'!$2:$2,0),MATCH(C78,'ETPT Format DDG'!$2:$2,0))),
INDEX( 'ETPT Format DDG'!$A:$ZZ,,MATCH("Fonction agrégat",'ETPT Format DDG'!2:2,0)),"F-PLAC-ADD",
INDEX( 'ETPT Format DDG'!$A:$ZZ,,MATCH("Juridiction",'ETPT Format DDG'!2:2,0)),$A$3)</f>
      </c>
      <c r="Q78" s="73">
        <f>SUMIFS(
INDEX('ETPT Format DDG'!$A:$FB,,IFERROR(MATCH(E78,'ETPT Format DDG'!$2:$2,0),MATCH(C78,'ETPT Format DDG'!$2:$2,0))),
INDEX( 'ETPT Format DDG'!$A:$ZZ,,MATCH("Fonction agrégat",'ETPT Format DDG'!2:2,0)),"F-PLAC-SUB",
INDEX( 'ETPT Format DDG'!$A:$ZZ,,MATCH("Juridiction",'ETPT Format DDG'!2:2,0)),$A$3)</f>
      </c>
      <c r="R78" s="73">
        <f>SUMIFS(
INDEX('ETPT Format DDG'!$A:$FB,,IFERROR(MATCH(E78,'ETPT Format DDG'!$2:$2,0),MATCH(C78,'ETPT Format DDG'!$2:$2,0))),
INDEX( 'ETPT Format DDG'!$A:$ZZ,,MATCH("Fonction agrégat",'ETPT Format DDG'!2:2,0)),"C",
'ETPT Format DDG'!$H:$H,"Greffe",
INDEX( 'ETPT Format DDG'!$A:$ZZ,,MATCH("Juridiction",'ETPT Format DDG'!2:2,0)),$A$3)</f>
      </c>
      <c r="S78" s="71">
        <f>SUMIFS(
INDEX('ETPT Format DDG'!$A:$FB,,IFERROR(MATCH(E78,'ETPT Format DDG'!$2:$2,0),MATCH(C78,'ETPT Format DDG'!$2:$2,0))),
INDEX( 'ETPT Format DDG'!$A:$ZZ,,MATCH("Catégorie",'ETPT Format DDG'!2:2,0)),"Greffe",
INDEX( 'ETPT Format DDG'!$A:$ZZ,,MATCH("Juridiction",'ETPT Format DDG'!2:2,0)),$A$3)</f>
      </c>
      <c r="T78" s="72">
        <f>IF(AND(OR(LEFT(C78,3)="12.",LEFT(E78,3)="12.",LEFT(E78,5)="CET &gt;",IFERROR(S78/$S$6,"")=0),NOT(AND(LEFT(E78,4)="12.8",IFERROR(G78/$G$6,"")&lt;&gt;0)),NOT(AND(LEFT(E78,5)="12.31",IFERROR(S78/$G$6,"")&lt;&gt;0)),NOT(AND(LEFT(E78,5)="12.32",IFERROR(S78/$G$6,"")&lt;&gt;0))),"", IFERROR(S78/$S$6,""))</f>
      </c>
      <c r="U78" s="71">
        <f>SUMIFS(
INDEX('ETPT Format DDG'!$A:$FB,,IFERROR(MATCH(E78,'ETPT Format DDG'!$2:$2,0),MATCH(C78,'ETPT Format DDG'!$2:$2,0))),
INDEX( 'ETPT Format DDG'!$A:$ZZ,,MATCH("Fonction agrégat",'ETPT Format DDG'!2:2,0)),"C",
INDEX( 'ETPT Format DDG'!$A:$ZZ,,MATCH("Juridiction",'ETPT Format DDG'!2:2,0)),$A$3,
INDEX( 'ETPT Format DDG'!$A:$ZZ,,MATCH("Catégorie",'ETPT Format DDG'!2:2,0)),"Autour du magistrat")</f>
      </c>
      <c r="V78" s="74">
        <f>IF(AND(OR(LEFT(C78,3)="12.",LEFT(E78,3)="12.",LEFT(E78,5)="CET &gt;",IFERROR(U78/$U$6,"")=0),NOT(AND(LEFT(E78,4)="12.8",IFERROR(G78/$G$6,"")&lt;&gt;0)),NOT(AND(LEFT(E78,5)="12.31",IFERROR(U78/$G$6,"")&lt;&gt;0)),NOT(AND(LEFT(E78,5)="12.32",IFERROR(U78/$G$6,"")&lt;&gt;0))),"", IFERROR(U78/$U$6,""))</f>
      </c>
    </row>
    <row r="79" ht="16" customHeight="1" spans="1:23" x14ac:dyDescent="0.25">
      <c r="A79" s="40"/>
      <c r="C79" s="68"/>
      <c r="D79" s="68"/>
      <c r="E79" s="69" t="s">
        <v>114</v>
      </c>
      <c r="F79" s="70" t="s">
        <v>114</v>
      </c>
      <c r="G79" s="71">
        <f>SUMIFS(
INDEX('ETPT Format DDG'!$A:$ZZ,,IFERROR(MATCH(E79,'ETPT Format DDG'!$2:$2,0),MATCH(C79,'ETPT Format DDG'!$2:$2,0))),
INDEX( 'ETPT Format DDG'!$A:$ZZ,,MATCH("Fonction agrégat",'ETPT Format DDG'!2:2,0)),"M-TIT",
INDEX( 'ETPT Format DDG'!$A:$ZZ,,MATCH("Juridiction",'ETPT Format DDG'!2:2,0)),$A$3)</f>
      </c>
      <c r="H79" s="72">
        <f>IF(AND(OR(LEFT(C79,3)="12.",LEFT(E79,3)="12.",LEFT(E79,5)="CET &gt;",IFERROR(G79/$G$6,"")=0),NOT(AND(LEFT(E79,4)="12.8",IFERROR(G79/$G$6,"")&lt;&gt;0)),NOT(AND(LEFT(E79,5)="12.31",IFERROR(G79/$G$6,"")&lt;&gt;0)),NOT(AND(LEFT(E79,5)="12.32",IFERROR(G79/$G$6,"")&lt;&gt;0))),"", IFERROR(G79/$G$6,""))</f>
      </c>
      <c r="I79" s="73">
        <f>SUMIFS(
INDEX('ETPT Format DDG'!$A:$ZZ,,IFERROR(MATCH(E79,'ETPT Format DDG'!$2:$2,0),MATCH(C79,'ETPT Format DDG'!$2:$2,0))),
INDEX( 'ETPT Format DDG'!$A:$ZZ,,MATCH("Fonction agrégat",'ETPT Format DDG'!2:2,0)),"M-PLAC-ADD",
INDEX( 'ETPT Format DDG'!$A:$ZZ,,MATCH("Juridiction",'ETPT Format DDG'!2:2,0)),$A$3)</f>
      </c>
      <c r="J79" s="73">
        <f>SUMIFS(
INDEX('ETPT Format DDG'!$A:$ZZ,,IFERROR(MATCH(E79,'ETPT Format DDG'!$2:$2,0),MATCH(C79,'ETPT Format DDG'!$2:$2,0))),
INDEX( 'ETPT Format DDG'!$A:$ZZ,,MATCH("Fonction agrégat",'ETPT Format DDG'!2:2,0)),"M-PLAC-SUB",
INDEX( 'ETPT Format DDG'!$A:$ZZ,,MATCH("Juridiction",'ETPT Format DDG'!2:2,0)),$A$3)</f>
      </c>
      <c r="K79" s="73">
        <f>SUMIFS(
INDEX('ETPT Format DDG'!$A:$ZZ,,IFERROR(MATCH(E79,'ETPT Format DDG'!$2:$2,0),MATCH(C79,'ETPT Format DDG'!$2:$2,0))),
INDEX( 'ETPT Format DDG'!$A:$ZZ,,MATCH("Fonction agrégat",'ETPT Format DDG'!2:2,0)),"M-CONT",
INDEX( 'ETPT Format DDG'!$A:$ZZ,,MATCH("Juridiction",'ETPT Format DDG'!2:2,0)),$A$3,
INDEX( 'ETPT Format DDG'!$A:$ZZ,,MATCH("Catégorie",'ETPT Format DDG'!2:2,0)),"Magistrat")</f>
      </c>
      <c r="L79" s="71">
        <f>SUMIFS(
INDEX('ETPT Format DDG'!$A:$ZZ,,IFERROR(MATCH(E79,'ETPT Format DDG'!$2:$2,0),MATCH(C79,'ETPT Format DDG'!$2:$2,0))),
INDEX( 'ETPT Format DDG'!$A:$ZZ,,MATCH("Juridiction",'ETPT Format DDG'!2:2,0)),$A$3,
INDEX( 'ETPT Format DDG'!$A:$ZZ,,MATCH("Catégorie",'ETPT Format DDG'!2:2,0)),"Magistrat")</f>
      </c>
      <c r="M79" s="74">
        <f>IF(AND(OR(LEFT(C79,3)="12.",LEFT(E79,3)="12.",LEFT(E79,5)="CET &gt;", IFERROR(L79/$L$6,"")=0),NOT(AND(LEFT(E79,4)="12.8",IFERROR(G79/$G$6,"")&lt;&gt;0)),NOT(AND(LEFT(E79,5)="12.31",IFERROR(L79/$G$6,"")&lt;&gt;0)),NOT(AND(LEFT(E79,5)="12.32",IFERROR(L79/$G$6,"")&lt;&gt;0))),"", IFERROR(L79/$L$6,""))</f>
      </c>
      <c r="N79" s="73">
        <f>SUMIFS(
INDEX('ETPT Format DDG'!$A:$ZZ,,IFERROR(MATCH(E79,'ETPT Format DDG'!$2:$2,0),MATCH(C79,'ETPT Format DDG'!$2:$2,0))),
INDEX( 'ETPT Format DDG'!$A:$ZZ,,MATCH("Fonction agrégat",'ETPT Format DDG'!2:2,0)),"F-TIT",
INDEX( 'ETPT Format DDG'!$A:$ZZ,,MATCH("Juridiction",'ETPT Format DDG'!2:2,0)),$A$3)</f>
      </c>
      <c r="O79" s="72">
        <f>IF(AND(OR(LEFT(C79,3)="12.",LEFT(E79,3)="12.",LEFT(E79,5)="CET &gt;",IFERROR(N79/$N$6,"")=0),NOT(AND(LEFT(E79,4)="12.8",IFERROR(G79/$G$6,"")&lt;&gt;0)),NOT(AND(LEFT(E79,5)="12.31",IFERROR(N79/$G$6,"")&lt;&gt;0)),NOT(AND(LEFT(E79,5)="12.32",IFERROR(N79/$G$6,"")&lt;&gt;0))),"",IFERROR(N79/$N$6,""))</f>
      </c>
      <c r="P79" s="73">
        <f>SUMIFS(
INDEX('ETPT Format DDG'!$A:$FB,,IFERROR(MATCH(E79,'ETPT Format DDG'!$2:$2,0),MATCH(C79,'ETPT Format DDG'!$2:$2,0))),
INDEX( 'ETPT Format DDG'!$A:$ZZ,,MATCH("Fonction agrégat",'ETPT Format DDG'!2:2,0)),"F-PLAC-ADD",
INDEX( 'ETPT Format DDG'!$A:$ZZ,,MATCH("Juridiction",'ETPT Format DDG'!2:2,0)),$A$3)</f>
      </c>
      <c r="Q79" s="73">
        <f>SUMIFS(
INDEX('ETPT Format DDG'!$A:$FB,,IFERROR(MATCH(E79,'ETPT Format DDG'!$2:$2,0),MATCH(C79,'ETPT Format DDG'!$2:$2,0))),
INDEX( 'ETPT Format DDG'!$A:$ZZ,,MATCH("Fonction agrégat",'ETPT Format DDG'!2:2,0)),"F-PLAC-SUB",
INDEX( 'ETPT Format DDG'!$A:$ZZ,,MATCH("Juridiction",'ETPT Format DDG'!2:2,0)),$A$3)</f>
      </c>
      <c r="R79" s="73">
        <f>SUMIFS(
INDEX('ETPT Format DDG'!$A:$FB,,IFERROR(MATCH(E79,'ETPT Format DDG'!$2:$2,0),MATCH(C79,'ETPT Format DDG'!$2:$2,0))),
INDEX( 'ETPT Format DDG'!$A:$ZZ,,MATCH("Fonction agrégat",'ETPT Format DDG'!2:2,0)),"C",
'ETPT Format DDG'!$H:$H,"Greffe",
INDEX( 'ETPT Format DDG'!$A:$ZZ,,MATCH("Juridiction",'ETPT Format DDG'!2:2,0)),$A$3)</f>
      </c>
      <c r="S79" s="71">
        <f>SUMIFS(
INDEX('ETPT Format DDG'!$A:$FB,,IFERROR(MATCH(E79,'ETPT Format DDG'!$2:$2,0),MATCH(C79,'ETPT Format DDG'!$2:$2,0))),
INDEX( 'ETPT Format DDG'!$A:$ZZ,,MATCH("Catégorie",'ETPT Format DDG'!2:2,0)),"Greffe",
INDEX( 'ETPT Format DDG'!$A:$ZZ,,MATCH("Juridiction",'ETPT Format DDG'!2:2,0)),$A$3)</f>
      </c>
      <c r="T79" s="72">
        <f>IF(AND(OR(LEFT(C79,3)="12.",LEFT(E79,3)="12.",LEFT(E79,5)="CET &gt;",IFERROR(S79/$S$6,"")=0),NOT(AND(LEFT(E79,4)="12.8",IFERROR(G79/$G$6,"")&lt;&gt;0)),NOT(AND(LEFT(E79,5)="12.31",IFERROR(S79/$G$6,"")&lt;&gt;0)),NOT(AND(LEFT(E79,5)="12.32",IFERROR(S79/$G$6,"")&lt;&gt;0))),"", IFERROR(S79/$S$6,""))</f>
      </c>
      <c r="U79" s="71">
        <f>SUMIFS(
INDEX('ETPT Format DDG'!$A:$FB,,IFERROR(MATCH(E79,'ETPT Format DDG'!$2:$2,0),MATCH(C79,'ETPT Format DDG'!$2:$2,0))),
INDEX( 'ETPT Format DDG'!$A:$ZZ,,MATCH("Fonction agrégat",'ETPT Format DDG'!2:2,0)),"C",
INDEX( 'ETPT Format DDG'!$A:$ZZ,,MATCH("Juridiction",'ETPT Format DDG'!2:2,0)),$A$3,
INDEX( 'ETPT Format DDG'!$A:$ZZ,,MATCH("Catégorie",'ETPT Format DDG'!2:2,0)),"Autour du magistrat")</f>
      </c>
      <c r="V79" s="74">
        <f>IF(AND(OR(LEFT(C79,3)="12.",LEFT(E79,3)="12.",LEFT(E79,5)="CET &gt;",IFERROR(U79/$U$6,"")=0),NOT(AND(LEFT(E79,4)="12.8",IFERROR(G79/$G$6,"")&lt;&gt;0)),NOT(AND(LEFT(E79,5)="12.31",IFERROR(U79/$G$6,"")&lt;&gt;0)),NOT(AND(LEFT(E79,5)="12.32",IFERROR(U79/$G$6,"")&lt;&gt;0))),"", IFERROR(U79/$U$6,""))</f>
      </c>
    </row>
    <row r="80" ht="16" customHeight="1" spans="1:23" x14ac:dyDescent="0.25">
      <c r="A80" s="40"/>
      <c r="C80" s="68"/>
      <c r="D80" s="68"/>
      <c r="E80" s="69" t="s">
        <v>115</v>
      </c>
      <c r="F80" s="70" t="s">
        <v>115</v>
      </c>
      <c r="G80" s="71">
        <f>SUMIFS(
INDEX('ETPT Format DDG'!$A:$ZZ,,IFERROR(MATCH(E80,'ETPT Format DDG'!$2:$2,0),MATCH(C80,'ETPT Format DDG'!$2:$2,0))),
INDEX( 'ETPT Format DDG'!$A:$ZZ,,MATCH("Fonction agrégat",'ETPT Format DDG'!2:2,0)),"M-TIT",
INDEX( 'ETPT Format DDG'!$A:$ZZ,,MATCH("Juridiction",'ETPT Format DDG'!2:2,0)),$A$3)</f>
      </c>
      <c r="H80" s="72">
        <f>IF(AND(OR(LEFT(C80,3)="12.",LEFT(E80,3)="12.",LEFT(E80,5)="CET &gt;",IFERROR(G80/$G$6,"")=0),NOT(AND(LEFT(E80,4)="12.8",IFERROR(G80/$G$6,"")&lt;&gt;0)),NOT(AND(LEFT(E80,5)="12.31",IFERROR(G80/$G$6,"")&lt;&gt;0)),NOT(AND(LEFT(E80,5)="12.32",IFERROR(G80/$G$6,"")&lt;&gt;0))),"", IFERROR(G80/$G$6,""))</f>
      </c>
      <c r="I80" s="73">
        <f>SUMIFS(
INDEX('ETPT Format DDG'!$A:$ZZ,,IFERROR(MATCH(E80,'ETPT Format DDG'!$2:$2,0),MATCH(C80,'ETPT Format DDG'!$2:$2,0))),
INDEX( 'ETPT Format DDG'!$A:$ZZ,,MATCH("Fonction agrégat",'ETPT Format DDG'!2:2,0)),"M-PLAC-ADD",
INDEX( 'ETPT Format DDG'!$A:$ZZ,,MATCH("Juridiction",'ETPT Format DDG'!2:2,0)),$A$3)</f>
      </c>
      <c r="J80" s="73">
        <f>SUMIFS(
INDEX('ETPT Format DDG'!$A:$ZZ,,IFERROR(MATCH(E80,'ETPT Format DDG'!$2:$2,0),MATCH(C80,'ETPT Format DDG'!$2:$2,0))),
INDEX( 'ETPT Format DDG'!$A:$ZZ,,MATCH("Fonction agrégat",'ETPT Format DDG'!2:2,0)),"M-PLAC-SUB",
INDEX( 'ETPT Format DDG'!$A:$ZZ,,MATCH("Juridiction",'ETPT Format DDG'!2:2,0)),$A$3)</f>
      </c>
      <c r="K80" s="73">
        <f>SUMIFS(
INDEX('ETPT Format DDG'!$A:$ZZ,,IFERROR(MATCH(E80,'ETPT Format DDG'!$2:$2,0),MATCH(C80,'ETPT Format DDG'!$2:$2,0))),
INDEX( 'ETPT Format DDG'!$A:$ZZ,,MATCH("Fonction agrégat",'ETPT Format DDG'!2:2,0)),"M-CONT",
INDEX( 'ETPT Format DDG'!$A:$ZZ,,MATCH("Juridiction",'ETPT Format DDG'!2:2,0)),$A$3,
INDEX( 'ETPT Format DDG'!$A:$ZZ,,MATCH("Catégorie",'ETPT Format DDG'!2:2,0)),"Magistrat")</f>
      </c>
      <c r="L80" s="71">
        <f>SUMIFS(
INDEX('ETPT Format DDG'!$A:$ZZ,,IFERROR(MATCH(E80,'ETPT Format DDG'!$2:$2,0),MATCH(C80,'ETPT Format DDG'!$2:$2,0))),
INDEX( 'ETPT Format DDG'!$A:$ZZ,,MATCH("Juridiction",'ETPT Format DDG'!2:2,0)),$A$3,
INDEX( 'ETPT Format DDG'!$A:$ZZ,,MATCH("Catégorie",'ETPT Format DDG'!2:2,0)),"Magistrat")</f>
      </c>
      <c r="M80" s="74">
        <f>IF(AND(OR(LEFT(C80,3)="12.",LEFT(E80,3)="12.",LEFT(E80,5)="CET &gt;", IFERROR(L80/$L$6,"")=0),NOT(AND(LEFT(E80,4)="12.8",IFERROR(G80/$G$6,"")&lt;&gt;0)),NOT(AND(LEFT(E80,5)="12.31",IFERROR(L80/$G$6,"")&lt;&gt;0)),NOT(AND(LEFT(E80,5)="12.32",IFERROR(L80/$G$6,"")&lt;&gt;0))),"", IFERROR(L80/$L$6,""))</f>
      </c>
      <c r="N80" s="73">
        <f>SUMIFS(
INDEX('ETPT Format DDG'!$A:$ZZ,,IFERROR(MATCH(E80,'ETPT Format DDG'!$2:$2,0),MATCH(C80,'ETPT Format DDG'!$2:$2,0))),
INDEX( 'ETPT Format DDG'!$A:$ZZ,,MATCH("Fonction agrégat",'ETPT Format DDG'!2:2,0)),"F-TIT",
INDEX( 'ETPT Format DDG'!$A:$ZZ,,MATCH("Juridiction",'ETPT Format DDG'!2:2,0)),$A$3)</f>
      </c>
      <c r="O80" s="72">
        <f>IF(AND(OR(LEFT(C80,3)="12.",LEFT(E80,3)="12.",LEFT(E80,5)="CET &gt;",IFERROR(N80/$N$6,"")=0),NOT(AND(LEFT(E80,4)="12.8",IFERROR(G80/$G$6,"")&lt;&gt;0)),NOT(AND(LEFT(E80,5)="12.31",IFERROR(N80/$G$6,"")&lt;&gt;0)),NOT(AND(LEFT(E80,5)="12.32",IFERROR(N80/$G$6,"")&lt;&gt;0))),"",IFERROR(N80/$N$6,""))</f>
      </c>
      <c r="P80" s="73">
        <f>SUMIFS(
INDEX('ETPT Format DDG'!$A:$FB,,IFERROR(MATCH(E80,'ETPT Format DDG'!$2:$2,0),MATCH(C80,'ETPT Format DDG'!$2:$2,0))),
INDEX( 'ETPT Format DDG'!$A:$ZZ,,MATCH("Fonction agrégat",'ETPT Format DDG'!2:2,0)),"F-PLAC-ADD",
INDEX( 'ETPT Format DDG'!$A:$ZZ,,MATCH("Juridiction",'ETPT Format DDG'!2:2,0)),$A$3)</f>
      </c>
      <c r="Q80" s="73">
        <f>SUMIFS(
INDEX('ETPT Format DDG'!$A:$FB,,IFERROR(MATCH(E80,'ETPT Format DDG'!$2:$2,0),MATCH(C80,'ETPT Format DDG'!$2:$2,0))),
INDEX( 'ETPT Format DDG'!$A:$ZZ,,MATCH("Fonction agrégat",'ETPT Format DDG'!2:2,0)),"F-PLAC-SUB",
INDEX( 'ETPT Format DDG'!$A:$ZZ,,MATCH("Juridiction",'ETPT Format DDG'!2:2,0)),$A$3)</f>
      </c>
      <c r="R80" s="73">
        <f>SUMIFS(
INDEX('ETPT Format DDG'!$A:$FB,,IFERROR(MATCH(E80,'ETPT Format DDG'!$2:$2,0),MATCH(C80,'ETPT Format DDG'!$2:$2,0))),
INDEX( 'ETPT Format DDG'!$A:$ZZ,,MATCH("Fonction agrégat",'ETPT Format DDG'!2:2,0)),"C",
'ETPT Format DDG'!$H:$H,"Greffe",
INDEX( 'ETPT Format DDG'!$A:$ZZ,,MATCH("Juridiction",'ETPT Format DDG'!2:2,0)),$A$3)</f>
      </c>
      <c r="S80" s="71">
        <f>SUMIFS(
INDEX('ETPT Format DDG'!$A:$FB,,IFERROR(MATCH(E80,'ETPT Format DDG'!$2:$2,0),MATCH(C80,'ETPT Format DDG'!$2:$2,0))),
INDEX( 'ETPT Format DDG'!$A:$ZZ,,MATCH("Catégorie",'ETPT Format DDG'!2:2,0)),"Greffe",
INDEX( 'ETPT Format DDG'!$A:$ZZ,,MATCH("Juridiction",'ETPT Format DDG'!2:2,0)),$A$3)</f>
      </c>
      <c r="T80" s="72">
        <f>IF(AND(OR(LEFT(C80,3)="12.",LEFT(E80,3)="12.",LEFT(E80,5)="CET &gt;",IFERROR(S80/$S$6,"")=0),NOT(AND(LEFT(E80,4)="12.8",IFERROR(G80/$G$6,"")&lt;&gt;0)),NOT(AND(LEFT(E80,5)="12.31",IFERROR(S80/$G$6,"")&lt;&gt;0)),NOT(AND(LEFT(E80,5)="12.32",IFERROR(S80/$G$6,"")&lt;&gt;0))),"", IFERROR(S80/$S$6,""))</f>
      </c>
      <c r="U80" s="71">
        <f>SUMIFS(
INDEX('ETPT Format DDG'!$A:$FB,,IFERROR(MATCH(E80,'ETPT Format DDG'!$2:$2,0),MATCH(C80,'ETPT Format DDG'!$2:$2,0))),
INDEX( 'ETPT Format DDG'!$A:$ZZ,,MATCH("Fonction agrégat",'ETPT Format DDG'!2:2,0)),"C",
INDEX( 'ETPT Format DDG'!$A:$ZZ,,MATCH("Juridiction",'ETPT Format DDG'!2:2,0)),$A$3,
INDEX( 'ETPT Format DDG'!$A:$ZZ,,MATCH("Catégorie",'ETPT Format DDG'!2:2,0)),"Autour du magistrat")</f>
      </c>
      <c r="V80" s="74">
        <f>IF(AND(OR(LEFT(C80,3)="12.",LEFT(E80,3)="12.",LEFT(E80,5)="CET &gt;",IFERROR(U80/$U$6,"")=0),NOT(AND(LEFT(E80,4)="12.8",IFERROR(G80/$G$6,"")&lt;&gt;0)),NOT(AND(LEFT(E80,5)="12.31",IFERROR(U80/$G$6,"")&lt;&gt;0)),NOT(AND(LEFT(E80,5)="12.32",IFERROR(U80/$G$6,"")&lt;&gt;0))),"", IFERROR(U80/$U$6,""))</f>
      </c>
    </row>
    <row r="81" ht="16" customHeight="1" spans="1:23" x14ac:dyDescent="0.25">
      <c r="A81" s="40"/>
      <c r="C81" s="68"/>
      <c r="D81" s="68"/>
      <c r="E81" s="69" t="s">
        <v>116</v>
      </c>
      <c r="F81" s="70" t="s">
        <v>116</v>
      </c>
      <c r="G81" s="71">
        <f>SUMIFS(
INDEX('ETPT Format DDG'!$A:$ZZ,,IFERROR(MATCH(E81,'ETPT Format DDG'!$2:$2,0),MATCH(C81,'ETPT Format DDG'!$2:$2,0))),
INDEX( 'ETPT Format DDG'!$A:$ZZ,,MATCH("Fonction agrégat",'ETPT Format DDG'!2:2,0)),"M-TIT",
INDEX( 'ETPT Format DDG'!$A:$ZZ,,MATCH("Juridiction",'ETPT Format DDG'!2:2,0)),$A$3)</f>
      </c>
      <c r="H81" s="72">
        <f>IF(AND(OR(LEFT(C81,3)="12.",LEFT(E81,3)="12.",LEFT(E81,5)="CET &gt;",IFERROR(G81/$G$6,"")=0),NOT(AND(LEFT(E81,4)="12.8",IFERROR(G81/$G$6,"")&lt;&gt;0)),NOT(AND(LEFT(E81,5)="12.31",IFERROR(G81/$G$6,"")&lt;&gt;0)),NOT(AND(LEFT(E81,5)="12.32",IFERROR(G81/$G$6,"")&lt;&gt;0))),"", IFERROR(G81/$G$6,""))</f>
      </c>
      <c r="I81" s="73">
        <f>SUMIFS(
INDEX('ETPT Format DDG'!$A:$ZZ,,IFERROR(MATCH(E81,'ETPT Format DDG'!$2:$2,0),MATCH(C81,'ETPT Format DDG'!$2:$2,0))),
INDEX( 'ETPT Format DDG'!$A:$ZZ,,MATCH("Fonction agrégat",'ETPT Format DDG'!2:2,0)),"M-PLAC-ADD",
INDEX( 'ETPT Format DDG'!$A:$ZZ,,MATCH("Juridiction",'ETPT Format DDG'!2:2,0)),$A$3)</f>
      </c>
      <c r="J81" s="73">
        <f>SUMIFS(
INDEX('ETPT Format DDG'!$A:$ZZ,,IFERROR(MATCH(E81,'ETPT Format DDG'!$2:$2,0),MATCH(C81,'ETPT Format DDG'!$2:$2,0))),
INDEX( 'ETPT Format DDG'!$A:$ZZ,,MATCH("Fonction agrégat",'ETPT Format DDG'!2:2,0)),"M-PLAC-SUB",
INDEX( 'ETPT Format DDG'!$A:$ZZ,,MATCH("Juridiction",'ETPT Format DDG'!2:2,0)),$A$3)</f>
      </c>
      <c r="K81" s="73">
        <f>SUMIFS(
INDEX('ETPT Format DDG'!$A:$ZZ,,IFERROR(MATCH(E81,'ETPT Format DDG'!$2:$2,0),MATCH(C81,'ETPT Format DDG'!$2:$2,0))),
INDEX( 'ETPT Format DDG'!$A:$ZZ,,MATCH("Fonction agrégat",'ETPT Format DDG'!2:2,0)),"M-CONT",
INDEX( 'ETPT Format DDG'!$A:$ZZ,,MATCH("Juridiction",'ETPT Format DDG'!2:2,0)),$A$3,
INDEX( 'ETPT Format DDG'!$A:$ZZ,,MATCH("Catégorie",'ETPT Format DDG'!2:2,0)),"Magistrat")</f>
      </c>
      <c r="L81" s="71">
        <f>SUMIFS(
INDEX('ETPT Format DDG'!$A:$ZZ,,IFERROR(MATCH(E81,'ETPT Format DDG'!$2:$2,0),MATCH(C81,'ETPT Format DDG'!$2:$2,0))),
INDEX( 'ETPT Format DDG'!$A:$ZZ,,MATCH("Juridiction",'ETPT Format DDG'!2:2,0)),$A$3,
INDEX( 'ETPT Format DDG'!$A:$ZZ,,MATCH("Catégorie",'ETPT Format DDG'!2:2,0)),"Magistrat")</f>
      </c>
      <c r="M81" s="74">
        <f>IF(AND(OR(LEFT(C81,3)="12.",LEFT(E81,3)="12.",LEFT(E81,5)="CET &gt;", IFERROR(L81/$L$6,"")=0),NOT(AND(LEFT(E81,4)="12.8",IFERROR(G81/$G$6,"")&lt;&gt;0)),NOT(AND(LEFT(E81,5)="12.31",IFERROR(L81/$G$6,"")&lt;&gt;0)),NOT(AND(LEFT(E81,5)="12.32",IFERROR(L81/$G$6,"")&lt;&gt;0))),"", IFERROR(L81/$L$6,""))</f>
      </c>
      <c r="N81" s="73">
        <f>SUMIFS(
INDEX('ETPT Format DDG'!$A:$ZZ,,IFERROR(MATCH(E81,'ETPT Format DDG'!$2:$2,0),MATCH(C81,'ETPT Format DDG'!$2:$2,0))),
INDEX( 'ETPT Format DDG'!$A:$ZZ,,MATCH("Fonction agrégat",'ETPT Format DDG'!2:2,0)),"F-TIT",
INDEX( 'ETPT Format DDG'!$A:$ZZ,,MATCH("Juridiction",'ETPT Format DDG'!2:2,0)),$A$3)</f>
      </c>
      <c r="O81" s="72">
        <f>IF(AND(OR(LEFT(C81,3)="12.",LEFT(E81,3)="12.",LEFT(E81,5)="CET &gt;",IFERROR(N81/$N$6,"")=0),NOT(AND(LEFT(E81,4)="12.8",IFERROR(G81/$G$6,"")&lt;&gt;0)),NOT(AND(LEFT(E81,5)="12.31",IFERROR(N81/$G$6,"")&lt;&gt;0)),NOT(AND(LEFT(E81,5)="12.32",IFERROR(N81/$G$6,"")&lt;&gt;0))),"",IFERROR(N81/$N$6,""))</f>
      </c>
      <c r="P81" s="73">
        <f>SUMIFS(
INDEX('ETPT Format DDG'!$A:$FB,,IFERROR(MATCH(E81,'ETPT Format DDG'!$2:$2,0),MATCH(C81,'ETPT Format DDG'!$2:$2,0))),
INDEX( 'ETPT Format DDG'!$A:$ZZ,,MATCH("Fonction agrégat",'ETPT Format DDG'!2:2,0)),"F-PLAC-ADD",
INDEX( 'ETPT Format DDG'!$A:$ZZ,,MATCH("Juridiction",'ETPT Format DDG'!2:2,0)),$A$3)</f>
      </c>
      <c r="Q81" s="73">
        <f>SUMIFS(
INDEX('ETPT Format DDG'!$A:$FB,,IFERROR(MATCH(E81,'ETPT Format DDG'!$2:$2,0),MATCH(C81,'ETPT Format DDG'!$2:$2,0))),
INDEX( 'ETPT Format DDG'!$A:$ZZ,,MATCH("Fonction agrégat",'ETPT Format DDG'!2:2,0)),"F-PLAC-SUB",
INDEX( 'ETPT Format DDG'!$A:$ZZ,,MATCH("Juridiction",'ETPT Format DDG'!2:2,0)),$A$3)</f>
      </c>
      <c r="R81" s="73">
        <f>SUMIFS(
INDEX('ETPT Format DDG'!$A:$FB,,IFERROR(MATCH(E81,'ETPT Format DDG'!$2:$2,0),MATCH(C81,'ETPT Format DDG'!$2:$2,0))),
INDEX( 'ETPT Format DDG'!$A:$ZZ,,MATCH("Fonction agrégat",'ETPT Format DDG'!2:2,0)),"C",
'ETPT Format DDG'!$H:$H,"Greffe",
INDEX( 'ETPT Format DDG'!$A:$ZZ,,MATCH("Juridiction",'ETPT Format DDG'!2:2,0)),$A$3)</f>
      </c>
      <c r="S81" s="71">
        <f>SUMIFS(
INDEX('ETPT Format DDG'!$A:$FB,,IFERROR(MATCH(E81,'ETPT Format DDG'!$2:$2,0),MATCH(C81,'ETPT Format DDG'!$2:$2,0))),
INDEX( 'ETPT Format DDG'!$A:$ZZ,,MATCH("Catégorie",'ETPT Format DDG'!2:2,0)),"Greffe",
INDEX( 'ETPT Format DDG'!$A:$ZZ,,MATCH("Juridiction",'ETPT Format DDG'!2:2,0)),$A$3)</f>
      </c>
      <c r="T81" s="72">
        <f>IF(AND(OR(LEFT(C81,3)="12.",LEFT(E81,3)="12.",LEFT(E81,5)="CET &gt;",IFERROR(S81/$S$6,"")=0),NOT(AND(LEFT(E81,4)="12.8",IFERROR(G81/$G$6,"")&lt;&gt;0)),NOT(AND(LEFT(E81,5)="12.31",IFERROR(S81/$G$6,"")&lt;&gt;0)),NOT(AND(LEFT(E81,5)="12.32",IFERROR(S81/$G$6,"")&lt;&gt;0))),"", IFERROR(S81/$S$6,""))</f>
      </c>
      <c r="U81" s="71">
        <f>SUMIFS(
INDEX('ETPT Format DDG'!$A:$FB,,IFERROR(MATCH(E81,'ETPT Format DDG'!$2:$2,0),MATCH(C81,'ETPT Format DDG'!$2:$2,0))),
INDEX( 'ETPT Format DDG'!$A:$ZZ,,MATCH("Fonction agrégat",'ETPT Format DDG'!2:2,0)),"C",
INDEX( 'ETPT Format DDG'!$A:$ZZ,,MATCH("Juridiction",'ETPT Format DDG'!2:2,0)),$A$3,
INDEX( 'ETPT Format DDG'!$A:$ZZ,,MATCH("Catégorie",'ETPT Format DDG'!2:2,0)),"Autour du magistrat")</f>
      </c>
      <c r="V81" s="74">
        <f>IF(AND(OR(LEFT(C81,3)="12.",LEFT(E81,3)="12.",LEFT(E81,5)="CET &gt;",IFERROR(U81/$U$6,"")=0),NOT(AND(LEFT(E81,4)="12.8",IFERROR(G81/$G$6,"")&lt;&gt;0)),NOT(AND(LEFT(E81,5)="12.31",IFERROR(U81/$G$6,"")&lt;&gt;0)),NOT(AND(LEFT(E81,5)="12.32",IFERROR(U81/$G$6,"")&lt;&gt;0))),"", IFERROR(U81/$U$6,""))</f>
      </c>
    </row>
    <row r="82" ht="16" customHeight="1" spans="1:23" x14ac:dyDescent="0.25">
      <c r="A82" s="40"/>
      <c r="C82" s="68" t="s">
        <v>117</v>
      </c>
      <c r="D82" s="68" t="s">
        <v>117</v>
      </c>
      <c r="E82" s="69"/>
      <c r="F82" s="70"/>
      <c r="G82" s="71">
        <f>SUMIFS(
INDEX('ETPT Format DDG'!$A:$ZZ,,IFERROR(MATCH(E82,'ETPT Format DDG'!$2:$2,0),MATCH(C82,'ETPT Format DDG'!$2:$2,0))),
INDEX( 'ETPT Format DDG'!$A:$ZZ,,MATCH("Fonction agrégat",'ETPT Format DDG'!2:2,0)),"M-TIT",
INDEX( 'ETPT Format DDG'!$A:$ZZ,,MATCH("Juridiction",'ETPT Format DDG'!2:2,0)),$A$3)</f>
      </c>
      <c r="H82" s="72">
        <f>IF(AND(OR(LEFT(C82,3)="12.",LEFT(E82,3)="12.",LEFT(E82,5)="CET &gt;",IFERROR(G82/$G$6,"")=0),NOT(AND(LEFT(E82,4)="12.8",IFERROR(G82/$G$6,"")&lt;&gt;0)),NOT(AND(LEFT(E82,5)="12.31",IFERROR(G82/$G$6,"")&lt;&gt;0)),NOT(AND(LEFT(E82,5)="12.32",IFERROR(G82/$G$6,"")&lt;&gt;0))),"", IFERROR(G82/$G$6,""))</f>
      </c>
      <c r="I82" s="73">
        <f>SUMIFS(
INDEX('ETPT Format DDG'!$A:$ZZ,,IFERROR(MATCH(E82,'ETPT Format DDG'!$2:$2,0),MATCH(C82,'ETPT Format DDG'!$2:$2,0))),
INDEX( 'ETPT Format DDG'!$A:$ZZ,,MATCH("Fonction agrégat",'ETPT Format DDG'!2:2,0)),"M-PLAC-ADD",
INDEX( 'ETPT Format DDG'!$A:$ZZ,,MATCH("Juridiction",'ETPT Format DDG'!2:2,0)),$A$3)</f>
      </c>
      <c r="J82" s="73">
        <f>SUMIFS(
INDEX('ETPT Format DDG'!$A:$ZZ,,IFERROR(MATCH(E82,'ETPT Format DDG'!$2:$2,0),MATCH(C82,'ETPT Format DDG'!$2:$2,0))),
INDEX( 'ETPT Format DDG'!$A:$ZZ,,MATCH("Fonction agrégat",'ETPT Format DDG'!2:2,0)),"M-PLAC-SUB",
INDEX( 'ETPT Format DDG'!$A:$ZZ,,MATCH("Juridiction",'ETPT Format DDG'!2:2,0)),$A$3)</f>
      </c>
      <c r="K82" s="73">
        <f>SUMIFS(
INDEX('ETPT Format DDG'!$A:$ZZ,,IFERROR(MATCH(E82,'ETPT Format DDG'!$2:$2,0),MATCH(C82,'ETPT Format DDG'!$2:$2,0))),
INDEX( 'ETPT Format DDG'!$A:$ZZ,,MATCH("Fonction agrégat",'ETPT Format DDG'!2:2,0)),"M-CONT",
INDEX( 'ETPT Format DDG'!$A:$ZZ,,MATCH("Juridiction",'ETPT Format DDG'!2:2,0)),$A$3,
INDEX( 'ETPT Format DDG'!$A:$ZZ,,MATCH("Catégorie",'ETPT Format DDG'!2:2,0)),"Magistrat")</f>
      </c>
      <c r="L82" s="71">
        <f>SUMIFS(
INDEX('ETPT Format DDG'!$A:$ZZ,,IFERROR(MATCH(E82,'ETPT Format DDG'!$2:$2,0),MATCH(C82,'ETPT Format DDG'!$2:$2,0))),
INDEX( 'ETPT Format DDG'!$A:$ZZ,,MATCH("Juridiction",'ETPT Format DDG'!2:2,0)),$A$3,
INDEX( 'ETPT Format DDG'!$A:$ZZ,,MATCH("Catégorie",'ETPT Format DDG'!2:2,0)),"Magistrat")</f>
      </c>
      <c r="M82" s="74">
        <f>IF(AND(OR(LEFT(C82,3)="12.",LEFT(E82,3)="12.",LEFT(E82,5)="CET &gt;", IFERROR(L82/$L$6,"")=0),NOT(AND(LEFT(E82,4)="12.8",IFERROR(G82/$G$6,"")&lt;&gt;0)),NOT(AND(LEFT(E82,5)="12.31",IFERROR(L82/$G$6,"")&lt;&gt;0)),NOT(AND(LEFT(E82,5)="12.32",IFERROR(L82/$G$6,"")&lt;&gt;0))),"", IFERROR(L82/$L$6,""))</f>
      </c>
      <c r="N82" s="73">
        <f>SUMIFS(
INDEX('ETPT Format DDG'!$A:$ZZ,,IFERROR(MATCH(E82,'ETPT Format DDG'!$2:$2,0),MATCH(C82,'ETPT Format DDG'!$2:$2,0))),
INDEX( 'ETPT Format DDG'!$A:$ZZ,,MATCH("Fonction agrégat",'ETPT Format DDG'!2:2,0)),"F-TIT",
INDEX( 'ETPT Format DDG'!$A:$ZZ,,MATCH("Juridiction",'ETPT Format DDG'!2:2,0)),$A$3)</f>
      </c>
      <c r="O82" s="72">
        <f>IF(AND(OR(LEFT(C82,3)="12.",LEFT(E82,3)="12.",LEFT(E82,5)="CET &gt;",IFERROR(N82/$N$6,"")=0),NOT(AND(LEFT(E82,4)="12.8",IFERROR(G82/$G$6,"")&lt;&gt;0)),NOT(AND(LEFT(E82,5)="12.31",IFERROR(N82/$G$6,"")&lt;&gt;0)),NOT(AND(LEFT(E82,5)="12.32",IFERROR(N82/$G$6,"")&lt;&gt;0))),"",IFERROR(N82/$N$6,""))</f>
      </c>
      <c r="P82" s="73">
        <f>SUMIFS(
INDEX('ETPT Format DDG'!$A:$FB,,IFERROR(MATCH(E82,'ETPT Format DDG'!$2:$2,0),MATCH(C82,'ETPT Format DDG'!$2:$2,0))),
INDEX( 'ETPT Format DDG'!$A:$ZZ,,MATCH("Fonction agrégat",'ETPT Format DDG'!2:2,0)),"F-PLAC-ADD",
INDEX( 'ETPT Format DDG'!$A:$ZZ,,MATCH("Juridiction",'ETPT Format DDG'!2:2,0)),$A$3)</f>
      </c>
      <c r="Q82" s="73">
        <f>SUMIFS(
INDEX('ETPT Format DDG'!$A:$FB,,IFERROR(MATCH(E82,'ETPT Format DDG'!$2:$2,0),MATCH(C82,'ETPT Format DDG'!$2:$2,0))),
INDEX( 'ETPT Format DDG'!$A:$ZZ,,MATCH("Fonction agrégat",'ETPT Format DDG'!2:2,0)),"F-PLAC-SUB",
INDEX( 'ETPT Format DDG'!$A:$ZZ,,MATCH("Juridiction",'ETPT Format DDG'!2:2,0)),$A$3)</f>
      </c>
      <c r="R82" s="73">
        <f>SUMIFS(
INDEX('ETPT Format DDG'!$A:$FB,,IFERROR(MATCH(E82,'ETPT Format DDG'!$2:$2,0),MATCH(C82,'ETPT Format DDG'!$2:$2,0))),
INDEX( 'ETPT Format DDG'!$A:$ZZ,,MATCH("Fonction agrégat",'ETPT Format DDG'!2:2,0)),"C",
'ETPT Format DDG'!$H:$H,"Greffe",
INDEX( 'ETPT Format DDG'!$A:$ZZ,,MATCH("Juridiction",'ETPT Format DDG'!2:2,0)),$A$3)</f>
      </c>
      <c r="S82" s="71">
        <f>SUMIFS(
INDEX('ETPT Format DDG'!$A:$FB,,IFERROR(MATCH(E82,'ETPT Format DDG'!$2:$2,0),MATCH(C82,'ETPT Format DDG'!$2:$2,0))),
INDEX( 'ETPT Format DDG'!$A:$ZZ,,MATCH("Catégorie",'ETPT Format DDG'!2:2,0)),"Greffe",
INDEX( 'ETPT Format DDG'!$A:$ZZ,,MATCH("Juridiction",'ETPT Format DDG'!2:2,0)),$A$3)</f>
      </c>
      <c r="T82" s="72">
        <f>IF(AND(OR(LEFT(C82,3)="12.",LEFT(E82,3)="12.",LEFT(E82,5)="CET &gt;",IFERROR(S82/$S$6,"")=0),NOT(AND(LEFT(E82,4)="12.8",IFERROR(G82/$G$6,"")&lt;&gt;0)),NOT(AND(LEFT(E82,5)="12.31",IFERROR(S82/$G$6,"")&lt;&gt;0)),NOT(AND(LEFT(E82,5)="12.32",IFERROR(S82/$G$6,"")&lt;&gt;0))),"", IFERROR(S82/$S$6,""))</f>
      </c>
      <c r="U82" s="71">
        <f>SUMIFS(
INDEX('ETPT Format DDG'!$A:$FB,,IFERROR(MATCH(E82,'ETPT Format DDG'!$2:$2,0),MATCH(C82,'ETPT Format DDG'!$2:$2,0))),
INDEX( 'ETPT Format DDG'!$A:$ZZ,,MATCH("Fonction agrégat",'ETPT Format DDG'!2:2,0)),"C",
INDEX( 'ETPT Format DDG'!$A:$ZZ,,MATCH("Juridiction",'ETPT Format DDG'!2:2,0)),$A$3,
INDEX( 'ETPT Format DDG'!$A:$ZZ,,MATCH("Catégorie",'ETPT Format DDG'!2:2,0)),"Autour du magistrat")</f>
      </c>
      <c r="V82" s="74">
        <f>IF(AND(OR(LEFT(C82,3)="12.",LEFT(E82,3)="12.",LEFT(E82,5)="CET &gt;",IFERROR(U82/$U$6,"")=0),NOT(AND(LEFT(E82,4)="12.8",IFERROR(G82/$G$6,"")&lt;&gt;0)),NOT(AND(LEFT(E82,5)="12.31",IFERROR(U82/$G$6,"")&lt;&gt;0)),NOT(AND(LEFT(E82,5)="12.32",IFERROR(U82/$G$6,"")&lt;&gt;0))),"", IFERROR(U82/$U$6,""))</f>
      </c>
    </row>
    <row r="83" ht="16" customHeight="1" spans="1:23" x14ac:dyDescent="0.25">
      <c r="A83" s="40"/>
      <c r="C83" s="68"/>
      <c r="D83" s="68"/>
      <c r="E83" s="69" t="s">
        <v>118</v>
      </c>
      <c r="F83" s="70" t="s">
        <v>118</v>
      </c>
      <c r="G83" s="71">
        <f>SUMIFS(
INDEX('ETPT Format DDG'!$A:$ZZ,,IFERROR(MATCH(E83,'ETPT Format DDG'!$2:$2,0),MATCH(C83,'ETPT Format DDG'!$2:$2,0))),
INDEX( 'ETPT Format DDG'!$A:$ZZ,,MATCH("Fonction agrégat",'ETPT Format DDG'!2:2,0)),"M-TIT",
INDEX( 'ETPT Format DDG'!$A:$ZZ,,MATCH("Juridiction",'ETPT Format DDG'!2:2,0)),$A$3)</f>
      </c>
      <c r="H83" s="72">
        <f>IF(AND(OR(LEFT(C83,3)="12.",LEFT(E83,3)="12.",LEFT(E83,5)="CET &gt;",IFERROR(G83/$G$6,"")=0),NOT(AND(LEFT(E83,4)="12.8",IFERROR(G83/$G$6,"")&lt;&gt;0)),NOT(AND(LEFT(E83,5)="12.31",IFERROR(G83/$G$6,"")&lt;&gt;0)),NOT(AND(LEFT(E83,5)="12.32",IFERROR(G83/$G$6,"")&lt;&gt;0))),"", IFERROR(G83/$G$6,""))</f>
      </c>
      <c r="I83" s="73">
        <f>SUMIFS(
INDEX('ETPT Format DDG'!$A:$ZZ,,IFERROR(MATCH(E83,'ETPT Format DDG'!$2:$2,0),MATCH(C83,'ETPT Format DDG'!$2:$2,0))),
INDEX( 'ETPT Format DDG'!$A:$ZZ,,MATCH("Fonction agrégat",'ETPT Format DDG'!2:2,0)),"M-PLAC-ADD",
INDEX( 'ETPT Format DDG'!$A:$ZZ,,MATCH("Juridiction",'ETPT Format DDG'!2:2,0)),$A$3)</f>
      </c>
      <c r="J83" s="73">
        <f>SUMIFS(
INDEX('ETPT Format DDG'!$A:$ZZ,,IFERROR(MATCH(E83,'ETPT Format DDG'!$2:$2,0),MATCH(C83,'ETPT Format DDG'!$2:$2,0))),
INDEX( 'ETPT Format DDG'!$A:$ZZ,,MATCH("Fonction agrégat",'ETPT Format DDG'!2:2,0)),"M-PLAC-SUB",
INDEX( 'ETPT Format DDG'!$A:$ZZ,,MATCH("Juridiction",'ETPT Format DDG'!2:2,0)),$A$3)</f>
      </c>
      <c r="K83" s="73">
        <f>SUMIFS(
INDEX('ETPT Format DDG'!$A:$ZZ,,IFERROR(MATCH(E83,'ETPT Format DDG'!$2:$2,0),MATCH(C83,'ETPT Format DDG'!$2:$2,0))),
INDEX( 'ETPT Format DDG'!$A:$ZZ,,MATCH("Fonction agrégat",'ETPT Format DDG'!2:2,0)),"M-CONT",
INDEX( 'ETPT Format DDG'!$A:$ZZ,,MATCH("Juridiction",'ETPT Format DDG'!2:2,0)),$A$3,
INDEX( 'ETPT Format DDG'!$A:$ZZ,,MATCH("Catégorie",'ETPT Format DDG'!2:2,0)),"Magistrat")</f>
      </c>
      <c r="L83" s="71">
        <f>SUMIFS(
INDEX('ETPT Format DDG'!$A:$ZZ,,IFERROR(MATCH(E83,'ETPT Format DDG'!$2:$2,0),MATCH(C83,'ETPT Format DDG'!$2:$2,0))),
INDEX( 'ETPT Format DDG'!$A:$ZZ,,MATCH("Juridiction",'ETPT Format DDG'!2:2,0)),$A$3,
INDEX( 'ETPT Format DDG'!$A:$ZZ,,MATCH("Catégorie",'ETPT Format DDG'!2:2,0)),"Magistrat")</f>
      </c>
      <c r="M83" s="74">
        <f>IF(AND(OR(LEFT(C83,3)="12.",LEFT(E83,3)="12.",LEFT(E83,5)="CET &gt;", IFERROR(L83/$L$6,"")=0),NOT(AND(LEFT(E83,4)="12.8",IFERROR(G83/$G$6,"")&lt;&gt;0)),NOT(AND(LEFT(E83,5)="12.31",IFERROR(L83/$G$6,"")&lt;&gt;0)),NOT(AND(LEFT(E83,5)="12.32",IFERROR(L83/$G$6,"")&lt;&gt;0))),"", IFERROR(L83/$L$6,""))</f>
      </c>
      <c r="N83" s="73">
        <f>SUMIFS(
INDEX('ETPT Format DDG'!$A:$ZZ,,IFERROR(MATCH(E83,'ETPT Format DDG'!$2:$2,0),MATCH(C83,'ETPT Format DDG'!$2:$2,0))),
INDEX( 'ETPT Format DDG'!$A:$ZZ,,MATCH("Fonction agrégat",'ETPT Format DDG'!2:2,0)),"F-TIT",
INDEX( 'ETPT Format DDG'!$A:$ZZ,,MATCH("Juridiction",'ETPT Format DDG'!2:2,0)),$A$3)</f>
      </c>
      <c r="O83" s="72">
        <f>IF(AND(OR(LEFT(C83,3)="12.",LEFT(E83,3)="12.",LEFT(E83,5)="CET &gt;",IFERROR(N83/$N$6,"")=0),NOT(AND(LEFT(E83,4)="12.8",IFERROR(G83/$G$6,"")&lt;&gt;0)),NOT(AND(LEFT(E83,5)="12.31",IFERROR(N83/$G$6,"")&lt;&gt;0)),NOT(AND(LEFT(E83,5)="12.32",IFERROR(N83/$G$6,"")&lt;&gt;0))),"",IFERROR(N83/$N$6,""))</f>
      </c>
      <c r="P83" s="73">
        <f>SUMIFS(
INDEX('ETPT Format DDG'!$A:$FB,,IFERROR(MATCH(E83,'ETPT Format DDG'!$2:$2,0),MATCH(C83,'ETPT Format DDG'!$2:$2,0))),
INDEX( 'ETPT Format DDG'!$A:$ZZ,,MATCH("Fonction agrégat",'ETPT Format DDG'!2:2,0)),"F-PLAC-ADD",
INDEX( 'ETPT Format DDG'!$A:$ZZ,,MATCH("Juridiction",'ETPT Format DDG'!2:2,0)),$A$3)</f>
      </c>
      <c r="Q83" s="73">
        <f>SUMIFS(
INDEX('ETPT Format DDG'!$A:$FB,,IFERROR(MATCH(E83,'ETPT Format DDG'!$2:$2,0),MATCH(C83,'ETPT Format DDG'!$2:$2,0))),
INDEX( 'ETPT Format DDG'!$A:$ZZ,,MATCH("Fonction agrégat",'ETPT Format DDG'!2:2,0)),"F-PLAC-SUB",
INDEX( 'ETPT Format DDG'!$A:$ZZ,,MATCH("Juridiction",'ETPT Format DDG'!2:2,0)),$A$3)</f>
      </c>
      <c r="R83" s="73">
        <f>SUMIFS(
INDEX('ETPT Format DDG'!$A:$FB,,IFERROR(MATCH(E83,'ETPT Format DDG'!$2:$2,0),MATCH(C83,'ETPT Format DDG'!$2:$2,0))),
INDEX( 'ETPT Format DDG'!$A:$ZZ,,MATCH("Fonction agrégat",'ETPT Format DDG'!2:2,0)),"C",
'ETPT Format DDG'!$H:$H,"Greffe",
INDEX( 'ETPT Format DDG'!$A:$ZZ,,MATCH("Juridiction",'ETPT Format DDG'!2:2,0)),$A$3)</f>
      </c>
      <c r="S83" s="71">
        <f>SUMIFS(
INDEX('ETPT Format DDG'!$A:$FB,,IFERROR(MATCH(E83,'ETPT Format DDG'!$2:$2,0),MATCH(C83,'ETPT Format DDG'!$2:$2,0))),
INDEX( 'ETPT Format DDG'!$A:$ZZ,,MATCH("Catégorie",'ETPT Format DDG'!2:2,0)),"Greffe",
INDEX( 'ETPT Format DDG'!$A:$ZZ,,MATCH("Juridiction",'ETPT Format DDG'!2:2,0)),$A$3)</f>
      </c>
      <c r="T83" s="72">
        <f>IF(AND(OR(LEFT(C83,3)="12.",LEFT(E83,3)="12.",LEFT(E83,5)="CET &gt;",IFERROR(S83/$S$6,"")=0),NOT(AND(LEFT(E83,4)="12.8",IFERROR(G83/$G$6,"")&lt;&gt;0)),NOT(AND(LEFT(E83,5)="12.31",IFERROR(S83/$G$6,"")&lt;&gt;0)),NOT(AND(LEFT(E83,5)="12.32",IFERROR(S83/$G$6,"")&lt;&gt;0))),"", IFERROR(S83/$S$6,""))</f>
      </c>
      <c r="U83" s="71">
        <f>SUMIFS(
INDEX('ETPT Format DDG'!$A:$FB,,IFERROR(MATCH(E83,'ETPT Format DDG'!$2:$2,0),MATCH(C83,'ETPT Format DDG'!$2:$2,0))),
INDEX( 'ETPT Format DDG'!$A:$ZZ,,MATCH("Fonction agrégat",'ETPT Format DDG'!2:2,0)),"C",
INDEX( 'ETPT Format DDG'!$A:$ZZ,,MATCH("Juridiction",'ETPT Format DDG'!2:2,0)),$A$3,
INDEX( 'ETPT Format DDG'!$A:$ZZ,,MATCH("Catégorie",'ETPT Format DDG'!2:2,0)),"Autour du magistrat")</f>
      </c>
      <c r="V83" s="74">
        <f>IF(AND(OR(LEFT(C83,3)="12.",LEFT(E83,3)="12.",LEFT(E83,5)="CET &gt;",IFERROR(U83/$U$6,"")=0),NOT(AND(LEFT(E83,4)="12.8",IFERROR(G83/$G$6,"")&lt;&gt;0)),NOT(AND(LEFT(E83,5)="12.31",IFERROR(U83/$G$6,"")&lt;&gt;0)),NOT(AND(LEFT(E83,5)="12.32",IFERROR(U83/$G$6,"")&lt;&gt;0))),"", IFERROR(U83/$U$6,""))</f>
      </c>
    </row>
    <row r="84" ht="16" customHeight="1" spans="1:23" x14ac:dyDescent="0.25">
      <c r="A84" s="40"/>
      <c r="C84" s="68"/>
      <c r="D84" s="68"/>
      <c r="E84" s="69" t="s">
        <v>119</v>
      </c>
      <c r="F84" s="70" t="s">
        <v>119</v>
      </c>
      <c r="G84" s="71">
        <f>SUMIFS(
INDEX('ETPT Format DDG'!$A:$ZZ,,IFERROR(MATCH(E84,'ETPT Format DDG'!$2:$2,0),MATCH(C84,'ETPT Format DDG'!$2:$2,0))),
INDEX( 'ETPT Format DDG'!$A:$ZZ,,MATCH("Fonction agrégat",'ETPT Format DDG'!2:2,0)),"M-TIT",
INDEX( 'ETPT Format DDG'!$A:$ZZ,,MATCH("Juridiction",'ETPT Format DDG'!2:2,0)),$A$3)</f>
      </c>
      <c r="H84" s="72">
        <f>IF(AND(OR(LEFT(C84,3)="12.",LEFT(E84,3)="12.",LEFT(E84,5)="CET &gt;",IFERROR(G84/$G$6,"")=0),NOT(AND(LEFT(E84,4)="12.8",IFERROR(G84/$G$6,"")&lt;&gt;0)),NOT(AND(LEFT(E84,5)="12.31",IFERROR(G84/$G$6,"")&lt;&gt;0)),NOT(AND(LEFT(E84,5)="12.32",IFERROR(G84/$G$6,"")&lt;&gt;0))),"", IFERROR(G84/$G$6,""))</f>
      </c>
      <c r="I84" s="73">
        <f>SUMIFS(
INDEX('ETPT Format DDG'!$A:$ZZ,,IFERROR(MATCH(E84,'ETPT Format DDG'!$2:$2,0),MATCH(C84,'ETPT Format DDG'!$2:$2,0))),
INDEX( 'ETPT Format DDG'!$A:$ZZ,,MATCH("Fonction agrégat",'ETPT Format DDG'!2:2,0)),"M-PLAC-ADD",
INDEX( 'ETPT Format DDG'!$A:$ZZ,,MATCH("Juridiction",'ETPT Format DDG'!2:2,0)),$A$3)</f>
      </c>
      <c r="J84" s="73">
        <f>SUMIFS(
INDEX('ETPT Format DDG'!$A:$ZZ,,IFERROR(MATCH(E84,'ETPT Format DDG'!$2:$2,0),MATCH(C84,'ETPT Format DDG'!$2:$2,0))),
INDEX( 'ETPT Format DDG'!$A:$ZZ,,MATCH("Fonction agrégat",'ETPT Format DDG'!2:2,0)),"M-PLAC-SUB",
INDEX( 'ETPT Format DDG'!$A:$ZZ,,MATCH("Juridiction",'ETPT Format DDG'!2:2,0)),$A$3)</f>
      </c>
      <c r="K84" s="73">
        <f>SUMIFS(
INDEX('ETPT Format DDG'!$A:$ZZ,,IFERROR(MATCH(E84,'ETPT Format DDG'!$2:$2,0),MATCH(C84,'ETPT Format DDG'!$2:$2,0))),
INDEX( 'ETPT Format DDG'!$A:$ZZ,,MATCH("Fonction agrégat",'ETPT Format DDG'!2:2,0)),"M-CONT",
INDEX( 'ETPT Format DDG'!$A:$ZZ,,MATCH("Juridiction",'ETPT Format DDG'!2:2,0)),$A$3,
INDEX( 'ETPT Format DDG'!$A:$ZZ,,MATCH("Catégorie",'ETPT Format DDG'!2:2,0)),"Magistrat")</f>
      </c>
      <c r="L84" s="71">
        <f>SUMIFS(
INDEX('ETPT Format DDG'!$A:$ZZ,,IFERROR(MATCH(E84,'ETPT Format DDG'!$2:$2,0),MATCH(C84,'ETPT Format DDG'!$2:$2,0))),
INDEX( 'ETPT Format DDG'!$A:$ZZ,,MATCH("Juridiction",'ETPT Format DDG'!2:2,0)),$A$3,
INDEX( 'ETPT Format DDG'!$A:$ZZ,,MATCH("Catégorie",'ETPT Format DDG'!2:2,0)),"Magistrat")</f>
      </c>
      <c r="M84" s="74">
        <f>IF(AND(OR(LEFT(C84,3)="12.",LEFT(E84,3)="12.",LEFT(E84,5)="CET &gt;", IFERROR(L84/$L$6,"")=0),NOT(AND(LEFT(E84,4)="12.8",IFERROR(G84/$G$6,"")&lt;&gt;0)),NOT(AND(LEFT(E84,5)="12.31",IFERROR(L84/$G$6,"")&lt;&gt;0)),NOT(AND(LEFT(E84,5)="12.32",IFERROR(L84/$G$6,"")&lt;&gt;0))),"", IFERROR(L84/$L$6,""))</f>
      </c>
      <c r="N84" s="73">
        <f>SUMIFS(
INDEX('ETPT Format DDG'!$A:$ZZ,,IFERROR(MATCH(E84,'ETPT Format DDG'!$2:$2,0),MATCH(C84,'ETPT Format DDG'!$2:$2,0))),
INDEX( 'ETPT Format DDG'!$A:$ZZ,,MATCH("Fonction agrégat",'ETPT Format DDG'!2:2,0)),"F-TIT",
INDEX( 'ETPT Format DDG'!$A:$ZZ,,MATCH("Juridiction",'ETPT Format DDG'!2:2,0)),$A$3)</f>
      </c>
      <c r="O84" s="72">
        <f>IF(AND(OR(LEFT(C84,3)="12.",LEFT(E84,3)="12.",LEFT(E84,5)="CET &gt;",IFERROR(N84/$N$6,"")=0),NOT(AND(LEFT(E84,4)="12.8",IFERROR(G84/$G$6,"")&lt;&gt;0)),NOT(AND(LEFT(E84,5)="12.31",IFERROR(N84/$G$6,"")&lt;&gt;0)),NOT(AND(LEFT(E84,5)="12.32",IFERROR(N84/$G$6,"")&lt;&gt;0))),"",IFERROR(N84/$N$6,""))</f>
      </c>
      <c r="P84" s="73">
        <f>SUMIFS(
INDEX('ETPT Format DDG'!$A:$FB,,IFERROR(MATCH(E84,'ETPT Format DDG'!$2:$2,0),MATCH(C84,'ETPT Format DDG'!$2:$2,0))),
INDEX( 'ETPT Format DDG'!$A:$ZZ,,MATCH("Fonction agrégat",'ETPT Format DDG'!2:2,0)),"F-PLAC-ADD",
INDEX( 'ETPT Format DDG'!$A:$ZZ,,MATCH("Juridiction",'ETPT Format DDG'!2:2,0)),$A$3)</f>
      </c>
      <c r="Q84" s="73">
        <f>SUMIFS(
INDEX('ETPT Format DDG'!$A:$FB,,IFERROR(MATCH(E84,'ETPT Format DDG'!$2:$2,0),MATCH(C84,'ETPT Format DDG'!$2:$2,0))),
INDEX( 'ETPT Format DDG'!$A:$ZZ,,MATCH("Fonction agrégat",'ETPT Format DDG'!2:2,0)),"F-PLAC-SUB",
INDEX( 'ETPT Format DDG'!$A:$ZZ,,MATCH("Juridiction",'ETPT Format DDG'!2:2,0)),$A$3)</f>
      </c>
      <c r="R84" s="73">
        <f>SUMIFS(
INDEX('ETPT Format DDG'!$A:$FB,,IFERROR(MATCH(E84,'ETPT Format DDG'!$2:$2,0),MATCH(C84,'ETPT Format DDG'!$2:$2,0))),
INDEX( 'ETPT Format DDG'!$A:$ZZ,,MATCH("Fonction agrégat",'ETPT Format DDG'!2:2,0)),"C",
'ETPT Format DDG'!$H:$H,"Greffe",
INDEX( 'ETPT Format DDG'!$A:$ZZ,,MATCH("Juridiction",'ETPT Format DDG'!2:2,0)),$A$3)</f>
      </c>
      <c r="S84" s="71">
        <f>SUMIFS(
INDEX('ETPT Format DDG'!$A:$FB,,IFERROR(MATCH(E84,'ETPT Format DDG'!$2:$2,0),MATCH(C84,'ETPT Format DDG'!$2:$2,0))),
INDEX( 'ETPT Format DDG'!$A:$ZZ,,MATCH("Catégorie",'ETPT Format DDG'!2:2,0)),"Greffe",
INDEX( 'ETPT Format DDG'!$A:$ZZ,,MATCH("Juridiction",'ETPT Format DDG'!2:2,0)),$A$3)</f>
      </c>
      <c r="T84" s="72">
        <f>IF(AND(OR(LEFT(C84,3)="12.",LEFT(E84,3)="12.",LEFT(E84,5)="CET &gt;",IFERROR(S84/$S$6,"")=0),NOT(AND(LEFT(E84,4)="12.8",IFERROR(G84/$G$6,"")&lt;&gt;0)),NOT(AND(LEFT(E84,5)="12.31",IFERROR(S84/$G$6,"")&lt;&gt;0)),NOT(AND(LEFT(E84,5)="12.32",IFERROR(S84/$G$6,"")&lt;&gt;0))),"", IFERROR(S84/$S$6,""))</f>
      </c>
      <c r="U84" s="71">
        <f>SUMIFS(
INDEX('ETPT Format DDG'!$A:$FB,,IFERROR(MATCH(E84,'ETPT Format DDG'!$2:$2,0),MATCH(C84,'ETPT Format DDG'!$2:$2,0))),
INDEX( 'ETPT Format DDG'!$A:$ZZ,,MATCH("Fonction agrégat",'ETPT Format DDG'!2:2,0)),"C",
INDEX( 'ETPT Format DDG'!$A:$ZZ,,MATCH("Juridiction",'ETPT Format DDG'!2:2,0)),$A$3,
INDEX( 'ETPT Format DDG'!$A:$ZZ,,MATCH("Catégorie",'ETPT Format DDG'!2:2,0)),"Autour du magistrat")</f>
      </c>
      <c r="V84" s="74">
        <f>IF(AND(OR(LEFT(C84,3)="12.",LEFT(E84,3)="12.",LEFT(E84,5)="CET &gt;",IFERROR(U84/$U$6,"")=0),NOT(AND(LEFT(E84,4)="12.8",IFERROR(G84/$G$6,"")&lt;&gt;0)),NOT(AND(LEFT(E84,5)="12.31",IFERROR(U84/$G$6,"")&lt;&gt;0)),NOT(AND(LEFT(E84,5)="12.32",IFERROR(U84/$G$6,"")&lt;&gt;0))),"", IFERROR(U84/$U$6,""))</f>
      </c>
    </row>
    <row r="85" ht="16" customHeight="1" spans="1:23" x14ac:dyDescent="0.25">
      <c r="A85" s="40"/>
      <c r="C85" s="68"/>
      <c r="D85" s="68"/>
      <c r="E85" s="69" t="s">
        <v>120</v>
      </c>
      <c r="F85" s="70" t="s">
        <v>120</v>
      </c>
      <c r="G85" s="71">
        <f>SUMIFS(
INDEX('ETPT Format DDG'!$A:$ZZ,,IFERROR(MATCH(E85,'ETPT Format DDG'!$2:$2,0),MATCH(C85,'ETPT Format DDG'!$2:$2,0))),
INDEX( 'ETPT Format DDG'!$A:$ZZ,,MATCH("Fonction agrégat",'ETPT Format DDG'!2:2,0)),"M-TIT",
INDEX( 'ETPT Format DDG'!$A:$ZZ,,MATCH("Juridiction",'ETPT Format DDG'!2:2,0)),$A$3)</f>
      </c>
      <c r="H85" s="72">
        <f>IF(AND(OR(LEFT(C85,3)="12.",LEFT(E85,3)="12.",LEFT(E85,5)="CET &gt;",IFERROR(G85/$G$6,"")=0),NOT(AND(LEFT(E85,4)="12.8",IFERROR(G85/$G$6,"")&lt;&gt;0)),NOT(AND(LEFT(E85,5)="12.31",IFERROR(G85/$G$6,"")&lt;&gt;0)),NOT(AND(LEFT(E85,5)="12.32",IFERROR(G85/$G$6,"")&lt;&gt;0))),"", IFERROR(G85/$G$6,""))</f>
      </c>
      <c r="I85" s="73">
        <f>SUMIFS(
INDEX('ETPT Format DDG'!$A:$ZZ,,IFERROR(MATCH(E85,'ETPT Format DDG'!$2:$2,0),MATCH(C85,'ETPT Format DDG'!$2:$2,0))),
INDEX( 'ETPT Format DDG'!$A:$ZZ,,MATCH("Fonction agrégat",'ETPT Format DDG'!2:2,0)),"M-PLAC-ADD",
INDEX( 'ETPT Format DDG'!$A:$ZZ,,MATCH("Juridiction",'ETPT Format DDG'!2:2,0)),$A$3)</f>
      </c>
      <c r="J85" s="73">
        <f>SUMIFS(
INDEX('ETPT Format DDG'!$A:$ZZ,,IFERROR(MATCH(E85,'ETPT Format DDG'!$2:$2,0),MATCH(C85,'ETPT Format DDG'!$2:$2,0))),
INDEX( 'ETPT Format DDG'!$A:$ZZ,,MATCH("Fonction agrégat",'ETPT Format DDG'!2:2,0)),"M-PLAC-SUB",
INDEX( 'ETPT Format DDG'!$A:$ZZ,,MATCH("Juridiction",'ETPT Format DDG'!2:2,0)),$A$3)</f>
      </c>
      <c r="K85" s="73">
        <f>SUMIFS(
INDEX('ETPT Format DDG'!$A:$ZZ,,IFERROR(MATCH(E85,'ETPT Format DDG'!$2:$2,0),MATCH(C85,'ETPT Format DDG'!$2:$2,0))),
INDEX( 'ETPT Format DDG'!$A:$ZZ,,MATCH("Fonction agrégat",'ETPT Format DDG'!2:2,0)),"M-CONT",
INDEX( 'ETPT Format DDG'!$A:$ZZ,,MATCH("Juridiction",'ETPT Format DDG'!2:2,0)),$A$3,
INDEX( 'ETPT Format DDG'!$A:$ZZ,,MATCH("Catégorie",'ETPT Format DDG'!2:2,0)),"Magistrat")</f>
      </c>
      <c r="L85" s="71">
        <f>SUMIFS(
INDEX('ETPT Format DDG'!$A:$ZZ,,IFERROR(MATCH(E85,'ETPT Format DDG'!$2:$2,0),MATCH(C85,'ETPT Format DDG'!$2:$2,0))),
INDEX( 'ETPT Format DDG'!$A:$ZZ,,MATCH("Juridiction",'ETPT Format DDG'!2:2,0)),$A$3,
INDEX( 'ETPT Format DDG'!$A:$ZZ,,MATCH("Catégorie",'ETPT Format DDG'!2:2,0)),"Magistrat")</f>
      </c>
      <c r="M85" s="74">
        <f>IF(AND(OR(LEFT(C85,3)="12.",LEFT(E85,3)="12.",LEFT(E85,5)="CET &gt;", IFERROR(L85/$L$6,"")=0),NOT(AND(LEFT(E85,4)="12.8",IFERROR(G85/$G$6,"")&lt;&gt;0)),NOT(AND(LEFT(E85,5)="12.31",IFERROR(L85/$G$6,"")&lt;&gt;0)),NOT(AND(LEFT(E85,5)="12.32",IFERROR(L85/$G$6,"")&lt;&gt;0))),"", IFERROR(L85/$L$6,""))</f>
      </c>
      <c r="N85" s="73">
        <f>SUMIFS(
INDEX('ETPT Format DDG'!$A:$ZZ,,IFERROR(MATCH(E85,'ETPT Format DDG'!$2:$2,0),MATCH(C85,'ETPT Format DDG'!$2:$2,0))),
INDEX( 'ETPT Format DDG'!$A:$ZZ,,MATCH("Fonction agrégat",'ETPT Format DDG'!2:2,0)),"F-TIT",
INDEX( 'ETPT Format DDG'!$A:$ZZ,,MATCH("Juridiction",'ETPT Format DDG'!2:2,0)),$A$3)</f>
      </c>
      <c r="O85" s="72">
        <f>IF(AND(OR(LEFT(C85,3)="12.",LEFT(E85,3)="12.",LEFT(E85,5)="CET &gt;",IFERROR(N85/$N$6,"")=0),NOT(AND(LEFT(E85,4)="12.8",IFERROR(G85/$G$6,"")&lt;&gt;0)),NOT(AND(LEFT(E85,5)="12.31",IFERROR(N85/$G$6,"")&lt;&gt;0)),NOT(AND(LEFT(E85,5)="12.32",IFERROR(N85/$G$6,"")&lt;&gt;0))),"",IFERROR(N85/$N$6,""))</f>
      </c>
      <c r="P85" s="73">
        <f>SUMIFS(
INDEX('ETPT Format DDG'!$A:$FB,,IFERROR(MATCH(E85,'ETPT Format DDG'!$2:$2,0),MATCH(C85,'ETPT Format DDG'!$2:$2,0))),
INDEX( 'ETPT Format DDG'!$A:$ZZ,,MATCH("Fonction agrégat",'ETPT Format DDG'!2:2,0)),"F-PLAC-ADD",
INDEX( 'ETPT Format DDG'!$A:$ZZ,,MATCH("Juridiction",'ETPT Format DDG'!2:2,0)),$A$3)</f>
      </c>
      <c r="Q85" s="73">
        <f>SUMIFS(
INDEX('ETPT Format DDG'!$A:$FB,,IFERROR(MATCH(E85,'ETPT Format DDG'!$2:$2,0),MATCH(C85,'ETPT Format DDG'!$2:$2,0))),
INDEX( 'ETPT Format DDG'!$A:$ZZ,,MATCH("Fonction agrégat",'ETPT Format DDG'!2:2,0)),"F-PLAC-SUB",
INDEX( 'ETPT Format DDG'!$A:$ZZ,,MATCH("Juridiction",'ETPT Format DDG'!2:2,0)),$A$3)</f>
      </c>
      <c r="R85" s="73">
        <f>SUMIFS(
INDEX('ETPT Format DDG'!$A:$FB,,IFERROR(MATCH(E85,'ETPT Format DDG'!$2:$2,0),MATCH(C85,'ETPT Format DDG'!$2:$2,0))),
INDEX( 'ETPT Format DDG'!$A:$ZZ,,MATCH("Fonction agrégat",'ETPT Format DDG'!2:2,0)),"C",
'ETPT Format DDG'!$H:$H,"Greffe",
INDEX( 'ETPT Format DDG'!$A:$ZZ,,MATCH("Juridiction",'ETPT Format DDG'!2:2,0)),$A$3)</f>
      </c>
      <c r="S85" s="71">
        <f>SUMIFS(
INDEX('ETPT Format DDG'!$A:$FB,,IFERROR(MATCH(E85,'ETPT Format DDG'!$2:$2,0),MATCH(C85,'ETPT Format DDG'!$2:$2,0))),
INDEX( 'ETPT Format DDG'!$A:$ZZ,,MATCH("Catégorie",'ETPT Format DDG'!2:2,0)),"Greffe",
INDEX( 'ETPT Format DDG'!$A:$ZZ,,MATCH("Juridiction",'ETPT Format DDG'!2:2,0)),$A$3)</f>
      </c>
      <c r="T85" s="72">
        <f>IF(AND(OR(LEFT(C85,3)="12.",LEFT(E85,3)="12.",LEFT(E85,5)="CET &gt;",IFERROR(S85/$S$6,"")=0),NOT(AND(LEFT(E85,4)="12.8",IFERROR(G85/$G$6,"")&lt;&gt;0)),NOT(AND(LEFT(E85,5)="12.31",IFERROR(S85/$G$6,"")&lt;&gt;0)),NOT(AND(LEFT(E85,5)="12.32",IFERROR(S85/$G$6,"")&lt;&gt;0))),"", IFERROR(S85/$S$6,""))</f>
      </c>
      <c r="U85" s="71">
        <f>SUMIFS(
INDEX('ETPT Format DDG'!$A:$FB,,IFERROR(MATCH(E85,'ETPT Format DDG'!$2:$2,0),MATCH(C85,'ETPT Format DDG'!$2:$2,0))),
INDEX( 'ETPT Format DDG'!$A:$ZZ,,MATCH("Fonction agrégat",'ETPT Format DDG'!2:2,0)),"C",
INDEX( 'ETPT Format DDG'!$A:$ZZ,,MATCH("Juridiction",'ETPT Format DDG'!2:2,0)),$A$3,
INDEX( 'ETPT Format DDG'!$A:$ZZ,,MATCH("Catégorie",'ETPT Format DDG'!2:2,0)),"Autour du magistrat")</f>
      </c>
      <c r="V85" s="74">
        <f>IF(AND(OR(LEFT(C85,3)="12.",LEFT(E85,3)="12.",LEFT(E85,5)="CET &gt;",IFERROR(U85/$U$6,"")=0),NOT(AND(LEFT(E85,4)="12.8",IFERROR(G85/$G$6,"")&lt;&gt;0)),NOT(AND(LEFT(E85,5)="12.31",IFERROR(U85/$G$6,"")&lt;&gt;0)),NOT(AND(LEFT(E85,5)="12.32",IFERROR(U85/$G$6,"")&lt;&gt;0))),"", IFERROR(U85/$U$6,""))</f>
      </c>
    </row>
    <row r="86" ht="16" customHeight="1" spans="1:23" x14ac:dyDescent="0.25">
      <c r="A86" s="40"/>
      <c r="C86" s="68"/>
      <c r="D86" s="68"/>
      <c r="E86" s="69" t="s">
        <v>121</v>
      </c>
      <c r="F86" s="70" t="s">
        <v>121</v>
      </c>
      <c r="G86" s="71">
        <f>SUMIFS(
INDEX('ETPT Format DDG'!$A:$ZZ,,IFERROR(MATCH(E86,'ETPT Format DDG'!$2:$2,0),MATCH(C86,'ETPT Format DDG'!$2:$2,0))),
INDEX( 'ETPT Format DDG'!$A:$ZZ,,MATCH("Fonction agrégat",'ETPT Format DDG'!2:2,0)),"M-TIT",
INDEX( 'ETPT Format DDG'!$A:$ZZ,,MATCH("Juridiction",'ETPT Format DDG'!2:2,0)),$A$3)</f>
      </c>
      <c r="H86" s="72">
        <f>IF(AND(OR(LEFT(C86,3)="12.",LEFT(E86,3)="12.",LEFT(E86,5)="CET &gt;",IFERROR(G86/$G$6,"")=0),NOT(AND(LEFT(E86,4)="12.8",IFERROR(G86/$G$6,"")&lt;&gt;0)),NOT(AND(LEFT(E86,5)="12.31",IFERROR(G86/$G$6,"")&lt;&gt;0)),NOT(AND(LEFT(E86,5)="12.32",IFERROR(G86/$G$6,"")&lt;&gt;0))),"", IFERROR(G86/$G$6,""))</f>
      </c>
      <c r="I86" s="73">
        <f>SUMIFS(
INDEX('ETPT Format DDG'!$A:$ZZ,,IFERROR(MATCH(E86,'ETPT Format DDG'!$2:$2,0),MATCH(C86,'ETPT Format DDG'!$2:$2,0))),
INDEX( 'ETPT Format DDG'!$A:$ZZ,,MATCH("Fonction agrégat",'ETPT Format DDG'!2:2,0)),"M-PLAC-ADD",
INDEX( 'ETPT Format DDG'!$A:$ZZ,,MATCH("Juridiction",'ETPT Format DDG'!2:2,0)),$A$3)</f>
      </c>
      <c r="J86" s="73">
        <f>SUMIFS(
INDEX('ETPT Format DDG'!$A:$ZZ,,IFERROR(MATCH(E86,'ETPT Format DDG'!$2:$2,0),MATCH(C86,'ETPT Format DDG'!$2:$2,0))),
INDEX( 'ETPT Format DDG'!$A:$ZZ,,MATCH("Fonction agrégat",'ETPT Format DDG'!2:2,0)),"M-PLAC-SUB",
INDEX( 'ETPT Format DDG'!$A:$ZZ,,MATCH("Juridiction",'ETPT Format DDG'!2:2,0)),$A$3)</f>
      </c>
      <c r="K86" s="73">
        <f>SUMIFS(
INDEX('ETPT Format DDG'!$A:$ZZ,,IFERROR(MATCH(E86,'ETPT Format DDG'!$2:$2,0),MATCH(C86,'ETPT Format DDG'!$2:$2,0))),
INDEX( 'ETPT Format DDG'!$A:$ZZ,,MATCH("Fonction agrégat",'ETPT Format DDG'!2:2,0)),"M-CONT",
INDEX( 'ETPT Format DDG'!$A:$ZZ,,MATCH("Juridiction",'ETPT Format DDG'!2:2,0)),$A$3,
INDEX( 'ETPT Format DDG'!$A:$ZZ,,MATCH("Catégorie",'ETPT Format DDG'!2:2,0)),"Magistrat")</f>
      </c>
      <c r="L86" s="71">
        <f>SUMIFS(
INDEX('ETPT Format DDG'!$A:$ZZ,,IFERROR(MATCH(E86,'ETPT Format DDG'!$2:$2,0),MATCH(C86,'ETPT Format DDG'!$2:$2,0))),
INDEX( 'ETPT Format DDG'!$A:$ZZ,,MATCH("Juridiction",'ETPT Format DDG'!2:2,0)),$A$3,
INDEX( 'ETPT Format DDG'!$A:$ZZ,,MATCH("Catégorie",'ETPT Format DDG'!2:2,0)),"Magistrat")</f>
      </c>
      <c r="M86" s="74">
        <f>IF(AND(OR(LEFT(C86,3)="12.",LEFT(E86,3)="12.",LEFT(E86,5)="CET &gt;", IFERROR(L86/$L$6,"")=0),NOT(AND(LEFT(E86,4)="12.8",IFERROR(G86/$G$6,"")&lt;&gt;0)),NOT(AND(LEFT(E86,5)="12.31",IFERROR(L86/$G$6,"")&lt;&gt;0)),NOT(AND(LEFT(E86,5)="12.32",IFERROR(L86/$G$6,"")&lt;&gt;0))),"", IFERROR(L86/$L$6,""))</f>
      </c>
      <c r="N86" s="73">
        <f>SUMIFS(
INDEX('ETPT Format DDG'!$A:$ZZ,,IFERROR(MATCH(E86,'ETPT Format DDG'!$2:$2,0),MATCH(C86,'ETPT Format DDG'!$2:$2,0))),
INDEX( 'ETPT Format DDG'!$A:$ZZ,,MATCH("Fonction agrégat",'ETPT Format DDG'!2:2,0)),"F-TIT",
INDEX( 'ETPT Format DDG'!$A:$ZZ,,MATCH("Juridiction",'ETPT Format DDG'!2:2,0)),$A$3)</f>
      </c>
      <c r="O86" s="72">
        <f>IF(AND(OR(LEFT(C86,3)="12.",LEFT(E86,3)="12.",LEFT(E86,5)="CET &gt;",IFERROR(N86/$N$6,"")=0),NOT(AND(LEFT(E86,4)="12.8",IFERROR(G86/$G$6,"")&lt;&gt;0)),NOT(AND(LEFT(E86,5)="12.31",IFERROR(N86/$G$6,"")&lt;&gt;0)),NOT(AND(LEFT(E86,5)="12.32",IFERROR(N86/$G$6,"")&lt;&gt;0))),"",IFERROR(N86/$N$6,""))</f>
      </c>
      <c r="P86" s="73">
        <f>SUMIFS(
INDEX('ETPT Format DDG'!$A:$FB,,IFERROR(MATCH(E86,'ETPT Format DDG'!$2:$2,0),MATCH(C86,'ETPT Format DDG'!$2:$2,0))),
INDEX( 'ETPT Format DDG'!$A:$ZZ,,MATCH("Fonction agrégat",'ETPT Format DDG'!2:2,0)),"F-PLAC-ADD",
INDEX( 'ETPT Format DDG'!$A:$ZZ,,MATCH("Juridiction",'ETPT Format DDG'!2:2,0)),$A$3)</f>
      </c>
      <c r="Q86" s="73">
        <f>SUMIFS(
INDEX('ETPT Format DDG'!$A:$FB,,IFERROR(MATCH(E86,'ETPT Format DDG'!$2:$2,0),MATCH(C86,'ETPT Format DDG'!$2:$2,0))),
INDEX( 'ETPT Format DDG'!$A:$ZZ,,MATCH("Fonction agrégat",'ETPT Format DDG'!2:2,0)),"F-PLAC-SUB",
INDEX( 'ETPT Format DDG'!$A:$ZZ,,MATCH("Juridiction",'ETPT Format DDG'!2:2,0)),$A$3)</f>
      </c>
      <c r="R86" s="73">
        <f>SUMIFS(
INDEX('ETPT Format DDG'!$A:$FB,,IFERROR(MATCH(E86,'ETPT Format DDG'!$2:$2,0),MATCH(C86,'ETPT Format DDG'!$2:$2,0))),
INDEX( 'ETPT Format DDG'!$A:$ZZ,,MATCH("Fonction agrégat",'ETPT Format DDG'!2:2,0)),"C",
'ETPT Format DDG'!$H:$H,"Greffe",
INDEX( 'ETPT Format DDG'!$A:$ZZ,,MATCH("Juridiction",'ETPT Format DDG'!2:2,0)),$A$3)</f>
      </c>
      <c r="S86" s="71">
        <f>SUMIFS(
INDEX('ETPT Format DDG'!$A:$FB,,IFERROR(MATCH(E86,'ETPT Format DDG'!$2:$2,0),MATCH(C86,'ETPT Format DDG'!$2:$2,0))),
INDEX( 'ETPT Format DDG'!$A:$ZZ,,MATCH("Catégorie",'ETPT Format DDG'!2:2,0)),"Greffe",
INDEX( 'ETPT Format DDG'!$A:$ZZ,,MATCH("Juridiction",'ETPT Format DDG'!2:2,0)),$A$3)</f>
      </c>
      <c r="T86" s="72">
        <f>IF(AND(OR(LEFT(C86,3)="12.",LEFT(E86,3)="12.",LEFT(E86,5)="CET &gt;",IFERROR(S86/$S$6,"")=0),NOT(AND(LEFT(E86,4)="12.8",IFERROR(G86/$G$6,"")&lt;&gt;0)),NOT(AND(LEFT(E86,5)="12.31",IFERROR(S86/$G$6,"")&lt;&gt;0)),NOT(AND(LEFT(E86,5)="12.32",IFERROR(S86/$G$6,"")&lt;&gt;0))),"", IFERROR(S86/$S$6,""))</f>
      </c>
      <c r="U86" s="71">
        <f>SUMIFS(
INDEX('ETPT Format DDG'!$A:$FB,,IFERROR(MATCH(E86,'ETPT Format DDG'!$2:$2,0),MATCH(C86,'ETPT Format DDG'!$2:$2,0))),
INDEX( 'ETPT Format DDG'!$A:$ZZ,,MATCH("Fonction agrégat",'ETPT Format DDG'!2:2,0)),"C",
INDEX( 'ETPT Format DDG'!$A:$ZZ,,MATCH("Juridiction",'ETPT Format DDG'!2:2,0)),$A$3,
INDEX( 'ETPT Format DDG'!$A:$ZZ,,MATCH("Catégorie",'ETPT Format DDG'!2:2,0)),"Autour du magistrat")</f>
      </c>
      <c r="V86" s="74">
        <f>IF(AND(OR(LEFT(C86,3)="12.",LEFT(E86,3)="12.",LEFT(E86,5)="CET &gt;",IFERROR(U86/$U$6,"")=0),NOT(AND(LEFT(E86,4)="12.8",IFERROR(G86/$G$6,"")&lt;&gt;0)),NOT(AND(LEFT(E86,5)="12.31",IFERROR(U86/$G$6,"")&lt;&gt;0)),NOT(AND(LEFT(E86,5)="12.32",IFERROR(U86/$G$6,"")&lt;&gt;0))),"", IFERROR(U86/$U$6,""))</f>
      </c>
    </row>
    <row r="87" ht="16" customHeight="1" spans="1:23" x14ac:dyDescent="0.25">
      <c r="A87" s="40"/>
      <c r="C87" s="68" t="s">
        <v>122</v>
      </c>
      <c r="D87" s="68" t="s">
        <v>122</v>
      </c>
      <c r="E87" s="69"/>
      <c r="F87" s="70"/>
      <c r="G87" s="71">
        <f>SUMIFS(
INDEX('ETPT Format DDG'!$A:$ZZ,,IFERROR(MATCH(E87,'ETPT Format DDG'!$2:$2,0),MATCH(C87,'ETPT Format DDG'!$2:$2,0))),
INDEX( 'ETPT Format DDG'!$A:$ZZ,,MATCH("Fonction agrégat",'ETPT Format DDG'!2:2,0)),"M-TIT",
INDEX( 'ETPT Format DDG'!$A:$ZZ,,MATCH("Juridiction",'ETPT Format DDG'!2:2,0)),$A$3)</f>
      </c>
      <c r="H87" s="72">
        <f>IF(AND(OR(LEFT(C87,3)="12.",LEFT(E87,3)="12.",LEFT(E87,5)="CET &gt;",IFERROR(G87/$G$6,"")=0),NOT(AND(LEFT(E87,4)="12.8",IFERROR(G87/$G$6,"")&lt;&gt;0)),NOT(AND(LEFT(E87,5)="12.31",IFERROR(G87/$G$6,"")&lt;&gt;0)),NOT(AND(LEFT(E87,5)="12.32",IFERROR(G87/$G$6,"")&lt;&gt;0))),"", IFERROR(G87/$G$6,""))</f>
      </c>
      <c r="I87" s="73">
        <f>SUMIFS(
INDEX('ETPT Format DDG'!$A:$ZZ,,IFERROR(MATCH(E87,'ETPT Format DDG'!$2:$2,0),MATCH(C87,'ETPT Format DDG'!$2:$2,0))),
INDEX( 'ETPT Format DDG'!$A:$ZZ,,MATCH("Fonction agrégat",'ETPT Format DDG'!2:2,0)),"M-PLAC-ADD",
INDEX( 'ETPT Format DDG'!$A:$ZZ,,MATCH("Juridiction",'ETPT Format DDG'!2:2,0)),$A$3)</f>
      </c>
      <c r="J87" s="73">
        <f>SUMIFS(
INDEX('ETPT Format DDG'!$A:$ZZ,,IFERROR(MATCH(E87,'ETPT Format DDG'!$2:$2,0),MATCH(C87,'ETPT Format DDG'!$2:$2,0))),
INDEX( 'ETPT Format DDG'!$A:$ZZ,,MATCH("Fonction agrégat",'ETPT Format DDG'!2:2,0)),"M-PLAC-SUB",
INDEX( 'ETPT Format DDG'!$A:$ZZ,,MATCH("Juridiction",'ETPT Format DDG'!2:2,0)),$A$3)</f>
      </c>
      <c r="K87" s="73">
        <f>SUMIFS(
INDEX('ETPT Format DDG'!$A:$ZZ,,IFERROR(MATCH(E87,'ETPT Format DDG'!$2:$2,0),MATCH(C87,'ETPT Format DDG'!$2:$2,0))),
INDEX( 'ETPT Format DDG'!$A:$ZZ,,MATCH("Fonction agrégat",'ETPT Format DDG'!2:2,0)),"M-CONT",
INDEX( 'ETPT Format DDG'!$A:$ZZ,,MATCH("Juridiction",'ETPT Format DDG'!2:2,0)),$A$3,
INDEX( 'ETPT Format DDG'!$A:$ZZ,,MATCH("Catégorie",'ETPT Format DDG'!2:2,0)),"Magistrat")</f>
      </c>
      <c r="L87" s="71">
        <f>SUMIFS(
INDEX('ETPT Format DDG'!$A:$ZZ,,IFERROR(MATCH(E87,'ETPT Format DDG'!$2:$2,0),MATCH(C87,'ETPT Format DDG'!$2:$2,0))),
INDEX( 'ETPT Format DDG'!$A:$ZZ,,MATCH("Juridiction",'ETPT Format DDG'!2:2,0)),$A$3,
INDEX( 'ETPT Format DDG'!$A:$ZZ,,MATCH("Catégorie",'ETPT Format DDG'!2:2,0)),"Magistrat")</f>
      </c>
      <c r="M87" s="74">
        <f>IF(AND(OR(LEFT(C87,3)="12.",LEFT(E87,3)="12.",LEFT(E87,5)="CET &gt;", IFERROR(L87/$L$6,"")=0),NOT(AND(LEFT(E87,4)="12.8",IFERROR(G87/$G$6,"")&lt;&gt;0)),NOT(AND(LEFT(E87,5)="12.31",IFERROR(L87/$G$6,"")&lt;&gt;0)),NOT(AND(LEFT(E87,5)="12.32",IFERROR(L87/$G$6,"")&lt;&gt;0))),"", IFERROR(L87/$L$6,""))</f>
      </c>
      <c r="N87" s="73">
        <f>SUMIFS(
INDEX('ETPT Format DDG'!$A:$ZZ,,IFERROR(MATCH(E87,'ETPT Format DDG'!$2:$2,0),MATCH(C87,'ETPT Format DDG'!$2:$2,0))),
INDEX( 'ETPT Format DDG'!$A:$ZZ,,MATCH("Fonction agrégat",'ETPT Format DDG'!2:2,0)),"F-TIT",
INDEX( 'ETPT Format DDG'!$A:$ZZ,,MATCH("Juridiction",'ETPT Format DDG'!2:2,0)),$A$3)</f>
      </c>
      <c r="O87" s="72">
        <f>IF(AND(OR(LEFT(C87,3)="12.",LEFT(E87,3)="12.",LEFT(E87,5)="CET &gt;",IFERROR(N87/$N$6,"")=0),NOT(AND(LEFT(E87,4)="12.8",IFERROR(G87/$G$6,"")&lt;&gt;0)),NOT(AND(LEFT(E87,5)="12.31",IFERROR(N87/$G$6,"")&lt;&gt;0)),NOT(AND(LEFT(E87,5)="12.32",IFERROR(N87/$G$6,"")&lt;&gt;0))),"",IFERROR(N87/$N$6,""))</f>
      </c>
      <c r="P87" s="73">
        <f>SUMIFS(
INDEX('ETPT Format DDG'!$A:$FB,,IFERROR(MATCH(E87,'ETPT Format DDG'!$2:$2,0),MATCH(C87,'ETPT Format DDG'!$2:$2,0))),
INDEX( 'ETPT Format DDG'!$A:$ZZ,,MATCH("Fonction agrégat",'ETPT Format DDG'!2:2,0)),"F-PLAC-ADD",
INDEX( 'ETPT Format DDG'!$A:$ZZ,,MATCH("Juridiction",'ETPT Format DDG'!2:2,0)),$A$3)</f>
      </c>
      <c r="Q87" s="73">
        <f>SUMIFS(
INDEX('ETPT Format DDG'!$A:$FB,,IFERROR(MATCH(E87,'ETPT Format DDG'!$2:$2,0),MATCH(C87,'ETPT Format DDG'!$2:$2,0))),
INDEX( 'ETPT Format DDG'!$A:$ZZ,,MATCH("Fonction agrégat",'ETPT Format DDG'!2:2,0)),"F-PLAC-SUB",
INDEX( 'ETPT Format DDG'!$A:$ZZ,,MATCH("Juridiction",'ETPT Format DDG'!2:2,0)),$A$3)</f>
      </c>
      <c r="R87" s="73">
        <f>SUMIFS(
INDEX('ETPT Format DDG'!$A:$FB,,IFERROR(MATCH(E87,'ETPT Format DDG'!$2:$2,0),MATCH(C87,'ETPT Format DDG'!$2:$2,0))),
INDEX( 'ETPT Format DDG'!$A:$ZZ,,MATCH("Fonction agrégat",'ETPT Format DDG'!2:2,0)),"C",
'ETPT Format DDG'!$H:$H,"Greffe",
INDEX( 'ETPT Format DDG'!$A:$ZZ,,MATCH("Juridiction",'ETPT Format DDG'!2:2,0)),$A$3)</f>
      </c>
      <c r="S87" s="71">
        <f>SUMIFS(
INDEX('ETPT Format DDG'!$A:$FB,,IFERROR(MATCH(E87,'ETPT Format DDG'!$2:$2,0),MATCH(C87,'ETPT Format DDG'!$2:$2,0))),
INDEX( 'ETPT Format DDG'!$A:$ZZ,,MATCH("Catégorie",'ETPT Format DDG'!2:2,0)),"Greffe",
INDEX( 'ETPT Format DDG'!$A:$ZZ,,MATCH("Juridiction",'ETPT Format DDG'!2:2,0)),$A$3)</f>
      </c>
      <c r="T87" s="72">
        <f>IF(AND(OR(LEFT(C87,3)="12.",LEFT(E87,3)="12.",LEFT(E87,5)="CET &gt;",IFERROR(S87/$S$6,"")=0),NOT(AND(LEFT(E87,4)="12.8",IFERROR(G87/$G$6,"")&lt;&gt;0)),NOT(AND(LEFT(E87,5)="12.31",IFERROR(S87/$G$6,"")&lt;&gt;0)),NOT(AND(LEFT(E87,5)="12.32",IFERROR(S87/$G$6,"")&lt;&gt;0))),"", IFERROR(S87/$S$6,""))</f>
      </c>
      <c r="U87" s="71">
        <f>SUMIFS(
INDEX('ETPT Format DDG'!$A:$FB,,IFERROR(MATCH(E87,'ETPT Format DDG'!$2:$2,0),MATCH(C87,'ETPT Format DDG'!$2:$2,0))),
INDEX( 'ETPT Format DDG'!$A:$ZZ,,MATCH("Fonction agrégat",'ETPT Format DDG'!2:2,0)),"C",
INDEX( 'ETPT Format DDG'!$A:$ZZ,,MATCH("Juridiction",'ETPT Format DDG'!2:2,0)),$A$3,
INDEX( 'ETPT Format DDG'!$A:$ZZ,,MATCH("Catégorie",'ETPT Format DDG'!2:2,0)),"Autour du magistrat")</f>
      </c>
      <c r="V87" s="74">
        <f>IF(AND(OR(LEFT(C87,3)="12.",LEFT(E87,3)="12.",LEFT(E87,5)="CET &gt;",IFERROR(U87/$U$6,"")=0),NOT(AND(LEFT(E87,4)="12.8",IFERROR(G87/$G$6,"")&lt;&gt;0)),NOT(AND(LEFT(E87,5)="12.31",IFERROR(U87/$G$6,"")&lt;&gt;0)),NOT(AND(LEFT(E87,5)="12.32",IFERROR(U87/$G$6,"")&lt;&gt;0))),"", IFERROR(U87/$U$6,""))</f>
      </c>
    </row>
    <row r="88" ht="16" customHeight="1" spans="1:23" x14ac:dyDescent="0.25">
      <c r="A88" s="40"/>
      <c r="C88" s="68"/>
      <c r="D88" s="68"/>
      <c r="E88" s="69" t="s">
        <v>123</v>
      </c>
      <c r="F88" s="70" t="s">
        <v>123</v>
      </c>
      <c r="G88" s="71">
        <f>SUMIFS(
INDEX('ETPT Format DDG'!$A:$ZZ,,IFERROR(MATCH(E88,'ETPT Format DDG'!$2:$2,0),MATCH(C88,'ETPT Format DDG'!$2:$2,0))),
INDEX( 'ETPT Format DDG'!$A:$ZZ,,MATCH("Fonction agrégat",'ETPT Format DDG'!2:2,0)),"M-TIT",
INDEX( 'ETPT Format DDG'!$A:$ZZ,,MATCH("Juridiction",'ETPT Format DDG'!2:2,0)),$A$3)</f>
      </c>
      <c r="H88" s="72">
        <f>IF(AND(OR(LEFT(C88,3)="12.",LEFT(E88,3)="12.",LEFT(E88,5)="CET &gt;",IFERROR(G88/$G$6,"")=0),NOT(AND(LEFT(E88,4)="12.8",IFERROR(G88/$G$6,"")&lt;&gt;0)),NOT(AND(LEFT(E88,5)="12.31",IFERROR(G88/$G$6,"")&lt;&gt;0)),NOT(AND(LEFT(E88,5)="12.32",IFERROR(G88/$G$6,"")&lt;&gt;0))),"", IFERROR(G88/$G$6,""))</f>
      </c>
      <c r="I88" s="73">
        <f>SUMIFS(
INDEX('ETPT Format DDG'!$A:$ZZ,,IFERROR(MATCH(E88,'ETPT Format DDG'!$2:$2,0),MATCH(C88,'ETPT Format DDG'!$2:$2,0))),
INDEX( 'ETPT Format DDG'!$A:$ZZ,,MATCH("Fonction agrégat",'ETPT Format DDG'!2:2,0)),"M-PLAC-ADD",
INDEX( 'ETPT Format DDG'!$A:$ZZ,,MATCH("Juridiction",'ETPT Format DDG'!2:2,0)),$A$3)</f>
      </c>
      <c r="J88" s="73">
        <f>SUMIFS(
INDEX('ETPT Format DDG'!$A:$ZZ,,IFERROR(MATCH(E88,'ETPT Format DDG'!$2:$2,0),MATCH(C88,'ETPT Format DDG'!$2:$2,0))),
INDEX( 'ETPT Format DDG'!$A:$ZZ,,MATCH("Fonction agrégat",'ETPT Format DDG'!2:2,0)),"M-PLAC-SUB",
INDEX( 'ETPT Format DDG'!$A:$ZZ,,MATCH("Juridiction",'ETPT Format DDG'!2:2,0)),$A$3)</f>
      </c>
      <c r="K88" s="73">
        <f>SUMIFS(
INDEX('ETPT Format DDG'!$A:$ZZ,,IFERROR(MATCH(E88,'ETPT Format DDG'!$2:$2,0),MATCH(C88,'ETPT Format DDG'!$2:$2,0))),
INDEX( 'ETPT Format DDG'!$A:$ZZ,,MATCH("Fonction agrégat",'ETPT Format DDG'!2:2,0)),"M-CONT",
INDEX( 'ETPT Format DDG'!$A:$ZZ,,MATCH("Juridiction",'ETPT Format DDG'!2:2,0)),$A$3,
INDEX( 'ETPT Format DDG'!$A:$ZZ,,MATCH("Catégorie",'ETPT Format DDG'!2:2,0)),"Magistrat")</f>
      </c>
      <c r="L88" s="71">
        <f>SUMIFS(
INDEX('ETPT Format DDG'!$A:$ZZ,,IFERROR(MATCH(E88,'ETPT Format DDG'!$2:$2,0),MATCH(C88,'ETPT Format DDG'!$2:$2,0))),
INDEX( 'ETPT Format DDG'!$A:$ZZ,,MATCH("Juridiction",'ETPT Format DDG'!2:2,0)),$A$3,
INDEX( 'ETPT Format DDG'!$A:$ZZ,,MATCH("Catégorie",'ETPT Format DDG'!2:2,0)),"Magistrat")</f>
      </c>
      <c r="M88" s="74">
        <f>IF(AND(OR(LEFT(C88,3)="12.",LEFT(E88,3)="12.",LEFT(E88,5)="CET &gt;", IFERROR(L88/$L$6,"")=0),NOT(AND(LEFT(E88,4)="12.8",IFERROR(G88/$G$6,"")&lt;&gt;0)),NOT(AND(LEFT(E88,5)="12.31",IFERROR(L88/$G$6,"")&lt;&gt;0)),NOT(AND(LEFT(E88,5)="12.32",IFERROR(L88/$G$6,"")&lt;&gt;0))),"", IFERROR(L88/$L$6,""))</f>
      </c>
      <c r="N88" s="73">
        <f>SUMIFS(
INDEX('ETPT Format DDG'!$A:$ZZ,,IFERROR(MATCH(E88,'ETPT Format DDG'!$2:$2,0),MATCH(C88,'ETPT Format DDG'!$2:$2,0))),
INDEX( 'ETPT Format DDG'!$A:$ZZ,,MATCH("Fonction agrégat",'ETPT Format DDG'!2:2,0)),"F-TIT",
INDEX( 'ETPT Format DDG'!$A:$ZZ,,MATCH("Juridiction",'ETPT Format DDG'!2:2,0)),$A$3)</f>
      </c>
      <c r="O88" s="72">
        <f>IF(AND(OR(LEFT(C88,3)="12.",LEFT(E88,3)="12.",LEFT(E88,5)="CET &gt;",IFERROR(N88/$N$6,"")=0),NOT(AND(LEFT(E88,4)="12.8",IFERROR(G88/$G$6,"")&lt;&gt;0)),NOT(AND(LEFT(E88,5)="12.31",IFERROR(N88/$G$6,"")&lt;&gt;0)),NOT(AND(LEFT(E88,5)="12.32",IFERROR(N88/$G$6,"")&lt;&gt;0))),"",IFERROR(N88/$N$6,""))</f>
      </c>
      <c r="P88" s="73">
        <f>SUMIFS(
INDEX('ETPT Format DDG'!$A:$FB,,IFERROR(MATCH(E88,'ETPT Format DDG'!$2:$2,0),MATCH(C88,'ETPT Format DDG'!$2:$2,0))),
INDEX( 'ETPT Format DDG'!$A:$ZZ,,MATCH("Fonction agrégat",'ETPT Format DDG'!2:2,0)),"F-PLAC-ADD",
INDEX( 'ETPT Format DDG'!$A:$ZZ,,MATCH("Juridiction",'ETPT Format DDG'!2:2,0)),$A$3)</f>
      </c>
      <c r="Q88" s="73">
        <f>SUMIFS(
INDEX('ETPT Format DDG'!$A:$FB,,IFERROR(MATCH(E88,'ETPT Format DDG'!$2:$2,0),MATCH(C88,'ETPT Format DDG'!$2:$2,0))),
INDEX( 'ETPT Format DDG'!$A:$ZZ,,MATCH("Fonction agrégat",'ETPT Format DDG'!2:2,0)),"F-PLAC-SUB",
INDEX( 'ETPT Format DDG'!$A:$ZZ,,MATCH("Juridiction",'ETPT Format DDG'!2:2,0)),$A$3)</f>
      </c>
      <c r="R88" s="73">
        <f>SUMIFS(
INDEX('ETPT Format DDG'!$A:$FB,,IFERROR(MATCH(E88,'ETPT Format DDG'!$2:$2,0),MATCH(C88,'ETPT Format DDG'!$2:$2,0))),
INDEX( 'ETPT Format DDG'!$A:$ZZ,,MATCH("Fonction agrégat",'ETPT Format DDG'!2:2,0)),"C",
'ETPT Format DDG'!$H:$H,"Greffe",
INDEX( 'ETPT Format DDG'!$A:$ZZ,,MATCH("Juridiction",'ETPT Format DDG'!2:2,0)),$A$3)</f>
      </c>
      <c r="S88" s="71">
        <f>SUMIFS(
INDEX('ETPT Format DDG'!$A:$FB,,IFERROR(MATCH(E88,'ETPT Format DDG'!$2:$2,0),MATCH(C88,'ETPT Format DDG'!$2:$2,0))),
INDEX( 'ETPT Format DDG'!$A:$ZZ,,MATCH("Catégorie",'ETPT Format DDG'!2:2,0)),"Greffe",
INDEX( 'ETPT Format DDG'!$A:$ZZ,,MATCH("Juridiction",'ETPT Format DDG'!2:2,0)),$A$3)</f>
      </c>
      <c r="T88" s="72">
        <f>IF(AND(OR(LEFT(C88,3)="12.",LEFT(E88,3)="12.",LEFT(E88,5)="CET &gt;",IFERROR(S88/$S$6,"")=0),NOT(AND(LEFT(E88,4)="12.8",IFERROR(G88/$G$6,"")&lt;&gt;0)),NOT(AND(LEFT(E88,5)="12.31",IFERROR(S88/$G$6,"")&lt;&gt;0)),NOT(AND(LEFT(E88,5)="12.32",IFERROR(S88/$G$6,"")&lt;&gt;0))),"", IFERROR(S88/$S$6,""))</f>
      </c>
      <c r="U88" s="71">
        <f>SUMIFS(
INDEX('ETPT Format DDG'!$A:$FB,,IFERROR(MATCH(E88,'ETPT Format DDG'!$2:$2,0),MATCH(C88,'ETPT Format DDG'!$2:$2,0))),
INDEX( 'ETPT Format DDG'!$A:$ZZ,,MATCH("Fonction agrégat",'ETPT Format DDG'!2:2,0)),"C",
INDEX( 'ETPT Format DDG'!$A:$ZZ,,MATCH("Juridiction",'ETPT Format DDG'!2:2,0)),$A$3,
INDEX( 'ETPT Format DDG'!$A:$ZZ,,MATCH("Catégorie",'ETPT Format DDG'!2:2,0)),"Autour du magistrat")</f>
      </c>
      <c r="V88" s="74">
        <f>IF(AND(OR(LEFT(C88,3)="12.",LEFT(E88,3)="12.",LEFT(E88,5)="CET &gt;",IFERROR(U88/$U$6,"")=0),NOT(AND(LEFT(E88,4)="12.8",IFERROR(G88/$G$6,"")&lt;&gt;0)),NOT(AND(LEFT(E88,5)="12.31",IFERROR(U88/$G$6,"")&lt;&gt;0)),NOT(AND(LEFT(E88,5)="12.32",IFERROR(U88/$G$6,"")&lt;&gt;0))),"", IFERROR(U88/$U$6,""))</f>
      </c>
    </row>
    <row r="89" ht="16" customHeight="1" spans="1:23" x14ac:dyDescent="0.25">
      <c r="A89" s="40"/>
      <c r="C89" s="68"/>
      <c r="D89" s="68"/>
      <c r="E89" s="69" t="s">
        <v>124</v>
      </c>
      <c r="F89" s="70" t="s">
        <v>124</v>
      </c>
      <c r="G89" s="71">
        <f>SUMIFS(
INDEX('ETPT Format DDG'!$A:$ZZ,,IFERROR(MATCH(E89,'ETPT Format DDG'!$2:$2,0),MATCH(C89,'ETPT Format DDG'!$2:$2,0))),
INDEX( 'ETPT Format DDG'!$A:$ZZ,,MATCH("Fonction agrégat",'ETPT Format DDG'!2:2,0)),"M-TIT",
INDEX( 'ETPT Format DDG'!$A:$ZZ,,MATCH("Juridiction",'ETPT Format DDG'!2:2,0)),$A$3)</f>
      </c>
      <c r="H89" s="72">
        <f>IF(AND(OR(LEFT(C89,3)="12.",LEFT(E89,3)="12.",LEFT(E89,5)="CET &gt;",IFERROR(G89/$G$6,"")=0),NOT(AND(LEFT(E89,4)="12.8",IFERROR(G89/$G$6,"")&lt;&gt;0)),NOT(AND(LEFT(E89,5)="12.31",IFERROR(G89/$G$6,"")&lt;&gt;0)),NOT(AND(LEFT(E89,5)="12.32",IFERROR(G89/$G$6,"")&lt;&gt;0))),"", IFERROR(G89/$G$6,""))</f>
      </c>
      <c r="I89" s="73">
        <f>SUMIFS(
INDEX('ETPT Format DDG'!$A:$ZZ,,IFERROR(MATCH(E89,'ETPT Format DDG'!$2:$2,0),MATCH(C89,'ETPT Format DDG'!$2:$2,0))),
INDEX( 'ETPT Format DDG'!$A:$ZZ,,MATCH("Fonction agrégat",'ETPT Format DDG'!2:2,0)),"M-PLAC-ADD",
INDEX( 'ETPT Format DDG'!$A:$ZZ,,MATCH("Juridiction",'ETPT Format DDG'!2:2,0)),$A$3)</f>
      </c>
      <c r="J89" s="73">
        <f>SUMIFS(
INDEX('ETPT Format DDG'!$A:$ZZ,,IFERROR(MATCH(E89,'ETPT Format DDG'!$2:$2,0),MATCH(C89,'ETPT Format DDG'!$2:$2,0))),
INDEX( 'ETPT Format DDG'!$A:$ZZ,,MATCH("Fonction agrégat",'ETPT Format DDG'!2:2,0)),"M-PLAC-SUB",
INDEX( 'ETPT Format DDG'!$A:$ZZ,,MATCH("Juridiction",'ETPT Format DDG'!2:2,0)),$A$3)</f>
      </c>
      <c r="K89" s="73">
        <f>SUMIFS(
INDEX('ETPT Format DDG'!$A:$ZZ,,IFERROR(MATCH(E89,'ETPT Format DDG'!$2:$2,0),MATCH(C89,'ETPT Format DDG'!$2:$2,0))),
INDEX( 'ETPT Format DDG'!$A:$ZZ,,MATCH("Fonction agrégat",'ETPT Format DDG'!2:2,0)),"M-CONT",
INDEX( 'ETPT Format DDG'!$A:$ZZ,,MATCH("Juridiction",'ETPT Format DDG'!2:2,0)),$A$3,
INDEX( 'ETPT Format DDG'!$A:$ZZ,,MATCH("Catégorie",'ETPT Format DDG'!2:2,0)),"Magistrat")</f>
      </c>
      <c r="L89" s="71">
        <f>SUMIFS(
INDEX('ETPT Format DDG'!$A:$ZZ,,IFERROR(MATCH(E89,'ETPT Format DDG'!$2:$2,0),MATCH(C89,'ETPT Format DDG'!$2:$2,0))),
INDEX( 'ETPT Format DDG'!$A:$ZZ,,MATCH("Juridiction",'ETPT Format DDG'!2:2,0)),$A$3,
INDEX( 'ETPT Format DDG'!$A:$ZZ,,MATCH("Catégorie",'ETPT Format DDG'!2:2,0)),"Magistrat")</f>
      </c>
      <c r="M89" s="74">
        <f>IF(AND(OR(LEFT(C89,3)="12.",LEFT(E89,3)="12.",LEFT(E89,5)="CET &gt;", IFERROR(L89/$L$6,"")=0),NOT(AND(LEFT(E89,4)="12.8",IFERROR(G89/$G$6,"")&lt;&gt;0)),NOT(AND(LEFT(E89,5)="12.31",IFERROR(L89/$G$6,"")&lt;&gt;0)),NOT(AND(LEFT(E89,5)="12.32",IFERROR(L89/$G$6,"")&lt;&gt;0))),"", IFERROR(L89/$L$6,""))</f>
      </c>
      <c r="N89" s="73">
        <f>SUMIFS(
INDEX('ETPT Format DDG'!$A:$ZZ,,IFERROR(MATCH(E89,'ETPT Format DDG'!$2:$2,0),MATCH(C89,'ETPT Format DDG'!$2:$2,0))),
INDEX( 'ETPT Format DDG'!$A:$ZZ,,MATCH("Fonction agrégat",'ETPT Format DDG'!2:2,0)),"F-TIT",
INDEX( 'ETPT Format DDG'!$A:$ZZ,,MATCH("Juridiction",'ETPT Format DDG'!2:2,0)),$A$3)</f>
      </c>
      <c r="O89" s="72">
        <f>IF(AND(OR(LEFT(C89,3)="12.",LEFT(E89,3)="12.",LEFT(E89,5)="CET &gt;",IFERROR(N89/$N$6,"")=0),NOT(AND(LEFT(E89,4)="12.8",IFERROR(G89/$G$6,"")&lt;&gt;0)),NOT(AND(LEFT(E89,5)="12.31",IFERROR(N89/$G$6,"")&lt;&gt;0)),NOT(AND(LEFT(E89,5)="12.32",IFERROR(N89/$G$6,"")&lt;&gt;0))),"",IFERROR(N89/$N$6,""))</f>
      </c>
      <c r="P89" s="73">
        <f>SUMIFS(
INDEX('ETPT Format DDG'!$A:$FB,,IFERROR(MATCH(E89,'ETPT Format DDG'!$2:$2,0),MATCH(C89,'ETPT Format DDG'!$2:$2,0))),
INDEX( 'ETPT Format DDG'!$A:$ZZ,,MATCH("Fonction agrégat",'ETPT Format DDG'!2:2,0)),"F-PLAC-ADD",
INDEX( 'ETPT Format DDG'!$A:$ZZ,,MATCH("Juridiction",'ETPT Format DDG'!2:2,0)),$A$3)</f>
      </c>
      <c r="Q89" s="73">
        <f>SUMIFS(
INDEX('ETPT Format DDG'!$A:$FB,,IFERROR(MATCH(E89,'ETPT Format DDG'!$2:$2,0),MATCH(C89,'ETPT Format DDG'!$2:$2,0))),
INDEX( 'ETPT Format DDG'!$A:$ZZ,,MATCH("Fonction agrégat",'ETPT Format DDG'!2:2,0)),"F-PLAC-SUB",
INDEX( 'ETPT Format DDG'!$A:$ZZ,,MATCH("Juridiction",'ETPT Format DDG'!2:2,0)),$A$3)</f>
      </c>
      <c r="R89" s="73">
        <f>SUMIFS(
INDEX('ETPT Format DDG'!$A:$FB,,IFERROR(MATCH(E89,'ETPT Format DDG'!$2:$2,0),MATCH(C89,'ETPT Format DDG'!$2:$2,0))),
INDEX( 'ETPT Format DDG'!$A:$ZZ,,MATCH("Fonction agrégat",'ETPT Format DDG'!2:2,0)),"C",
'ETPT Format DDG'!$H:$H,"Greffe",
INDEX( 'ETPT Format DDG'!$A:$ZZ,,MATCH("Juridiction",'ETPT Format DDG'!2:2,0)),$A$3)</f>
      </c>
      <c r="S89" s="71">
        <f>SUMIFS(
INDEX('ETPT Format DDG'!$A:$FB,,IFERROR(MATCH(E89,'ETPT Format DDG'!$2:$2,0),MATCH(C89,'ETPT Format DDG'!$2:$2,0))),
INDEX( 'ETPT Format DDG'!$A:$ZZ,,MATCH("Catégorie",'ETPT Format DDG'!2:2,0)),"Greffe",
INDEX( 'ETPT Format DDG'!$A:$ZZ,,MATCH("Juridiction",'ETPT Format DDG'!2:2,0)),$A$3)</f>
      </c>
      <c r="T89" s="72">
        <f>IF(AND(OR(LEFT(C89,3)="12.",LEFT(E89,3)="12.",LEFT(E89,5)="CET &gt;",IFERROR(S89/$S$6,"")=0),NOT(AND(LEFT(E89,4)="12.8",IFERROR(G89/$G$6,"")&lt;&gt;0)),NOT(AND(LEFT(E89,5)="12.31",IFERROR(S89/$G$6,"")&lt;&gt;0)),NOT(AND(LEFT(E89,5)="12.32",IFERROR(S89/$G$6,"")&lt;&gt;0))),"", IFERROR(S89/$S$6,""))</f>
      </c>
      <c r="U89" s="71">
        <f>SUMIFS(
INDEX('ETPT Format DDG'!$A:$FB,,IFERROR(MATCH(E89,'ETPT Format DDG'!$2:$2,0),MATCH(C89,'ETPT Format DDG'!$2:$2,0))),
INDEX( 'ETPT Format DDG'!$A:$ZZ,,MATCH("Fonction agrégat",'ETPT Format DDG'!2:2,0)),"C",
INDEX( 'ETPT Format DDG'!$A:$ZZ,,MATCH("Juridiction",'ETPT Format DDG'!2:2,0)),$A$3,
INDEX( 'ETPT Format DDG'!$A:$ZZ,,MATCH("Catégorie",'ETPT Format DDG'!2:2,0)),"Autour du magistrat")</f>
      </c>
      <c r="V89" s="74">
        <f>IF(AND(OR(LEFT(C89,3)="12.",LEFT(E89,3)="12.",LEFT(E89,5)="CET &gt;",IFERROR(U89/$U$6,"")=0),NOT(AND(LEFT(E89,4)="12.8",IFERROR(G89/$G$6,"")&lt;&gt;0)),NOT(AND(LEFT(E89,5)="12.31",IFERROR(U89/$G$6,"")&lt;&gt;0)),NOT(AND(LEFT(E89,5)="12.32",IFERROR(U89/$G$6,"")&lt;&gt;0))),"", IFERROR(U89/$U$6,""))</f>
      </c>
    </row>
    <row r="90" ht="16" customHeight="1" spans="1:23" x14ac:dyDescent="0.25">
      <c r="A90" s="40"/>
      <c r="C90" s="68" t="s">
        <v>125</v>
      </c>
      <c r="D90" s="68" t="s">
        <v>125</v>
      </c>
      <c r="E90" s="69"/>
      <c r="F90" s="70"/>
      <c r="G90" s="71">
        <f>SUMIFS(
INDEX('ETPT Format DDG'!$A:$ZZ,,IFERROR(MATCH(E90,'ETPT Format DDG'!$2:$2,0),MATCH(C90,'ETPT Format DDG'!$2:$2,0))),
INDEX( 'ETPT Format DDG'!$A:$ZZ,,MATCH("Fonction agrégat",'ETPT Format DDG'!2:2,0)),"M-TIT",
INDEX( 'ETPT Format DDG'!$A:$ZZ,,MATCH("Juridiction",'ETPT Format DDG'!2:2,0)),$A$3)</f>
      </c>
      <c r="H90" s="72">
        <f>IF(AND(OR(LEFT(C90,3)="12.",LEFT(E90,3)="12.",LEFT(E90,5)="CET &gt;",IFERROR(G90/$G$6,"")=0),NOT(AND(LEFT(E90,4)="12.8",IFERROR(G90/$G$6,"")&lt;&gt;0)),NOT(AND(LEFT(E90,5)="12.31",IFERROR(G90/$G$6,"")&lt;&gt;0)),NOT(AND(LEFT(E90,5)="12.32",IFERROR(G90/$G$6,"")&lt;&gt;0))),"", IFERROR(G90/$G$6,""))</f>
      </c>
      <c r="I90" s="73">
        <f>SUMIFS(
INDEX('ETPT Format DDG'!$A:$ZZ,,IFERROR(MATCH(E90,'ETPT Format DDG'!$2:$2,0),MATCH(C90,'ETPT Format DDG'!$2:$2,0))),
INDEX( 'ETPT Format DDG'!$A:$ZZ,,MATCH("Fonction agrégat",'ETPT Format DDG'!2:2,0)),"M-PLAC-ADD",
INDEX( 'ETPT Format DDG'!$A:$ZZ,,MATCH("Juridiction",'ETPT Format DDG'!2:2,0)),$A$3)</f>
      </c>
      <c r="J90" s="73">
        <f>SUMIFS(
INDEX('ETPT Format DDG'!$A:$ZZ,,IFERROR(MATCH(E90,'ETPT Format DDG'!$2:$2,0),MATCH(C90,'ETPT Format DDG'!$2:$2,0))),
INDEX( 'ETPT Format DDG'!$A:$ZZ,,MATCH("Fonction agrégat",'ETPT Format DDG'!2:2,0)),"M-PLAC-SUB",
INDEX( 'ETPT Format DDG'!$A:$ZZ,,MATCH("Juridiction",'ETPT Format DDG'!2:2,0)),$A$3)</f>
      </c>
      <c r="K90" s="73">
        <f>SUMIFS(
INDEX('ETPT Format DDG'!$A:$ZZ,,IFERROR(MATCH(E90,'ETPT Format DDG'!$2:$2,0),MATCH(C90,'ETPT Format DDG'!$2:$2,0))),
INDEX( 'ETPT Format DDG'!$A:$ZZ,,MATCH("Fonction agrégat",'ETPT Format DDG'!2:2,0)),"M-CONT",
INDEX( 'ETPT Format DDG'!$A:$ZZ,,MATCH("Juridiction",'ETPT Format DDG'!2:2,0)),$A$3,
INDEX( 'ETPT Format DDG'!$A:$ZZ,,MATCH("Catégorie",'ETPT Format DDG'!2:2,0)),"Magistrat")</f>
      </c>
      <c r="L90" s="71">
        <f>SUMIFS(
INDEX('ETPT Format DDG'!$A:$ZZ,,IFERROR(MATCH(E90,'ETPT Format DDG'!$2:$2,0),MATCH(C90,'ETPT Format DDG'!$2:$2,0))),
INDEX( 'ETPT Format DDG'!$A:$ZZ,,MATCH("Juridiction",'ETPT Format DDG'!2:2,0)),$A$3,
INDEX( 'ETPT Format DDG'!$A:$ZZ,,MATCH("Catégorie",'ETPT Format DDG'!2:2,0)),"Magistrat")</f>
      </c>
      <c r="M90" s="74">
        <f>IF(AND(OR(LEFT(C90,3)="12.",LEFT(E90,3)="12.",LEFT(E90,5)="CET &gt;", IFERROR(L90/$L$6,"")=0),NOT(AND(LEFT(E90,4)="12.8",IFERROR(G90/$G$6,"")&lt;&gt;0)),NOT(AND(LEFT(E90,5)="12.31",IFERROR(L90/$G$6,"")&lt;&gt;0)),NOT(AND(LEFT(E90,5)="12.32",IFERROR(L90/$G$6,"")&lt;&gt;0))),"", IFERROR(L90/$L$6,""))</f>
      </c>
      <c r="N90" s="73">
        <f>SUMIFS(
INDEX('ETPT Format DDG'!$A:$ZZ,,IFERROR(MATCH(E90,'ETPT Format DDG'!$2:$2,0),MATCH(C90,'ETPT Format DDG'!$2:$2,0))),
INDEX( 'ETPT Format DDG'!$A:$ZZ,,MATCH("Fonction agrégat",'ETPT Format DDG'!2:2,0)),"F-TIT",
INDEX( 'ETPT Format DDG'!$A:$ZZ,,MATCH("Juridiction",'ETPT Format DDG'!2:2,0)),$A$3)</f>
      </c>
      <c r="O90" s="72">
        <f>IF(AND(OR(LEFT(C90,3)="12.",LEFT(E90,3)="12.",LEFT(E90,5)="CET &gt;",IFERROR(N90/$N$6,"")=0),NOT(AND(LEFT(E90,4)="12.8",IFERROR(G90/$G$6,"")&lt;&gt;0)),NOT(AND(LEFT(E90,5)="12.31",IFERROR(N90/$G$6,"")&lt;&gt;0)),NOT(AND(LEFT(E90,5)="12.32",IFERROR(N90/$G$6,"")&lt;&gt;0))),"",IFERROR(N90/$N$6,""))</f>
      </c>
      <c r="P90" s="73">
        <f>SUMIFS(
INDEX('ETPT Format DDG'!$A:$FB,,IFERROR(MATCH(E90,'ETPT Format DDG'!$2:$2,0),MATCH(C90,'ETPT Format DDG'!$2:$2,0))),
INDEX( 'ETPT Format DDG'!$A:$ZZ,,MATCH("Fonction agrégat",'ETPT Format DDG'!2:2,0)),"F-PLAC-ADD",
INDEX( 'ETPT Format DDG'!$A:$ZZ,,MATCH("Juridiction",'ETPT Format DDG'!2:2,0)),$A$3)</f>
      </c>
      <c r="Q90" s="73">
        <f>SUMIFS(
INDEX('ETPT Format DDG'!$A:$FB,,IFERROR(MATCH(E90,'ETPT Format DDG'!$2:$2,0),MATCH(C90,'ETPT Format DDG'!$2:$2,0))),
INDEX( 'ETPT Format DDG'!$A:$ZZ,,MATCH("Fonction agrégat",'ETPT Format DDG'!2:2,0)),"F-PLAC-SUB",
INDEX( 'ETPT Format DDG'!$A:$ZZ,,MATCH("Juridiction",'ETPT Format DDG'!2:2,0)),$A$3)</f>
      </c>
      <c r="R90" s="73">
        <f>SUMIFS(
INDEX('ETPT Format DDG'!$A:$FB,,IFERROR(MATCH(E90,'ETPT Format DDG'!$2:$2,0),MATCH(C90,'ETPT Format DDG'!$2:$2,0))),
INDEX( 'ETPT Format DDG'!$A:$ZZ,,MATCH("Fonction agrégat",'ETPT Format DDG'!2:2,0)),"C",
'ETPT Format DDG'!$H:$H,"Greffe",
INDEX( 'ETPT Format DDG'!$A:$ZZ,,MATCH("Juridiction",'ETPT Format DDG'!2:2,0)),$A$3)</f>
      </c>
      <c r="S90" s="71">
        <f>SUMIFS(
INDEX('ETPT Format DDG'!$A:$FB,,IFERROR(MATCH(E90,'ETPT Format DDG'!$2:$2,0),MATCH(C90,'ETPT Format DDG'!$2:$2,0))),
INDEX( 'ETPT Format DDG'!$A:$ZZ,,MATCH("Catégorie",'ETPT Format DDG'!2:2,0)),"Greffe",
INDEX( 'ETPT Format DDG'!$A:$ZZ,,MATCH("Juridiction",'ETPT Format DDG'!2:2,0)),$A$3)</f>
      </c>
      <c r="T90" s="72">
        <f>IF(AND(OR(LEFT(C90,3)="12.",LEFT(E90,3)="12.",LEFT(E90,5)="CET &gt;",IFERROR(S90/$S$6,"")=0),NOT(AND(LEFT(E90,4)="12.8",IFERROR(G90/$G$6,"")&lt;&gt;0)),NOT(AND(LEFT(E90,5)="12.31",IFERROR(S90/$G$6,"")&lt;&gt;0)),NOT(AND(LEFT(E90,5)="12.32",IFERROR(S90/$G$6,"")&lt;&gt;0))),"", IFERROR(S90/$S$6,""))</f>
      </c>
      <c r="U90" s="71">
        <f>SUMIFS(
INDEX('ETPT Format DDG'!$A:$FB,,IFERROR(MATCH(E90,'ETPT Format DDG'!$2:$2,0),MATCH(C90,'ETPT Format DDG'!$2:$2,0))),
INDEX( 'ETPT Format DDG'!$A:$ZZ,,MATCH("Fonction agrégat",'ETPT Format DDG'!2:2,0)),"C",
INDEX( 'ETPT Format DDG'!$A:$ZZ,,MATCH("Juridiction",'ETPT Format DDG'!2:2,0)),$A$3,
INDEX( 'ETPT Format DDG'!$A:$ZZ,,MATCH("Catégorie",'ETPT Format DDG'!2:2,0)),"Autour du magistrat")</f>
      </c>
      <c r="V90" s="74">
        <f>IF(AND(OR(LEFT(C90,3)="12.",LEFT(E90,3)="12.",LEFT(E90,5)="CET &gt;",IFERROR(U90/$U$6,"")=0),NOT(AND(LEFT(E90,4)="12.8",IFERROR(G90/$G$6,"")&lt;&gt;0)),NOT(AND(LEFT(E90,5)="12.31",IFERROR(U90/$G$6,"")&lt;&gt;0)),NOT(AND(LEFT(E90,5)="12.32",IFERROR(U90/$G$6,"")&lt;&gt;0))),"", IFERROR(U90/$U$6,""))</f>
      </c>
    </row>
    <row r="91" ht="16" customHeight="1" spans="1:23" x14ac:dyDescent="0.25">
      <c r="A91" s="40"/>
      <c r="C91" s="68"/>
      <c r="D91" s="68"/>
      <c r="E91" s="69" t="s">
        <v>126</v>
      </c>
      <c r="F91" s="70" t="s">
        <v>126</v>
      </c>
      <c r="G91" s="71">
        <f>SUMIFS(
INDEX('ETPT Format DDG'!$A:$ZZ,,IFERROR(MATCH(E91,'ETPT Format DDG'!$2:$2,0),MATCH(C91,'ETPT Format DDG'!$2:$2,0))),
INDEX( 'ETPT Format DDG'!$A:$ZZ,,MATCH("Fonction agrégat",'ETPT Format DDG'!2:2,0)),"M-TIT",
INDEX( 'ETPT Format DDG'!$A:$ZZ,,MATCH("Juridiction",'ETPT Format DDG'!2:2,0)),$A$3)</f>
      </c>
      <c r="H91" s="72">
        <f>IF(AND(OR(LEFT(C91,3)="12.",LEFT(E91,3)="12.",LEFT(E91,5)="CET &gt;",IFERROR(G91/$G$6,"")=0),NOT(AND(LEFT(E91,4)="12.8",IFERROR(G91/$G$6,"")&lt;&gt;0)),NOT(AND(LEFT(E91,5)="12.31",IFERROR(G91/$G$6,"")&lt;&gt;0)),NOT(AND(LEFT(E91,5)="12.32",IFERROR(G91/$G$6,"")&lt;&gt;0))),"", IFERROR(G91/$G$6,""))</f>
      </c>
      <c r="I91" s="73">
        <f>SUMIFS(
INDEX('ETPT Format DDG'!$A:$ZZ,,IFERROR(MATCH(E91,'ETPT Format DDG'!$2:$2,0),MATCH(C91,'ETPT Format DDG'!$2:$2,0))),
INDEX( 'ETPT Format DDG'!$A:$ZZ,,MATCH("Fonction agrégat",'ETPT Format DDG'!2:2,0)),"M-PLAC-ADD",
INDEX( 'ETPT Format DDG'!$A:$ZZ,,MATCH("Juridiction",'ETPT Format DDG'!2:2,0)),$A$3)</f>
      </c>
      <c r="J91" s="73">
        <f>SUMIFS(
INDEX('ETPT Format DDG'!$A:$ZZ,,IFERROR(MATCH(E91,'ETPT Format DDG'!$2:$2,0),MATCH(C91,'ETPT Format DDG'!$2:$2,0))),
INDEX( 'ETPT Format DDG'!$A:$ZZ,,MATCH("Fonction agrégat",'ETPT Format DDG'!2:2,0)),"M-PLAC-SUB",
INDEX( 'ETPT Format DDG'!$A:$ZZ,,MATCH("Juridiction",'ETPT Format DDG'!2:2,0)),$A$3)</f>
      </c>
      <c r="K91" s="73">
        <f>SUMIFS(
INDEX('ETPT Format DDG'!$A:$ZZ,,IFERROR(MATCH(E91,'ETPT Format DDG'!$2:$2,0),MATCH(C91,'ETPT Format DDG'!$2:$2,0))),
INDEX( 'ETPT Format DDG'!$A:$ZZ,,MATCH("Fonction agrégat",'ETPT Format DDG'!2:2,0)),"M-CONT",
INDEX( 'ETPT Format DDG'!$A:$ZZ,,MATCH("Juridiction",'ETPT Format DDG'!2:2,0)),$A$3,
INDEX( 'ETPT Format DDG'!$A:$ZZ,,MATCH("Catégorie",'ETPT Format DDG'!2:2,0)),"Magistrat")</f>
      </c>
      <c r="L91" s="71">
        <f>SUMIFS(
INDEX('ETPT Format DDG'!$A:$ZZ,,IFERROR(MATCH(E91,'ETPT Format DDG'!$2:$2,0),MATCH(C91,'ETPT Format DDG'!$2:$2,0))),
INDEX( 'ETPT Format DDG'!$A:$ZZ,,MATCH("Juridiction",'ETPT Format DDG'!2:2,0)),$A$3,
INDEX( 'ETPT Format DDG'!$A:$ZZ,,MATCH("Catégorie",'ETPT Format DDG'!2:2,0)),"Magistrat")</f>
      </c>
      <c r="M91" s="74">
        <f>IF(AND(OR(LEFT(C91,3)="12.",LEFT(E91,3)="12.",LEFT(E91,5)="CET &gt;", IFERROR(L91/$L$6,"")=0),NOT(AND(LEFT(E91,4)="12.8",IFERROR(G91/$G$6,"")&lt;&gt;0)),NOT(AND(LEFT(E91,5)="12.31",IFERROR(L91/$G$6,"")&lt;&gt;0)),NOT(AND(LEFT(E91,5)="12.32",IFERROR(L91/$G$6,"")&lt;&gt;0))),"", IFERROR(L91/$L$6,""))</f>
      </c>
      <c r="N91" s="73">
        <f>SUMIFS(
INDEX('ETPT Format DDG'!$A:$ZZ,,IFERROR(MATCH(E91,'ETPT Format DDG'!$2:$2,0),MATCH(C91,'ETPT Format DDG'!$2:$2,0))),
INDEX( 'ETPT Format DDG'!$A:$ZZ,,MATCH("Fonction agrégat",'ETPT Format DDG'!2:2,0)),"F-TIT",
INDEX( 'ETPT Format DDG'!$A:$ZZ,,MATCH("Juridiction",'ETPT Format DDG'!2:2,0)),$A$3)</f>
      </c>
      <c r="O91" s="72">
        <f>IF(AND(OR(LEFT(C91,3)="12.",LEFT(E91,3)="12.",LEFT(E91,5)="CET &gt;",IFERROR(N91/$N$6,"")=0),NOT(AND(LEFT(E91,4)="12.8",IFERROR(G91/$G$6,"")&lt;&gt;0)),NOT(AND(LEFT(E91,5)="12.31",IFERROR(N91/$G$6,"")&lt;&gt;0)),NOT(AND(LEFT(E91,5)="12.32",IFERROR(N91/$G$6,"")&lt;&gt;0))),"",IFERROR(N91/$N$6,""))</f>
      </c>
      <c r="P91" s="73">
        <f>SUMIFS(
INDEX('ETPT Format DDG'!$A:$FB,,IFERROR(MATCH(E91,'ETPT Format DDG'!$2:$2,0),MATCH(C91,'ETPT Format DDG'!$2:$2,0))),
INDEX( 'ETPT Format DDG'!$A:$ZZ,,MATCH("Fonction agrégat",'ETPT Format DDG'!2:2,0)),"F-PLAC-ADD",
INDEX( 'ETPT Format DDG'!$A:$ZZ,,MATCH("Juridiction",'ETPT Format DDG'!2:2,0)),$A$3)</f>
      </c>
      <c r="Q91" s="73">
        <f>SUMIFS(
INDEX('ETPT Format DDG'!$A:$FB,,IFERROR(MATCH(E91,'ETPT Format DDG'!$2:$2,0),MATCH(C91,'ETPT Format DDG'!$2:$2,0))),
INDEX( 'ETPT Format DDG'!$A:$ZZ,,MATCH("Fonction agrégat",'ETPT Format DDG'!2:2,0)),"F-PLAC-SUB",
INDEX( 'ETPT Format DDG'!$A:$ZZ,,MATCH("Juridiction",'ETPT Format DDG'!2:2,0)),$A$3)</f>
      </c>
      <c r="R91" s="73">
        <f>SUMIFS(
INDEX('ETPT Format DDG'!$A:$FB,,IFERROR(MATCH(E91,'ETPT Format DDG'!$2:$2,0),MATCH(C91,'ETPT Format DDG'!$2:$2,0))),
INDEX( 'ETPT Format DDG'!$A:$ZZ,,MATCH("Fonction agrégat",'ETPT Format DDG'!2:2,0)),"C",
'ETPT Format DDG'!$H:$H,"Greffe",
INDEX( 'ETPT Format DDG'!$A:$ZZ,,MATCH("Juridiction",'ETPT Format DDG'!2:2,0)),$A$3)</f>
      </c>
      <c r="S91" s="71">
        <f>SUMIFS(
INDEX('ETPT Format DDG'!$A:$FB,,IFERROR(MATCH(E91,'ETPT Format DDG'!$2:$2,0),MATCH(C91,'ETPT Format DDG'!$2:$2,0))),
INDEX( 'ETPT Format DDG'!$A:$ZZ,,MATCH("Catégorie",'ETPT Format DDG'!2:2,0)),"Greffe",
INDEX( 'ETPT Format DDG'!$A:$ZZ,,MATCH("Juridiction",'ETPT Format DDG'!2:2,0)),$A$3)</f>
      </c>
      <c r="T91" s="72">
        <f>IF(AND(OR(LEFT(C91,3)="12.",LEFT(E91,3)="12.",LEFT(E91,5)="CET &gt;",IFERROR(S91/$S$6,"")=0),NOT(AND(LEFT(E91,4)="12.8",IFERROR(G91/$G$6,"")&lt;&gt;0)),NOT(AND(LEFT(E91,5)="12.31",IFERROR(S91/$G$6,"")&lt;&gt;0)),NOT(AND(LEFT(E91,5)="12.32",IFERROR(S91/$G$6,"")&lt;&gt;0))),"", IFERROR(S91/$S$6,""))</f>
      </c>
      <c r="U91" s="71">
        <f>SUMIFS(
INDEX('ETPT Format DDG'!$A:$FB,,IFERROR(MATCH(E91,'ETPT Format DDG'!$2:$2,0),MATCH(C91,'ETPT Format DDG'!$2:$2,0))),
INDEX( 'ETPT Format DDG'!$A:$ZZ,,MATCH("Fonction agrégat",'ETPT Format DDG'!2:2,0)),"C",
INDEX( 'ETPT Format DDG'!$A:$ZZ,,MATCH("Juridiction",'ETPT Format DDG'!2:2,0)),$A$3,
INDEX( 'ETPT Format DDG'!$A:$ZZ,,MATCH("Catégorie",'ETPT Format DDG'!2:2,0)),"Autour du magistrat")</f>
      </c>
      <c r="V91" s="74">
        <f>IF(AND(OR(LEFT(C91,3)="12.",LEFT(E91,3)="12.",LEFT(E91,5)="CET &gt;",IFERROR(U91/$U$6,"")=0),NOT(AND(LEFT(E91,4)="12.8",IFERROR(G91/$G$6,"")&lt;&gt;0)),NOT(AND(LEFT(E91,5)="12.31",IFERROR(U91/$G$6,"")&lt;&gt;0)),NOT(AND(LEFT(E91,5)="12.32",IFERROR(U91/$G$6,"")&lt;&gt;0))),"", IFERROR(U91/$U$6,""))</f>
      </c>
    </row>
    <row r="92" ht="16" customHeight="1" spans="1:23" x14ac:dyDescent="0.25">
      <c r="A92" s="40"/>
      <c r="C92" s="68"/>
      <c r="D92" s="68"/>
      <c r="E92" s="69" t="s">
        <v>127</v>
      </c>
      <c r="F92" s="70" t="s">
        <v>127</v>
      </c>
      <c r="G92" s="71">
        <f>SUMIFS(
INDEX('ETPT Format DDG'!$A:$ZZ,,IFERROR(MATCH(E92,'ETPT Format DDG'!$2:$2,0),MATCH(C92,'ETPT Format DDG'!$2:$2,0))),
INDEX( 'ETPT Format DDG'!$A:$ZZ,,MATCH("Fonction agrégat",'ETPT Format DDG'!2:2,0)),"M-TIT",
INDEX( 'ETPT Format DDG'!$A:$ZZ,,MATCH("Juridiction",'ETPT Format DDG'!2:2,0)),$A$3)</f>
      </c>
      <c r="H92" s="72">
        <f>IF(AND(OR(LEFT(C92,3)="12.",LEFT(E92,3)="12.",LEFT(E92,5)="CET &gt;",IFERROR(G92/$G$6,"")=0),NOT(AND(LEFT(E92,4)="12.8",IFERROR(G92/$G$6,"")&lt;&gt;0)),NOT(AND(LEFT(E92,5)="12.31",IFERROR(G92/$G$6,"")&lt;&gt;0)),NOT(AND(LEFT(E92,5)="12.32",IFERROR(G92/$G$6,"")&lt;&gt;0))),"", IFERROR(G92/$G$6,""))</f>
      </c>
      <c r="I92" s="73">
        <f>SUMIFS(
INDEX('ETPT Format DDG'!$A:$ZZ,,IFERROR(MATCH(E92,'ETPT Format DDG'!$2:$2,0),MATCH(C92,'ETPT Format DDG'!$2:$2,0))),
INDEX( 'ETPT Format DDG'!$A:$ZZ,,MATCH("Fonction agrégat",'ETPT Format DDG'!2:2,0)),"M-PLAC-ADD",
INDEX( 'ETPT Format DDG'!$A:$ZZ,,MATCH("Juridiction",'ETPT Format DDG'!2:2,0)),$A$3)</f>
      </c>
      <c r="J92" s="73">
        <f>SUMIFS(
INDEX('ETPT Format DDG'!$A:$ZZ,,IFERROR(MATCH(E92,'ETPT Format DDG'!$2:$2,0),MATCH(C92,'ETPT Format DDG'!$2:$2,0))),
INDEX( 'ETPT Format DDG'!$A:$ZZ,,MATCH("Fonction agrégat",'ETPT Format DDG'!2:2,0)),"M-PLAC-SUB",
INDEX( 'ETPT Format DDG'!$A:$ZZ,,MATCH("Juridiction",'ETPT Format DDG'!2:2,0)),$A$3)</f>
      </c>
      <c r="K92" s="73">
        <f>SUMIFS(
INDEX('ETPT Format DDG'!$A:$ZZ,,IFERROR(MATCH(E92,'ETPT Format DDG'!$2:$2,0),MATCH(C92,'ETPT Format DDG'!$2:$2,0))),
INDEX( 'ETPT Format DDG'!$A:$ZZ,,MATCH("Fonction agrégat",'ETPT Format DDG'!2:2,0)),"M-CONT",
INDEX( 'ETPT Format DDG'!$A:$ZZ,,MATCH("Juridiction",'ETPT Format DDG'!2:2,0)),$A$3,
INDEX( 'ETPT Format DDG'!$A:$ZZ,,MATCH("Catégorie",'ETPT Format DDG'!2:2,0)),"Magistrat")</f>
      </c>
      <c r="L92" s="71">
        <f>SUMIFS(
INDEX('ETPT Format DDG'!$A:$ZZ,,IFERROR(MATCH(E92,'ETPT Format DDG'!$2:$2,0),MATCH(C92,'ETPT Format DDG'!$2:$2,0))),
INDEX( 'ETPT Format DDG'!$A:$ZZ,,MATCH("Juridiction",'ETPT Format DDG'!2:2,0)),$A$3,
INDEX( 'ETPT Format DDG'!$A:$ZZ,,MATCH("Catégorie",'ETPT Format DDG'!2:2,0)),"Magistrat")</f>
      </c>
      <c r="M92" s="74">
        <f>IF(AND(OR(LEFT(C92,3)="12.",LEFT(E92,3)="12.",LEFT(E92,5)="CET &gt;", IFERROR(L92/$L$6,"")=0),NOT(AND(LEFT(E92,4)="12.8",IFERROR(G92/$G$6,"")&lt;&gt;0)),NOT(AND(LEFT(E92,5)="12.31",IFERROR(L92/$G$6,"")&lt;&gt;0)),NOT(AND(LEFT(E92,5)="12.32",IFERROR(L92/$G$6,"")&lt;&gt;0))),"", IFERROR(L92/$L$6,""))</f>
      </c>
      <c r="N92" s="73">
        <f>SUMIFS(
INDEX('ETPT Format DDG'!$A:$ZZ,,IFERROR(MATCH(E92,'ETPT Format DDG'!$2:$2,0),MATCH(C92,'ETPT Format DDG'!$2:$2,0))),
INDEX( 'ETPT Format DDG'!$A:$ZZ,,MATCH("Fonction agrégat",'ETPT Format DDG'!2:2,0)),"F-TIT",
INDEX( 'ETPT Format DDG'!$A:$ZZ,,MATCH("Juridiction",'ETPT Format DDG'!2:2,0)),$A$3)</f>
      </c>
      <c r="O92" s="72">
        <f>IF(AND(OR(LEFT(C92,3)="12.",LEFT(E92,3)="12.",LEFT(E92,5)="CET &gt;",IFERROR(N92/$N$6,"")=0),NOT(AND(LEFT(E92,4)="12.8",IFERROR(G92/$G$6,"")&lt;&gt;0)),NOT(AND(LEFT(E92,5)="12.31",IFERROR(N92/$G$6,"")&lt;&gt;0)),NOT(AND(LEFT(E92,5)="12.32",IFERROR(N92/$G$6,"")&lt;&gt;0))),"",IFERROR(N92/$N$6,""))</f>
      </c>
      <c r="P92" s="73">
        <f>SUMIFS(
INDEX('ETPT Format DDG'!$A:$FB,,IFERROR(MATCH(E92,'ETPT Format DDG'!$2:$2,0),MATCH(C92,'ETPT Format DDG'!$2:$2,0))),
INDEX( 'ETPT Format DDG'!$A:$ZZ,,MATCH("Fonction agrégat",'ETPT Format DDG'!2:2,0)),"F-PLAC-ADD",
INDEX( 'ETPT Format DDG'!$A:$ZZ,,MATCH("Juridiction",'ETPT Format DDG'!2:2,0)),$A$3)</f>
      </c>
      <c r="Q92" s="73">
        <f>SUMIFS(
INDEX('ETPT Format DDG'!$A:$FB,,IFERROR(MATCH(E92,'ETPT Format DDG'!$2:$2,0),MATCH(C92,'ETPT Format DDG'!$2:$2,0))),
INDEX( 'ETPT Format DDG'!$A:$ZZ,,MATCH("Fonction agrégat",'ETPT Format DDG'!2:2,0)),"F-PLAC-SUB",
INDEX( 'ETPT Format DDG'!$A:$ZZ,,MATCH("Juridiction",'ETPT Format DDG'!2:2,0)),$A$3)</f>
      </c>
      <c r="R92" s="73">
        <f>SUMIFS(
INDEX('ETPT Format DDG'!$A:$FB,,IFERROR(MATCH(E92,'ETPT Format DDG'!$2:$2,0),MATCH(C92,'ETPT Format DDG'!$2:$2,0))),
INDEX( 'ETPT Format DDG'!$A:$ZZ,,MATCH("Fonction agrégat",'ETPT Format DDG'!2:2,0)),"C",
'ETPT Format DDG'!$H:$H,"Greffe",
INDEX( 'ETPT Format DDG'!$A:$ZZ,,MATCH("Juridiction",'ETPT Format DDG'!2:2,0)),$A$3)</f>
      </c>
      <c r="S92" s="71">
        <f>SUMIFS(
INDEX('ETPT Format DDG'!$A:$FB,,IFERROR(MATCH(E92,'ETPT Format DDG'!$2:$2,0),MATCH(C92,'ETPT Format DDG'!$2:$2,0))),
INDEX( 'ETPT Format DDG'!$A:$ZZ,,MATCH("Catégorie",'ETPT Format DDG'!2:2,0)),"Greffe",
INDEX( 'ETPT Format DDG'!$A:$ZZ,,MATCH("Juridiction",'ETPT Format DDG'!2:2,0)),$A$3)</f>
      </c>
      <c r="T92" s="72">
        <f>IF(AND(OR(LEFT(C92,3)="12.",LEFT(E92,3)="12.",LEFT(E92,5)="CET &gt;",IFERROR(S92/$S$6,"")=0),NOT(AND(LEFT(E92,4)="12.8",IFERROR(G92/$G$6,"")&lt;&gt;0)),NOT(AND(LEFT(E92,5)="12.31",IFERROR(S92/$G$6,"")&lt;&gt;0)),NOT(AND(LEFT(E92,5)="12.32",IFERROR(S92/$G$6,"")&lt;&gt;0))),"", IFERROR(S92/$S$6,""))</f>
      </c>
      <c r="U92" s="71">
        <f>SUMIFS(
INDEX('ETPT Format DDG'!$A:$FB,,IFERROR(MATCH(E92,'ETPT Format DDG'!$2:$2,0),MATCH(C92,'ETPT Format DDG'!$2:$2,0))),
INDEX( 'ETPT Format DDG'!$A:$ZZ,,MATCH("Fonction agrégat",'ETPT Format DDG'!2:2,0)),"C",
INDEX( 'ETPT Format DDG'!$A:$ZZ,,MATCH("Juridiction",'ETPT Format DDG'!2:2,0)),$A$3,
INDEX( 'ETPT Format DDG'!$A:$ZZ,,MATCH("Catégorie",'ETPT Format DDG'!2:2,0)),"Autour du magistrat")</f>
      </c>
      <c r="V92" s="74">
        <f>IF(AND(OR(LEFT(C92,3)="12.",LEFT(E92,3)="12.",LEFT(E92,5)="CET &gt;",IFERROR(U92/$U$6,"")=0),NOT(AND(LEFT(E92,4)="12.8",IFERROR(G92/$G$6,"")&lt;&gt;0)),NOT(AND(LEFT(E92,5)="12.31",IFERROR(U92/$G$6,"")&lt;&gt;0)),NOT(AND(LEFT(E92,5)="12.32",IFERROR(U92/$G$6,"")&lt;&gt;0))),"", IFERROR(U92/$U$6,""))</f>
      </c>
    </row>
    <row r="93" ht="16" customHeight="1" spans="1:23" x14ac:dyDescent="0.25">
      <c r="A93" s="40"/>
      <c r="C93" s="68"/>
      <c r="D93" s="68"/>
      <c r="E93" s="69" t="s">
        <v>128</v>
      </c>
      <c r="F93" s="70" t="s">
        <v>128</v>
      </c>
      <c r="G93" s="71">
        <f>SUMIFS(
INDEX('ETPT Format DDG'!$A:$ZZ,,IFERROR(MATCH(E93,'ETPT Format DDG'!$2:$2,0),MATCH(C93,'ETPT Format DDG'!$2:$2,0))),
INDEX( 'ETPT Format DDG'!$A:$ZZ,,MATCH("Fonction agrégat",'ETPT Format DDG'!2:2,0)),"M-TIT",
INDEX( 'ETPT Format DDG'!$A:$ZZ,,MATCH("Juridiction",'ETPT Format DDG'!2:2,0)),$A$3)</f>
      </c>
      <c r="H93" s="72">
        <f>IF(AND(OR(LEFT(C93,3)="12.",LEFT(E93,3)="12.",LEFT(E93,5)="CET &gt;",IFERROR(G93/$G$6,"")=0),NOT(AND(LEFT(E93,4)="12.8",IFERROR(G93/$G$6,"")&lt;&gt;0)),NOT(AND(LEFT(E93,5)="12.31",IFERROR(G93/$G$6,"")&lt;&gt;0)),NOT(AND(LEFT(E93,5)="12.32",IFERROR(G93/$G$6,"")&lt;&gt;0))),"", IFERROR(G93/$G$6,""))</f>
      </c>
      <c r="I93" s="73">
        <f>SUMIFS(
INDEX('ETPT Format DDG'!$A:$ZZ,,IFERROR(MATCH(E93,'ETPT Format DDG'!$2:$2,0),MATCH(C93,'ETPT Format DDG'!$2:$2,0))),
INDEX( 'ETPT Format DDG'!$A:$ZZ,,MATCH("Fonction agrégat",'ETPT Format DDG'!2:2,0)),"M-PLAC-ADD",
INDEX( 'ETPT Format DDG'!$A:$ZZ,,MATCH("Juridiction",'ETPT Format DDG'!2:2,0)),$A$3)</f>
      </c>
      <c r="J93" s="73">
        <f>SUMIFS(
INDEX('ETPT Format DDG'!$A:$ZZ,,IFERROR(MATCH(E93,'ETPT Format DDG'!$2:$2,0),MATCH(C93,'ETPT Format DDG'!$2:$2,0))),
INDEX( 'ETPT Format DDG'!$A:$ZZ,,MATCH("Fonction agrégat",'ETPT Format DDG'!2:2,0)),"M-PLAC-SUB",
INDEX( 'ETPT Format DDG'!$A:$ZZ,,MATCH("Juridiction",'ETPT Format DDG'!2:2,0)),$A$3)</f>
      </c>
      <c r="K93" s="73">
        <f>SUMIFS(
INDEX('ETPT Format DDG'!$A:$ZZ,,IFERROR(MATCH(E93,'ETPT Format DDG'!$2:$2,0),MATCH(C93,'ETPT Format DDG'!$2:$2,0))),
INDEX( 'ETPT Format DDG'!$A:$ZZ,,MATCH("Fonction agrégat",'ETPT Format DDG'!2:2,0)),"M-CONT",
INDEX( 'ETPT Format DDG'!$A:$ZZ,,MATCH("Juridiction",'ETPT Format DDG'!2:2,0)),$A$3,
INDEX( 'ETPT Format DDG'!$A:$ZZ,,MATCH("Catégorie",'ETPT Format DDG'!2:2,0)),"Magistrat")</f>
      </c>
      <c r="L93" s="71">
        <f>SUMIFS(
INDEX('ETPT Format DDG'!$A:$ZZ,,IFERROR(MATCH(E93,'ETPT Format DDG'!$2:$2,0),MATCH(C93,'ETPT Format DDG'!$2:$2,0))),
INDEX( 'ETPT Format DDG'!$A:$ZZ,,MATCH("Juridiction",'ETPT Format DDG'!2:2,0)),$A$3,
INDEX( 'ETPT Format DDG'!$A:$ZZ,,MATCH("Catégorie",'ETPT Format DDG'!2:2,0)),"Magistrat")</f>
      </c>
      <c r="M93" s="74">
        <f>IF(AND(OR(LEFT(C93,3)="12.",LEFT(E93,3)="12.",LEFT(E93,5)="CET &gt;", IFERROR(L93/$L$6,"")=0),NOT(AND(LEFT(E93,4)="12.8",IFERROR(G93/$G$6,"")&lt;&gt;0)),NOT(AND(LEFT(E93,5)="12.31",IFERROR(L93/$G$6,"")&lt;&gt;0)),NOT(AND(LEFT(E93,5)="12.32",IFERROR(L93/$G$6,"")&lt;&gt;0))),"", IFERROR(L93/$L$6,""))</f>
      </c>
      <c r="N93" s="73">
        <f>SUMIFS(
INDEX('ETPT Format DDG'!$A:$ZZ,,IFERROR(MATCH(E93,'ETPT Format DDG'!$2:$2,0),MATCH(C93,'ETPT Format DDG'!$2:$2,0))),
INDEX( 'ETPT Format DDG'!$A:$ZZ,,MATCH("Fonction agrégat",'ETPT Format DDG'!2:2,0)),"F-TIT",
INDEX( 'ETPT Format DDG'!$A:$ZZ,,MATCH("Juridiction",'ETPT Format DDG'!2:2,0)),$A$3)</f>
      </c>
      <c r="O93" s="72">
        <f>IF(AND(OR(LEFT(C93,3)="12.",LEFT(E93,3)="12.",LEFT(E93,5)="CET &gt;",IFERROR(N93/$N$6,"")=0),NOT(AND(LEFT(E93,4)="12.8",IFERROR(G93/$G$6,"")&lt;&gt;0)),NOT(AND(LEFT(E93,5)="12.31",IFERROR(N93/$G$6,"")&lt;&gt;0)),NOT(AND(LEFT(E93,5)="12.32",IFERROR(N93/$G$6,"")&lt;&gt;0))),"",IFERROR(N93/$N$6,""))</f>
      </c>
      <c r="P93" s="73">
        <f>SUMIFS(
INDEX('ETPT Format DDG'!$A:$FB,,IFERROR(MATCH(E93,'ETPT Format DDG'!$2:$2,0),MATCH(C93,'ETPT Format DDG'!$2:$2,0))),
INDEX( 'ETPT Format DDG'!$A:$ZZ,,MATCH("Fonction agrégat",'ETPT Format DDG'!2:2,0)),"F-PLAC-ADD",
INDEX( 'ETPT Format DDG'!$A:$ZZ,,MATCH("Juridiction",'ETPT Format DDG'!2:2,0)),$A$3)</f>
      </c>
      <c r="Q93" s="73">
        <f>SUMIFS(
INDEX('ETPT Format DDG'!$A:$FB,,IFERROR(MATCH(E93,'ETPT Format DDG'!$2:$2,0),MATCH(C93,'ETPT Format DDG'!$2:$2,0))),
INDEX( 'ETPT Format DDG'!$A:$ZZ,,MATCH("Fonction agrégat",'ETPT Format DDG'!2:2,0)),"F-PLAC-SUB",
INDEX( 'ETPT Format DDG'!$A:$ZZ,,MATCH("Juridiction",'ETPT Format DDG'!2:2,0)),$A$3)</f>
      </c>
      <c r="R93" s="73">
        <f>SUMIFS(
INDEX('ETPT Format DDG'!$A:$FB,,IFERROR(MATCH(E93,'ETPT Format DDG'!$2:$2,0),MATCH(C93,'ETPT Format DDG'!$2:$2,0))),
INDEX( 'ETPT Format DDG'!$A:$ZZ,,MATCH("Fonction agrégat",'ETPT Format DDG'!2:2,0)),"C",
'ETPT Format DDG'!$H:$H,"Greffe",
INDEX( 'ETPT Format DDG'!$A:$ZZ,,MATCH("Juridiction",'ETPT Format DDG'!2:2,0)),$A$3)</f>
      </c>
      <c r="S93" s="71">
        <f>SUMIFS(
INDEX('ETPT Format DDG'!$A:$FB,,IFERROR(MATCH(E93,'ETPT Format DDG'!$2:$2,0),MATCH(C93,'ETPT Format DDG'!$2:$2,0))),
INDEX( 'ETPT Format DDG'!$A:$ZZ,,MATCH("Catégorie",'ETPT Format DDG'!2:2,0)),"Greffe",
INDEX( 'ETPT Format DDG'!$A:$ZZ,,MATCH("Juridiction",'ETPT Format DDG'!2:2,0)),$A$3)</f>
      </c>
      <c r="T93" s="72">
        <f>IF(AND(OR(LEFT(C93,3)="12.",LEFT(E93,3)="12.",LEFT(E93,5)="CET &gt;",IFERROR(S93/$S$6,"")=0),NOT(AND(LEFT(E93,4)="12.8",IFERROR(G93/$G$6,"")&lt;&gt;0)),NOT(AND(LEFT(E93,5)="12.31",IFERROR(S93/$G$6,"")&lt;&gt;0)),NOT(AND(LEFT(E93,5)="12.32",IFERROR(S93/$G$6,"")&lt;&gt;0))),"", IFERROR(S93/$S$6,""))</f>
      </c>
      <c r="U93" s="71">
        <f>SUMIFS(
INDEX('ETPT Format DDG'!$A:$FB,,IFERROR(MATCH(E93,'ETPT Format DDG'!$2:$2,0),MATCH(C93,'ETPT Format DDG'!$2:$2,0))),
INDEX( 'ETPT Format DDG'!$A:$ZZ,,MATCH("Fonction agrégat",'ETPT Format DDG'!2:2,0)),"C",
INDEX( 'ETPT Format DDG'!$A:$ZZ,,MATCH("Juridiction",'ETPT Format DDG'!2:2,0)),$A$3,
INDEX( 'ETPT Format DDG'!$A:$ZZ,,MATCH("Catégorie",'ETPT Format DDG'!2:2,0)),"Autour du magistrat")</f>
      </c>
      <c r="V93" s="74">
        <f>IF(AND(OR(LEFT(C93,3)="12.",LEFT(E93,3)="12.",LEFT(E93,5)="CET &gt;",IFERROR(U93/$U$6,"")=0),NOT(AND(LEFT(E93,4)="12.8",IFERROR(G93/$G$6,"")&lt;&gt;0)),NOT(AND(LEFT(E93,5)="12.31",IFERROR(U93/$G$6,"")&lt;&gt;0)),NOT(AND(LEFT(E93,5)="12.32",IFERROR(U93/$G$6,"")&lt;&gt;0))),"", IFERROR(U93/$U$6,""))</f>
      </c>
    </row>
    <row r="94" ht="16" customHeight="1" spans="1:23" x14ac:dyDescent="0.25">
      <c r="A94" s="40"/>
      <c r="C94" s="68"/>
      <c r="D94" s="68"/>
      <c r="E94" s="69" t="s">
        <v>129</v>
      </c>
      <c r="F94" s="70" t="s">
        <v>129</v>
      </c>
      <c r="G94" s="71">
        <f>SUMIFS(
INDEX('ETPT Format DDG'!$A:$ZZ,,IFERROR(MATCH(E94,'ETPT Format DDG'!$2:$2,0),MATCH(C94,'ETPT Format DDG'!$2:$2,0))),
INDEX( 'ETPT Format DDG'!$A:$ZZ,,MATCH("Fonction agrégat",'ETPT Format DDG'!2:2,0)),"M-TIT",
INDEX( 'ETPT Format DDG'!$A:$ZZ,,MATCH("Juridiction",'ETPT Format DDG'!2:2,0)),$A$3)</f>
      </c>
      <c r="H94" s="72">
        <f>IF(AND(OR(LEFT(C94,3)="12.",LEFT(E94,3)="12.",LEFT(E94,5)="CET &gt;",IFERROR(G94/$G$6,"")=0),NOT(AND(LEFT(E94,4)="12.8",IFERROR(G94/$G$6,"")&lt;&gt;0)),NOT(AND(LEFT(E94,5)="12.31",IFERROR(G94/$G$6,"")&lt;&gt;0)),NOT(AND(LEFT(E94,5)="12.32",IFERROR(G94/$G$6,"")&lt;&gt;0))),"", IFERROR(G94/$G$6,""))</f>
      </c>
      <c r="I94" s="73">
        <f>SUMIFS(
INDEX('ETPT Format DDG'!$A:$ZZ,,IFERROR(MATCH(E94,'ETPT Format DDG'!$2:$2,0),MATCH(C94,'ETPT Format DDG'!$2:$2,0))),
INDEX( 'ETPT Format DDG'!$A:$ZZ,,MATCH("Fonction agrégat",'ETPT Format DDG'!2:2,0)),"M-PLAC-ADD",
INDEX( 'ETPT Format DDG'!$A:$ZZ,,MATCH("Juridiction",'ETPT Format DDG'!2:2,0)),$A$3)</f>
      </c>
      <c r="J94" s="73">
        <f>SUMIFS(
INDEX('ETPT Format DDG'!$A:$ZZ,,IFERROR(MATCH(E94,'ETPT Format DDG'!$2:$2,0),MATCH(C94,'ETPT Format DDG'!$2:$2,0))),
INDEX( 'ETPT Format DDG'!$A:$ZZ,,MATCH("Fonction agrégat",'ETPT Format DDG'!2:2,0)),"M-PLAC-SUB",
INDEX( 'ETPT Format DDG'!$A:$ZZ,,MATCH("Juridiction",'ETPT Format DDG'!2:2,0)),$A$3)</f>
      </c>
      <c r="K94" s="73">
        <f>SUMIFS(
INDEX('ETPT Format DDG'!$A:$ZZ,,IFERROR(MATCH(E94,'ETPT Format DDG'!$2:$2,0),MATCH(C94,'ETPT Format DDG'!$2:$2,0))),
INDEX( 'ETPT Format DDG'!$A:$ZZ,,MATCH("Fonction agrégat",'ETPT Format DDG'!2:2,0)),"M-CONT",
INDEX( 'ETPT Format DDG'!$A:$ZZ,,MATCH("Juridiction",'ETPT Format DDG'!2:2,0)),$A$3,
INDEX( 'ETPT Format DDG'!$A:$ZZ,,MATCH("Catégorie",'ETPT Format DDG'!2:2,0)),"Magistrat")</f>
      </c>
      <c r="L94" s="71">
        <f>SUMIFS(
INDEX('ETPT Format DDG'!$A:$ZZ,,IFERROR(MATCH(E94,'ETPT Format DDG'!$2:$2,0),MATCH(C94,'ETPT Format DDG'!$2:$2,0))),
INDEX( 'ETPT Format DDG'!$A:$ZZ,,MATCH("Juridiction",'ETPT Format DDG'!2:2,0)),$A$3,
INDEX( 'ETPT Format DDG'!$A:$ZZ,,MATCH("Catégorie",'ETPT Format DDG'!2:2,0)),"Magistrat")</f>
      </c>
      <c r="M94" s="74">
        <f>IF(AND(OR(LEFT(C94,3)="12.",LEFT(E94,3)="12.",LEFT(E94,5)="CET &gt;", IFERROR(L94/$L$6,"")=0),NOT(AND(LEFT(E94,4)="12.8",IFERROR(G94/$G$6,"")&lt;&gt;0)),NOT(AND(LEFT(E94,5)="12.31",IFERROR(L94/$G$6,"")&lt;&gt;0)),NOT(AND(LEFT(E94,5)="12.32",IFERROR(L94/$G$6,"")&lt;&gt;0))),"", IFERROR(L94/$L$6,""))</f>
      </c>
      <c r="N94" s="73">
        <f>SUMIFS(
INDEX('ETPT Format DDG'!$A:$ZZ,,IFERROR(MATCH(E94,'ETPT Format DDG'!$2:$2,0),MATCH(C94,'ETPT Format DDG'!$2:$2,0))),
INDEX( 'ETPT Format DDG'!$A:$ZZ,,MATCH("Fonction agrégat",'ETPT Format DDG'!2:2,0)),"F-TIT",
INDEX( 'ETPT Format DDG'!$A:$ZZ,,MATCH("Juridiction",'ETPT Format DDG'!2:2,0)),$A$3)</f>
      </c>
      <c r="O94" s="72">
        <f>IF(AND(OR(LEFT(C94,3)="12.",LEFT(E94,3)="12.",LEFT(E94,5)="CET &gt;",IFERROR(N94/$N$6,"")=0),NOT(AND(LEFT(E94,4)="12.8",IFERROR(G94/$G$6,"")&lt;&gt;0)),NOT(AND(LEFT(E94,5)="12.31",IFERROR(N94/$G$6,"")&lt;&gt;0)),NOT(AND(LEFT(E94,5)="12.32",IFERROR(N94/$G$6,"")&lt;&gt;0))),"",IFERROR(N94/$N$6,""))</f>
      </c>
      <c r="P94" s="73">
        <f>SUMIFS(
INDEX('ETPT Format DDG'!$A:$FB,,IFERROR(MATCH(E94,'ETPT Format DDG'!$2:$2,0),MATCH(C94,'ETPT Format DDG'!$2:$2,0))),
INDEX( 'ETPT Format DDG'!$A:$ZZ,,MATCH("Fonction agrégat",'ETPT Format DDG'!2:2,0)),"F-PLAC-ADD",
INDEX( 'ETPT Format DDG'!$A:$ZZ,,MATCH("Juridiction",'ETPT Format DDG'!2:2,0)),$A$3)</f>
      </c>
      <c r="Q94" s="73">
        <f>SUMIFS(
INDEX('ETPT Format DDG'!$A:$FB,,IFERROR(MATCH(E94,'ETPT Format DDG'!$2:$2,0),MATCH(C94,'ETPT Format DDG'!$2:$2,0))),
INDEX( 'ETPT Format DDG'!$A:$ZZ,,MATCH("Fonction agrégat",'ETPT Format DDG'!2:2,0)),"F-PLAC-SUB",
INDEX( 'ETPT Format DDG'!$A:$ZZ,,MATCH("Juridiction",'ETPT Format DDG'!2:2,0)),$A$3)</f>
      </c>
      <c r="R94" s="73">
        <f>SUMIFS(
INDEX('ETPT Format DDG'!$A:$FB,,IFERROR(MATCH(E94,'ETPT Format DDG'!$2:$2,0),MATCH(C94,'ETPT Format DDG'!$2:$2,0))),
INDEX( 'ETPT Format DDG'!$A:$ZZ,,MATCH("Fonction agrégat",'ETPT Format DDG'!2:2,0)),"C",
'ETPT Format DDG'!$H:$H,"Greffe",
INDEX( 'ETPT Format DDG'!$A:$ZZ,,MATCH("Juridiction",'ETPT Format DDG'!2:2,0)),$A$3)</f>
      </c>
      <c r="S94" s="71">
        <f>SUMIFS(
INDEX('ETPT Format DDG'!$A:$FB,,IFERROR(MATCH(E94,'ETPT Format DDG'!$2:$2,0),MATCH(C94,'ETPT Format DDG'!$2:$2,0))),
INDEX( 'ETPT Format DDG'!$A:$ZZ,,MATCH("Catégorie",'ETPT Format DDG'!2:2,0)),"Greffe",
INDEX( 'ETPT Format DDG'!$A:$ZZ,,MATCH("Juridiction",'ETPT Format DDG'!2:2,0)),$A$3)</f>
      </c>
      <c r="T94" s="72">
        <f>IF(AND(OR(LEFT(C94,3)="12.",LEFT(E94,3)="12.",LEFT(E94,5)="CET &gt;",IFERROR(S94/$S$6,"")=0),NOT(AND(LEFT(E94,4)="12.8",IFERROR(G94/$G$6,"")&lt;&gt;0)),NOT(AND(LEFT(E94,5)="12.31",IFERROR(S94/$G$6,"")&lt;&gt;0)),NOT(AND(LEFT(E94,5)="12.32",IFERROR(S94/$G$6,"")&lt;&gt;0))),"", IFERROR(S94/$S$6,""))</f>
      </c>
      <c r="U94" s="71">
        <f>SUMIFS(
INDEX('ETPT Format DDG'!$A:$FB,,IFERROR(MATCH(E94,'ETPT Format DDG'!$2:$2,0),MATCH(C94,'ETPT Format DDG'!$2:$2,0))),
INDEX( 'ETPT Format DDG'!$A:$ZZ,,MATCH("Fonction agrégat",'ETPT Format DDG'!2:2,0)),"C",
INDEX( 'ETPT Format DDG'!$A:$ZZ,,MATCH("Juridiction",'ETPT Format DDG'!2:2,0)),$A$3,
INDEX( 'ETPT Format DDG'!$A:$ZZ,,MATCH("Catégorie",'ETPT Format DDG'!2:2,0)),"Autour du magistrat")</f>
      </c>
      <c r="V94" s="74">
        <f>IF(AND(OR(LEFT(C94,3)="12.",LEFT(E94,3)="12.",LEFT(E94,5)="CET &gt;",IFERROR(U94/$U$6,"")=0),NOT(AND(LEFT(E94,4)="12.8",IFERROR(G94/$G$6,"")&lt;&gt;0)),NOT(AND(LEFT(E94,5)="12.31",IFERROR(U94/$G$6,"")&lt;&gt;0)),NOT(AND(LEFT(E94,5)="12.32",IFERROR(U94/$G$6,"")&lt;&gt;0))),"", IFERROR(U94/$U$6,""))</f>
      </c>
    </row>
    <row r="95" ht="16" customHeight="1" spans="1:23" x14ac:dyDescent="0.25">
      <c r="A95" s="40"/>
      <c r="C95" s="68"/>
      <c r="D95" s="68"/>
      <c r="E95" s="69" t="s">
        <v>130</v>
      </c>
      <c r="F95" s="70" t="s">
        <v>130</v>
      </c>
      <c r="G95" s="71">
        <f>SUMIFS(
INDEX('ETPT Format DDG'!$A:$ZZ,,IFERROR(MATCH(E95,'ETPT Format DDG'!$2:$2,0),MATCH(C95,'ETPT Format DDG'!$2:$2,0))),
INDEX( 'ETPT Format DDG'!$A:$ZZ,,MATCH("Fonction agrégat",'ETPT Format DDG'!2:2,0)),"M-TIT",
INDEX( 'ETPT Format DDG'!$A:$ZZ,,MATCH("Juridiction",'ETPT Format DDG'!2:2,0)),$A$3)</f>
      </c>
      <c r="H95" s="72">
        <f>IF(AND(OR(LEFT(C95,3)="12.",LEFT(E95,3)="12.",LEFT(E95,5)="CET &gt;",IFERROR(G95/$G$6,"")=0),NOT(AND(LEFT(E95,4)="12.8",IFERROR(G95/$G$6,"")&lt;&gt;0)),NOT(AND(LEFT(E95,5)="12.31",IFERROR(G95/$G$6,"")&lt;&gt;0)),NOT(AND(LEFT(E95,5)="12.32",IFERROR(G95/$G$6,"")&lt;&gt;0))),"", IFERROR(G95/$G$6,""))</f>
      </c>
      <c r="I95" s="73">
        <f>SUMIFS(
INDEX('ETPT Format DDG'!$A:$ZZ,,IFERROR(MATCH(E95,'ETPT Format DDG'!$2:$2,0),MATCH(C95,'ETPT Format DDG'!$2:$2,0))),
INDEX( 'ETPT Format DDG'!$A:$ZZ,,MATCH("Fonction agrégat",'ETPT Format DDG'!2:2,0)),"M-PLAC-ADD",
INDEX( 'ETPT Format DDG'!$A:$ZZ,,MATCH("Juridiction",'ETPT Format DDG'!2:2,0)),$A$3)</f>
      </c>
      <c r="J95" s="73">
        <f>SUMIFS(
INDEX('ETPT Format DDG'!$A:$ZZ,,IFERROR(MATCH(E95,'ETPT Format DDG'!$2:$2,0),MATCH(C95,'ETPT Format DDG'!$2:$2,0))),
INDEX( 'ETPT Format DDG'!$A:$ZZ,,MATCH("Fonction agrégat",'ETPT Format DDG'!2:2,0)),"M-PLAC-SUB",
INDEX( 'ETPT Format DDG'!$A:$ZZ,,MATCH("Juridiction",'ETPT Format DDG'!2:2,0)),$A$3)</f>
      </c>
      <c r="K95" s="73">
        <f>SUMIFS(
INDEX('ETPT Format DDG'!$A:$ZZ,,IFERROR(MATCH(E95,'ETPT Format DDG'!$2:$2,0),MATCH(C95,'ETPT Format DDG'!$2:$2,0))),
INDEX( 'ETPT Format DDG'!$A:$ZZ,,MATCH("Fonction agrégat",'ETPT Format DDG'!2:2,0)),"M-CONT",
INDEX( 'ETPT Format DDG'!$A:$ZZ,,MATCH("Juridiction",'ETPT Format DDG'!2:2,0)),$A$3,
INDEX( 'ETPT Format DDG'!$A:$ZZ,,MATCH("Catégorie",'ETPT Format DDG'!2:2,0)),"Magistrat")</f>
      </c>
      <c r="L95" s="71">
        <f>SUMIFS(
INDEX('ETPT Format DDG'!$A:$ZZ,,IFERROR(MATCH(E95,'ETPT Format DDG'!$2:$2,0),MATCH(C95,'ETPT Format DDG'!$2:$2,0))),
INDEX( 'ETPT Format DDG'!$A:$ZZ,,MATCH("Juridiction",'ETPT Format DDG'!2:2,0)),$A$3,
INDEX( 'ETPT Format DDG'!$A:$ZZ,,MATCH("Catégorie",'ETPT Format DDG'!2:2,0)),"Magistrat")</f>
      </c>
      <c r="M95" s="74">
        <f>IF(AND(OR(LEFT(C95,3)="12.",LEFT(E95,3)="12.",LEFT(E95,5)="CET &gt;", IFERROR(L95/$L$6,"")=0),NOT(AND(LEFT(E95,4)="12.8",IFERROR(G95/$G$6,"")&lt;&gt;0)),NOT(AND(LEFT(E95,5)="12.31",IFERROR(L95/$G$6,"")&lt;&gt;0)),NOT(AND(LEFT(E95,5)="12.32",IFERROR(L95/$G$6,"")&lt;&gt;0))),"", IFERROR(L95/$L$6,""))</f>
      </c>
      <c r="N95" s="73">
        <f>SUMIFS(
INDEX('ETPT Format DDG'!$A:$ZZ,,IFERROR(MATCH(E95,'ETPT Format DDG'!$2:$2,0),MATCH(C95,'ETPT Format DDG'!$2:$2,0))),
INDEX( 'ETPT Format DDG'!$A:$ZZ,,MATCH("Fonction agrégat",'ETPT Format DDG'!2:2,0)),"F-TIT",
INDEX( 'ETPT Format DDG'!$A:$ZZ,,MATCH("Juridiction",'ETPT Format DDG'!2:2,0)),$A$3)</f>
      </c>
      <c r="O95" s="72">
        <f>IF(AND(OR(LEFT(C95,3)="12.",LEFT(E95,3)="12.",LEFT(E95,5)="CET &gt;",IFERROR(N95/$N$6,"")=0),NOT(AND(LEFT(E95,4)="12.8",IFERROR(G95/$G$6,"")&lt;&gt;0)),NOT(AND(LEFT(E95,5)="12.31",IFERROR(N95/$G$6,"")&lt;&gt;0)),NOT(AND(LEFT(E95,5)="12.32",IFERROR(N95/$G$6,"")&lt;&gt;0))),"",IFERROR(N95/$N$6,""))</f>
      </c>
      <c r="P95" s="73">
        <f>SUMIFS(
INDEX('ETPT Format DDG'!$A:$FB,,IFERROR(MATCH(E95,'ETPT Format DDG'!$2:$2,0),MATCH(C95,'ETPT Format DDG'!$2:$2,0))),
INDEX( 'ETPT Format DDG'!$A:$ZZ,,MATCH("Fonction agrégat",'ETPT Format DDG'!2:2,0)),"F-PLAC-ADD",
INDEX( 'ETPT Format DDG'!$A:$ZZ,,MATCH("Juridiction",'ETPT Format DDG'!2:2,0)),$A$3)</f>
      </c>
      <c r="Q95" s="73">
        <f>SUMIFS(
INDEX('ETPT Format DDG'!$A:$FB,,IFERROR(MATCH(E95,'ETPT Format DDG'!$2:$2,0),MATCH(C95,'ETPT Format DDG'!$2:$2,0))),
INDEX( 'ETPT Format DDG'!$A:$ZZ,,MATCH("Fonction agrégat",'ETPT Format DDG'!2:2,0)),"F-PLAC-SUB",
INDEX( 'ETPT Format DDG'!$A:$ZZ,,MATCH("Juridiction",'ETPT Format DDG'!2:2,0)),$A$3)</f>
      </c>
      <c r="R95" s="73">
        <f>SUMIFS(
INDEX('ETPT Format DDG'!$A:$FB,,IFERROR(MATCH(E95,'ETPT Format DDG'!$2:$2,0),MATCH(C95,'ETPT Format DDG'!$2:$2,0))),
INDEX( 'ETPT Format DDG'!$A:$ZZ,,MATCH("Fonction agrégat",'ETPT Format DDG'!2:2,0)),"C",
'ETPT Format DDG'!$H:$H,"Greffe",
INDEX( 'ETPT Format DDG'!$A:$ZZ,,MATCH("Juridiction",'ETPT Format DDG'!2:2,0)),$A$3)</f>
      </c>
      <c r="S95" s="71">
        <f>SUMIFS(
INDEX('ETPT Format DDG'!$A:$FB,,IFERROR(MATCH(E95,'ETPT Format DDG'!$2:$2,0),MATCH(C95,'ETPT Format DDG'!$2:$2,0))),
INDEX( 'ETPT Format DDG'!$A:$ZZ,,MATCH("Catégorie",'ETPT Format DDG'!2:2,0)),"Greffe",
INDEX( 'ETPT Format DDG'!$A:$ZZ,,MATCH("Juridiction",'ETPT Format DDG'!2:2,0)),$A$3)</f>
      </c>
      <c r="T95" s="72">
        <f>IF(AND(OR(LEFT(C95,3)="12.",LEFT(E95,3)="12.",LEFT(E95,5)="CET &gt;",IFERROR(S95/$S$6,"")=0),NOT(AND(LEFT(E95,4)="12.8",IFERROR(G95/$G$6,"")&lt;&gt;0)),NOT(AND(LEFT(E95,5)="12.31",IFERROR(S95/$G$6,"")&lt;&gt;0)),NOT(AND(LEFT(E95,5)="12.32",IFERROR(S95/$G$6,"")&lt;&gt;0))),"", IFERROR(S95/$S$6,""))</f>
      </c>
      <c r="U95" s="71">
        <f>SUMIFS(
INDEX('ETPT Format DDG'!$A:$FB,,IFERROR(MATCH(E95,'ETPT Format DDG'!$2:$2,0),MATCH(C95,'ETPT Format DDG'!$2:$2,0))),
INDEX( 'ETPT Format DDG'!$A:$ZZ,,MATCH("Fonction agrégat",'ETPT Format DDG'!2:2,0)),"C",
INDEX( 'ETPT Format DDG'!$A:$ZZ,,MATCH("Juridiction",'ETPT Format DDG'!2:2,0)),$A$3,
INDEX( 'ETPT Format DDG'!$A:$ZZ,,MATCH("Catégorie",'ETPT Format DDG'!2:2,0)),"Autour du magistrat")</f>
      </c>
      <c r="V95" s="74">
        <f>IF(AND(OR(LEFT(C95,3)="12.",LEFT(E95,3)="12.",LEFT(E95,5)="CET &gt;",IFERROR(U95/$U$6,"")=0),NOT(AND(LEFT(E95,4)="12.8",IFERROR(G95/$G$6,"")&lt;&gt;0)),NOT(AND(LEFT(E95,5)="12.31",IFERROR(U95/$G$6,"")&lt;&gt;0)),NOT(AND(LEFT(E95,5)="12.32",IFERROR(U95/$G$6,"")&lt;&gt;0))),"", IFERROR(U95/$U$6,""))</f>
      </c>
    </row>
    <row r="96" ht="16" customHeight="1" spans="1:23" x14ac:dyDescent="0.25">
      <c r="A96" s="40"/>
      <c r="C96" s="68"/>
      <c r="D96" s="68"/>
      <c r="E96" s="69" t="s">
        <v>131</v>
      </c>
      <c r="F96" s="70" t="s">
        <v>131</v>
      </c>
      <c r="G96" s="71">
        <f>SUMIFS(
INDEX('ETPT Format DDG'!$A:$ZZ,,IFERROR(MATCH(E96,'ETPT Format DDG'!$2:$2,0),MATCH(C96,'ETPT Format DDG'!$2:$2,0))),
INDEX( 'ETPT Format DDG'!$A:$ZZ,,MATCH("Fonction agrégat",'ETPT Format DDG'!2:2,0)),"M-TIT",
INDEX( 'ETPT Format DDG'!$A:$ZZ,,MATCH("Juridiction",'ETPT Format DDG'!2:2,0)),$A$3)</f>
      </c>
      <c r="H96" s="72">
        <f>IF(AND(OR(LEFT(C96,3)="12.",LEFT(E96,3)="12.",LEFT(E96,5)="CET &gt;",IFERROR(G96/$G$6,"")=0),NOT(AND(LEFT(E96,4)="12.8",IFERROR(G96/$G$6,"")&lt;&gt;0)),NOT(AND(LEFT(E96,5)="12.31",IFERROR(G96/$G$6,"")&lt;&gt;0)),NOT(AND(LEFT(E96,5)="12.32",IFERROR(G96/$G$6,"")&lt;&gt;0))),"", IFERROR(G96/$G$6,""))</f>
      </c>
      <c r="I96" s="73">
        <f>SUMIFS(
INDEX('ETPT Format DDG'!$A:$ZZ,,IFERROR(MATCH(E96,'ETPT Format DDG'!$2:$2,0),MATCH(C96,'ETPT Format DDG'!$2:$2,0))),
INDEX( 'ETPT Format DDG'!$A:$ZZ,,MATCH("Fonction agrégat",'ETPT Format DDG'!2:2,0)),"M-PLAC-ADD",
INDEX( 'ETPT Format DDG'!$A:$ZZ,,MATCH("Juridiction",'ETPT Format DDG'!2:2,0)),$A$3)</f>
      </c>
      <c r="J96" s="73">
        <f>SUMIFS(
INDEX('ETPT Format DDG'!$A:$ZZ,,IFERROR(MATCH(E96,'ETPT Format DDG'!$2:$2,0),MATCH(C96,'ETPT Format DDG'!$2:$2,0))),
INDEX( 'ETPT Format DDG'!$A:$ZZ,,MATCH("Fonction agrégat",'ETPT Format DDG'!2:2,0)),"M-PLAC-SUB",
INDEX( 'ETPT Format DDG'!$A:$ZZ,,MATCH("Juridiction",'ETPT Format DDG'!2:2,0)),$A$3)</f>
      </c>
      <c r="K96" s="73">
        <f>SUMIFS(
INDEX('ETPT Format DDG'!$A:$ZZ,,IFERROR(MATCH(E96,'ETPT Format DDG'!$2:$2,0),MATCH(C96,'ETPT Format DDG'!$2:$2,0))),
INDEX( 'ETPT Format DDG'!$A:$ZZ,,MATCH("Fonction agrégat",'ETPT Format DDG'!2:2,0)),"M-CONT",
INDEX( 'ETPT Format DDG'!$A:$ZZ,,MATCH("Juridiction",'ETPT Format DDG'!2:2,0)),$A$3,
INDEX( 'ETPT Format DDG'!$A:$ZZ,,MATCH("Catégorie",'ETPT Format DDG'!2:2,0)),"Magistrat")</f>
      </c>
      <c r="L96" s="71">
        <f>SUMIFS(
INDEX('ETPT Format DDG'!$A:$ZZ,,IFERROR(MATCH(E96,'ETPT Format DDG'!$2:$2,0),MATCH(C96,'ETPT Format DDG'!$2:$2,0))),
INDEX( 'ETPT Format DDG'!$A:$ZZ,,MATCH("Juridiction",'ETPT Format DDG'!2:2,0)),$A$3,
INDEX( 'ETPT Format DDG'!$A:$ZZ,,MATCH("Catégorie",'ETPT Format DDG'!2:2,0)),"Magistrat")</f>
      </c>
      <c r="M96" s="74">
        <f>IF(AND(OR(LEFT(C96,3)="12.",LEFT(E96,3)="12.",LEFT(E96,5)="CET &gt;", IFERROR(L96/$L$6,"")=0),NOT(AND(LEFT(E96,4)="12.8",IFERROR(G96/$G$6,"")&lt;&gt;0)),NOT(AND(LEFT(E96,5)="12.31",IFERROR(L96/$G$6,"")&lt;&gt;0)),NOT(AND(LEFT(E96,5)="12.32",IFERROR(L96/$G$6,"")&lt;&gt;0))),"", IFERROR(L96/$L$6,""))</f>
      </c>
      <c r="N96" s="73">
        <f>SUMIFS(
INDEX('ETPT Format DDG'!$A:$ZZ,,IFERROR(MATCH(E96,'ETPT Format DDG'!$2:$2,0),MATCH(C96,'ETPT Format DDG'!$2:$2,0))),
INDEX( 'ETPT Format DDG'!$A:$ZZ,,MATCH("Fonction agrégat",'ETPT Format DDG'!2:2,0)),"F-TIT",
INDEX( 'ETPT Format DDG'!$A:$ZZ,,MATCH("Juridiction",'ETPT Format DDG'!2:2,0)),$A$3)</f>
      </c>
      <c r="O96" s="72">
        <f>IF(AND(OR(LEFT(C96,3)="12.",LEFT(E96,3)="12.",LEFT(E96,5)="CET &gt;",IFERROR(N96/$N$6,"")=0),NOT(AND(LEFT(E96,4)="12.8",IFERROR(G96/$G$6,"")&lt;&gt;0)),NOT(AND(LEFT(E96,5)="12.31",IFERROR(N96/$G$6,"")&lt;&gt;0)),NOT(AND(LEFT(E96,5)="12.32",IFERROR(N96/$G$6,"")&lt;&gt;0))),"",IFERROR(N96/$N$6,""))</f>
      </c>
      <c r="P96" s="73">
        <f>SUMIFS(
INDEX('ETPT Format DDG'!$A:$FB,,IFERROR(MATCH(E96,'ETPT Format DDG'!$2:$2,0),MATCH(C96,'ETPT Format DDG'!$2:$2,0))),
INDEX( 'ETPT Format DDG'!$A:$ZZ,,MATCH("Fonction agrégat",'ETPT Format DDG'!2:2,0)),"F-PLAC-ADD",
INDEX( 'ETPT Format DDG'!$A:$ZZ,,MATCH("Juridiction",'ETPT Format DDG'!2:2,0)),$A$3)</f>
      </c>
      <c r="Q96" s="73">
        <f>SUMIFS(
INDEX('ETPT Format DDG'!$A:$FB,,IFERROR(MATCH(E96,'ETPT Format DDG'!$2:$2,0),MATCH(C96,'ETPT Format DDG'!$2:$2,0))),
INDEX( 'ETPT Format DDG'!$A:$ZZ,,MATCH("Fonction agrégat",'ETPT Format DDG'!2:2,0)),"F-PLAC-SUB",
INDEX( 'ETPT Format DDG'!$A:$ZZ,,MATCH("Juridiction",'ETPT Format DDG'!2:2,0)),$A$3)</f>
      </c>
      <c r="R96" s="73">
        <f>SUMIFS(
INDEX('ETPT Format DDG'!$A:$FB,,IFERROR(MATCH(E96,'ETPT Format DDG'!$2:$2,0),MATCH(C96,'ETPT Format DDG'!$2:$2,0))),
INDEX( 'ETPT Format DDG'!$A:$ZZ,,MATCH("Fonction agrégat",'ETPT Format DDG'!2:2,0)),"C",
'ETPT Format DDG'!$H:$H,"Greffe",
INDEX( 'ETPT Format DDG'!$A:$ZZ,,MATCH("Juridiction",'ETPT Format DDG'!2:2,0)),$A$3)</f>
      </c>
      <c r="S96" s="71">
        <f>SUMIFS(
INDEX('ETPT Format DDG'!$A:$FB,,IFERROR(MATCH(E96,'ETPT Format DDG'!$2:$2,0),MATCH(C96,'ETPT Format DDG'!$2:$2,0))),
INDEX( 'ETPT Format DDG'!$A:$ZZ,,MATCH("Catégorie",'ETPT Format DDG'!2:2,0)),"Greffe",
INDEX( 'ETPT Format DDG'!$A:$ZZ,,MATCH("Juridiction",'ETPT Format DDG'!2:2,0)),$A$3)</f>
      </c>
      <c r="T96" s="72">
        <f>IF(AND(OR(LEFT(C96,3)="12.",LEFT(E96,3)="12.",LEFT(E96,5)="CET &gt;",IFERROR(S96/$S$6,"")=0),NOT(AND(LEFT(E96,4)="12.8",IFERROR(G96/$G$6,"")&lt;&gt;0)),NOT(AND(LEFT(E96,5)="12.31",IFERROR(S96/$G$6,"")&lt;&gt;0)),NOT(AND(LEFT(E96,5)="12.32",IFERROR(S96/$G$6,"")&lt;&gt;0))),"", IFERROR(S96/$S$6,""))</f>
      </c>
      <c r="U96" s="71">
        <f>SUMIFS(
INDEX('ETPT Format DDG'!$A:$FB,,IFERROR(MATCH(E96,'ETPT Format DDG'!$2:$2,0),MATCH(C96,'ETPT Format DDG'!$2:$2,0))),
INDEX( 'ETPT Format DDG'!$A:$ZZ,,MATCH("Fonction agrégat",'ETPT Format DDG'!2:2,0)),"C",
INDEX( 'ETPT Format DDG'!$A:$ZZ,,MATCH("Juridiction",'ETPT Format DDG'!2:2,0)),$A$3,
INDEX( 'ETPT Format DDG'!$A:$ZZ,,MATCH("Catégorie",'ETPT Format DDG'!2:2,0)),"Autour du magistrat")</f>
      </c>
      <c r="V96" s="74">
        <f>IF(AND(OR(LEFT(C96,3)="12.",LEFT(E96,3)="12.",LEFT(E96,5)="CET &gt;",IFERROR(U96/$U$6,"")=0),NOT(AND(LEFT(E96,4)="12.8",IFERROR(G96/$G$6,"")&lt;&gt;0)),NOT(AND(LEFT(E96,5)="12.31",IFERROR(U96/$G$6,"")&lt;&gt;0)),NOT(AND(LEFT(E96,5)="12.32",IFERROR(U96/$G$6,"")&lt;&gt;0))),"", IFERROR(U96/$U$6,""))</f>
      </c>
    </row>
    <row r="97" ht="16" customHeight="1" spans="1:23" x14ac:dyDescent="0.25">
      <c r="A97" s="40"/>
      <c r="C97" s="68"/>
      <c r="D97" s="68"/>
      <c r="E97" s="69" t="s">
        <v>132</v>
      </c>
      <c r="F97" s="70" t="s">
        <v>132</v>
      </c>
      <c r="G97" s="71">
        <f>SUMIFS(
INDEX('ETPT Format DDG'!$A:$ZZ,,IFERROR(MATCH(E97,'ETPT Format DDG'!$2:$2,0),MATCH(C97,'ETPT Format DDG'!$2:$2,0))),
INDEX( 'ETPT Format DDG'!$A:$ZZ,,MATCH("Fonction agrégat",'ETPT Format DDG'!2:2,0)),"M-TIT",
INDEX( 'ETPT Format DDG'!$A:$ZZ,,MATCH("Juridiction",'ETPT Format DDG'!2:2,0)),$A$3)</f>
      </c>
      <c r="H97" s="72">
        <f>IF(AND(OR(LEFT(C97,3)="12.",LEFT(E97,3)="12.",LEFT(E97,5)="CET &gt;",IFERROR(G97/$G$6,"")=0),NOT(AND(LEFT(E97,4)="12.8",IFERROR(G97/$G$6,"")&lt;&gt;0)),NOT(AND(LEFT(E97,5)="12.31",IFERROR(G97/$G$6,"")&lt;&gt;0)),NOT(AND(LEFT(E97,5)="12.32",IFERROR(G97/$G$6,"")&lt;&gt;0))),"", IFERROR(G97/$G$6,""))</f>
      </c>
      <c r="I97" s="73">
        <f>SUMIFS(
INDEX('ETPT Format DDG'!$A:$ZZ,,IFERROR(MATCH(E97,'ETPT Format DDG'!$2:$2,0),MATCH(C97,'ETPT Format DDG'!$2:$2,0))),
INDEX( 'ETPT Format DDG'!$A:$ZZ,,MATCH("Fonction agrégat",'ETPT Format DDG'!2:2,0)),"M-PLAC-ADD",
INDEX( 'ETPT Format DDG'!$A:$ZZ,,MATCH("Juridiction",'ETPT Format DDG'!2:2,0)),$A$3)</f>
      </c>
      <c r="J97" s="73">
        <f>SUMIFS(
INDEX('ETPT Format DDG'!$A:$ZZ,,IFERROR(MATCH(E97,'ETPT Format DDG'!$2:$2,0),MATCH(C97,'ETPT Format DDG'!$2:$2,0))),
INDEX( 'ETPT Format DDG'!$A:$ZZ,,MATCH("Fonction agrégat",'ETPT Format DDG'!2:2,0)),"M-PLAC-SUB",
INDEX( 'ETPT Format DDG'!$A:$ZZ,,MATCH("Juridiction",'ETPT Format DDG'!2:2,0)),$A$3)</f>
      </c>
      <c r="K97" s="73">
        <f>SUMIFS(
INDEX('ETPT Format DDG'!$A:$ZZ,,IFERROR(MATCH(E97,'ETPT Format DDG'!$2:$2,0),MATCH(C97,'ETPT Format DDG'!$2:$2,0))),
INDEX( 'ETPT Format DDG'!$A:$ZZ,,MATCH("Fonction agrégat",'ETPT Format DDG'!2:2,0)),"M-CONT",
INDEX( 'ETPT Format DDG'!$A:$ZZ,,MATCH("Juridiction",'ETPT Format DDG'!2:2,0)),$A$3,
INDEX( 'ETPT Format DDG'!$A:$ZZ,,MATCH("Catégorie",'ETPT Format DDG'!2:2,0)),"Magistrat")</f>
      </c>
      <c r="L97" s="71">
        <f>SUMIFS(
INDEX('ETPT Format DDG'!$A:$ZZ,,IFERROR(MATCH(E97,'ETPT Format DDG'!$2:$2,0),MATCH(C97,'ETPT Format DDG'!$2:$2,0))),
INDEX( 'ETPT Format DDG'!$A:$ZZ,,MATCH("Juridiction",'ETPT Format DDG'!2:2,0)),$A$3,
INDEX( 'ETPT Format DDG'!$A:$ZZ,,MATCH("Catégorie",'ETPT Format DDG'!2:2,0)),"Magistrat")</f>
      </c>
      <c r="M97" s="74">
        <f>IF(AND(OR(LEFT(C97,3)="12.",LEFT(E97,3)="12.",LEFT(E97,5)="CET &gt;", IFERROR(L97/$L$6,"")=0),NOT(AND(LEFT(E97,4)="12.8",IFERROR(G97/$G$6,"")&lt;&gt;0)),NOT(AND(LEFT(E97,5)="12.31",IFERROR(L97/$G$6,"")&lt;&gt;0)),NOT(AND(LEFT(E97,5)="12.32",IFERROR(L97/$G$6,"")&lt;&gt;0))),"", IFERROR(L97/$L$6,""))</f>
      </c>
      <c r="N97" s="73">
        <f>SUMIFS(
INDEX('ETPT Format DDG'!$A:$ZZ,,IFERROR(MATCH(E97,'ETPT Format DDG'!$2:$2,0),MATCH(C97,'ETPT Format DDG'!$2:$2,0))),
INDEX( 'ETPT Format DDG'!$A:$ZZ,,MATCH("Fonction agrégat",'ETPT Format DDG'!2:2,0)),"F-TIT",
INDEX( 'ETPT Format DDG'!$A:$ZZ,,MATCH("Juridiction",'ETPT Format DDG'!2:2,0)),$A$3)</f>
      </c>
      <c r="O97" s="72">
        <f>IF(AND(OR(LEFT(C97,3)="12.",LEFT(E97,3)="12.",LEFT(E97,5)="CET &gt;",IFERROR(N97/$N$6,"")=0),NOT(AND(LEFT(E97,4)="12.8",IFERROR(G97/$G$6,"")&lt;&gt;0)),NOT(AND(LEFT(E97,5)="12.31",IFERROR(N97/$G$6,"")&lt;&gt;0)),NOT(AND(LEFT(E97,5)="12.32",IFERROR(N97/$G$6,"")&lt;&gt;0))),"",IFERROR(N97/$N$6,""))</f>
      </c>
      <c r="P97" s="73">
        <f>SUMIFS(
INDEX('ETPT Format DDG'!$A:$FB,,IFERROR(MATCH(E97,'ETPT Format DDG'!$2:$2,0),MATCH(C97,'ETPT Format DDG'!$2:$2,0))),
INDEX( 'ETPT Format DDG'!$A:$ZZ,,MATCH("Fonction agrégat",'ETPT Format DDG'!2:2,0)),"F-PLAC-ADD",
INDEX( 'ETPT Format DDG'!$A:$ZZ,,MATCH("Juridiction",'ETPT Format DDG'!2:2,0)),$A$3)</f>
      </c>
      <c r="Q97" s="73">
        <f>SUMIFS(
INDEX('ETPT Format DDG'!$A:$FB,,IFERROR(MATCH(E97,'ETPT Format DDG'!$2:$2,0),MATCH(C97,'ETPT Format DDG'!$2:$2,0))),
INDEX( 'ETPT Format DDG'!$A:$ZZ,,MATCH("Fonction agrégat",'ETPT Format DDG'!2:2,0)),"F-PLAC-SUB",
INDEX( 'ETPT Format DDG'!$A:$ZZ,,MATCH("Juridiction",'ETPT Format DDG'!2:2,0)),$A$3)</f>
      </c>
      <c r="R97" s="73">
        <f>SUMIFS(
INDEX('ETPT Format DDG'!$A:$FB,,IFERROR(MATCH(E97,'ETPT Format DDG'!$2:$2,0),MATCH(C97,'ETPT Format DDG'!$2:$2,0))),
INDEX( 'ETPT Format DDG'!$A:$ZZ,,MATCH("Fonction agrégat",'ETPT Format DDG'!2:2,0)),"C",
'ETPT Format DDG'!$H:$H,"Greffe",
INDEX( 'ETPT Format DDG'!$A:$ZZ,,MATCH("Juridiction",'ETPT Format DDG'!2:2,0)),$A$3)</f>
      </c>
      <c r="S97" s="71">
        <f>SUMIFS(
INDEX('ETPT Format DDG'!$A:$FB,,IFERROR(MATCH(E97,'ETPT Format DDG'!$2:$2,0),MATCH(C97,'ETPT Format DDG'!$2:$2,0))),
INDEX( 'ETPT Format DDG'!$A:$ZZ,,MATCH("Catégorie",'ETPT Format DDG'!2:2,0)),"Greffe",
INDEX( 'ETPT Format DDG'!$A:$ZZ,,MATCH("Juridiction",'ETPT Format DDG'!2:2,0)),$A$3)</f>
      </c>
      <c r="T97" s="72">
        <f>IF(AND(OR(LEFT(C97,3)="12.",LEFT(E97,3)="12.",LEFT(E97,5)="CET &gt;",IFERROR(S97/$S$6,"")=0),NOT(AND(LEFT(E97,4)="12.8",IFERROR(G97/$G$6,"")&lt;&gt;0)),NOT(AND(LEFT(E97,5)="12.31",IFERROR(S97/$G$6,"")&lt;&gt;0)),NOT(AND(LEFT(E97,5)="12.32",IFERROR(S97/$G$6,"")&lt;&gt;0))),"", IFERROR(S97/$S$6,""))</f>
      </c>
      <c r="U97" s="71">
        <f>SUMIFS(
INDEX('ETPT Format DDG'!$A:$FB,,IFERROR(MATCH(E97,'ETPT Format DDG'!$2:$2,0),MATCH(C97,'ETPT Format DDG'!$2:$2,0))),
INDEX( 'ETPT Format DDG'!$A:$ZZ,,MATCH("Fonction agrégat",'ETPT Format DDG'!2:2,0)),"C",
INDEX( 'ETPT Format DDG'!$A:$ZZ,,MATCH("Juridiction",'ETPT Format DDG'!2:2,0)),$A$3,
INDEX( 'ETPT Format DDG'!$A:$ZZ,,MATCH("Catégorie",'ETPT Format DDG'!2:2,0)),"Autour du magistrat")</f>
      </c>
      <c r="V97" s="74">
        <f>IF(AND(OR(LEFT(C97,3)="12.",LEFT(E97,3)="12.",LEFT(E97,5)="CET &gt;",IFERROR(U97/$U$6,"")=0),NOT(AND(LEFT(E97,4)="12.8",IFERROR(G97/$G$6,"")&lt;&gt;0)),NOT(AND(LEFT(E97,5)="12.31",IFERROR(U97/$G$6,"")&lt;&gt;0)),NOT(AND(LEFT(E97,5)="12.32",IFERROR(U97/$G$6,"")&lt;&gt;0))),"", IFERROR(U97/$U$6,""))</f>
      </c>
    </row>
    <row r="98" ht="16" customHeight="1" spans="1:23" x14ac:dyDescent="0.25">
      <c r="A98" s="40"/>
      <c r="C98" s="68"/>
      <c r="D98" s="68"/>
      <c r="E98" s="69" t="s">
        <v>133</v>
      </c>
      <c r="F98" s="70" t="s">
        <v>133</v>
      </c>
      <c r="G98" s="71">
        <f>SUMIFS(
INDEX('ETPT Format DDG'!$A:$ZZ,,IFERROR(MATCH(E98,'ETPT Format DDG'!$2:$2,0),MATCH(C98,'ETPT Format DDG'!$2:$2,0))),
INDEX( 'ETPT Format DDG'!$A:$ZZ,,MATCH("Fonction agrégat",'ETPT Format DDG'!2:2,0)),"M-TIT",
INDEX( 'ETPT Format DDG'!$A:$ZZ,,MATCH("Juridiction",'ETPT Format DDG'!2:2,0)),$A$3)</f>
      </c>
      <c r="H98" s="72">
        <f>IF(AND(OR(LEFT(C98,3)="12.",LEFT(E98,3)="12.",LEFT(E98,5)="CET &gt;",IFERROR(G98/$G$6,"")=0),NOT(AND(LEFT(E98,4)="12.8",IFERROR(G98/$G$6,"")&lt;&gt;0)),NOT(AND(LEFT(E98,5)="12.31",IFERROR(G98/$G$6,"")&lt;&gt;0)),NOT(AND(LEFT(E98,5)="12.32",IFERROR(G98/$G$6,"")&lt;&gt;0))),"", IFERROR(G98/$G$6,""))</f>
      </c>
      <c r="I98" s="73">
        <f>SUMIFS(
INDEX('ETPT Format DDG'!$A:$ZZ,,IFERROR(MATCH(E98,'ETPT Format DDG'!$2:$2,0),MATCH(C98,'ETPT Format DDG'!$2:$2,0))),
INDEX( 'ETPT Format DDG'!$A:$ZZ,,MATCH("Fonction agrégat",'ETPT Format DDG'!2:2,0)),"M-PLAC-ADD",
INDEX( 'ETPT Format DDG'!$A:$ZZ,,MATCH("Juridiction",'ETPT Format DDG'!2:2,0)),$A$3)</f>
      </c>
      <c r="J98" s="73">
        <f>SUMIFS(
INDEX('ETPT Format DDG'!$A:$ZZ,,IFERROR(MATCH(E98,'ETPT Format DDG'!$2:$2,0),MATCH(C98,'ETPT Format DDG'!$2:$2,0))),
INDEX( 'ETPT Format DDG'!$A:$ZZ,,MATCH("Fonction agrégat",'ETPT Format DDG'!2:2,0)),"M-PLAC-SUB",
INDEX( 'ETPT Format DDG'!$A:$ZZ,,MATCH("Juridiction",'ETPT Format DDG'!2:2,0)),$A$3)</f>
      </c>
      <c r="K98" s="73">
        <f>SUMIFS(
INDEX('ETPT Format DDG'!$A:$ZZ,,IFERROR(MATCH(E98,'ETPT Format DDG'!$2:$2,0),MATCH(C98,'ETPT Format DDG'!$2:$2,0))),
INDEX( 'ETPT Format DDG'!$A:$ZZ,,MATCH("Fonction agrégat",'ETPT Format DDG'!2:2,0)),"M-CONT",
INDEX( 'ETPT Format DDG'!$A:$ZZ,,MATCH("Juridiction",'ETPT Format DDG'!2:2,0)),$A$3,
INDEX( 'ETPT Format DDG'!$A:$ZZ,,MATCH("Catégorie",'ETPT Format DDG'!2:2,0)),"Magistrat")</f>
      </c>
      <c r="L98" s="71">
        <f>SUMIFS(
INDEX('ETPT Format DDG'!$A:$ZZ,,IFERROR(MATCH(E98,'ETPT Format DDG'!$2:$2,0),MATCH(C98,'ETPT Format DDG'!$2:$2,0))),
INDEX( 'ETPT Format DDG'!$A:$ZZ,,MATCH("Juridiction",'ETPT Format DDG'!2:2,0)),$A$3,
INDEX( 'ETPT Format DDG'!$A:$ZZ,,MATCH("Catégorie",'ETPT Format DDG'!2:2,0)),"Magistrat")</f>
      </c>
      <c r="M98" s="74">
        <f>IF(AND(OR(LEFT(C98,3)="12.",LEFT(E98,3)="12.",LEFT(E98,5)="CET &gt;", IFERROR(L98/$L$6,"")=0),NOT(AND(LEFT(E98,4)="12.8",IFERROR(G98/$G$6,"")&lt;&gt;0)),NOT(AND(LEFT(E98,5)="12.31",IFERROR(L98/$G$6,"")&lt;&gt;0)),NOT(AND(LEFT(E98,5)="12.32",IFERROR(L98/$G$6,"")&lt;&gt;0))),"", IFERROR(L98/$L$6,""))</f>
      </c>
      <c r="N98" s="73">
        <f>SUMIFS(
INDEX('ETPT Format DDG'!$A:$ZZ,,IFERROR(MATCH(E98,'ETPT Format DDG'!$2:$2,0),MATCH(C98,'ETPT Format DDG'!$2:$2,0))),
INDEX( 'ETPT Format DDG'!$A:$ZZ,,MATCH("Fonction agrégat",'ETPT Format DDG'!2:2,0)),"F-TIT",
INDEX( 'ETPT Format DDG'!$A:$ZZ,,MATCH("Juridiction",'ETPT Format DDG'!2:2,0)),$A$3)</f>
      </c>
      <c r="O98" s="72">
        <f>IF(AND(OR(LEFT(C98,3)="12.",LEFT(E98,3)="12.",LEFT(E98,5)="CET &gt;",IFERROR(N98/$N$6,"")=0),NOT(AND(LEFT(E98,4)="12.8",IFERROR(G98/$G$6,"")&lt;&gt;0)),NOT(AND(LEFT(E98,5)="12.31",IFERROR(N98/$G$6,"")&lt;&gt;0)),NOT(AND(LEFT(E98,5)="12.32",IFERROR(N98/$G$6,"")&lt;&gt;0))),"",IFERROR(N98/$N$6,""))</f>
      </c>
      <c r="P98" s="73">
        <f>SUMIFS(
INDEX('ETPT Format DDG'!$A:$FB,,IFERROR(MATCH(E98,'ETPT Format DDG'!$2:$2,0),MATCH(C98,'ETPT Format DDG'!$2:$2,0))),
INDEX( 'ETPT Format DDG'!$A:$ZZ,,MATCH("Fonction agrégat",'ETPT Format DDG'!2:2,0)),"F-PLAC-ADD",
INDEX( 'ETPT Format DDG'!$A:$ZZ,,MATCH("Juridiction",'ETPT Format DDG'!2:2,0)),$A$3)</f>
      </c>
      <c r="Q98" s="73">
        <f>SUMIFS(
INDEX('ETPT Format DDG'!$A:$FB,,IFERROR(MATCH(E98,'ETPT Format DDG'!$2:$2,0),MATCH(C98,'ETPT Format DDG'!$2:$2,0))),
INDEX( 'ETPT Format DDG'!$A:$ZZ,,MATCH("Fonction agrégat",'ETPT Format DDG'!2:2,0)),"F-PLAC-SUB",
INDEX( 'ETPT Format DDG'!$A:$ZZ,,MATCH("Juridiction",'ETPT Format DDG'!2:2,0)),$A$3)</f>
      </c>
      <c r="R98" s="73">
        <f>SUMIFS(
INDEX('ETPT Format DDG'!$A:$FB,,IFERROR(MATCH(E98,'ETPT Format DDG'!$2:$2,0),MATCH(C98,'ETPT Format DDG'!$2:$2,0))),
INDEX( 'ETPT Format DDG'!$A:$ZZ,,MATCH("Fonction agrégat",'ETPT Format DDG'!2:2,0)),"C",
'ETPT Format DDG'!$H:$H,"Greffe",
INDEX( 'ETPT Format DDG'!$A:$ZZ,,MATCH("Juridiction",'ETPT Format DDG'!2:2,0)),$A$3)</f>
      </c>
      <c r="S98" s="71">
        <f>SUMIFS(
INDEX('ETPT Format DDG'!$A:$FB,,IFERROR(MATCH(E98,'ETPT Format DDG'!$2:$2,0),MATCH(C98,'ETPT Format DDG'!$2:$2,0))),
INDEX( 'ETPT Format DDG'!$A:$ZZ,,MATCH("Catégorie",'ETPT Format DDG'!2:2,0)),"Greffe",
INDEX( 'ETPT Format DDG'!$A:$ZZ,,MATCH("Juridiction",'ETPT Format DDG'!2:2,0)),$A$3)</f>
      </c>
      <c r="T98" s="72">
        <f>IF(AND(OR(LEFT(C98,3)="12.",LEFT(E98,3)="12.",LEFT(E98,5)="CET &gt;",IFERROR(S98/$S$6,"")=0),NOT(AND(LEFT(E98,4)="12.8",IFERROR(G98/$G$6,"")&lt;&gt;0)),NOT(AND(LEFT(E98,5)="12.31",IFERROR(S98/$G$6,"")&lt;&gt;0)),NOT(AND(LEFT(E98,5)="12.32",IFERROR(S98/$G$6,"")&lt;&gt;0))),"", IFERROR(S98/$S$6,""))</f>
      </c>
      <c r="U98" s="71">
        <f>SUMIFS(
INDEX('ETPT Format DDG'!$A:$FB,,IFERROR(MATCH(E98,'ETPT Format DDG'!$2:$2,0),MATCH(C98,'ETPT Format DDG'!$2:$2,0))),
INDEX( 'ETPT Format DDG'!$A:$ZZ,,MATCH("Fonction agrégat",'ETPT Format DDG'!2:2,0)),"C",
INDEX( 'ETPT Format DDG'!$A:$ZZ,,MATCH("Juridiction",'ETPT Format DDG'!2:2,0)),$A$3,
INDEX( 'ETPT Format DDG'!$A:$ZZ,,MATCH("Catégorie",'ETPT Format DDG'!2:2,0)),"Autour du magistrat")</f>
      </c>
      <c r="V98" s="74">
        <f>IF(AND(OR(LEFT(C98,3)="12.",LEFT(E98,3)="12.",LEFT(E98,5)="CET &gt;",IFERROR(U98/$U$6,"")=0),NOT(AND(LEFT(E98,4)="12.8",IFERROR(G98/$G$6,"")&lt;&gt;0)),NOT(AND(LEFT(E98,5)="12.31",IFERROR(U98/$G$6,"")&lt;&gt;0)),NOT(AND(LEFT(E98,5)="12.32",IFERROR(U98/$G$6,"")&lt;&gt;0))),"", IFERROR(U98/$U$6,""))</f>
      </c>
    </row>
    <row r="99" ht="16" customHeight="1" spans="1:23" x14ac:dyDescent="0.25">
      <c r="A99" s="40"/>
      <c r="C99" s="68"/>
      <c r="D99" s="68"/>
      <c r="E99" s="69" t="s">
        <v>134</v>
      </c>
      <c r="F99" s="70" t="s">
        <v>134</v>
      </c>
      <c r="G99" s="71">
        <f>SUMIFS(
INDEX('ETPT Format DDG'!$A:$ZZ,,IFERROR(MATCH(E99,'ETPT Format DDG'!$2:$2,0),MATCH(C99,'ETPT Format DDG'!$2:$2,0))),
INDEX( 'ETPT Format DDG'!$A:$ZZ,,MATCH("Fonction agrégat",'ETPT Format DDG'!2:2,0)),"M-TIT",
INDEX( 'ETPT Format DDG'!$A:$ZZ,,MATCH("Juridiction",'ETPT Format DDG'!2:2,0)),$A$3)</f>
      </c>
      <c r="H99" s="72">
        <f>IF(AND(OR(LEFT(C99,3)="12.",LEFT(E99,3)="12.",LEFT(E99,5)="CET &gt;",IFERROR(G99/$G$6,"")=0),NOT(AND(LEFT(E99,4)="12.8",IFERROR(G99/$G$6,"")&lt;&gt;0)),NOT(AND(LEFT(E99,5)="12.31",IFERROR(G99/$G$6,"")&lt;&gt;0)),NOT(AND(LEFT(E99,5)="12.32",IFERROR(G99/$G$6,"")&lt;&gt;0))),"", IFERROR(G99/$G$6,""))</f>
      </c>
      <c r="I99" s="73">
        <f>SUMIFS(
INDEX('ETPT Format DDG'!$A:$ZZ,,IFERROR(MATCH(E99,'ETPT Format DDG'!$2:$2,0),MATCH(C99,'ETPT Format DDG'!$2:$2,0))),
INDEX( 'ETPT Format DDG'!$A:$ZZ,,MATCH("Fonction agrégat",'ETPT Format DDG'!2:2,0)),"M-PLAC-ADD",
INDEX( 'ETPT Format DDG'!$A:$ZZ,,MATCH("Juridiction",'ETPT Format DDG'!2:2,0)),$A$3)</f>
      </c>
      <c r="J99" s="73">
        <f>SUMIFS(
INDEX('ETPT Format DDG'!$A:$ZZ,,IFERROR(MATCH(E99,'ETPT Format DDG'!$2:$2,0),MATCH(C99,'ETPT Format DDG'!$2:$2,0))),
INDEX( 'ETPT Format DDG'!$A:$ZZ,,MATCH("Fonction agrégat",'ETPT Format DDG'!2:2,0)),"M-PLAC-SUB",
INDEX( 'ETPT Format DDG'!$A:$ZZ,,MATCH("Juridiction",'ETPT Format DDG'!2:2,0)),$A$3)</f>
      </c>
      <c r="K99" s="73">
        <f>SUMIFS(
INDEX('ETPT Format DDG'!$A:$ZZ,,IFERROR(MATCH(E99,'ETPT Format DDG'!$2:$2,0),MATCH(C99,'ETPT Format DDG'!$2:$2,0))),
INDEX( 'ETPT Format DDG'!$A:$ZZ,,MATCH("Fonction agrégat",'ETPT Format DDG'!2:2,0)),"M-CONT",
INDEX( 'ETPT Format DDG'!$A:$ZZ,,MATCH("Juridiction",'ETPT Format DDG'!2:2,0)),$A$3,
INDEX( 'ETPT Format DDG'!$A:$ZZ,,MATCH("Catégorie",'ETPT Format DDG'!2:2,0)),"Magistrat")</f>
      </c>
      <c r="L99" s="71">
        <f>SUMIFS(
INDEX('ETPT Format DDG'!$A:$ZZ,,IFERROR(MATCH(E99,'ETPT Format DDG'!$2:$2,0),MATCH(C99,'ETPT Format DDG'!$2:$2,0))),
INDEX( 'ETPT Format DDG'!$A:$ZZ,,MATCH("Juridiction",'ETPT Format DDG'!2:2,0)),$A$3,
INDEX( 'ETPT Format DDG'!$A:$ZZ,,MATCH("Catégorie",'ETPT Format DDG'!2:2,0)),"Magistrat")</f>
      </c>
      <c r="M99" s="74">
        <f>IF(AND(OR(LEFT(C99,3)="12.",LEFT(E99,3)="12.",LEFT(E99,5)="CET &gt;", IFERROR(L99/$L$6,"")=0),NOT(AND(LEFT(E99,4)="12.8",IFERROR(G99/$G$6,"")&lt;&gt;0)),NOT(AND(LEFT(E99,5)="12.31",IFERROR(L99/$G$6,"")&lt;&gt;0)),NOT(AND(LEFT(E99,5)="12.32",IFERROR(L99/$G$6,"")&lt;&gt;0))),"", IFERROR(L99/$L$6,""))</f>
      </c>
      <c r="N99" s="73">
        <f>SUMIFS(
INDEX('ETPT Format DDG'!$A:$ZZ,,IFERROR(MATCH(E99,'ETPT Format DDG'!$2:$2,0),MATCH(C99,'ETPT Format DDG'!$2:$2,0))),
INDEX( 'ETPT Format DDG'!$A:$ZZ,,MATCH("Fonction agrégat",'ETPT Format DDG'!2:2,0)),"F-TIT",
INDEX( 'ETPT Format DDG'!$A:$ZZ,,MATCH("Juridiction",'ETPT Format DDG'!2:2,0)),$A$3)</f>
      </c>
      <c r="O99" s="72">
        <f>IF(AND(OR(LEFT(C99,3)="12.",LEFT(E99,3)="12.",LEFT(E99,5)="CET &gt;",IFERROR(N99/$N$6,"")=0),NOT(AND(LEFT(E99,4)="12.8",IFERROR(G99/$G$6,"")&lt;&gt;0)),NOT(AND(LEFT(E99,5)="12.31",IFERROR(N99/$G$6,"")&lt;&gt;0)),NOT(AND(LEFT(E99,5)="12.32",IFERROR(N99/$G$6,"")&lt;&gt;0))),"",IFERROR(N99/$N$6,""))</f>
      </c>
      <c r="P99" s="73">
        <f>SUMIFS(
INDEX('ETPT Format DDG'!$A:$FB,,IFERROR(MATCH(E99,'ETPT Format DDG'!$2:$2,0),MATCH(C99,'ETPT Format DDG'!$2:$2,0))),
INDEX( 'ETPT Format DDG'!$A:$ZZ,,MATCH("Fonction agrégat",'ETPT Format DDG'!2:2,0)),"F-PLAC-ADD",
INDEX( 'ETPT Format DDG'!$A:$ZZ,,MATCH("Juridiction",'ETPT Format DDG'!2:2,0)),$A$3)</f>
      </c>
      <c r="Q99" s="73">
        <f>SUMIFS(
INDEX('ETPT Format DDG'!$A:$FB,,IFERROR(MATCH(E99,'ETPT Format DDG'!$2:$2,0),MATCH(C99,'ETPT Format DDG'!$2:$2,0))),
INDEX( 'ETPT Format DDG'!$A:$ZZ,,MATCH("Fonction agrégat",'ETPT Format DDG'!2:2,0)),"F-PLAC-SUB",
INDEX( 'ETPT Format DDG'!$A:$ZZ,,MATCH("Juridiction",'ETPT Format DDG'!2:2,0)),$A$3)</f>
      </c>
      <c r="R99" s="73">
        <f>SUMIFS(
INDEX('ETPT Format DDG'!$A:$FB,,IFERROR(MATCH(E99,'ETPT Format DDG'!$2:$2,0),MATCH(C99,'ETPT Format DDG'!$2:$2,0))),
INDEX( 'ETPT Format DDG'!$A:$ZZ,,MATCH("Fonction agrégat",'ETPT Format DDG'!2:2,0)),"C",
'ETPT Format DDG'!$H:$H,"Greffe",
INDEX( 'ETPT Format DDG'!$A:$ZZ,,MATCH("Juridiction",'ETPT Format DDG'!2:2,0)),$A$3)</f>
      </c>
      <c r="S99" s="71">
        <f>SUMIFS(
INDEX('ETPT Format DDG'!$A:$FB,,IFERROR(MATCH(E99,'ETPT Format DDG'!$2:$2,0),MATCH(C99,'ETPT Format DDG'!$2:$2,0))),
INDEX( 'ETPT Format DDG'!$A:$ZZ,,MATCH("Catégorie",'ETPT Format DDG'!2:2,0)),"Greffe",
INDEX( 'ETPT Format DDG'!$A:$ZZ,,MATCH("Juridiction",'ETPT Format DDG'!2:2,0)),$A$3)</f>
      </c>
      <c r="T99" s="72">
        <f>IF(AND(OR(LEFT(C99,3)="12.",LEFT(E99,3)="12.",LEFT(E99,5)="CET &gt;",IFERROR(S99/$S$6,"")=0),NOT(AND(LEFT(E99,4)="12.8",IFERROR(G99/$G$6,"")&lt;&gt;0)),NOT(AND(LEFT(E99,5)="12.31",IFERROR(S99/$G$6,"")&lt;&gt;0)),NOT(AND(LEFT(E99,5)="12.32",IFERROR(S99/$G$6,"")&lt;&gt;0))),"", IFERROR(S99/$S$6,""))</f>
      </c>
      <c r="U99" s="71">
        <f>SUMIFS(
INDEX('ETPT Format DDG'!$A:$FB,,IFERROR(MATCH(E99,'ETPT Format DDG'!$2:$2,0),MATCH(C99,'ETPT Format DDG'!$2:$2,0))),
INDEX( 'ETPT Format DDG'!$A:$ZZ,,MATCH("Fonction agrégat",'ETPT Format DDG'!2:2,0)),"C",
INDEX( 'ETPT Format DDG'!$A:$ZZ,,MATCH("Juridiction",'ETPT Format DDG'!2:2,0)),$A$3,
INDEX( 'ETPT Format DDG'!$A:$ZZ,,MATCH("Catégorie",'ETPT Format DDG'!2:2,0)),"Autour du magistrat")</f>
      </c>
      <c r="V99" s="74">
        <f>IF(AND(OR(LEFT(C99,3)="12.",LEFT(E99,3)="12.",LEFT(E99,5)="CET &gt;",IFERROR(U99/$U$6,"")=0),NOT(AND(LEFT(E99,4)="12.8",IFERROR(G99/$G$6,"")&lt;&gt;0)),NOT(AND(LEFT(E99,5)="12.31",IFERROR(U99/$G$6,"")&lt;&gt;0)),NOT(AND(LEFT(E99,5)="12.32",IFERROR(U99/$G$6,"")&lt;&gt;0))),"", IFERROR(U99/$U$6,""))</f>
      </c>
    </row>
    <row r="100" ht="16" customHeight="1" spans="1:23" x14ac:dyDescent="0.25">
      <c r="A100" s="40"/>
      <c r="C100" s="68"/>
      <c r="D100" s="68"/>
      <c r="E100" s="69" t="s">
        <v>135</v>
      </c>
      <c r="F100" s="70" t="s">
        <v>135</v>
      </c>
      <c r="G100" s="71">
        <f>SUMIFS(
INDEX('ETPT Format DDG'!$A:$ZZ,,IFERROR(MATCH(E100,'ETPT Format DDG'!$2:$2,0),MATCH(C100,'ETPT Format DDG'!$2:$2,0))),
INDEX( 'ETPT Format DDG'!$A:$ZZ,,MATCH("Fonction agrégat",'ETPT Format DDG'!2:2,0)),"M-TIT",
INDEX( 'ETPT Format DDG'!$A:$ZZ,,MATCH("Juridiction",'ETPT Format DDG'!2:2,0)),$A$3)</f>
      </c>
      <c r="H100" s="72">
        <f>IF(AND(OR(LEFT(C100,3)="12.",LEFT(E100,3)="12.",LEFT(E100,5)="CET &gt;",IFERROR(G100/$G$6,"")=0),NOT(AND(LEFT(E100,4)="12.8",IFERROR(G100/$G$6,"")&lt;&gt;0)),NOT(AND(LEFT(E100,5)="12.31",IFERROR(G100/$G$6,"")&lt;&gt;0)),NOT(AND(LEFT(E100,5)="12.32",IFERROR(G100/$G$6,"")&lt;&gt;0))),"", IFERROR(G100/$G$6,""))</f>
      </c>
      <c r="I100" s="73">
        <f>SUMIFS(
INDEX('ETPT Format DDG'!$A:$ZZ,,IFERROR(MATCH(E100,'ETPT Format DDG'!$2:$2,0),MATCH(C100,'ETPT Format DDG'!$2:$2,0))),
INDEX( 'ETPT Format DDG'!$A:$ZZ,,MATCH("Fonction agrégat",'ETPT Format DDG'!2:2,0)),"M-PLAC-ADD",
INDEX( 'ETPT Format DDG'!$A:$ZZ,,MATCH("Juridiction",'ETPT Format DDG'!2:2,0)),$A$3)</f>
      </c>
      <c r="J100" s="73">
        <f>SUMIFS(
INDEX('ETPT Format DDG'!$A:$ZZ,,IFERROR(MATCH(E100,'ETPT Format DDG'!$2:$2,0),MATCH(C100,'ETPT Format DDG'!$2:$2,0))),
INDEX( 'ETPT Format DDG'!$A:$ZZ,,MATCH("Fonction agrégat",'ETPT Format DDG'!2:2,0)),"M-PLAC-SUB",
INDEX( 'ETPT Format DDG'!$A:$ZZ,,MATCH("Juridiction",'ETPT Format DDG'!2:2,0)),$A$3)</f>
      </c>
      <c r="K100" s="73">
        <f>SUMIFS(
INDEX('ETPT Format DDG'!$A:$ZZ,,IFERROR(MATCH(E100,'ETPT Format DDG'!$2:$2,0),MATCH(C100,'ETPT Format DDG'!$2:$2,0))),
INDEX( 'ETPT Format DDG'!$A:$ZZ,,MATCH("Fonction agrégat",'ETPT Format DDG'!2:2,0)),"M-CONT",
INDEX( 'ETPT Format DDG'!$A:$ZZ,,MATCH("Juridiction",'ETPT Format DDG'!2:2,0)),$A$3,
INDEX( 'ETPT Format DDG'!$A:$ZZ,,MATCH("Catégorie",'ETPT Format DDG'!2:2,0)),"Magistrat")</f>
      </c>
      <c r="L100" s="71">
        <f>SUMIFS(
INDEX('ETPT Format DDG'!$A:$ZZ,,IFERROR(MATCH(E100,'ETPT Format DDG'!$2:$2,0),MATCH(C100,'ETPT Format DDG'!$2:$2,0))),
INDEX( 'ETPT Format DDG'!$A:$ZZ,,MATCH("Juridiction",'ETPT Format DDG'!2:2,0)),$A$3,
INDEX( 'ETPT Format DDG'!$A:$ZZ,,MATCH("Catégorie",'ETPT Format DDG'!2:2,0)),"Magistrat")</f>
      </c>
      <c r="M100" s="74">
        <f>IF(AND(OR(LEFT(C100,3)="12.",LEFT(E100,3)="12.",LEFT(E100,5)="CET &gt;", IFERROR(L100/$L$6,"")=0),NOT(AND(LEFT(E100,4)="12.8",IFERROR(G100/$G$6,"")&lt;&gt;0)),NOT(AND(LEFT(E100,5)="12.31",IFERROR(L100/$G$6,"")&lt;&gt;0)),NOT(AND(LEFT(E100,5)="12.32",IFERROR(L100/$G$6,"")&lt;&gt;0))),"", IFERROR(L100/$L$6,""))</f>
      </c>
      <c r="N100" s="73">
        <f>SUMIFS(
INDEX('ETPT Format DDG'!$A:$ZZ,,IFERROR(MATCH(E100,'ETPT Format DDG'!$2:$2,0),MATCH(C100,'ETPT Format DDG'!$2:$2,0))),
INDEX( 'ETPT Format DDG'!$A:$ZZ,,MATCH("Fonction agrégat",'ETPT Format DDG'!2:2,0)),"F-TIT",
INDEX( 'ETPT Format DDG'!$A:$ZZ,,MATCH("Juridiction",'ETPT Format DDG'!2:2,0)),$A$3)</f>
      </c>
      <c r="O100" s="72">
        <f>IF(AND(OR(LEFT(C100,3)="12.",LEFT(E100,3)="12.",LEFT(E100,5)="CET &gt;",IFERROR(N100/$N$6,"")=0),NOT(AND(LEFT(E100,4)="12.8",IFERROR(G100/$G$6,"")&lt;&gt;0)),NOT(AND(LEFT(E100,5)="12.31",IFERROR(N100/$G$6,"")&lt;&gt;0)),NOT(AND(LEFT(E100,5)="12.32",IFERROR(N100/$G$6,"")&lt;&gt;0))),"",IFERROR(N100/$N$6,""))</f>
      </c>
      <c r="P100" s="73">
        <f>SUMIFS(
INDEX('ETPT Format DDG'!$A:$FB,,IFERROR(MATCH(E100,'ETPT Format DDG'!$2:$2,0),MATCH(C100,'ETPT Format DDG'!$2:$2,0))),
INDEX( 'ETPT Format DDG'!$A:$ZZ,,MATCH("Fonction agrégat",'ETPT Format DDG'!2:2,0)),"F-PLAC-ADD",
INDEX( 'ETPT Format DDG'!$A:$ZZ,,MATCH("Juridiction",'ETPT Format DDG'!2:2,0)),$A$3)</f>
      </c>
      <c r="Q100" s="73">
        <f>SUMIFS(
INDEX('ETPT Format DDG'!$A:$FB,,IFERROR(MATCH(E100,'ETPT Format DDG'!$2:$2,0),MATCH(C100,'ETPT Format DDG'!$2:$2,0))),
INDEX( 'ETPT Format DDG'!$A:$ZZ,,MATCH("Fonction agrégat",'ETPT Format DDG'!2:2,0)),"F-PLAC-SUB",
INDEX( 'ETPT Format DDG'!$A:$ZZ,,MATCH("Juridiction",'ETPT Format DDG'!2:2,0)),$A$3)</f>
      </c>
      <c r="R100" s="73">
        <f>SUMIFS(
INDEX('ETPT Format DDG'!$A:$FB,,IFERROR(MATCH(E100,'ETPT Format DDG'!$2:$2,0),MATCH(C100,'ETPT Format DDG'!$2:$2,0))),
INDEX( 'ETPT Format DDG'!$A:$ZZ,,MATCH("Fonction agrégat",'ETPT Format DDG'!2:2,0)),"C",
'ETPT Format DDG'!$H:$H,"Greffe",
INDEX( 'ETPT Format DDG'!$A:$ZZ,,MATCH("Juridiction",'ETPT Format DDG'!2:2,0)),$A$3)</f>
      </c>
      <c r="S100" s="71">
        <f>SUMIFS(
INDEX('ETPT Format DDG'!$A:$FB,,IFERROR(MATCH(E100,'ETPT Format DDG'!$2:$2,0),MATCH(C100,'ETPT Format DDG'!$2:$2,0))),
INDEX( 'ETPT Format DDG'!$A:$ZZ,,MATCH("Catégorie",'ETPT Format DDG'!2:2,0)),"Greffe",
INDEX( 'ETPT Format DDG'!$A:$ZZ,,MATCH("Juridiction",'ETPT Format DDG'!2:2,0)),$A$3)</f>
      </c>
      <c r="T100" s="72">
        <f>IF(AND(OR(LEFT(C100,3)="12.",LEFT(E100,3)="12.",LEFT(E100,5)="CET &gt;",IFERROR(S100/$S$6,"")=0),NOT(AND(LEFT(E100,4)="12.8",IFERROR(G100/$G$6,"")&lt;&gt;0)),NOT(AND(LEFT(E100,5)="12.31",IFERROR(S100/$G$6,"")&lt;&gt;0)),NOT(AND(LEFT(E100,5)="12.32",IFERROR(S100/$G$6,"")&lt;&gt;0))),"", IFERROR(S100/$S$6,""))</f>
      </c>
      <c r="U100" s="71">
        <f>SUMIFS(
INDEX('ETPT Format DDG'!$A:$FB,,IFERROR(MATCH(E100,'ETPT Format DDG'!$2:$2,0),MATCH(C100,'ETPT Format DDG'!$2:$2,0))),
INDEX( 'ETPT Format DDG'!$A:$ZZ,,MATCH("Fonction agrégat",'ETPT Format DDG'!2:2,0)),"C",
INDEX( 'ETPT Format DDG'!$A:$ZZ,,MATCH("Juridiction",'ETPT Format DDG'!2:2,0)),$A$3,
INDEX( 'ETPT Format DDG'!$A:$ZZ,,MATCH("Catégorie",'ETPT Format DDG'!2:2,0)),"Autour du magistrat")</f>
      </c>
      <c r="V100" s="74">
        <f>IF(AND(OR(LEFT(C100,3)="12.",LEFT(E100,3)="12.",LEFT(E100,5)="CET &gt;",IFERROR(U100/$U$6,"")=0),NOT(AND(LEFT(E100,4)="12.8",IFERROR(G100/$G$6,"")&lt;&gt;0)),NOT(AND(LEFT(E100,5)="12.31",IFERROR(U100/$G$6,"")&lt;&gt;0)),NOT(AND(LEFT(E100,5)="12.32",IFERROR(U100/$G$6,"")&lt;&gt;0))),"", IFERROR(U100/$U$6,""))</f>
      </c>
    </row>
    <row r="101" ht="16" customHeight="1" spans="1:23" x14ac:dyDescent="0.25">
      <c r="A101" s="40"/>
      <c r="C101" s="68"/>
      <c r="D101" s="68"/>
      <c r="E101" s="69" t="s">
        <v>136</v>
      </c>
      <c r="F101" s="70" t="s">
        <v>136</v>
      </c>
      <c r="G101" s="71">
        <f>SUMIFS(
INDEX('ETPT Format DDG'!$A:$ZZ,,IFERROR(MATCH(E101,'ETPT Format DDG'!$2:$2,0),MATCH(C101,'ETPT Format DDG'!$2:$2,0))),
INDEX( 'ETPT Format DDG'!$A:$ZZ,,MATCH("Fonction agrégat",'ETPT Format DDG'!2:2,0)),"M-TIT",
INDEX( 'ETPT Format DDG'!$A:$ZZ,,MATCH("Juridiction",'ETPT Format DDG'!2:2,0)),$A$3)</f>
      </c>
      <c r="H101" s="72">
        <f>IF(AND(OR(LEFT(C101,3)="12.",LEFT(E101,3)="12.",LEFT(E101,5)="CET &gt;",IFERROR(G101/$G$6,"")=0),NOT(AND(LEFT(E101,4)="12.8",IFERROR(G101/$G$6,"")&lt;&gt;0)),NOT(AND(LEFT(E101,5)="12.31",IFERROR(G101/$G$6,"")&lt;&gt;0)),NOT(AND(LEFT(E101,5)="12.32",IFERROR(G101/$G$6,"")&lt;&gt;0))),"", IFERROR(G101/$G$6,""))</f>
      </c>
      <c r="I101" s="73">
        <f>SUMIFS(
INDEX('ETPT Format DDG'!$A:$ZZ,,IFERROR(MATCH(E101,'ETPT Format DDG'!$2:$2,0),MATCH(C101,'ETPT Format DDG'!$2:$2,0))),
INDEX( 'ETPT Format DDG'!$A:$ZZ,,MATCH("Fonction agrégat",'ETPT Format DDG'!2:2,0)),"M-PLAC-ADD",
INDEX( 'ETPT Format DDG'!$A:$ZZ,,MATCH("Juridiction",'ETPT Format DDG'!2:2,0)),$A$3)</f>
      </c>
      <c r="J101" s="73">
        <f>SUMIFS(
INDEX('ETPT Format DDG'!$A:$ZZ,,IFERROR(MATCH(E101,'ETPT Format DDG'!$2:$2,0),MATCH(C101,'ETPT Format DDG'!$2:$2,0))),
INDEX( 'ETPT Format DDG'!$A:$ZZ,,MATCH("Fonction agrégat",'ETPT Format DDG'!2:2,0)),"M-PLAC-SUB",
INDEX( 'ETPT Format DDG'!$A:$ZZ,,MATCH("Juridiction",'ETPT Format DDG'!2:2,0)),$A$3)</f>
      </c>
      <c r="K101" s="73">
        <f>SUMIFS(
INDEX('ETPT Format DDG'!$A:$ZZ,,IFERROR(MATCH(E101,'ETPT Format DDG'!$2:$2,0),MATCH(C101,'ETPT Format DDG'!$2:$2,0))),
INDEX( 'ETPT Format DDG'!$A:$ZZ,,MATCH("Fonction agrégat",'ETPT Format DDG'!2:2,0)),"M-CONT",
INDEX( 'ETPT Format DDG'!$A:$ZZ,,MATCH("Juridiction",'ETPT Format DDG'!2:2,0)),$A$3,
INDEX( 'ETPT Format DDG'!$A:$ZZ,,MATCH("Catégorie",'ETPT Format DDG'!2:2,0)),"Magistrat")</f>
      </c>
      <c r="L101" s="71">
        <f>SUMIFS(
INDEX('ETPT Format DDG'!$A:$ZZ,,IFERROR(MATCH(E101,'ETPT Format DDG'!$2:$2,0),MATCH(C101,'ETPT Format DDG'!$2:$2,0))),
INDEX( 'ETPT Format DDG'!$A:$ZZ,,MATCH("Juridiction",'ETPT Format DDG'!2:2,0)),$A$3,
INDEX( 'ETPT Format DDG'!$A:$ZZ,,MATCH("Catégorie",'ETPT Format DDG'!2:2,0)),"Magistrat")</f>
      </c>
      <c r="M101" s="74">
        <f>IF(AND(OR(LEFT(C101,3)="12.",LEFT(E101,3)="12.",LEFT(E101,5)="CET &gt;", IFERROR(L101/$L$6,"")=0),NOT(AND(LEFT(E101,4)="12.8",IFERROR(G101/$G$6,"")&lt;&gt;0)),NOT(AND(LEFT(E101,5)="12.31",IFERROR(L101/$G$6,"")&lt;&gt;0)),NOT(AND(LEFT(E101,5)="12.32",IFERROR(L101/$G$6,"")&lt;&gt;0))),"", IFERROR(L101/$L$6,""))</f>
      </c>
      <c r="N101" s="73">
        <f>SUMIFS(
INDEX('ETPT Format DDG'!$A:$ZZ,,IFERROR(MATCH(E101,'ETPT Format DDG'!$2:$2,0),MATCH(C101,'ETPT Format DDG'!$2:$2,0))),
INDEX( 'ETPT Format DDG'!$A:$ZZ,,MATCH("Fonction agrégat",'ETPT Format DDG'!2:2,0)),"F-TIT",
INDEX( 'ETPT Format DDG'!$A:$ZZ,,MATCH("Juridiction",'ETPT Format DDG'!2:2,0)),$A$3)</f>
      </c>
      <c r="O101" s="72">
        <f>IF(AND(OR(LEFT(C101,3)="12.",LEFT(E101,3)="12.",LEFT(E101,5)="CET &gt;",IFERROR(N101/$N$6,"")=0),NOT(AND(LEFT(E101,4)="12.8",IFERROR(G101/$G$6,"")&lt;&gt;0)),NOT(AND(LEFT(E101,5)="12.31",IFERROR(N101/$G$6,"")&lt;&gt;0)),NOT(AND(LEFT(E101,5)="12.32",IFERROR(N101/$G$6,"")&lt;&gt;0))),"",IFERROR(N101/$N$6,""))</f>
      </c>
      <c r="P101" s="73">
        <f>SUMIFS(
INDEX('ETPT Format DDG'!$A:$FB,,IFERROR(MATCH(E101,'ETPT Format DDG'!$2:$2,0),MATCH(C101,'ETPT Format DDG'!$2:$2,0))),
INDEX( 'ETPT Format DDG'!$A:$ZZ,,MATCH("Fonction agrégat",'ETPT Format DDG'!2:2,0)),"F-PLAC-ADD",
INDEX( 'ETPT Format DDG'!$A:$ZZ,,MATCH("Juridiction",'ETPT Format DDG'!2:2,0)),$A$3)</f>
      </c>
      <c r="Q101" s="73">
        <f>SUMIFS(
INDEX('ETPT Format DDG'!$A:$FB,,IFERROR(MATCH(E101,'ETPT Format DDG'!$2:$2,0),MATCH(C101,'ETPT Format DDG'!$2:$2,0))),
INDEX( 'ETPT Format DDG'!$A:$ZZ,,MATCH("Fonction agrégat",'ETPT Format DDG'!2:2,0)),"F-PLAC-SUB",
INDEX( 'ETPT Format DDG'!$A:$ZZ,,MATCH("Juridiction",'ETPT Format DDG'!2:2,0)),$A$3)</f>
      </c>
      <c r="R101" s="73">
        <f>SUMIFS(
INDEX('ETPT Format DDG'!$A:$FB,,IFERROR(MATCH(E101,'ETPT Format DDG'!$2:$2,0),MATCH(C101,'ETPT Format DDG'!$2:$2,0))),
INDEX( 'ETPT Format DDG'!$A:$ZZ,,MATCH("Fonction agrégat",'ETPT Format DDG'!2:2,0)),"C",
'ETPT Format DDG'!$H:$H,"Greffe",
INDEX( 'ETPT Format DDG'!$A:$ZZ,,MATCH("Juridiction",'ETPT Format DDG'!2:2,0)),$A$3)</f>
      </c>
      <c r="S101" s="71">
        <f>SUMIFS(
INDEX('ETPT Format DDG'!$A:$FB,,IFERROR(MATCH(E101,'ETPT Format DDG'!$2:$2,0),MATCH(C101,'ETPT Format DDG'!$2:$2,0))),
INDEX( 'ETPT Format DDG'!$A:$ZZ,,MATCH("Catégorie",'ETPT Format DDG'!2:2,0)),"Greffe",
INDEX( 'ETPT Format DDG'!$A:$ZZ,,MATCH("Juridiction",'ETPT Format DDG'!2:2,0)),$A$3)</f>
      </c>
      <c r="T101" s="72">
        <f>IF(AND(OR(LEFT(C101,3)="12.",LEFT(E101,3)="12.",LEFT(E101,5)="CET &gt;",IFERROR(S101/$S$6,"")=0),NOT(AND(LEFT(E101,4)="12.8",IFERROR(G101/$G$6,"")&lt;&gt;0)),NOT(AND(LEFT(E101,5)="12.31",IFERROR(S101/$G$6,"")&lt;&gt;0)),NOT(AND(LEFT(E101,5)="12.32",IFERROR(S101/$G$6,"")&lt;&gt;0))),"", IFERROR(S101/$S$6,""))</f>
      </c>
      <c r="U101" s="71">
        <f>SUMIFS(
INDEX('ETPT Format DDG'!$A:$FB,,IFERROR(MATCH(E101,'ETPT Format DDG'!$2:$2,0),MATCH(C101,'ETPT Format DDG'!$2:$2,0))),
INDEX( 'ETPT Format DDG'!$A:$ZZ,,MATCH("Fonction agrégat",'ETPT Format DDG'!2:2,0)),"C",
INDEX( 'ETPT Format DDG'!$A:$ZZ,,MATCH("Juridiction",'ETPT Format DDG'!2:2,0)),$A$3,
INDEX( 'ETPT Format DDG'!$A:$ZZ,,MATCH("Catégorie",'ETPT Format DDG'!2:2,0)),"Autour du magistrat")</f>
      </c>
      <c r="V101" s="74">
        <f>IF(AND(OR(LEFT(C101,3)="12.",LEFT(E101,3)="12.",LEFT(E101,5)="CET &gt;",IFERROR(U101/$U$6,"")=0),NOT(AND(LEFT(E101,4)="12.8",IFERROR(G101/$G$6,"")&lt;&gt;0)),NOT(AND(LEFT(E101,5)="12.31",IFERROR(U101/$G$6,"")&lt;&gt;0)),NOT(AND(LEFT(E101,5)="12.32",IFERROR(U101/$G$6,"")&lt;&gt;0))),"", IFERROR(U101/$U$6,""))</f>
      </c>
    </row>
    <row r="102" ht="16" customHeight="1" spans="1:23" x14ac:dyDescent="0.25">
      <c r="A102" s="40"/>
      <c r="C102" s="68" t="s">
        <v>171</v>
      </c>
      <c r="D102" s="68" t="s">
        <v>171</v>
      </c>
      <c r="E102" s="69"/>
      <c r="F102" s="70"/>
      <c r="G102" s="71">
        <f>SUMIFS(
INDEX('ETPT Format DDG'!$A:$ZZ,,IFERROR(MATCH(E102,'ETPT Format DDG'!$2:$2,0),MATCH(C102,'ETPT Format DDG'!$2:$2,0))),
INDEX( 'ETPT Format DDG'!$A:$ZZ,,MATCH("Fonction agrégat",'ETPT Format DDG'!2:2,0)),"M-TIT",
INDEX( 'ETPT Format DDG'!$A:$ZZ,,MATCH("Juridiction",'ETPT Format DDG'!2:2,0)),$A$3)</f>
      </c>
      <c r="H102" s="72">
        <f>IF(AND(OR(LEFT(C102,3)="12.",LEFT(E102,3)="12.",LEFT(E102,5)="CET &gt;",IFERROR(G102/$G$6,"")=0),NOT(AND(LEFT(E102,4)="12.8",IFERROR(G102/$G$6,"")&lt;&gt;0)),NOT(AND(LEFT(E102,5)="12.31",IFERROR(G102/$G$6,"")&lt;&gt;0)),NOT(AND(LEFT(E102,5)="12.32",IFERROR(G102/$G$6,"")&lt;&gt;0))),"", IFERROR(G102/$G$6,""))</f>
      </c>
      <c r="I102" s="73">
        <f>SUMIFS(
INDEX('ETPT Format DDG'!$A:$ZZ,,IFERROR(MATCH(E102,'ETPT Format DDG'!$2:$2,0),MATCH(C102,'ETPT Format DDG'!$2:$2,0))),
INDEX( 'ETPT Format DDG'!$A:$ZZ,,MATCH("Fonction agrégat",'ETPT Format DDG'!2:2,0)),"M-PLAC-ADD",
INDEX( 'ETPT Format DDG'!$A:$ZZ,,MATCH("Juridiction",'ETPT Format DDG'!2:2,0)),$A$3)</f>
      </c>
      <c r="J102" s="73">
        <f>SUMIFS(
INDEX('ETPT Format DDG'!$A:$ZZ,,IFERROR(MATCH(E102,'ETPT Format DDG'!$2:$2,0),MATCH(C102,'ETPT Format DDG'!$2:$2,0))),
INDEX( 'ETPT Format DDG'!$A:$ZZ,,MATCH("Fonction agrégat",'ETPT Format DDG'!2:2,0)),"M-PLAC-SUB",
INDEX( 'ETPT Format DDG'!$A:$ZZ,,MATCH("Juridiction",'ETPT Format DDG'!2:2,0)),$A$3)</f>
      </c>
      <c r="K102" s="73">
        <f>SUMIFS(
INDEX('ETPT Format DDG'!$A:$ZZ,,IFERROR(MATCH(E102,'ETPT Format DDG'!$2:$2,0),MATCH(C102,'ETPT Format DDG'!$2:$2,0))),
INDEX( 'ETPT Format DDG'!$A:$ZZ,,MATCH("Fonction agrégat",'ETPT Format DDG'!2:2,0)),"M-CONT",
INDEX( 'ETPT Format DDG'!$A:$ZZ,,MATCH("Juridiction",'ETPT Format DDG'!2:2,0)),$A$3,
INDEX( 'ETPT Format DDG'!$A:$ZZ,,MATCH("Catégorie",'ETPT Format DDG'!2:2,0)),"Magistrat")</f>
      </c>
      <c r="L102" s="71">
        <f>SUMIFS(
INDEX('ETPT Format DDG'!$A:$ZZ,,IFERROR(MATCH(E102,'ETPT Format DDG'!$2:$2,0),MATCH(C102,'ETPT Format DDG'!$2:$2,0))),
INDEX( 'ETPT Format DDG'!$A:$ZZ,,MATCH("Juridiction",'ETPT Format DDG'!2:2,0)),$A$3,
INDEX( 'ETPT Format DDG'!$A:$ZZ,,MATCH("Catégorie",'ETPT Format DDG'!2:2,0)),"Magistrat")</f>
      </c>
      <c r="M102" s="74">
        <f>IF(AND(OR(LEFT(C102,3)="12.",LEFT(E102,3)="12.",LEFT(E102,5)="CET &gt;", IFERROR(L102/$L$6,"")=0),NOT(AND(LEFT(E102,4)="12.8",IFERROR(G102/$G$6,"")&lt;&gt;0)),NOT(AND(LEFT(E102,5)="12.31",IFERROR(L102/$G$6,"")&lt;&gt;0)),NOT(AND(LEFT(E102,5)="12.32",IFERROR(L102/$G$6,"")&lt;&gt;0))),"", IFERROR(L102/$L$6,""))</f>
      </c>
      <c r="N102" s="73">
        <f>SUMIFS(
INDEX('ETPT Format DDG'!$A:$ZZ,,IFERROR(MATCH(E102,'ETPT Format DDG'!$2:$2,0),MATCH(C102,'ETPT Format DDG'!$2:$2,0))),
INDEX( 'ETPT Format DDG'!$A:$ZZ,,MATCH("Fonction agrégat",'ETPT Format DDG'!2:2,0)),"F-TIT",
INDEX( 'ETPT Format DDG'!$A:$ZZ,,MATCH("Juridiction",'ETPT Format DDG'!2:2,0)),$A$3)</f>
      </c>
      <c r="O102" s="72">
        <f>IF(AND(OR(LEFT(C102,3)="12.",LEFT(E102,3)="12.",LEFT(E102,5)="CET &gt;",IFERROR(N102/$N$6,"")=0),NOT(AND(LEFT(E102,4)="12.8",IFERROR(G102/$G$6,"")&lt;&gt;0)),NOT(AND(LEFT(E102,5)="12.31",IFERROR(N102/$G$6,"")&lt;&gt;0)),NOT(AND(LEFT(E102,5)="12.32",IFERROR(N102/$G$6,"")&lt;&gt;0))),"",IFERROR(N102/$N$6,""))</f>
      </c>
      <c r="P102" s="73">
        <f>SUMIFS(
INDEX('ETPT Format DDG'!$A:$FB,,IFERROR(MATCH(E102,'ETPT Format DDG'!$2:$2,0),MATCH(C102,'ETPT Format DDG'!$2:$2,0))),
INDEX( 'ETPT Format DDG'!$A:$ZZ,,MATCH("Fonction agrégat",'ETPT Format DDG'!2:2,0)),"F-PLAC-ADD",
INDEX( 'ETPT Format DDG'!$A:$ZZ,,MATCH("Juridiction",'ETPT Format DDG'!2:2,0)),$A$3)</f>
      </c>
      <c r="Q102" s="73">
        <f>SUMIFS(
INDEX('ETPT Format DDG'!$A:$FB,,IFERROR(MATCH(E102,'ETPT Format DDG'!$2:$2,0),MATCH(C102,'ETPT Format DDG'!$2:$2,0))),
INDEX( 'ETPT Format DDG'!$A:$ZZ,,MATCH("Fonction agrégat",'ETPT Format DDG'!2:2,0)),"F-PLAC-SUB",
INDEX( 'ETPT Format DDG'!$A:$ZZ,,MATCH("Juridiction",'ETPT Format DDG'!2:2,0)),$A$3)</f>
      </c>
      <c r="R102" s="73">
        <f>SUMIFS(
INDEX('ETPT Format DDG'!$A:$FB,,IFERROR(MATCH(E102,'ETPT Format DDG'!$2:$2,0),MATCH(C102,'ETPT Format DDG'!$2:$2,0))),
INDEX( 'ETPT Format DDG'!$A:$ZZ,,MATCH("Fonction agrégat",'ETPT Format DDG'!2:2,0)),"C",
'ETPT Format DDG'!$H:$H,"Greffe",
INDEX( 'ETPT Format DDG'!$A:$ZZ,,MATCH("Juridiction",'ETPT Format DDG'!2:2,0)),$A$3)</f>
      </c>
      <c r="S102" s="71">
        <f>SUMIFS(
INDEX('ETPT Format DDG'!$A:$FB,,IFERROR(MATCH(E102,'ETPT Format DDG'!$2:$2,0),MATCH(C102,'ETPT Format DDG'!$2:$2,0))),
INDEX( 'ETPT Format DDG'!$A:$ZZ,,MATCH("Catégorie",'ETPT Format DDG'!2:2,0)),"Greffe",
INDEX( 'ETPT Format DDG'!$A:$ZZ,,MATCH("Juridiction",'ETPT Format DDG'!2:2,0)),$A$3)</f>
      </c>
      <c r="T102" s="72">
        <f>IF(AND(OR(LEFT(C102,3)="12.",LEFT(E102,3)="12.",LEFT(E102,5)="CET &gt;",IFERROR(S102/$S$6,"")=0),NOT(AND(LEFT(E102,4)="12.8",IFERROR(G102/$G$6,"")&lt;&gt;0)),NOT(AND(LEFT(E102,5)="12.31",IFERROR(S102/$G$6,"")&lt;&gt;0)),NOT(AND(LEFT(E102,5)="12.32",IFERROR(S102/$G$6,"")&lt;&gt;0))),"", IFERROR(S102/$S$6,""))</f>
      </c>
      <c r="U102" s="71">
        <f>SUMIFS(
INDEX('ETPT Format DDG'!$A:$FB,,IFERROR(MATCH(E102,'ETPT Format DDG'!$2:$2,0),MATCH(C102,'ETPT Format DDG'!$2:$2,0))),
INDEX( 'ETPT Format DDG'!$A:$ZZ,,MATCH("Fonction agrégat",'ETPT Format DDG'!2:2,0)),"C",
INDEX( 'ETPT Format DDG'!$A:$ZZ,,MATCH("Juridiction",'ETPT Format DDG'!2:2,0)),$A$3,
INDEX( 'ETPT Format DDG'!$A:$ZZ,,MATCH("Catégorie",'ETPT Format DDG'!2:2,0)),"Autour du magistrat")</f>
      </c>
      <c r="V102" s="74">
        <f>IF(AND(OR(LEFT(C102,3)="12.",LEFT(E102,3)="12.",LEFT(E102,5)="CET &gt;",IFERROR(U102/$U$6,"")=0),NOT(AND(LEFT(E102,4)="12.8",IFERROR(G102/$G$6,"")&lt;&gt;0)),NOT(AND(LEFT(E102,5)="12.31",IFERROR(U102/$G$6,"")&lt;&gt;0)),NOT(AND(LEFT(E102,5)="12.32",IFERROR(U102/$G$6,"")&lt;&gt;0))),"", IFERROR(U102/$U$6,""))</f>
      </c>
    </row>
    <row r="103" ht="16" customHeight="1" spans="1:23" x14ac:dyDescent="0.25">
      <c r="A103" s="40"/>
      <c r="C103" s="68"/>
      <c r="D103" s="68"/>
      <c r="E103" s="69" t="s">
        <v>142</v>
      </c>
      <c r="F103" s="70" t="s">
        <v>142</v>
      </c>
      <c r="G103" s="71">
        <f>SUMIFS(
INDEX('ETPT Format DDG'!$A:$ZZ,,IFERROR(MATCH(E103,'ETPT Format DDG'!$2:$2,0),MATCH(C103,'ETPT Format DDG'!$2:$2,0))),
INDEX( 'ETPT Format DDG'!$A:$ZZ,,MATCH("Fonction agrégat",'ETPT Format DDG'!2:2,0)),"M-TIT",
INDEX( 'ETPT Format DDG'!$A:$ZZ,,MATCH("Juridiction",'ETPT Format DDG'!2:2,0)),$A$3)</f>
      </c>
      <c r="H103" s="72">
        <f>IF(AND(OR(LEFT(C103,3)="12.",LEFT(E103,3)="12.",LEFT(E103,5)="CET &gt;",IFERROR(G103/$G$6,"")=0),NOT(AND(LEFT(E103,4)="12.8",IFERROR(G103/$G$6,"")&lt;&gt;0)),NOT(AND(LEFT(E103,5)="12.31",IFERROR(G103/$G$6,"")&lt;&gt;0)),NOT(AND(LEFT(E103,5)="12.32",IFERROR(G103/$G$6,"")&lt;&gt;0))),"", IFERROR(G103/$G$6,""))</f>
      </c>
      <c r="I103" s="73">
        <f>SUMIFS(
INDEX('ETPT Format DDG'!$A:$ZZ,,IFERROR(MATCH(E103,'ETPT Format DDG'!$2:$2,0),MATCH(C103,'ETPT Format DDG'!$2:$2,0))),
INDEX( 'ETPT Format DDG'!$A:$ZZ,,MATCH("Fonction agrégat",'ETPT Format DDG'!2:2,0)),"M-PLAC-ADD",
INDEX( 'ETPT Format DDG'!$A:$ZZ,,MATCH("Juridiction",'ETPT Format DDG'!2:2,0)),$A$3)</f>
      </c>
      <c r="J103" s="73">
        <f>SUMIFS(
INDEX('ETPT Format DDG'!$A:$ZZ,,IFERROR(MATCH(E103,'ETPT Format DDG'!$2:$2,0),MATCH(C103,'ETPT Format DDG'!$2:$2,0))),
INDEX( 'ETPT Format DDG'!$A:$ZZ,,MATCH("Fonction agrégat",'ETPT Format DDG'!2:2,0)),"M-PLAC-SUB",
INDEX( 'ETPT Format DDG'!$A:$ZZ,,MATCH("Juridiction",'ETPT Format DDG'!2:2,0)),$A$3)</f>
      </c>
      <c r="K103" s="73">
        <f>SUMIFS(
INDEX('ETPT Format DDG'!$A:$ZZ,,IFERROR(MATCH(E103,'ETPT Format DDG'!$2:$2,0),MATCH(C103,'ETPT Format DDG'!$2:$2,0))),
INDEX( 'ETPT Format DDG'!$A:$ZZ,,MATCH("Fonction agrégat",'ETPT Format DDG'!2:2,0)),"M-CONT",
INDEX( 'ETPT Format DDG'!$A:$ZZ,,MATCH("Juridiction",'ETPT Format DDG'!2:2,0)),$A$3,
INDEX( 'ETPT Format DDG'!$A:$ZZ,,MATCH("Catégorie",'ETPT Format DDG'!2:2,0)),"Magistrat")</f>
      </c>
      <c r="L103" s="71">
        <f>SUMIFS(
INDEX('ETPT Format DDG'!$A:$ZZ,,IFERROR(MATCH(E103,'ETPT Format DDG'!$2:$2,0),MATCH(C103,'ETPT Format DDG'!$2:$2,0))),
INDEX( 'ETPT Format DDG'!$A:$ZZ,,MATCH("Juridiction",'ETPT Format DDG'!2:2,0)),$A$3,
INDEX( 'ETPT Format DDG'!$A:$ZZ,,MATCH("Catégorie",'ETPT Format DDG'!2:2,0)),"Magistrat")</f>
      </c>
      <c r="M103" s="74">
        <f>IF(AND(OR(LEFT(C103,3)="12.",LEFT(E103,3)="12.",LEFT(E103,5)="CET &gt;", IFERROR(L103/$L$6,"")=0),NOT(AND(LEFT(E103,4)="12.8",IFERROR(G103/$G$6,"")&lt;&gt;0)),NOT(AND(LEFT(E103,5)="12.31",IFERROR(L103/$G$6,"")&lt;&gt;0)),NOT(AND(LEFT(E103,5)="12.32",IFERROR(L103/$G$6,"")&lt;&gt;0))),"", IFERROR(L103/$L$6,""))</f>
      </c>
      <c r="N103" s="73">
        <f>SUMIFS(
INDEX('ETPT Format DDG'!$A:$ZZ,,IFERROR(MATCH(E103,'ETPT Format DDG'!$2:$2,0),MATCH(C103,'ETPT Format DDG'!$2:$2,0))),
INDEX( 'ETPT Format DDG'!$A:$ZZ,,MATCH("Fonction agrégat",'ETPT Format DDG'!2:2,0)),"F-TIT",
INDEX( 'ETPT Format DDG'!$A:$ZZ,,MATCH("Juridiction",'ETPT Format DDG'!2:2,0)),$A$3)</f>
      </c>
      <c r="O103" s="72">
        <f>IF(AND(OR(LEFT(C103,3)="12.",LEFT(E103,3)="12.",LEFT(E103,5)="CET &gt;",IFERROR(N103/$N$6,"")=0),NOT(AND(LEFT(E103,4)="12.8",IFERROR(G103/$G$6,"")&lt;&gt;0)),NOT(AND(LEFT(E103,5)="12.31",IFERROR(N103/$G$6,"")&lt;&gt;0)),NOT(AND(LEFT(E103,5)="12.32",IFERROR(N103/$G$6,"")&lt;&gt;0))),"",IFERROR(N103/$N$6,""))</f>
      </c>
      <c r="P103" s="73">
        <f>SUMIFS(
INDEX('ETPT Format DDG'!$A:$FB,,IFERROR(MATCH(E103,'ETPT Format DDG'!$2:$2,0),MATCH(C103,'ETPT Format DDG'!$2:$2,0))),
INDEX( 'ETPT Format DDG'!$A:$ZZ,,MATCH("Fonction agrégat",'ETPT Format DDG'!2:2,0)),"F-PLAC-ADD",
INDEX( 'ETPT Format DDG'!$A:$ZZ,,MATCH("Juridiction",'ETPT Format DDG'!2:2,0)),$A$3)</f>
      </c>
      <c r="Q103" s="73">
        <f>SUMIFS(
INDEX('ETPT Format DDG'!$A:$FB,,IFERROR(MATCH(E103,'ETPT Format DDG'!$2:$2,0),MATCH(C103,'ETPT Format DDG'!$2:$2,0))),
INDEX( 'ETPT Format DDG'!$A:$ZZ,,MATCH("Fonction agrégat",'ETPT Format DDG'!2:2,0)),"F-PLAC-SUB",
INDEX( 'ETPT Format DDG'!$A:$ZZ,,MATCH("Juridiction",'ETPT Format DDG'!2:2,0)),$A$3)</f>
      </c>
      <c r="R103" s="73">
        <f>SUMIFS(
INDEX('ETPT Format DDG'!$A:$FB,,IFERROR(MATCH(E103,'ETPT Format DDG'!$2:$2,0),MATCH(C103,'ETPT Format DDG'!$2:$2,0))),
INDEX( 'ETPT Format DDG'!$A:$ZZ,,MATCH("Fonction agrégat",'ETPT Format DDG'!2:2,0)),"C",
'ETPT Format DDG'!$H:$H,"Greffe",
INDEX( 'ETPT Format DDG'!$A:$ZZ,,MATCH("Juridiction",'ETPT Format DDG'!2:2,0)),$A$3)</f>
      </c>
      <c r="S103" s="71">
        <f>SUMIFS(
INDEX('ETPT Format DDG'!$A:$FB,,IFERROR(MATCH(E103,'ETPT Format DDG'!$2:$2,0),MATCH(C103,'ETPT Format DDG'!$2:$2,0))),
INDEX( 'ETPT Format DDG'!$A:$ZZ,,MATCH("Catégorie",'ETPT Format DDG'!2:2,0)),"Greffe",
INDEX( 'ETPT Format DDG'!$A:$ZZ,,MATCH("Juridiction",'ETPT Format DDG'!2:2,0)),$A$3)</f>
      </c>
      <c r="T103" s="72">
        <f>IF(AND(OR(LEFT(C103,3)="12.",LEFT(E103,3)="12.",LEFT(E103,5)="CET &gt;",IFERROR(S103/$S$6,"")=0),NOT(AND(LEFT(E103,4)="12.8",IFERROR(G103/$G$6,"")&lt;&gt;0)),NOT(AND(LEFT(E103,5)="12.31",IFERROR(S103/$G$6,"")&lt;&gt;0)),NOT(AND(LEFT(E103,5)="12.32",IFERROR(S103/$G$6,"")&lt;&gt;0))),"", IFERROR(S103/$S$6,""))</f>
      </c>
      <c r="U103" s="71">
        <f>SUMIFS(
INDEX('ETPT Format DDG'!$A:$FB,,IFERROR(MATCH(E103,'ETPT Format DDG'!$2:$2,0),MATCH(C103,'ETPT Format DDG'!$2:$2,0))),
INDEX( 'ETPT Format DDG'!$A:$ZZ,,MATCH("Fonction agrégat",'ETPT Format DDG'!2:2,0)),"C",
INDEX( 'ETPT Format DDG'!$A:$ZZ,,MATCH("Juridiction",'ETPT Format DDG'!2:2,0)),$A$3,
INDEX( 'ETPT Format DDG'!$A:$ZZ,,MATCH("Catégorie",'ETPT Format DDG'!2:2,0)),"Autour du magistrat")</f>
      </c>
      <c r="V103" s="74">
        <f>IF(AND(OR(LEFT(C103,3)="12.",LEFT(E103,3)="12.",LEFT(E103,5)="CET &gt;",IFERROR(U103/$U$6,"")=0),NOT(AND(LEFT(E103,4)="12.8",IFERROR(G103/$G$6,"")&lt;&gt;0)),NOT(AND(LEFT(E103,5)="12.31",IFERROR(U103/$G$6,"")&lt;&gt;0)),NOT(AND(LEFT(E103,5)="12.32",IFERROR(U103/$G$6,"")&lt;&gt;0))),"", IFERROR(U103/$U$6,""))</f>
      </c>
    </row>
    <row r="104" ht="16" customHeight="1" spans="1:23" x14ac:dyDescent="0.25">
      <c r="A104" s="40"/>
      <c r="C104" s="68"/>
      <c r="D104" s="68"/>
      <c r="E104" s="69" t="s">
        <v>143</v>
      </c>
      <c r="F104" s="70" t="s">
        <v>143</v>
      </c>
      <c r="G104" s="71">
        <f>SUMIFS(
INDEX('ETPT Format DDG'!$A:$ZZ,,IFERROR(MATCH(E104,'ETPT Format DDG'!$2:$2,0),MATCH(C104,'ETPT Format DDG'!$2:$2,0))),
INDEX( 'ETPT Format DDG'!$A:$ZZ,,MATCH("Fonction agrégat",'ETPT Format DDG'!2:2,0)),"M-TIT",
INDEX( 'ETPT Format DDG'!$A:$ZZ,,MATCH("Juridiction",'ETPT Format DDG'!2:2,0)),$A$3)</f>
      </c>
      <c r="H104" s="72">
        <f>IF(AND(OR(LEFT(C104,3)="12.",LEFT(E104,3)="12.",LEFT(E104,5)="CET &gt;",IFERROR(G104/$G$6,"")=0),NOT(AND(LEFT(E104,4)="12.8",IFERROR(G104/$G$6,"")&lt;&gt;0)),NOT(AND(LEFT(E104,5)="12.31",IFERROR(G104/$G$6,"")&lt;&gt;0)),NOT(AND(LEFT(E104,5)="12.32",IFERROR(G104/$G$6,"")&lt;&gt;0))),"", IFERROR(G104/$G$6,""))</f>
      </c>
      <c r="I104" s="73">
        <f>SUMIFS(
INDEX('ETPT Format DDG'!$A:$ZZ,,IFERROR(MATCH(E104,'ETPT Format DDG'!$2:$2,0),MATCH(C104,'ETPT Format DDG'!$2:$2,0))),
INDEX( 'ETPT Format DDG'!$A:$ZZ,,MATCH("Fonction agrégat",'ETPT Format DDG'!2:2,0)),"M-PLAC-ADD",
INDEX( 'ETPT Format DDG'!$A:$ZZ,,MATCH("Juridiction",'ETPT Format DDG'!2:2,0)),$A$3)</f>
      </c>
      <c r="J104" s="73">
        <f>SUMIFS(
INDEX('ETPT Format DDG'!$A:$ZZ,,IFERROR(MATCH(E104,'ETPT Format DDG'!$2:$2,0),MATCH(C104,'ETPT Format DDG'!$2:$2,0))),
INDEX( 'ETPT Format DDG'!$A:$ZZ,,MATCH("Fonction agrégat",'ETPT Format DDG'!2:2,0)),"M-PLAC-SUB",
INDEX( 'ETPT Format DDG'!$A:$ZZ,,MATCH("Juridiction",'ETPT Format DDG'!2:2,0)),$A$3)</f>
      </c>
      <c r="K104" s="73">
        <f>SUMIFS(
INDEX('ETPT Format DDG'!$A:$ZZ,,IFERROR(MATCH(E104,'ETPT Format DDG'!$2:$2,0),MATCH(C104,'ETPT Format DDG'!$2:$2,0))),
INDEX( 'ETPT Format DDG'!$A:$ZZ,,MATCH("Fonction agrégat",'ETPT Format DDG'!2:2,0)),"M-CONT",
INDEX( 'ETPT Format DDG'!$A:$ZZ,,MATCH("Juridiction",'ETPT Format DDG'!2:2,0)),$A$3,
INDEX( 'ETPT Format DDG'!$A:$ZZ,,MATCH("Catégorie",'ETPT Format DDG'!2:2,0)),"Magistrat")</f>
      </c>
      <c r="L104" s="71">
        <f>SUMIFS(
INDEX('ETPT Format DDG'!$A:$ZZ,,IFERROR(MATCH(E104,'ETPT Format DDG'!$2:$2,0),MATCH(C104,'ETPT Format DDG'!$2:$2,0))),
INDEX( 'ETPT Format DDG'!$A:$ZZ,,MATCH("Juridiction",'ETPT Format DDG'!2:2,0)),$A$3,
INDEX( 'ETPT Format DDG'!$A:$ZZ,,MATCH("Catégorie",'ETPT Format DDG'!2:2,0)),"Magistrat")</f>
      </c>
      <c r="M104" s="74">
        <f>IF(AND(OR(LEFT(C104,3)="12.",LEFT(E104,3)="12.",LEFT(E104,5)="CET &gt;", IFERROR(L104/$L$6,"")=0),NOT(AND(LEFT(E104,4)="12.8",IFERROR(G104/$G$6,"")&lt;&gt;0)),NOT(AND(LEFT(E104,5)="12.31",IFERROR(L104/$G$6,"")&lt;&gt;0)),NOT(AND(LEFT(E104,5)="12.32",IFERROR(L104/$G$6,"")&lt;&gt;0))),"", IFERROR(L104/$L$6,""))</f>
      </c>
      <c r="N104" s="73">
        <f>SUMIFS(
INDEX('ETPT Format DDG'!$A:$ZZ,,IFERROR(MATCH(E104,'ETPT Format DDG'!$2:$2,0),MATCH(C104,'ETPT Format DDG'!$2:$2,0))),
INDEX( 'ETPT Format DDG'!$A:$ZZ,,MATCH("Fonction agrégat",'ETPT Format DDG'!2:2,0)),"F-TIT",
INDEX( 'ETPT Format DDG'!$A:$ZZ,,MATCH("Juridiction",'ETPT Format DDG'!2:2,0)),$A$3)</f>
      </c>
      <c r="O104" s="72">
        <f>IF(AND(OR(LEFT(C104,3)="12.",LEFT(E104,3)="12.",LEFT(E104,5)="CET &gt;",IFERROR(N104/$N$6,"")=0),NOT(AND(LEFT(E104,4)="12.8",IFERROR(G104/$G$6,"")&lt;&gt;0)),NOT(AND(LEFT(E104,5)="12.31",IFERROR(N104/$G$6,"")&lt;&gt;0)),NOT(AND(LEFT(E104,5)="12.32",IFERROR(N104/$G$6,"")&lt;&gt;0))),"",IFERROR(N104/$N$6,""))</f>
      </c>
      <c r="P104" s="73">
        <f>SUMIFS(
INDEX('ETPT Format DDG'!$A:$FB,,IFERROR(MATCH(E104,'ETPT Format DDG'!$2:$2,0),MATCH(C104,'ETPT Format DDG'!$2:$2,0))),
INDEX( 'ETPT Format DDG'!$A:$ZZ,,MATCH("Fonction agrégat",'ETPT Format DDG'!2:2,0)),"F-PLAC-ADD",
INDEX( 'ETPT Format DDG'!$A:$ZZ,,MATCH("Juridiction",'ETPT Format DDG'!2:2,0)),$A$3)</f>
      </c>
      <c r="Q104" s="73">
        <f>SUMIFS(
INDEX('ETPT Format DDG'!$A:$FB,,IFERROR(MATCH(E104,'ETPT Format DDG'!$2:$2,0),MATCH(C104,'ETPT Format DDG'!$2:$2,0))),
INDEX( 'ETPT Format DDG'!$A:$ZZ,,MATCH("Fonction agrégat",'ETPT Format DDG'!2:2,0)),"F-PLAC-SUB",
INDEX( 'ETPT Format DDG'!$A:$ZZ,,MATCH("Juridiction",'ETPT Format DDG'!2:2,0)),$A$3)</f>
      </c>
      <c r="R104" s="73">
        <f>SUMIFS(
INDEX('ETPT Format DDG'!$A:$FB,,IFERROR(MATCH(E104,'ETPT Format DDG'!$2:$2,0),MATCH(C104,'ETPT Format DDG'!$2:$2,0))),
INDEX( 'ETPT Format DDG'!$A:$ZZ,,MATCH("Fonction agrégat",'ETPT Format DDG'!2:2,0)),"C",
'ETPT Format DDG'!$H:$H,"Greffe",
INDEX( 'ETPT Format DDG'!$A:$ZZ,,MATCH("Juridiction",'ETPT Format DDG'!2:2,0)),$A$3)</f>
      </c>
      <c r="S104" s="71">
        <f>SUMIFS(
INDEX('ETPT Format DDG'!$A:$FB,,IFERROR(MATCH(E104,'ETPT Format DDG'!$2:$2,0),MATCH(C104,'ETPT Format DDG'!$2:$2,0))),
INDEX( 'ETPT Format DDG'!$A:$ZZ,,MATCH("Catégorie",'ETPT Format DDG'!2:2,0)),"Greffe",
INDEX( 'ETPT Format DDG'!$A:$ZZ,,MATCH("Juridiction",'ETPT Format DDG'!2:2,0)),$A$3)</f>
      </c>
      <c r="T104" s="72">
        <f>IF(AND(OR(LEFT(C104,3)="12.",LEFT(E104,3)="12.",LEFT(E104,5)="CET &gt;",IFERROR(S104/$S$6,"")=0),NOT(AND(LEFT(E104,4)="12.8",IFERROR(G104/$G$6,"")&lt;&gt;0)),NOT(AND(LEFT(E104,5)="12.31",IFERROR(S104/$G$6,"")&lt;&gt;0)),NOT(AND(LEFT(E104,5)="12.32",IFERROR(S104/$G$6,"")&lt;&gt;0))),"", IFERROR(S104/$S$6,""))</f>
      </c>
      <c r="U104" s="71">
        <f>SUMIFS(
INDEX('ETPT Format DDG'!$A:$FB,,IFERROR(MATCH(E104,'ETPT Format DDG'!$2:$2,0),MATCH(C104,'ETPT Format DDG'!$2:$2,0))),
INDEX( 'ETPT Format DDG'!$A:$ZZ,,MATCH("Fonction agrégat",'ETPT Format DDG'!2:2,0)),"C",
INDEX( 'ETPT Format DDG'!$A:$ZZ,,MATCH("Juridiction",'ETPT Format DDG'!2:2,0)),$A$3,
INDEX( 'ETPT Format DDG'!$A:$ZZ,,MATCH("Catégorie",'ETPT Format DDG'!2:2,0)),"Autour du magistrat")</f>
      </c>
      <c r="V104" s="74">
        <f>IF(AND(OR(LEFT(C104,3)="12.",LEFT(E104,3)="12.",LEFT(E104,5)="CET &gt;",IFERROR(U104/$U$6,"")=0),NOT(AND(LEFT(E104,4)="12.8",IFERROR(G104/$G$6,"")&lt;&gt;0)),NOT(AND(LEFT(E104,5)="12.31",IFERROR(U104/$G$6,"")&lt;&gt;0)),NOT(AND(LEFT(E104,5)="12.32",IFERROR(U104/$G$6,"")&lt;&gt;0))),"", IFERROR(U104/$U$6,""))</f>
      </c>
    </row>
    <row r="105" ht="16" customHeight="1" spans="1:23" x14ac:dyDescent="0.25">
      <c r="A105" s="40"/>
      <c r="C105" s="68"/>
      <c r="D105" s="68"/>
      <c r="E105" s="69" t="s">
        <v>144</v>
      </c>
      <c r="F105" s="70" t="s">
        <v>144</v>
      </c>
      <c r="G105" s="71">
        <f>SUMIFS(
INDEX('ETPT Format DDG'!$A:$ZZ,,IFERROR(MATCH(E105,'ETPT Format DDG'!$2:$2,0),MATCH(C105,'ETPT Format DDG'!$2:$2,0))),
INDEX( 'ETPT Format DDG'!$A:$ZZ,,MATCH("Fonction agrégat",'ETPT Format DDG'!2:2,0)),"M-TIT",
INDEX( 'ETPT Format DDG'!$A:$ZZ,,MATCH("Juridiction",'ETPT Format DDG'!2:2,0)),$A$3)</f>
      </c>
      <c r="H105" s="72">
        <f>IF(AND(OR(LEFT(C105,3)="12.",LEFT(E105,3)="12.",LEFT(E105,5)="CET &gt;",IFERROR(G105/$G$6,"")=0),NOT(AND(LEFT(E105,4)="12.8",IFERROR(G105/$G$6,"")&lt;&gt;0)),NOT(AND(LEFT(E105,5)="12.31",IFERROR(G105/$G$6,"")&lt;&gt;0)),NOT(AND(LEFT(E105,5)="12.32",IFERROR(G105/$G$6,"")&lt;&gt;0))),"", IFERROR(G105/$G$6,""))</f>
      </c>
      <c r="I105" s="73">
        <f>SUMIFS(
INDEX('ETPT Format DDG'!$A:$ZZ,,IFERROR(MATCH(E105,'ETPT Format DDG'!$2:$2,0),MATCH(C105,'ETPT Format DDG'!$2:$2,0))),
INDEX( 'ETPT Format DDG'!$A:$ZZ,,MATCH("Fonction agrégat",'ETPT Format DDG'!2:2,0)),"M-PLAC-ADD",
INDEX( 'ETPT Format DDG'!$A:$ZZ,,MATCH("Juridiction",'ETPT Format DDG'!2:2,0)),$A$3)</f>
      </c>
      <c r="J105" s="73">
        <f>SUMIFS(
INDEX('ETPT Format DDG'!$A:$ZZ,,IFERROR(MATCH(E105,'ETPT Format DDG'!$2:$2,0),MATCH(C105,'ETPT Format DDG'!$2:$2,0))),
INDEX( 'ETPT Format DDG'!$A:$ZZ,,MATCH("Fonction agrégat",'ETPT Format DDG'!2:2,0)),"M-PLAC-SUB",
INDEX( 'ETPT Format DDG'!$A:$ZZ,,MATCH("Juridiction",'ETPT Format DDG'!2:2,0)),$A$3)</f>
      </c>
      <c r="K105" s="73">
        <f>SUMIFS(
INDEX('ETPT Format DDG'!$A:$ZZ,,IFERROR(MATCH(E105,'ETPT Format DDG'!$2:$2,0),MATCH(C105,'ETPT Format DDG'!$2:$2,0))),
INDEX( 'ETPT Format DDG'!$A:$ZZ,,MATCH("Fonction agrégat",'ETPT Format DDG'!2:2,0)),"M-CONT",
INDEX( 'ETPT Format DDG'!$A:$ZZ,,MATCH("Juridiction",'ETPT Format DDG'!2:2,0)),$A$3,
INDEX( 'ETPT Format DDG'!$A:$ZZ,,MATCH("Catégorie",'ETPT Format DDG'!2:2,0)),"Magistrat")</f>
      </c>
      <c r="L105" s="71">
        <f>SUMIFS(
INDEX('ETPT Format DDG'!$A:$ZZ,,IFERROR(MATCH(E105,'ETPT Format DDG'!$2:$2,0),MATCH(C105,'ETPT Format DDG'!$2:$2,0))),
INDEX( 'ETPT Format DDG'!$A:$ZZ,,MATCH("Juridiction",'ETPT Format DDG'!2:2,0)),$A$3,
INDEX( 'ETPT Format DDG'!$A:$ZZ,,MATCH("Catégorie",'ETPT Format DDG'!2:2,0)),"Magistrat")</f>
      </c>
      <c r="M105" s="74">
        <f>IF(AND(OR(LEFT(C105,3)="12.",LEFT(E105,3)="12.",LEFT(E105,5)="CET &gt;", IFERROR(L105/$L$6,"")=0),NOT(AND(LEFT(E105,4)="12.8",IFERROR(G105/$G$6,"")&lt;&gt;0)),NOT(AND(LEFT(E105,5)="12.31",IFERROR(L105/$G$6,"")&lt;&gt;0)),NOT(AND(LEFT(E105,5)="12.32",IFERROR(L105/$G$6,"")&lt;&gt;0))),"", IFERROR(L105/$L$6,""))</f>
      </c>
      <c r="N105" s="73">
        <f>SUMIFS(
INDEX('ETPT Format DDG'!$A:$ZZ,,IFERROR(MATCH(E105,'ETPT Format DDG'!$2:$2,0),MATCH(C105,'ETPT Format DDG'!$2:$2,0))),
INDEX( 'ETPT Format DDG'!$A:$ZZ,,MATCH("Fonction agrégat",'ETPT Format DDG'!2:2,0)),"F-TIT",
INDEX( 'ETPT Format DDG'!$A:$ZZ,,MATCH("Juridiction",'ETPT Format DDG'!2:2,0)),$A$3)</f>
      </c>
      <c r="O105" s="72">
        <f>IF(AND(OR(LEFT(C105,3)="12.",LEFT(E105,3)="12.",LEFT(E105,5)="CET &gt;",IFERROR(N105/$N$6,"")=0),NOT(AND(LEFT(E105,4)="12.8",IFERROR(G105/$G$6,"")&lt;&gt;0)),NOT(AND(LEFT(E105,5)="12.31",IFERROR(N105/$G$6,"")&lt;&gt;0)),NOT(AND(LEFT(E105,5)="12.32",IFERROR(N105/$G$6,"")&lt;&gt;0))),"",IFERROR(N105/$N$6,""))</f>
      </c>
      <c r="P105" s="73">
        <f>SUMIFS(
INDEX('ETPT Format DDG'!$A:$FB,,IFERROR(MATCH(E105,'ETPT Format DDG'!$2:$2,0),MATCH(C105,'ETPT Format DDG'!$2:$2,0))),
INDEX( 'ETPT Format DDG'!$A:$ZZ,,MATCH("Fonction agrégat",'ETPT Format DDG'!2:2,0)),"F-PLAC-ADD",
INDEX( 'ETPT Format DDG'!$A:$ZZ,,MATCH("Juridiction",'ETPT Format DDG'!2:2,0)),$A$3)</f>
      </c>
      <c r="Q105" s="73">
        <f>SUMIFS(
INDEX('ETPT Format DDG'!$A:$FB,,IFERROR(MATCH(E105,'ETPT Format DDG'!$2:$2,0),MATCH(C105,'ETPT Format DDG'!$2:$2,0))),
INDEX( 'ETPT Format DDG'!$A:$ZZ,,MATCH("Fonction agrégat",'ETPT Format DDG'!2:2,0)),"F-PLAC-SUB",
INDEX( 'ETPT Format DDG'!$A:$ZZ,,MATCH("Juridiction",'ETPT Format DDG'!2:2,0)),$A$3)</f>
      </c>
      <c r="R105" s="73">
        <f>SUMIFS(
INDEX('ETPT Format DDG'!$A:$FB,,IFERROR(MATCH(E105,'ETPT Format DDG'!$2:$2,0),MATCH(C105,'ETPT Format DDG'!$2:$2,0))),
INDEX( 'ETPT Format DDG'!$A:$ZZ,,MATCH("Fonction agrégat",'ETPT Format DDG'!2:2,0)),"C",
'ETPT Format DDG'!$H:$H,"Greffe",
INDEX( 'ETPT Format DDG'!$A:$ZZ,,MATCH("Juridiction",'ETPT Format DDG'!2:2,0)),$A$3)</f>
      </c>
      <c r="S105" s="71">
        <f>SUMIFS(
INDEX('ETPT Format DDG'!$A:$FB,,IFERROR(MATCH(E105,'ETPT Format DDG'!$2:$2,0),MATCH(C105,'ETPT Format DDG'!$2:$2,0))),
INDEX( 'ETPT Format DDG'!$A:$ZZ,,MATCH("Catégorie",'ETPT Format DDG'!2:2,0)),"Greffe",
INDEX( 'ETPT Format DDG'!$A:$ZZ,,MATCH("Juridiction",'ETPT Format DDG'!2:2,0)),$A$3)</f>
      </c>
      <c r="T105" s="72">
        <f>IF(AND(OR(LEFT(C105,3)="12.",LEFT(E105,3)="12.",LEFT(E105,5)="CET &gt;",IFERROR(S105/$S$6,"")=0),NOT(AND(LEFT(E105,4)="12.8",IFERROR(G105/$G$6,"")&lt;&gt;0)),NOT(AND(LEFT(E105,5)="12.31",IFERROR(S105/$G$6,"")&lt;&gt;0)),NOT(AND(LEFT(E105,5)="12.32",IFERROR(S105/$G$6,"")&lt;&gt;0))),"", IFERROR(S105/$S$6,""))</f>
      </c>
      <c r="U105" s="71">
        <f>SUMIFS(
INDEX('ETPT Format DDG'!$A:$FB,,IFERROR(MATCH(E105,'ETPT Format DDG'!$2:$2,0),MATCH(C105,'ETPT Format DDG'!$2:$2,0))),
INDEX( 'ETPT Format DDG'!$A:$ZZ,,MATCH("Fonction agrégat",'ETPT Format DDG'!2:2,0)),"C",
INDEX( 'ETPT Format DDG'!$A:$ZZ,,MATCH("Juridiction",'ETPT Format DDG'!2:2,0)),$A$3,
INDEX( 'ETPT Format DDG'!$A:$ZZ,,MATCH("Catégorie",'ETPT Format DDG'!2:2,0)),"Autour du magistrat")</f>
      </c>
      <c r="V105" s="74">
        <f>IF(AND(OR(LEFT(C105,3)="12.",LEFT(E105,3)="12.",LEFT(E105,5)="CET &gt;",IFERROR(U105/$U$6,"")=0),NOT(AND(LEFT(E105,4)="12.8",IFERROR(G105/$G$6,"")&lt;&gt;0)),NOT(AND(LEFT(E105,5)="12.31",IFERROR(U105/$G$6,"")&lt;&gt;0)),NOT(AND(LEFT(E105,5)="12.32",IFERROR(U105/$G$6,"")&lt;&gt;0))),"", IFERROR(U105/$U$6,""))</f>
      </c>
    </row>
    <row r="106" ht="16" customHeight="1" spans="1:23" x14ac:dyDescent="0.25">
      <c r="A106" s="40"/>
      <c r="C106" s="68"/>
      <c r="D106" s="68"/>
      <c r="E106" s="69" t="s">
        <v>145</v>
      </c>
      <c r="F106" s="70" t="s">
        <v>145</v>
      </c>
      <c r="G106" s="71">
        <f>SUMIFS(
INDEX('ETPT Format DDG'!$A:$ZZ,,IFERROR(MATCH(E106,'ETPT Format DDG'!$2:$2,0),MATCH(C106,'ETPT Format DDG'!$2:$2,0))),
INDEX( 'ETPT Format DDG'!$A:$ZZ,,MATCH("Fonction agrégat",'ETPT Format DDG'!2:2,0)),"M-TIT",
INDEX( 'ETPT Format DDG'!$A:$ZZ,,MATCH("Juridiction",'ETPT Format DDG'!2:2,0)),$A$3)</f>
      </c>
      <c r="H106" s="72">
        <f>IF(AND(OR(LEFT(C106,3)="12.",LEFT(E106,3)="12.",LEFT(E106,5)="CET &gt;",IFERROR(G106/$G$6,"")=0),NOT(AND(LEFT(E106,4)="12.8",IFERROR(G106/$G$6,"")&lt;&gt;0)),NOT(AND(LEFT(E106,5)="12.31",IFERROR(G106/$G$6,"")&lt;&gt;0)),NOT(AND(LEFT(E106,5)="12.32",IFERROR(G106/$G$6,"")&lt;&gt;0))),"", IFERROR(G106/$G$6,""))</f>
      </c>
      <c r="I106" s="73">
        <f>SUMIFS(
INDEX('ETPT Format DDG'!$A:$ZZ,,IFERROR(MATCH(E106,'ETPT Format DDG'!$2:$2,0),MATCH(C106,'ETPT Format DDG'!$2:$2,0))),
INDEX( 'ETPT Format DDG'!$A:$ZZ,,MATCH("Fonction agrégat",'ETPT Format DDG'!2:2,0)),"M-PLAC-ADD",
INDEX( 'ETPT Format DDG'!$A:$ZZ,,MATCH("Juridiction",'ETPT Format DDG'!2:2,0)),$A$3)</f>
      </c>
      <c r="J106" s="73">
        <f>SUMIFS(
INDEX('ETPT Format DDG'!$A:$ZZ,,IFERROR(MATCH(E106,'ETPT Format DDG'!$2:$2,0),MATCH(C106,'ETPT Format DDG'!$2:$2,0))),
INDEX( 'ETPT Format DDG'!$A:$ZZ,,MATCH("Fonction agrégat",'ETPT Format DDG'!2:2,0)),"M-PLAC-SUB",
INDEX( 'ETPT Format DDG'!$A:$ZZ,,MATCH("Juridiction",'ETPT Format DDG'!2:2,0)),$A$3)</f>
      </c>
      <c r="K106" s="73">
        <f>SUMIFS(
INDEX('ETPT Format DDG'!$A:$ZZ,,IFERROR(MATCH(E106,'ETPT Format DDG'!$2:$2,0),MATCH(C106,'ETPT Format DDG'!$2:$2,0))),
INDEX( 'ETPT Format DDG'!$A:$ZZ,,MATCH("Fonction agrégat",'ETPT Format DDG'!2:2,0)),"M-CONT",
INDEX( 'ETPT Format DDG'!$A:$ZZ,,MATCH("Juridiction",'ETPT Format DDG'!2:2,0)),$A$3,
INDEX( 'ETPT Format DDG'!$A:$ZZ,,MATCH("Catégorie",'ETPT Format DDG'!2:2,0)),"Magistrat")</f>
      </c>
      <c r="L106" s="71">
        <f>SUMIFS(
INDEX('ETPT Format DDG'!$A:$ZZ,,IFERROR(MATCH(E106,'ETPT Format DDG'!$2:$2,0),MATCH(C106,'ETPT Format DDG'!$2:$2,0))),
INDEX( 'ETPT Format DDG'!$A:$ZZ,,MATCH("Juridiction",'ETPT Format DDG'!2:2,0)),$A$3,
INDEX( 'ETPT Format DDG'!$A:$ZZ,,MATCH("Catégorie",'ETPT Format DDG'!2:2,0)),"Magistrat")</f>
      </c>
      <c r="M106" s="74">
        <f>IF(AND(OR(LEFT(C106,3)="12.",LEFT(E106,3)="12.",LEFT(E106,5)="CET &gt;", IFERROR(L106/$L$6,"")=0),NOT(AND(LEFT(E106,4)="12.8",IFERROR(G106/$G$6,"")&lt;&gt;0)),NOT(AND(LEFT(E106,5)="12.31",IFERROR(L106/$G$6,"")&lt;&gt;0)),NOT(AND(LEFT(E106,5)="12.32",IFERROR(L106/$G$6,"")&lt;&gt;0))),"", IFERROR(L106/$L$6,""))</f>
      </c>
      <c r="N106" s="73">
        <f>SUMIFS(
INDEX('ETPT Format DDG'!$A:$ZZ,,IFERROR(MATCH(E106,'ETPT Format DDG'!$2:$2,0),MATCH(C106,'ETPT Format DDG'!$2:$2,0))),
INDEX( 'ETPT Format DDG'!$A:$ZZ,,MATCH("Fonction agrégat",'ETPT Format DDG'!2:2,0)),"F-TIT",
INDEX( 'ETPT Format DDG'!$A:$ZZ,,MATCH("Juridiction",'ETPT Format DDG'!2:2,0)),$A$3)</f>
      </c>
      <c r="O106" s="72">
        <f>IF(AND(OR(LEFT(C106,3)="12.",LEFT(E106,3)="12.",LEFT(E106,5)="CET &gt;",IFERROR(N106/$N$6,"")=0),NOT(AND(LEFT(E106,4)="12.8",IFERROR(G106/$G$6,"")&lt;&gt;0)),NOT(AND(LEFT(E106,5)="12.31",IFERROR(N106/$G$6,"")&lt;&gt;0)),NOT(AND(LEFT(E106,5)="12.32",IFERROR(N106/$G$6,"")&lt;&gt;0))),"",IFERROR(N106/$N$6,""))</f>
      </c>
      <c r="P106" s="73">
        <f>SUMIFS(
INDEX('ETPT Format DDG'!$A:$FB,,IFERROR(MATCH(E106,'ETPT Format DDG'!$2:$2,0),MATCH(C106,'ETPT Format DDG'!$2:$2,0))),
INDEX( 'ETPT Format DDG'!$A:$ZZ,,MATCH("Fonction agrégat",'ETPT Format DDG'!2:2,0)),"F-PLAC-ADD",
INDEX( 'ETPT Format DDG'!$A:$ZZ,,MATCH("Juridiction",'ETPT Format DDG'!2:2,0)),$A$3)</f>
      </c>
      <c r="Q106" s="73">
        <f>SUMIFS(
INDEX('ETPT Format DDG'!$A:$FB,,IFERROR(MATCH(E106,'ETPT Format DDG'!$2:$2,0),MATCH(C106,'ETPT Format DDG'!$2:$2,0))),
INDEX( 'ETPT Format DDG'!$A:$ZZ,,MATCH("Fonction agrégat",'ETPT Format DDG'!2:2,0)),"F-PLAC-SUB",
INDEX( 'ETPT Format DDG'!$A:$ZZ,,MATCH("Juridiction",'ETPT Format DDG'!2:2,0)),$A$3)</f>
      </c>
      <c r="R106" s="73">
        <f>SUMIFS(
INDEX('ETPT Format DDG'!$A:$FB,,IFERROR(MATCH(E106,'ETPT Format DDG'!$2:$2,0),MATCH(C106,'ETPT Format DDG'!$2:$2,0))),
INDEX( 'ETPT Format DDG'!$A:$ZZ,,MATCH("Fonction agrégat",'ETPT Format DDG'!2:2,0)),"C",
'ETPT Format DDG'!$H:$H,"Greffe",
INDEX( 'ETPT Format DDG'!$A:$ZZ,,MATCH("Juridiction",'ETPT Format DDG'!2:2,0)),$A$3)</f>
      </c>
      <c r="S106" s="71">
        <f>SUMIFS(
INDEX('ETPT Format DDG'!$A:$FB,,IFERROR(MATCH(E106,'ETPT Format DDG'!$2:$2,0),MATCH(C106,'ETPT Format DDG'!$2:$2,0))),
INDEX( 'ETPT Format DDG'!$A:$ZZ,,MATCH("Catégorie",'ETPT Format DDG'!2:2,0)),"Greffe",
INDEX( 'ETPT Format DDG'!$A:$ZZ,,MATCH("Juridiction",'ETPT Format DDG'!2:2,0)),$A$3)</f>
      </c>
      <c r="T106" s="72">
        <f>IF(AND(OR(LEFT(C106,3)="12.",LEFT(E106,3)="12.",LEFT(E106,5)="CET &gt;",IFERROR(S106/$S$6,"")=0),NOT(AND(LEFT(E106,4)="12.8",IFERROR(G106/$G$6,"")&lt;&gt;0)),NOT(AND(LEFT(E106,5)="12.31",IFERROR(S106/$G$6,"")&lt;&gt;0)),NOT(AND(LEFT(E106,5)="12.32",IFERROR(S106/$G$6,"")&lt;&gt;0))),"", IFERROR(S106/$S$6,""))</f>
      </c>
      <c r="U106" s="71">
        <f>SUMIFS(
INDEX('ETPT Format DDG'!$A:$FB,,IFERROR(MATCH(E106,'ETPT Format DDG'!$2:$2,0),MATCH(C106,'ETPT Format DDG'!$2:$2,0))),
INDEX( 'ETPT Format DDG'!$A:$ZZ,,MATCH("Fonction agrégat",'ETPT Format DDG'!2:2,0)),"C",
INDEX( 'ETPT Format DDG'!$A:$ZZ,,MATCH("Juridiction",'ETPT Format DDG'!2:2,0)),$A$3,
INDEX( 'ETPT Format DDG'!$A:$ZZ,,MATCH("Catégorie",'ETPT Format DDG'!2:2,0)),"Autour du magistrat")</f>
      </c>
      <c r="V106" s="74">
        <f>IF(AND(OR(LEFT(C106,3)="12.",LEFT(E106,3)="12.",LEFT(E106,5)="CET &gt;",IFERROR(U106/$U$6,"")=0),NOT(AND(LEFT(E106,4)="12.8",IFERROR(G106/$G$6,"")&lt;&gt;0)),NOT(AND(LEFT(E106,5)="12.31",IFERROR(U106/$G$6,"")&lt;&gt;0)),NOT(AND(LEFT(E106,5)="12.32",IFERROR(U106/$G$6,"")&lt;&gt;0))),"", IFERROR(U106/$U$6,""))</f>
      </c>
    </row>
    <row r="107" ht="16" customHeight="1" spans="1:23" x14ac:dyDescent="0.25">
      <c r="A107" s="40"/>
      <c r="C107" s="68"/>
      <c r="D107" s="68"/>
      <c r="E107" s="69" t="s">
        <v>146</v>
      </c>
      <c r="F107" s="70" t="s">
        <v>146</v>
      </c>
      <c r="G107" s="71">
        <f>SUMIFS(
INDEX('ETPT Format DDG'!$A:$ZZ,,IFERROR(MATCH(E107,'ETPT Format DDG'!$2:$2,0),MATCH(C107,'ETPT Format DDG'!$2:$2,0))),
INDEX( 'ETPT Format DDG'!$A:$ZZ,,MATCH("Fonction agrégat",'ETPT Format DDG'!2:2,0)),"M-TIT",
INDEX( 'ETPT Format DDG'!$A:$ZZ,,MATCH("Juridiction",'ETPT Format DDG'!2:2,0)),$A$3)</f>
      </c>
      <c r="H107" s="72">
        <f>IF(AND(OR(LEFT(C107,3)="12.",LEFT(E107,3)="12.",LEFT(E107,5)="CET &gt;",IFERROR(G107/$G$6,"")=0),NOT(AND(LEFT(E107,4)="12.8",IFERROR(G107/$G$6,"")&lt;&gt;0)),NOT(AND(LEFT(E107,5)="12.31",IFERROR(G107/$G$6,"")&lt;&gt;0)),NOT(AND(LEFT(E107,5)="12.32",IFERROR(G107/$G$6,"")&lt;&gt;0))),"", IFERROR(G107/$G$6,""))</f>
      </c>
      <c r="I107" s="73">
        <f>SUMIFS(
INDEX('ETPT Format DDG'!$A:$ZZ,,IFERROR(MATCH(E107,'ETPT Format DDG'!$2:$2,0),MATCH(C107,'ETPT Format DDG'!$2:$2,0))),
INDEX( 'ETPT Format DDG'!$A:$ZZ,,MATCH("Fonction agrégat",'ETPT Format DDG'!2:2,0)),"M-PLAC-ADD",
INDEX( 'ETPT Format DDG'!$A:$ZZ,,MATCH("Juridiction",'ETPT Format DDG'!2:2,0)),$A$3)</f>
      </c>
      <c r="J107" s="73">
        <f>SUMIFS(
INDEX('ETPT Format DDG'!$A:$ZZ,,IFERROR(MATCH(E107,'ETPT Format DDG'!$2:$2,0),MATCH(C107,'ETPT Format DDG'!$2:$2,0))),
INDEX( 'ETPT Format DDG'!$A:$ZZ,,MATCH("Fonction agrégat",'ETPT Format DDG'!2:2,0)),"M-PLAC-SUB",
INDEX( 'ETPT Format DDG'!$A:$ZZ,,MATCH("Juridiction",'ETPT Format DDG'!2:2,0)),$A$3)</f>
      </c>
      <c r="K107" s="73">
        <f>SUMIFS(
INDEX('ETPT Format DDG'!$A:$ZZ,,IFERROR(MATCH(E107,'ETPT Format DDG'!$2:$2,0),MATCH(C107,'ETPT Format DDG'!$2:$2,0))),
INDEX( 'ETPT Format DDG'!$A:$ZZ,,MATCH("Fonction agrégat",'ETPT Format DDG'!2:2,0)),"M-CONT",
INDEX( 'ETPT Format DDG'!$A:$ZZ,,MATCH("Juridiction",'ETPT Format DDG'!2:2,0)),$A$3,
INDEX( 'ETPT Format DDG'!$A:$ZZ,,MATCH("Catégorie",'ETPT Format DDG'!2:2,0)),"Magistrat")</f>
      </c>
      <c r="L107" s="71">
        <f>SUMIFS(
INDEX('ETPT Format DDG'!$A:$ZZ,,IFERROR(MATCH(E107,'ETPT Format DDG'!$2:$2,0),MATCH(C107,'ETPT Format DDG'!$2:$2,0))),
INDEX( 'ETPT Format DDG'!$A:$ZZ,,MATCH("Juridiction",'ETPT Format DDG'!2:2,0)),$A$3,
INDEX( 'ETPT Format DDG'!$A:$ZZ,,MATCH("Catégorie",'ETPT Format DDG'!2:2,0)),"Magistrat")</f>
      </c>
      <c r="M107" s="74">
        <f>IF(AND(OR(LEFT(C107,3)="12.",LEFT(E107,3)="12.",LEFT(E107,5)="CET &gt;", IFERROR(L107/$L$6,"")=0),NOT(AND(LEFT(E107,4)="12.8",IFERROR(G107/$G$6,"")&lt;&gt;0)),NOT(AND(LEFT(E107,5)="12.31",IFERROR(L107/$G$6,"")&lt;&gt;0)),NOT(AND(LEFT(E107,5)="12.32",IFERROR(L107/$G$6,"")&lt;&gt;0))),"", IFERROR(L107/$L$6,""))</f>
      </c>
      <c r="N107" s="73">
        <f>SUMIFS(
INDEX('ETPT Format DDG'!$A:$ZZ,,IFERROR(MATCH(E107,'ETPT Format DDG'!$2:$2,0),MATCH(C107,'ETPT Format DDG'!$2:$2,0))),
INDEX( 'ETPT Format DDG'!$A:$ZZ,,MATCH("Fonction agrégat",'ETPT Format DDG'!2:2,0)),"F-TIT",
INDEX( 'ETPT Format DDG'!$A:$ZZ,,MATCH("Juridiction",'ETPT Format DDG'!2:2,0)),$A$3)</f>
      </c>
      <c r="O107" s="72">
        <f>IF(AND(OR(LEFT(C107,3)="12.",LEFT(E107,3)="12.",LEFT(E107,5)="CET &gt;",IFERROR(N107/$N$6,"")=0),NOT(AND(LEFT(E107,4)="12.8",IFERROR(G107/$G$6,"")&lt;&gt;0)),NOT(AND(LEFT(E107,5)="12.31",IFERROR(N107/$G$6,"")&lt;&gt;0)),NOT(AND(LEFT(E107,5)="12.32",IFERROR(N107/$G$6,"")&lt;&gt;0))),"",IFERROR(N107/$N$6,""))</f>
      </c>
      <c r="P107" s="73">
        <f>SUMIFS(
INDEX('ETPT Format DDG'!$A:$FB,,IFERROR(MATCH(E107,'ETPT Format DDG'!$2:$2,0),MATCH(C107,'ETPT Format DDG'!$2:$2,0))),
INDEX( 'ETPT Format DDG'!$A:$ZZ,,MATCH("Fonction agrégat",'ETPT Format DDG'!2:2,0)),"F-PLAC-ADD",
INDEX( 'ETPT Format DDG'!$A:$ZZ,,MATCH("Juridiction",'ETPT Format DDG'!2:2,0)),$A$3)</f>
      </c>
      <c r="Q107" s="73">
        <f>SUMIFS(
INDEX('ETPT Format DDG'!$A:$FB,,IFERROR(MATCH(E107,'ETPT Format DDG'!$2:$2,0),MATCH(C107,'ETPT Format DDG'!$2:$2,0))),
INDEX( 'ETPT Format DDG'!$A:$ZZ,,MATCH("Fonction agrégat",'ETPT Format DDG'!2:2,0)),"F-PLAC-SUB",
INDEX( 'ETPT Format DDG'!$A:$ZZ,,MATCH("Juridiction",'ETPT Format DDG'!2:2,0)),$A$3)</f>
      </c>
      <c r="R107" s="73">
        <f>SUMIFS(
INDEX('ETPT Format DDG'!$A:$FB,,IFERROR(MATCH(E107,'ETPT Format DDG'!$2:$2,0),MATCH(C107,'ETPT Format DDG'!$2:$2,0))),
INDEX( 'ETPT Format DDG'!$A:$ZZ,,MATCH("Fonction agrégat",'ETPT Format DDG'!2:2,0)),"C",
'ETPT Format DDG'!$H:$H,"Greffe",
INDEX( 'ETPT Format DDG'!$A:$ZZ,,MATCH("Juridiction",'ETPT Format DDG'!2:2,0)),$A$3)</f>
      </c>
      <c r="S107" s="71">
        <f>SUMIFS(
INDEX('ETPT Format DDG'!$A:$FB,,IFERROR(MATCH(E107,'ETPT Format DDG'!$2:$2,0),MATCH(C107,'ETPT Format DDG'!$2:$2,0))),
INDEX( 'ETPT Format DDG'!$A:$ZZ,,MATCH("Catégorie",'ETPT Format DDG'!2:2,0)),"Greffe",
INDEX( 'ETPT Format DDG'!$A:$ZZ,,MATCH("Juridiction",'ETPT Format DDG'!2:2,0)),$A$3)</f>
      </c>
      <c r="T107" s="72">
        <f>IF(AND(OR(LEFT(C107,3)="12.",LEFT(E107,3)="12.",LEFT(E107,5)="CET &gt;",IFERROR(S107/$S$6,"")=0),NOT(AND(LEFT(E107,4)="12.8",IFERROR(G107/$G$6,"")&lt;&gt;0)),NOT(AND(LEFT(E107,5)="12.31",IFERROR(S107/$G$6,"")&lt;&gt;0)),NOT(AND(LEFT(E107,5)="12.32",IFERROR(S107/$G$6,"")&lt;&gt;0))),"", IFERROR(S107/$S$6,""))</f>
      </c>
      <c r="U107" s="71">
        <f>SUMIFS(
INDEX('ETPT Format DDG'!$A:$FB,,IFERROR(MATCH(E107,'ETPT Format DDG'!$2:$2,0),MATCH(C107,'ETPT Format DDG'!$2:$2,0))),
INDEX( 'ETPT Format DDG'!$A:$ZZ,,MATCH("Fonction agrégat",'ETPT Format DDG'!2:2,0)),"C",
INDEX( 'ETPT Format DDG'!$A:$ZZ,,MATCH("Juridiction",'ETPT Format DDG'!2:2,0)),$A$3,
INDEX( 'ETPT Format DDG'!$A:$ZZ,,MATCH("Catégorie",'ETPT Format DDG'!2:2,0)),"Autour du magistrat")</f>
      </c>
      <c r="V107" s="74">
        <f>IF(AND(OR(LEFT(C107,3)="12.",LEFT(E107,3)="12.",LEFT(E107,5)="CET &gt;",IFERROR(U107/$U$6,"")=0),NOT(AND(LEFT(E107,4)="12.8",IFERROR(G107/$G$6,"")&lt;&gt;0)),NOT(AND(LEFT(E107,5)="12.31",IFERROR(U107/$G$6,"")&lt;&gt;0)),NOT(AND(LEFT(E107,5)="12.32",IFERROR(U107/$G$6,"")&lt;&gt;0))),"", IFERROR(U107/$U$6,""))</f>
      </c>
    </row>
    <row r="108" ht="16" customHeight="1" spans="1:23" x14ac:dyDescent="0.25">
      <c r="A108" s="40"/>
      <c r="C108" s="68"/>
      <c r="D108" s="68"/>
      <c r="E108" s="69" t="s">
        <v>147</v>
      </c>
      <c r="F108" s="70" t="s">
        <v>147</v>
      </c>
      <c r="G108" s="71">
        <f>SUMIFS(
INDEX('ETPT Format DDG'!$A:$ZZ,,IFERROR(MATCH(E108,'ETPT Format DDG'!$2:$2,0),MATCH(C108,'ETPT Format DDG'!$2:$2,0))),
INDEX( 'ETPT Format DDG'!$A:$ZZ,,MATCH("Fonction agrégat",'ETPT Format DDG'!2:2,0)),"M-TIT",
INDEX( 'ETPT Format DDG'!$A:$ZZ,,MATCH("Juridiction",'ETPT Format DDG'!2:2,0)),$A$3)</f>
      </c>
      <c r="H108" s="72">
        <f>IF(AND(OR(LEFT(C108,3)="12.",LEFT(E108,3)="12.",LEFT(E108,5)="CET &gt;",IFERROR(G108/$G$6,"")=0),NOT(AND(LEFT(E108,4)="12.8",IFERROR(G108/$G$6,"")&lt;&gt;0)),NOT(AND(LEFT(E108,5)="12.31",IFERROR(G108/$G$6,"")&lt;&gt;0)),NOT(AND(LEFT(E108,5)="12.32",IFERROR(G108/$G$6,"")&lt;&gt;0))),"", IFERROR(G108/$G$6,""))</f>
      </c>
      <c r="I108" s="73">
        <f>SUMIFS(
INDEX('ETPT Format DDG'!$A:$ZZ,,IFERROR(MATCH(E108,'ETPT Format DDG'!$2:$2,0),MATCH(C108,'ETPT Format DDG'!$2:$2,0))),
INDEX( 'ETPT Format DDG'!$A:$ZZ,,MATCH("Fonction agrégat",'ETPT Format DDG'!2:2,0)),"M-PLAC-ADD",
INDEX( 'ETPT Format DDG'!$A:$ZZ,,MATCH("Juridiction",'ETPT Format DDG'!2:2,0)),$A$3)</f>
      </c>
      <c r="J108" s="73">
        <f>SUMIFS(
INDEX('ETPT Format DDG'!$A:$ZZ,,IFERROR(MATCH(E108,'ETPT Format DDG'!$2:$2,0),MATCH(C108,'ETPT Format DDG'!$2:$2,0))),
INDEX( 'ETPT Format DDG'!$A:$ZZ,,MATCH("Fonction agrégat",'ETPT Format DDG'!2:2,0)),"M-PLAC-SUB",
INDEX( 'ETPT Format DDG'!$A:$ZZ,,MATCH("Juridiction",'ETPT Format DDG'!2:2,0)),$A$3)</f>
      </c>
      <c r="K108" s="73">
        <f>SUMIFS(
INDEX('ETPT Format DDG'!$A:$ZZ,,IFERROR(MATCH(E108,'ETPT Format DDG'!$2:$2,0),MATCH(C108,'ETPT Format DDG'!$2:$2,0))),
INDEX( 'ETPT Format DDG'!$A:$ZZ,,MATCH("Fonction agrégat",'ETPT Format DDG'!2:2,0)),"M-CONT",
INDEX( 'ETPT Format DDG'!$A:$ZZ,,MATCH("Juridiction",'ETPT Format DDG'!2:2,0)),$A$3,
INDEX( 'ETPT Format DDG'!$A:$ZZ,,MATCH("Catégorie",'ETPT Format DDG'!2:2,0)),"Magistrat")</f>
      </c>
      <c r="L108" s="71">
        <f>SUMIFS(
INDEX('ETPT Format DDG'!$A:$ZZ,,IFERROR(MATCH(E108,'ETPT Format DDG'!$2:$2,0),MATCH(C108,'ETPT Format DDG'!$2:$2,0))),
INDEX( 'ETPT Format DDG'!$A:$ZZ,,MATCH("Juridiction",'ETPT Format DDG'!2:2,0)),$A$3,
INDEX( 'ETPT Format DDG'!$A:$ZZ,,MATCH("Catégorie",'ETPT Format DDG'!2:2,0)),"Magistrat")</f>
      </c>
      <c r="M108" s="74">
        <f>IF(AND(OR(LEFT(C108,3)="12.",LEFT(E108,3)="12.",LEFT(E108,5)="CET &gt;", IFERROR(L108/$L$6,"")=0),NOT(AND(LEFT(E108,4)="12.8",IFERROR(G108/$G$6,"")&lt;&gt;0)),NOT(AND(LEFT(E108,5)="12.31",IFERROR(L108/$G$6,"")&lt;&gt;0)),NOT(AND(LEFT(E108,5)="12.32",IFERROR(L108/$G$6,"")&lt;&gt;0))),"", IFERROR(L108/$L$6,""))</f>
      </c>
      <c r="N108" s="73">
        <f>SUMIFS(
INDEX('ETPT Format DDG'!$A:$ZZ,,IFERROR(MATCH(E108,'ETPT Format DDG'!$2:$2,0),MATCH(C108,'ETPT Format DDG'!$2:$2,0))),
INDEX( 'ETPT Format DDG'!$A:$ZZ,,MATCH("Fonction agrégat",'ETPT Format DDG'!2:2,0)),"F-TIT",
INDEX( 'ETPT Format DDG'!$A:$ZZ,,MATCH("Juridiction",'ETPT Format DDG'!2:2,0)),$A$3)</f>
      </c>
      <c r="O108" s="72">
        <f>IF(AND(OR(LEFT(C108,3)="12.",LEFT(E108,3)="12.",LEFT(E108,5)="CET &gt;",IFERROR(N108/$N$6,"")=0),NOT(AND(LEFT(E108,4)="12.8",IFERROR(G108/$G$6,"")&lt;&gt;0)),NOT(AND(LEFT(E108,5)="12.31",IFERROR(N108/$G$6,"")&lt;&gt;0)),NOT(AND(LEFT(E108,5)="12.32",IFERROR(N108/$G$6,"")&lt;&gt;0))),"",IFERROR(N108/$N$6,""))</f>
      </c>
      <c r="P108" s="73">
        <f>SUMIFS(
INDEX('ETPT Format DDG'!$A:$FB,,IFERROR(MATCH(E108,'ETPT Format DDG'!$2:$2,0),MATCH(C108,'ETPT Format DDG'!$2:$2,0))),
INDEX( 'ETPT Format DDG'!$A:$ZZ,,MATCH("Fonction agrégat",'ETPT Format DDG'!2:2,0)),"F-PLAC-ADD",
INDEX( 'ETPT Format DDG'!$A:$ZZ,,MATCH("Juridiction",'ETPT Format DDG'!2:2,0)),$A$3)</f>
      </c>
      <c r="Q108" s="73">
        <f>SUMIFS(
INDEX('ETPT Format DDG'!$A:$FB,,IFERROR(MATCH(E108,'ETPT Format DDG'!$2:$2,0),MATCH(C108,'ETPT Format DDG'!$2:$2,0))),
INDEX( 'ETPT Format DDG'!$A:$ZZ,,MATCH("Fonction agrégat",'ETPT Format DDG'!2:2,0)),"F-PLAC-SUB",
INDEX( 'ETPT Format DDG'!$A:$ZZ,,MATCH("Juridiction",'ETPT Format DDG'!2:2,0)),$A$3)</f>
      </c>
      <c r="R108" s="73">
        <f>SUMIFS(
INDEX('ETPT Format DDG'!$A:$FB,,IFERROR(MATCH(E108,'ETPT Format DDG'!$2:$2,0),MATCH(C108,'ETPT Format DDG'!$2:$2,0))),
INDEX( 'ETPT Format DDG'!$A:$ZZ,,MATCH("Fonction agrégat",'ETPT Format DDG'!2:2,0)),"C",
'ETPT Format DDG'!$H:$H,"Greffe",
INDEX( 'ETPT Format DDG'!$A:$ZZ,,MATCH("Juridiction",'ETPT Format DDG'!2:2,0)),$A$3)</f>
      </c>
      <c r="S108" s="71">
        <f>SUMIFS(
INDEX('ETPT Format DDG'!$A:$FB,,IFERROR(MATCH(E108,'ETPT Format DDG'!$2:$2,0),MATCH(C108,'ETPT Format DDG'!$2:$2,0))),
INDEX( 'ETPT Format DDG'!$A:$ZZ,,MATCH("Catégorie",'ETPT Format DDG'!2:2,0)),"Greffe",
INDEX( 'ETPT Format DDG'!$A:$ZZ,,MATCH("Juridiction",'ETPT Format DDG'!2:2,0)),$A$3)</f>
      </c>
      <c r="T108" s="72">
        <f>IF(AND(OR(LEFT(C108,3)="12.",LEFT(E108,3)="12.",LEFT(E108,5)="CET &gt;",IFERROR(S108/$S$6,"")=0),NOT(AND(LEFT(E108,4)="12.8",IFERROR(G108/$G$6,"")&lt;&gt;0)),NOT(AND(LEFT(E108,5)="12.31",IFERROR(S108/$G$6,"")&lt;&gt;0)),NOT(AND(LEFT(E108,5)="12.32",IFERROR(S108/$G$6,"")&lt;&gt;0))),"", IFERROR(S108/$S$6,""))</f>
      </c>
      <c r="U108" s="71">
        <f>SUMIFS(
INDEX('ETPT Format DDG'!$A:$FB,,IFERROR(MATCH(E108,'ETPT Format DDG'!$2:$2,0),MATCH(C108,'ETPT Format DDG'!$2:$2,0))),
INDEX( 'ETPT Format DDG'!$A:$ZZ,,MATCH("Fonction agrégat",'ETPT Format DDG'!2:2,0)),"C",
INDEX( 'ETPT Format DDG'!$A:$ZZ,,MATCH("Juridiction",'ETPT Format DDG'!2:2,0)),$A$3,
INDEX( 'ETPT Format DDG'!$A:$ZZ,,MATCH("Catégorie",'ETPT Format DDG'!2:2,0)),"Autour du magistrat")</f>
      </c>
      <c r="V108" s="74">
        <f>IF(AND(OR(LEFT(C108,3)="12.",LEFT(E108,3)="12.",LEFT(E108,5)="CET &gt;",IFERROR(U108/$U$6,"")=0),NOT(AND(LEFT(E108,4)="12.8",IFERROR(G108/$G$6,"")&lt;&gt;0)),NOT(AND(LEFT(E108,5)="12.31",IFERROR(U108/$G$6,"")&lt;&gt;0)),NOT(AND(LEFT(E108,5)="12.32",IFERROR(U108/$G$6,"")&lt;&gt;0))),"", IFERROR(U108/$U$6,""))</f>
      </c>
    </row>
    <row r="109" ht="16" customHeight="1" spans="1:23" x14ac:dyDescent="0.25">
      <c r="A109" s="40"/>
      <c r="C109" s="68"/>
      <c r="D109" s="68"/>
      <c r="E109" s="69" t="s">
        <v>148</v>
      </c>
      <c r="F109" s="70" t="s">
        <v>148</v>
      </c>
      <c r="G109" s="71">
        <f>SUMIFS(
INDEX('ETPT Format DDG'!$A:$ZZ,,IFERROR(MATCH(E109,'ETPT Format DDG'!$2:$2,0),MATCH(C109,'ETPT Format DDG'!$2:$2,0))),
INDEX( 'ETPT Format DDG'!$A:$ZZ,,MATCH("Fonction agrégat",'ETPT Format DDG'!2:2,0)),"M-TIT",
INDEX( 'ETPT Format DDG'!$A:$ZZ,,MATCH("Juridiction",'ETPT Format DDG'!2:2,0)),$A$3)</f>
      </c>
      <c r="H109" s="72">
        <f>IF(AND(OR(LEFT(C109,3)="12.",LEFT(E109,3)="12.",LEFT(E109,5)="CET &gt;",IFERROR(G109/$G$6,"")=0),NOT(AND(LEFT(E109,4)="12.8",IFERROR(G109/$G$6,"")&lt;&gt;0)),NOT(AND(LEFT(E109,5)="12.31",IFERROR(G109/$G$6,"")&lt;&gt;0)),NOT(AND(LEFT(E109,5)="12.32",IFERROR(G109/$G$6,"")&lt;&gt;0))),"", IFERROR(G109/$G$6,""))</f>
      </c>
      <c r="I109" s="73">
        <f>SUMIFS(
INDEX('ETPT Format DDG'!$A:$ZZ,,IFERROR(MATCH(E109,'ETPT Format DDG'!$2:$2,0),MATCH(C109,'ETPT Format DDG'!$2:$2,0))),
INDEX( 'ETPT Format DDG'!$A:$ZZ,,MATCH("Fonction agrégat",'ETPT Format DDG'!2:2,0)),"M-PLAC-ADD",
INDEX( 'ETPT Format DDG'!$A:$ZZ,,MATCH("Juridiction",'ETPT Format DDG'!2:2,0)),$A$3)</f>
      </c>
      <c r="J109" s="73">
        <f>SUMIFS(
INDEX('ETPT Format DDG'!$A:$ZZ,,IFERROR(MATCH(E109,'ETPT Format DDG'!$2:$2,0),MATCH(C109,'ETPT Format DDG'!$2:$2,0))),
INDEX( 'ETPT Format DDG'!$A:$ZZ,,MATCH("Fonction agrégat",'ETPT Format DDG'!2:2,0)),"M-PLAC-SUB",
INDEX( 'ETPT Format DDG'!$A:$ZZ,,MATCH("Juridiction",'ETPT Format DDG'!2:2,0)),$A$3)</f>
      </c>
      <c r="K109" s="73">
        <f>SUMIFS(
INDEX('ETPT Format DDG'!$A:$ZZ,,IFERROR(MATCH(E109,'ETPT Format DDG'!$2:$2,0),MATCH(C109,'ETPT Format DDG'!$2:$2,0))),
INDEX( 'ETPT Format DDG'!$A:$ZZ,,MATCH("Fonction agrégat",'ETPT Format DDG'!2:2,0)),"M-CONT",
INDEX( 'ETPT Format DDG'!$A:$ZZ,,MATCH("Juridiction",'ETPT Format DDG'!2:2,0)),$A$3,
INDEX( 'ETPT Format DDG'!$A:$ZZ,,MATCH("Catégorie",'ETPT Format DDG'!2:2,0)),"Magistrat")</f>
      </c>
      <c r="L109" s="71">
        <f>SUMIFS(
INDEX('ETPT Format DDG'!$A:$ZZ,,IFERROR(MATCH(E109,'ETPT Format DDG'!$2:$2,0),MATCH(C109,'ETPT Format DDG'!$2:$2,0))),
INDEX( 'ETPT Format DDG'!$A:$ZZ,,MATCH("Juridiction",'ETPT Format DDG'!2:2,0)),$A$3,
INDEX( 'ETPT Format DDG'!$A:$ZZ,,MATCH("Catégorie",'ETPT Format DDG'!2:2,0)),"Magistrat")</f>
      </c>
      <c r="M109" s="74">
        <f>IF(AND(OR(LEFT(C109,3)="12.",LEFT(E109,3)="12.",LEFT(E109,5)="CET &gt;", IFERROR(L109/$L$6,"")=0),NOT(AND(LEFT(E109,4)="12.8",IFERROR(G109/$G$6,"")&lt;&gt;0)),NOT(AND(LEFT(E109,5)="12.31",IFERROR(L109/$G$6,"")&lt;&gt;0)),NOT(AND(LEFT(E109,5)="12.32",IFERROR(L109/$G$6,"")&lt;&gt;0))),"", IFERROR(L109/$L$6,""))</f>
      </c>
      <c r="N109" s="73">
        <f>SUMIFS(
INDEX('ETPT Format DDG'!$A:$ZZ,,IFERROR(MATCH(E109,'ETPT Format DDG'!$2:$2,0),MATCH(C109,'ETPT Format DDG'!$2:$2,0))),
INDEX( 'ETPT Format DDG'!$A:$ZZ,,MATCH("Fonction agrégat",'ETPT Format DDG'!2:2,0)),"F-TIT",
INDEX( 'ETPT Format DDG'!$A:$ZZ,,MATCH("Juridiction",'ETPT Format DDG'!2:2,0)),$A$3)</f>
      </c>
      <c r="O109" s="72">
        <f>IF(AND(OR(LEFT(C109,3)="12.",LEFT(E109,3)="12.",LEFT(E109,5)="CET &gt;",IFERROR(N109/$N$6,"")=0),NOT(AND(LEFT(E109,4)="12.8",IFERROR(G109/$G$6,"")&lt;&gt;0)),NOT(AND(LEFT(E109,5)="12.31",IFERROR(N109/$G$6,"")&lt;&gt;0)),NOT(AND(LEFT(E109,5)="12.32",IFERROR(N109/$G$6,"")&lt;&gt;0))),"",IFERROR(N109/$N$6,""))</f>
      </c>
      <c r="P109" s="73">
        <f>SUMIFS(
INDEX('ETPT Format DDG'!$A:$FB,,IFERROR(MATCH(E109,'ETPT Format DDG'!$2:$2,0),MATCH(C109,'ETPT Format DDG'!$2:$2,0))),
INDEX( 'ETPT Format DDG'!$A:$ZZ,,MATCH("Fonction agrégat",'ETPT Format DDG'!2:2,0)),"F-PLAC-ADD",
INDEX( 'ETPT Format DDG'!$A:$ZZ,,MATCH("Juridiction",'ETPT Format DDG'!2:2,0)),$A$3)</f>
      </c>
      <c r="Q109" s="73">
        <f>SUMIFS(
INDEX('ETPT Format DDG'!$A:$FB,,IFERROR(MATCH(E109,'ETPT Format DDG'!$2:$2,0),MATCH(C109,'ETPT Format DDG'!$2:$2,0))),
INDEX( 'ETPT Format DDG'!$A:$ZZ,,MATCH("Fonction agrégat",'ETPT Format DDG'!2:2,0)),"F-PLAC-SUB",
INDEX( 'ETPT Format DDG'!$A:$ZZ,,MATCH("Juridiction",'ETPT Format DDG'!2:2,0)),$A$3)</f>
      </c>
      <c r="R109" s="73">
        <f>SUMIFS(
INDEX('ETPT Format DDG'!$A:$FB,,IFERROR(MATCH(E109,'ETPT Format DDG'!$2:$2,0),MATCH(C109,'ETPT Format DDG'!$2:$2,0))),
INDEX( 'ETPT Format DDG'!$A:$ZZ,,MATCH("Fonction agrégat",'ETPT Format DDG'!2:2,0)),"C",
'ETPT Format DDG'!$H:$H,"Greffe",
INDEX( 'ETPT Format DDG'!$A:$ZZ,,MATCH("Juridiction",'ETPT Format DDG'!2:2,0)),$A$3)</f>
      </c>
      <c r="S109" s="71">
        <f>SUMIFS(
INDEX('ETPT Format DDG'!$A:$FB,,IFERROR(MATCH(E109,'ETPT Format DDG'!$2:$2,0),MATCH(C109,'ETPT Format DDG'!$2:$2,0))),
INDEX( 'ETPT Format DDG'!$A:$ZZ,,MATCH("Catégorie",'ETPT Format DDG'!2:2,0)),"Greffe",
INDEX( 'ETPT Format DDG'!$A:$ZZ,,MATCH("Juridiction",'ETPT Format DDG'!2:2,0)),$A$3)</f>
      </c>
      <c r="T109" s="72">
        <f>IF(AND(OR(LEFT(C109,3)="12.",LEFT(E109,3)="12.",LEFT(E109,5)="CET &gt;",IFERROR(S109/$S$6,"")=0),NOT(AND(LEFT(E109,4)="12.8",IFERROR(G109/$G$6,"")&lt;&gt;0)),NOT(AND(LEFT(E109,5)="12.31",IFERROR(S109/$G$6,"")&lt;&gt;0)),NOT(AND(LEFT(E109,5)="12.32",IFERROR(S109/$G$6,"")&lt;&gt;0))),"", IFERROR(S109/$S$6,""))</f>
      </c>
      <c r="U109" s="71">
        <f>SUMIFS(
INDEX('ETPT Format DDG'!$A:$FB,,IFERROR(MATCH(E109,'ETPT Format DDG'!$2:$2,0),MATCH(C109,'ETPT Format DDG'!$2:$2,0))),
INDEX( 'ETPT Format DDG'!$A:$ZZ,,MATCH("Fonction agrégat",'ETPT Format DDG'!2:2,0)),"C",
INDEX( 'ETPT Format DDG'!$A:$ZZ,,MATCH("Juridiction",'ETPT Format DDG'!2:2,0)),$A$3,
INDEX( 'ETPT Format DDG'!$A:$ZZ,,MATCH("Catégorie",'ETPT Format DDG'!2:2,0)),"Autour du magistrat")</f>
      </c>
      <c r="V109" s="74">
        <f>IF(AND(OR(LEFT(C109,3)="12.",LEFT(E109,3)="12.",LEFT(E109,5)="CET &gt;",IFERROR(U109/$U$6,"")=0),NOT(AND(LEFT(E109,4)="12.8",IFERROR(G109/$G$6,"")&lt;&gt;0)),NOT(AND(LEFT(E109,5)="12.31",IFERROR(U109/$G$6,"")&lt;&gt;0)),NOT(AND(LEFT(E109,5)="12.32",IFERROR(U109/$G$6,"")&lt;&gt;0))),"", IFERROR(U109/$U$6,""))</f>
      </c>
    </row>
    <row r="110" ht="16" customHeight="1" spans="1:23" x14ac:dyDescent="0.25">
      <c r="A110" s="40"/>
      <c r="C110" s="68"/>
      <c r="D110" s="68"/>
      <c r="E110" s="69" t="s">
        <v>149</v>
      </c>
      <c r="F110" s="70" t="s">
        <v>149</v>
      </c>
      <c r="G110" s="71">
        <f>SUMIFS(
INDEX('ETPT Format DDG'!$A:$ZZ,,IFERROR(MATCH(E110,'ETPT Format DDG'!$2:$2,0),MATCH(C110,'ETPT Format DDG'!$2:$2,0))),
INDEX( 'ETPT Format DDG'!$A:$ZZ,,MATCH("Fonction agrégat",'ETPT Format DDG'!2:2,0)),"M-TIT",
INDEX( 'ETPT Format DDG'!$A:$ZZ,,MATCH("Juridiction",'ETPT Format DDG'!2:2,0)),$A$3)</f>
      </c>
      <c r="H110" s="72">
        <f>IF(AND(OR(LEFT(C110,3)="12.",LEFT(E110,3)="12.",LEFT(E110,5)="CET &gt;",IFERROR(G110/$G$6,"")=0),NOT(AND(LEFT(E110,4)="12.8",IFERROR(G110/$G$6,"")&lt;&gt;0)),NOT(AND(LEFT(E110,5)="12.31",IFERROR(G110/$G$6,"")&lt;&gt;0)),NOT(AND(LEFT(E110,5)="12.32",IFERROR(G110/$G$6,"")&lt;&gt;0))),"", IFERROR(G110/$G$6,""))</f>
      </c>
      <c r="I110" s="73">
        <f>SUMIFS(
INDEX('ETPT Format DDG'!$A:$ZZ,,IFERROR(MATCH(E110,'ETPT Format DDG'!$2:$2,0),MATCH(C110,'ETPT Format DDG'!$2:$2,0))),
INDEX( 'ETPT Format DDG'!$A:$ZZ,,MATCH("Fonction agrégat",'ETPT Format DDG'!2:2,0)),"M-PLAC-ADD",
INDEX( 'ETPT Format DDG'!$A:$ZZ,,MATCH("Juridiction",'ETPT Format DDG'!2:2,0)),$A$3)</f>
      </c>
      <c r="J110" s="73">
        <f>SUMIFS(
INDEX('ETPT Format DDG'!$A:$ZZ,,IFERROR(MATCH(E110,'ETPT Format DDG'!$2:$2,0),MATCH(C110,'ETPT Format DDG'!$2:$2,0))),
INDEX( 'ETPT Format DDG'!$A:$ZZ,,MATCH("Fonction agrégat",'ETPT Format DDG'!2:2,0)),"M-PLAC-SUB",
INDEX( 'ETPT Format DDG'!$A:$ZZ,,MATCH("Juridiction",'ETPT Format DDG'!2:2,0)),$A$3)</f>
      </c>
      <c r="K110" s="73">
        <f>SUMIFS(
INDEX('ETPT Format DDG'!$A:$ZZ,,IFERROR(MATCH(E110,'ETPT Format DDG'!$2:$2,0),MATCH(C110,'ETPT Format DDG'!$2:$2,0))),
INDEX( 'ETPT Format DDG'!$A:$ZZ,,MATCH("Fonction agrégat",'ETPT Format DDG'!2:2,0)),"M-CONT",
INDEX( 'ETPT Format DDG'!$A:$ZZ,,MATCH("Juridiction",'ETPT Format DDG'!2:2,0)),$A$3,
INDEX( 'ETPT Format DDG'!$A:$ZZ,,MATCH("Catégorie",'ETPT Format DDG'!2:2,0)),"Magistrat")</f>
      </c>
      <c r="L110" s="71">
        <f>SUMIFS(
INDEX('ETPT Format DDG'!$A:$ZZ,,IFERROR(MATCH(E110,'ETPT Format DDG'!$2:$2,0),MATCH(C110,'ETPT Format DDG'!$2:$2,0))),
INDEX( 'ETPT Format DDG'!$A:$ZZ,,MATCH("Juridiction",'ETPT Format DDG'!2:2,0)),$A$3,
INDEX( 'ETPT Format DDG'!$A:$ZZ,,MATCH("Catégorie",'ETPT Format DDG'!2:2,0)),"Magistrat")</f>
      </c>
      <c r="M110" s="74">
        <f>IF(AND(OR(LEFT(C110,3)="12.",LEFT(E110,3)="12.",LEFT(E110,5)="CET &gt;", IFERROR(L110/$L$6,"")=0),NOT(AND(LEFT(E110,4)="12.8",IFERROR(G110/$G$6,"")&lt;&gt;0)),NOT(AND(LEFT(E110,5)="12.31",IFERROR(L110/$G$6,"")&lt;&gt;0)),NOT(AND(LEFT(E110,5)="12.32",IFERROR(L110/$G$6,"")&lt;&gt;0))),"", IFERROR(L110/$L$6,""))</f>
      </c>
      <c r="N110" s="73">
        <f>SUMIFS(
INDEX('ETPT Format DDG'!$A:$ZZ,,IFERROR(MATCH(E110,'ETPT Format DDG'!$2:$2,0),MATCH(C110,'ETPT Format DDG'!$2:$2,0))),
INDEX( 'ETPT Format DDG'!$A:$ZZ,,MATCH("Fonction agrégat",'ETPT Format DDG'!2:2,0)),"F-TIT",
INDEX( 'ETPT Format DDG'!$A:$ZZ,,MATCH("Juridiction",'ETPT Format DDG'!2:2,0)),$A$3)</f>
      </c>
      <c r="O110" s="72">
        <f>IF(AND(OR(LEFT(C110,3)="12.",LEFT(E110,3)="12.",LEFT(E110,5)="CET &gt;",IFERROR(N110/$N$6,"")=0),NOT(AND(LEFT(E110,4)="12.8",IFERROR(G110/$G$6,"")&lt;&gt;0)),NOT(AND(LEFT(E110,5)="12.31",IFERROR(N110/$G$6,"")&lt;&gt;0)),NOT(AND(LEFT(E110,5)="12.32",IFERROR(N110/$G$6,"")&lt;&gt;0))),"",IFERROR(N110/$N$6,""))</f>
      </c>
      <c r="P110" s="73">
        <f>SUMIFS(
INDEX('ETPT Format DDG'!$A:$FB,,IFERROR(MATCH(E110,'ETPT Format DDG'!$2:$2,0),MATCH(C110,'ETPT Format DDG'!$2:$2,0))),
INDEX( 'ETPT Format DDG'!$A:$ZZ,,MATCH("Fonction agrégat",'ETPT Format DDG'!2:2,0)),"F-PLAC-ADD",
INDEX( 'ETPT Format DDG'!$A:$ZZ,,MATCH("Juridiction",'ETPT Format DDG'!2:2,0)),$A$3)</f>
      </c>
      <c r="Q110" s="73">
        <f>SUMIFS(
INDEX('ETPT Format DDG'!$A:$FB,,IFERROR(MATCH(E110,'ETPT Format DDG'!$2:$2,0),MATCH(C110,'ETPT Format DDG'!$2:$2,0))),
INDEX( 'ETPT Format DDG'!$A:$ZZ,,MATCH("Fonction agrégat",'ETPT Format DDG'!2:2,0)),"F-PLAC-SUB",
INDEX( 'ETPT Format DDG'!$A:$ZZ,,MATCH("Juridiction",'ETPT Format DDG'!2:2,0)),$A$3)</f>
      </c>
      <c r="R110" s="73">
        <f>SUMIFS(
INDEX('ETPT Format DDG'!$A:$FB,,IFERROR(MATCH(E110,'ETPT Format DDG'!$2:$2,0),MATCH(C110,'ETPT Format DDG'!$2:$2,0))),
INDEX( 'ETPT Format DDG'!$A:$ZZ,,MATCH("Fonction agrégat",'ETPT Format DDG'!2:2,0)),"C",
'ETPT Format DDG'!$H:$H,"Greffe",
INDEX( 'ETPT Format DDG'!$A:$ZZ,,MATCH("Juridiction",'ETPT Format DDG'!2:2,0)),$A$3)</f>
      </c>
      <c r="S110" s="71">
        <f>SUMIFS(
INDEX('ETPT Format DDG'!$A:$FB,,IFERROR(MATCH(E110,'ETPT Format DDG'!$2:$2,0),MATCH(C110,'ETPT Format DDG'!$2:$2,0))),
INDEX( 'ETPT Format DDG'!$A:$ZZ,,MATCH("Catégorie",'ETPT Format DDG'!2:2,0)),"Greffe",
INDEX( 'ETPT Format DDG'!$A:$ZZ,,MATCH("Juridiction",'ETPT Format DDG'!2:2,0)),$A$3)</f>
      </c>
      <c r="T110" s="72">
        <f>IF(AND(OR(LEFT(C110,3)="12.",LEFT(E110,3)="12.",LEFT(E110,5)="CET &gt;",IFERROR(S110/$S$6,"")=0),NOT(AND(LEFT(E110,4)="12.8",IFERROR(G110/$G$6,"")&lt;&gt;0)),NOT(AND(LEFT(E110,5)="12.31",IFERROR(S110/$G$6,"")&lt;&gt;0)),NOT(AND(LEFT(E110,5)="12.32",IFERROR(S110/$G$6,"")&lt;&gt;0))),"", IFERROR(S110/$S$6,""))</f>
      </c>
      <c r="U110" s="71">
        <f>SUMIFS(
INDEX('ETPT Format DDG'!$A:$FB,,IFERROR(MATCH(E110,'ETPT Format DDG'!$2:$2,0),MATCH(C110,'ETPT Format DDG'!$2:$2,0))),
INDEX( 'ETPT Format DDG'!$A:$ZZ,,MATCH("Fonction agrégat",'ETPT Format DDG'!2:2,0)),"C",
INDEX( 'ETPT Format DDG'!$A:$ZZ,,MATCH("Juridiction",'ETPT Format DDG'!2:2,0)),$A$3,
INDEX( 'ETPT Format DDG'!$A:$ZZ,,MATCH("Catégorie",'ETPT Format DDG'!2:2,0)),"Autour du magistrat")</f>
      </c>
      <c r="V110" s="74">
        <f>IF(AND(OR(LEFT(C110,3)="12.",LEFT(E110,3)="12.",LEFT(E110,5)="CET &gt;",IFERROR(U110/$U$6,"")=0),NOT(AND(LEFT(E110,4)="12.8",IFERROR(G110/$G$6,"")&lt;&gt;0)),NOT(AND(LEFT(E110,5)="12.31",IFERROR(U110/$G$6,"")&lt;&gt;0)),NOT(AND(LEFT(E110,5)="12.32",IFERROR(U110/$G$6,"")&lt;&gt;0))),"", IFERROR(U110/$U$6,""))</f>
      </c>
    </row>
    <row r="111" ht="16" customHeight="1" spans="1:23" x14ac:dyDescent="0.25">
      <c r="A111" s="40"/>
      <c r="C111" s="68"/>
      <c r="D111" s="68"/>
      <c r="E111" s="69" t="s">
        <v>150</v>
      </c>
      <c r="F111" s="70" t="s">
        <v>150</v>
      </c>
      <c r="G111" s="71">
        <f>SUMIFS(
INDEX('ETPT Format DDG'!$A:$ZZ,,IFERROR(MATCH(E111,'ETPT Format DDG'!$2:$2,0),MATCH(C111,'ETPT Format DDG'!$2:$2,0))),
INDEX( 'ETPT Format DDG'!$A:$ZZ,,MATCH("Fonction agrégat",'ETPT Format DDG'!2:2,0)),"M-TIT",
INDEX( 'ETPT Format DDG'!$A:$ZZ,,MATCH("Juridiction",'ETPT Format DDG'!2:2,0)),$A$3)</f>
      </c>
      <c r="H111" s="72">
        <f>IF(AND(OR(LEFT(C111,3)="12.",LEFT(E111,3)="12.",LEFT(E111,5)="CET &gt;",IFERROR(G111/$G$6,"")=0),NOT(AND(LEFT(E111,4)="12.8",IFERROR(G111/$G$6,"")&lt;&gt;0)),NOT(AND(LEFT(E111,5)="12.31",IFERROR(G111/$G$6,"")&lt;&gt;0)),NOT(AND(LEFT(E111,5)="12.32",IFERROR(G111/$G$6,"")&lt;&gt;0))),"", IFERROR(G111/$G$6,""))</f>
      </c>
      <c r="I111" s="73">
        <f>SUMIFS(
INDEX('ETPT Format DDG'!$A:$ZZ,,IFERROR(MATCH(E111,'ETPT Format DDG'!$2:$2,0),MATCH(C111,'ETPT Format DDG'!$2:$2,0))),
INDEX( 'ETPT Format DDG'!$A:$ZZ,,MATCH("Fonction agrégat",'ETPT Format DDG'!2:2,0)),"M-PLAC-ADD",
INDEX( 'ETPT Format DDG'!$A:$ZZ,,MATCH("Juridiction",'ETPT Format DDG'!2:2,0)),$A$3)</f>
      </c>
      <c r="J111" s="73">
        <f>SUMIFS(
INDEX('ETPT Format DDG'!$A:$ZZ,,IFERROR(MATCH(E111,'ETPT Format DDG'!$2:$2,0),MATCH(C111,'ETPT Format DDG'!$2:$2,0))),
INDEX( 'ETPT Format DDG'!$A:$ZZ,,MATCH("Fonction agrégat",'ETPT Format DDG'!2:2,0)),"M-PLAC-SUB",
INDEX( 'ETPT Format DDG'!$A:$ZZ,,MATCH("Juridiction",'ETPT Format DDG'!2:2,0)),$A$3)</f>
      </c>
      <c r="K111" s="73">
        <f>SUMIFS(
INDEX('ETPT Format DDG'!$A:$ZZ,,IFERROR(MATCH(E111,'ETPT Format DDG'!$2:$2,0),MATCH(C111,'ETPT Format DDG'!$2:$2,0))),
INDEX( 'ETPT Format DDG'!$A:$ZZ,,MATCH("Fonction agrégat",'ETPT Format DDG'!2:2,0)),"M-CONT",
INDEX( 'ETPT Format DDG'!$A:$ZZ,,MATCH("Juridiction",'ETPT Format DDG'!2:2,0)),$A$3,
INDEX( 'ETPT Format DDG'!$A:$ZZ,,MATCH("Catégorie",'ETPT Format DDG'!2:2,0)),"Magistrat")</f>
      </c>
      <c r="L111" s="71">
        <f>SUMIFS(
INDEX('ETPT Format DDG'!$A:$ZZ,,IFERROR(MATCH(E111,'ETPT Format DDG'!$2:$2,0),MATCH(C111,'ETPT Format DDG'!$2:$2,0))),
INDEX( 'ETPT Format DDG'!$A:$ZZ,,MATCH("Juridiction",'ETPT Format DDG'!2:2,0)),$A$3,
INDEX( 'ETPT Format DDG'!$A:$ZZ,,MATCH("Catégorie",'ETPT Format DDG'!2:2,0)),"Magistrat")</f>
      </c>
      <c r="M111" s="74">
        <f>IF(AND(OR(LEFT(C111,3)="12.",LEFT(E111,3)="12.",LEFT(E111,5)="CET &gt;", IFERROR(L111/$L$6,"")=0),NOT(AND(LEFT(E111,4)="12.8",IFERROR(G111/$G$6,"")&lt;&gt;0)),NOT(AND(LEFT(E111,5)="12.31",IFERROR(L111/$G$6,"")&lt;&gt;0)),NOT(AND(LEFT(E111,5)="12.32",IFERROR(L111/$G$6,"")&lt;&gt;0))),"", IFERROR(L111/$L$6,""))</f>
      </c>
      <c r="N111" s="73">
        <f>SUMIFS(
INDEX('ETPT Format DDG'!$A:$ZZ,,IFERROR(MATCH(E111,'ETPT Format DDG'!$2:$2,0),MATCH(C111,'ETPT Format DDG'!$2:$2,0))),
INDEX( 'ETPT Format DDG'!$A:$ZZ,,MATCH("Fonction agrégat",'ETPT Format DDG'!2:2,0)),"F-TIT",
INDEX( 'ETPT Format DDG'!$A:$ZZ,,MATCH("Juridiction",'ETPT Format DDG'!2:2,0)),$A$3)</f>
      </c>
      <c r="O111" s="72">
        <f>IF(AND(OR(LEFT(C111,3)="12.",LEFT(E111,3)="12.",LEFT(E111,5)="CET &gt;",IFERROR(N111/$N$6,"")=0),NOT(AND(LEFT(E111,4)="12.8",IFERROR(G111/$G$6,"")&lt;&gt;0)),NOT(AND(LEFT(E111,5)="12.31",IFERROR(N111/$G$6,"")&lt;&gt;0)),NOT(AND(LEFT(E111,5)="12.32",IFERROR(N111/$G$6,"")&lt;&gt;0))),"",IFERROR(N111/$N$6,""))</f>
      </c>
      <c r="P111" s="73">
        <f>SUMIFS(
INDEX('ETPT Format DDG'!$A:$FB,,IFERROR(MATCH(E111,'ETPT Format DDG'!$2:$2,0),MATCH(C111,'ETPT Format DDG'!$2:$2,0))),
INDEX( 'ETPT Format DDG'!$A:$ZZ,,MATCH("Fonction agrégat",'ETPT Format DDG'!2:2,0)),"F-PLAC-ADD",
INDEX( 'ETPT Format DDG'!$A:$ZZ,,MATCH("Juridiction",'ETPT Format DDG'!2:2,0)),$A$3)</f>
      </c>
      <c r="Q111" s="73">
        <f>SUMIFS(
INDEX('ETPT Format DDG'!$A:$FB,,IFERROR(MATCH(E111,'ETPT Format DDG'!$2:$2,0),MATCH(C111,'ETPT Format DDG'!$2:$2,0))),
INDEX( 'ETPT Format DDG'!$A:$ZZ,,MATCH("Fonction agrégat",'ETPT Format DDG'!2:2,0)),"F-PLAC-SUB",
INDEX( 'ETPT Format DDG'!$A:$ZZ,,MATCH("Juridiction",'ETPT Format DDG'!2:2,0)),$A$3)</f>
      </c>
      <c r="R111" s="73">
        <f>SUMIFS(
INDEX('ETPT Format DDG'!$A:$FB,,IFERROR(MATCH(E111,'ETPT Format DDG'!$2:$2,0),MATCH(C111,'ETPT Format DDG'!$2:$2,0))),
INDEX( 'ETPT Format DDG'!$A:$ZZ,,MATCH("Fonction agrégat",'ETPT Format DDG'!2:2,0)),"C",
'ETPT Format DDG'!$H:$H,"Greffe",
INDEX( 'ETPT Format DDG'!$A:$ZZ,,MATCH("Juridiction",'ETPT Format DDG'!2:2,0)),$A$3)</f>
      </c>
      <c r="S111" s="71">
        <f>SUMIFS(
INDEX('ETPT Format DDG'!$A:$FB,,IFERROR(MATCH(E111,'ETPT Format DDG'!$2:$2,0),MATCH(C111,'ETPT Format DDG'!$2:$2,0))),
INDEX( 'ETPT Format DDG'!$A:$ZZ,,MATCH("Catégorie",'ETPT Format DDG'!2:2,0)),"Greffe",
INDEX( 'ETPT Format DDG'!$A:$ZZ,,MATCH("Juridiction",'ETPT Format DDG'!2:2,0)),$A$3)</f>
      </c>
      <c r="T111" s="72">
        <f>IF(AND(OR(LEFT(C111,3)="12.",LEFT(E111,3)="12.",LEFT(E111,5)="CET &gt;",IFERROR(S111/$S$6,"")=0),NOT(AND(LEFT(E111,4)="12.8",IFERROR(G111/$G$6,"")&lt;&gt;0)),NOT(AND(LEFT(E111,5)="12.31",IFERROR(S111/$G$6,"")&lt;&gt;0)),NOT(AND(LEFT(E111,5)="12.32",IFERROR(S111/$G$6,"")&lt;&gt;0))),"", IFERROR(S111/$S$6,""))</f>
      </c>
      <c r="U111" s="71">
        <f>SUMIFS(
INDEX('ETPT Format DDG'!$A:$FB,,IFERROR(MATCH(E111,'ETPT Format DDG'!$2:$2,0),MATCH(C111,'ETPT Format DDG'!$2:$2,0))),
INDEX( 'ETPT Format DDG'!$A:$ZZ,,MATCH("Fonction agrégat",'ETPT Format DDG'!2:2,0)),"C",
INDEX( 'ETPT Format DDG'!$A:$ZZ,,MATCH("Juridiction",'ETPT Format DDG'!2:2,0)),$A$3,
INDEX( 'ETPT Format DDG'!$A:$ZZ,,MATCH("Catégorie",'ETPT Format DDG'!2:2,0)),"Autour du magistrat")</f>
      </c>
      <c r="V111" s="74">
        <f>IF(AND(OR(LEFT(C111,3)="12.",LEFT(E111,3)="12.",LEFT(E111,5)="CET &gt;",IFERROR(U111/$U$6,"")=0),NOT(AND(LEFT(E111,4)="12.8",IFERROR(G111/$G$6,"")&lt;&gt;0)),NOT(AND(LEFT(E111,5)="12.31",IFERROR(U111/$G$6,"")&lt;&gt;0)),NOT(AND(LEFT(E111,5)="12.32",IFERROR(U111/$G$6,"")&lt;&gt;0))),"", IFERROR(U111/$U$6,""))</f>
      </c>
    </row>
    <row r="112" ht="16" customHeight="1" spans="1:23" x14ac:dyDescent="0.25">
      <c r="A112" s="40"/>
      <c r="C112" s="68"/>
      <c r="D112" s="68"/>
      <c r="E112" s="69" t="s">
        <v>151</v>
      </c>
      <c r="F112" s="70" t="s">
        <v>151</v>
      </c>
      <c r="G112" s="71">
        <f>SUMIFS(
INDEX('ETPT Format DDG'!$A:$ZZ,,IFERROR(MATCH(E112,'ETPT Format DDG'!$2:$2,0),MATCH(C112,'ETPT Format DDG'!$2:$2,0))),
INDEX( 'ETPT Format DDG'!$A:$ZZ,,MATCH("Fonction agrégat",'ETPT Format DDG'!2:2,0)),"M-TIT",
INDEX( 'ETPT Format DDG'!$A:$ZZ,,MATCH("Juridiction",'ETPT Format DDG'!2:2,0)),$A$3)</f>
      </c>
      <c r="H112" s="72">
        <f>IF(AND(OR(LEFT(C112,3)="12.",LEFT(E112,3)="12.",LEFT(E112,5)="CET &gt;",IFERROR(G112/$G$6,"")=0),NOT(AND(LEFT(E112,4)="12.8",IFERROR(G112/$G$6,"")&lt;&gt;0)),NOT(AND(LEFT(E112,5)="12.31",IFERROR(G112/$G$6,"")&lt;&gt;0)),NOT(AND(LEFT(E112,5)="12.32",IFERROR(G112/$G$6,"")&lt;&gt;0))),"", IFERROR(G112/$G$6,""))</f>
      </c>
      <c r="I112" s="73">
        <f>SUMIFS(
INDEX('ETPT Format DDG'!$A:$ZZ,,IFERROR(MATCH(E112,'ETPT Format DDG'!$2:$2,0),MATCH(C112,'ETPT Format DDG'!$2:$2,0))),
INDEX( 'ETPT Format DDG'!$A:$ZZ,,MATCH("Fonction agrégat",'ETPT Format DDG'!2:2,0)),"M-PLAC-ADD",
INDEX( 'ETPT Format DDG'!$A:$ZZ,,MATCH("Juridiction",'ETPT Format DDG'!2:2,0)),$A$3)</f>
      </c>
      <c r="J112" s="73">
        <f>SUMIFS(
INDEX('ETPT Format DDG'!$A:$ZZ,,IFERROR(MATCH(E112,'ETPT Format DDG'!$2:$2,0),MATCH(C112,'ETPT Format DDG'!$2:$2,0))),
INDEX( 'ETPT Format DDG'!$A:$ZZ,,MATCH("Fonction agrégat",'ETPT Format DDG'!2:2,0)),"M-PLAC-SUB",
INDEX( 'ETPT Format DDG'!$A:$ZZ,,MATCH("Juridiction",'ETPT Format DDG'!2:2,0)),$A$3)</f>
      </c>
      <c r="K112" s="73">
        <f>SUMIFS(
INDEX('ETPT Format DDG'!$A:$ZZ,,IFERROR(MATCH(E112,'ETPT Format DDG'!$2:$2,0),MATCH(C112,'ETPT Format DDG'!$2:$2,0))),
INDEX( 'ETPT Format DDG'!$A:$ZZ,,MATCH("Fonction agrégat",'ETPT Format DDG'!2:2,0)),"M-CONT",
INDEX( 'ETPT Format DDG'!$A:$ZZ,,MATCH("Juridiction",'ETPT Format DDG'!2:2,0)),$A$3,
INDEX( 'ETPT Format DDG'!$A:$ZZ,,MATCH("Catégorie",'ETPT Format DDG'!2:2,0)),"Magistrat")</f>
      </c>
      <c r="L112" s="71">
        <f>SUMIFS(
INDEX('ETPT Format DDG'!$A:$ZZ,,IFERROR(MATCH(E112,'ETPT Format DDG'!$2:$2,0),MATCH(C112,'ETPT Format DDG'!$2:$2,0))),
INDEX( 'ETPT Format DDG'!$A:$ZZ,,MATCH("Juridiction",'ETPT Format DDG'!2:2,0)),$A$3,
INDEX( 'ETPT Format DDG'!$A:$ZZ,,MATCH("Catégorie",'ETPT Format DDG'!2:2,0)),"Magistrat")</f>
      </c>
      <c r="M112" s="74">
        <f>IF(AND(OR(LEFT(C112,3)="12.",LEFT(E112,3)="12.",LEFT(E112,5)="CET &gt;", IFERROR(L112/$L$6,"")=0),NOT(AND(LEFT(E112,4)="12.8",IFERROR(G112/$G$6,"")&lt;&gt;0)),NOT(AND(LEFT(E112,5)="12.31",IFERROR(L112/$G$6,"")&lt;&gt;0)),NOT(AND(LEFT(E112,5)="12.32",IFERROR(L112/$G$6,"")&lt;&gt;0))),"", IFERROR(L112/$L$6,""))</f>
      </c>
      <c r="N112" s="73">
        <f>SUMIFS(
INDEX('ETPT Format DDG'!$A:$ZZ,,IFERROR(MATCH(E112,'ETPT Format DDG'!$2:$2,0),MATCH(C112,'ETPT Format DDG'!$2:$2,0))),
INDEX( 'ETPT Format DDG'!$A:$ZZ,,MATCH("Fonction agrégat",'ETPT Format DDG'!2:2,0)),"F-TIT",
INDEX( 'ETPT Format DDG'!$A:$ZZ,,MATCH("Juridiction",'ETPT Format DDG'!2:2,0)),$A$3)</f>
      </c>
      <c r="O112" s="72">
        <f>IF(AND(OR(LEFT(C112,3)="12.",LEFT(E112,3)="12.",LEFT(E112,5)="CET &gt;",IFERROR(N112/$N$6,"")=0),NOT(AND(LEFT(E112,4)="12.8",IFERROR(G112/$G$6,"")&lt;&gt;0)),NOT(AND(LEFT(E112,5)="12.31",IFERROR(N112/$G$6,"")&lt;&gt;0)),NOT(AND(LEFT(E112,5)="12.32",IFERROR(N112/$G$6,"")&lt;&gt;0))),"",IFERROR(N112/$N$6,""))</f>
      </c>
      <c r="P112" s="73">
        <f>SUMIFS(
INDEX('ETPT Format DDG'!$A:$FB,,IFERROR(MATCH(E112,'ETPT Format DDG'!$2:$2,0),MATCH(C112,'ETPT Format DDG'!$2:$2,0))),
INDEX( 'ETPT Format DDG'!$A:$ZZ,,MATCH("Fonction agrégat",'ETPT Format DDG'!2:2,0)),"F-PLAC-ADD",
INDEX( 'ETPT Format DDG'!$A:$ZZ,,MATCH("Juridiction",'ETPT Format DDG'!2:2,0)),$A$3)</f>
      </c>
      <c r="Q112" s="73">
        <f>SUMIFS(
INDEX('ETPT Format DDG'!$A:$FB,,IFERROR(MATCH(E112,'ETPT Format DDG'!$2:$2,0),MATCH(C112,'ETPT Format DDG'!$2:$2,0))),
INDEX( 'ETPT Format DDG'!$A:$ZZ,,MATCH("Fonction agrégat",'ETPT Format DDG'!2:2,0)),"F-PLAC-SUB",
INDEX( 'ETPT Format DDG'!$A:$ZZ,,MATCH("Juridiction",'ETPT Format DDG'!2:2,0)),$A$3)</f>
      </c>
      <c r="R112" s="73">
        <f>SUMIFS(
INDEX('ETPT Format DDG'!$A:$FB,,IFERROR(MATCH(E112,'ETPT Format DDG'!$2:$2,0),MATCH(C112,'ETPT Format DDG'!$2:$2,0))),
INDEX( 'ETPT Format DDG'!$A:$ZZ,,MATCH("Fonction agrégat",'ETPT Format DDG'!2:2,0)),"C",
'ETPT Format DDG'!$H:$H,"Greffe",
INDEX( 'ETPT Format DDG'!$A:$ZZ,,MATCH("Juridiction",'ETPT Format DDG'!2:2,0)),$A$3)</f>
      </c>
      <c r="S112" s="71">
        <f>SUMIFS(
INDEX('ETPT Format DDG'!$A:$FB,,IFERROR(MATCH(E112,'ETPT Format DDG'!$2:$2,0),MATCH(C112,'ETPT Format DDG'!$2:$2,0))),
INDEX( 'ETPT Format DDG'!$A:$ZZ,,MATCH("Catégorie",'ETPT Format DDG'!2:2,0)),"Greffe",
INDEX( 'ETPT Format DDG'!$A:$ZZ,,MATCH("Juridiction",'ETPT Format DDG'!2:2,0)),$A$3)</f>
      </c>
      <c r="T112" s="72">
        <f>IF(AND(OR(LEFT(C112,3)="12.",LEFT(E112,3)="12.",LEFT(E112,5)="CET &gt;",IFERROR(S112/$S$6,"")=0),NOT(AND(LEFT(E112,4)="12.8",IFERROR(G112/$G$6,"")&lt;&gt;0)),NOT(AND(LEFT(E112,5)="12.31",IFERROR(S112/$G$6,"")&lt;&gt;0)),NOT(AND(LEFT(E112,5)="12.32",IFERROR(S112/$G$6,"")&lt;&gt;0))),"", IFERROR(S112/$S$6,""))</f>
      </c>
      <c r="U112" s="71">
        <f>SUMIFS(
INDEX('ETPT Format DDG'!$A:$FB,,IFERROR(MATCH(E112,'ETPT Format DDG'!$2:$2,0),MATCH(C112,'ETPT Format DDG'!$2:$2,0))),
INDEX( 'ETPT Format DDG'!$A:$ZZ,,MATCH("Fonction agrégat",'ETPT Format DDG'!2:2,0)),"C",
INDEX( 'ETPT Format DDG'!$A:$ZZ,,MATCH("Juridiction",'ETPT Format DDG'!2:2,0)),$A$3,
INDEX( 'ETPT Format DDG'!$A:$ZZ,,MATCH("Catégorie",'ETPT Format DDG'!2:2,0)),"Autour du magistrat")</f>
      </c>
      <c r="V112" s="74">
        <f>IF(AND(OR(LEFT(C112,3)="12.",LEFT(E112,3)="12.",LEFT(E112,5)="CET &gt;",IFERROR(U112/$U$6,"")=0),NOT(AND(LEFT(E112,4)="12.8",IFERROR(G112/$G$6,"")&lt;&gt;0)),NOT(AND(LEFT(E112,5)="12.31",IFERROR(U112/$G$6,"")&lt;&gt;0)),NOT(AND(LEFT(E112,5)="12.32",IFERROR(U112/$G$6,"")&lt;&gt;0))),"", IFERROR(U112/$U$6,""))</f>
      </c>
    </row>
    <row r="113" ht="16" customHeight="1" spans="1:23" x14ac:dyDescent="0.25">
      <c r="A113" s="40"/>
      <c r="C113" s="68"/>
      <c r="D113" s="68"/>
      <c r="E113" s="69" t="s">
        <v>172</v>
      </c>
      <c r="F113" s="70" t="s">
        <v>172</v>
      </c>
      <c r="G113" s="71">
        <f>SUMIFS(
INDEX('ETPT Format DDG'!$A:$ZZ,,IFERROR(MATCH(E113,'ETPT Format DDG'!$2:$2,0),MATCH(C113,'ETPT Format DDG'!$2:$2,0))),
INDEX( 'ETPT Format DDG'!$A:$ZZ,,MATCH("Fonction agrégat",'ETPT Format DDG'!2:2,0)),"M-TIT",
INDEX( 'ETPT Format DDG'!$A:$ZZ,,MATCH("Juridiction",'ETPT Format DDG'!2:2,0)),$A$3)</f>
      </c>
      <c r="H113" s="72">
        <f>IF(AND(OR(LEFT(C113,3)="12.",LEFT(E113,3)="12.",LEFT(E113,5)="CET &gt;",IFERROR(G113/$G$6,"")=0),NOT(AND(LEFT(E113,4)="12.8",IFERROR(G113/$G$6,"")&lt;&gt;0)),NOT(AND(LEFT(E113,5)="12.31",IFERROR(G113/$G$6,"")&lt;&gt;0)),NOT(AND(LEFT(E113,5)="12.32",IFERROR(G113/$G$6,"")&lt;&gt;0))),"", IFERROR(G113/$G$6,""))</f>
      </c>
      <c r="I113" s="73">
        <f>SUMIFS(
INDEX('ETPT Format DDG'!$A:$ZZ,,IFERROR(MATCH(E113,'ETPT Format DDG'!$2:$2,0),MATCH(C113,'ETPT Format DDG'!$2:$2,0))),
INDEX( 'ETPT Format DDG'!$A:$ZZ,,MATCH("Fonction agrégat",'ETPT Format DDG'!2:2,0)),"M-PLAC-ADD",
INDEX( 'ETPT Format DDG'!$A:$ZZ,,MATCH("Juridiction",'ETPT Format DDG'!2:2,0)),$A$3)</f>
      </c>
      <c r="J113" s="73">
        <f>SUMIFS(
INDEX('ETPT Format DDG'!$A:$ZZ,,IFERROR(MATCH(E113,'ETPT Format DDG'!$2:$2,0),MATCH(C113,'ETPT Format DDG'!$2:$2,0))),
INDEX( 'ETPT Format DDG'!$A:$ZZ,,MATCH("Fonction agrégat",'ETPT Format DDG'!2:2,0)),"M-PLAC-SUB",
INDEX( 'ETPT Format DDG'!$A:$ZZ,,MATCH("Juridiction",'ETPT Format DDG'!2:2,0)),$A$3)</f>
      </c>
      <c r="K113" s="73">
        <f>SUMIFS(
INDEX('ETPT Format DDG'!$A:$ZZ,,IFERROR(MATCH(E113,'ETPT Format DDG'!$2:$2,0),MATCH(C113,'ETPT Format DDG'!$2:$2,0))),
INDEX( 'ETPT Format DDG'!$A:$ZZ,,MATCH("Fonction agrégat",'ETPT Format DDG'!2:2,0)),"M-CONT",
INDEX( 'ETPT Format DDG'!$A:$ZZ,,MATCH("Juridiction",'ETPT Format DDG'!2:2,0)),$A$3,
INDEX( 'ETPT Format DDG'!$A:$ZZ,,MATCH("Catégorie",'ETPT Format DDG'!2:2,0)),"Magistrat")</f>
      </c>
      <c r="L113" s="71">
        <f>SUMIFS(
INDEX('ETPT Format DDG'!$A:$ZZ,,IFERROR(MATCH(E113,'ETPT Format DDG'!$2:$2,0),MATCH(C113,'ETPT Format DDG'!$2:$2,0))),
INDEX( 'ETPT Format DDG'!$A:$ZZ,,MATCH("Juridiction",'ETPT Format DDG'!2:2,0)),$A$3,
INDEX( 'ETPT Format DDG'!$A:$ZZ,,MATCH("Catégorie",'ETPT Format DDG'!2:2,0)),"Magistrat")</f>
      </c>
      <c r="M113" s="74">
        <f>IF(AND(OR(LEFT(C113,3)="12.",LEFT(E113,3)="12.",LEFT(E113,5)="CET &gt;", IFERROR(L113/$L$6,"")=0),NOT(AND(LEFT(E113,4)="12.8",IFERROR(G113/$G$6,"")&lt;&gt;0)),NOT(AND(LEFT(E113,5)="12.31",IFERROR(L113/$G$6,"")&lt;&gt;0)),NOT(AND(LEFT(E113,5)="12.32",IFERROR(L113/$G$6,"")&lt;&gt;0))),"", IFERROR(L113/$L$6,""))</f>
      </c>
      <c r="N113" s="73">
        <f>SUMIFS(
INDEX('ETPT Format DDG'!$A:$ZZ,,IFERROR(MATCH(E113,'ETPT Format DDG'!$2:$2,0),MATCH(C113,'ETPT Format DDG'!$2:$2,0))),
INDEX( 'ETPT Format DDG'!$A:$ZZ,,MATCH("Fonction agrégat",'ETPT Format DDG'!2:2,0)),"F-TIT",
INDEX( 'ETPT Format DDG'!$A:$ZZ,,MATCH("Juridiction",'ETPT Format DDG'!2:2,0)),$A$3)</f>
      </c>
      <c r="O113" s="72">
        <f>IF(AND(OR(LEFT(C113,3)="12.",LEFT(E113,3)="12.",LEFT(E113,5)="CET &gt;",IFERROR(N113/$N$6,"")=0),NOT(AND(LEFT(E113,4)="12.8",IFERROR(G113/$G$6,"")&lt;&gt;0)),NOT(AND(LEFT(E113,5)="12.31",IFERROR(N113/$G$6,"")&lt;&gt;0)),NOT(AND(LEFT(E113,5)="12.32",IFERROR(N113/$G$6,"")&lt;&gt;0))),"",IFERROR(N113/$N$6,""))</f>
      </c>
      <c r="P113" s="73">
        <f>SUMIFS(
INDEX('ETPT Format DDG'!$A:$FB,,IFERROR(MATCH(E113,'ETPT Format DDG'!$2:$2,0),MATCH(C113,'ETPT Format DDG'!$2:$2,0))),
INDEX( 'ETPT Format DDG'!$A:$ZZ,,MATCH("Fonction agrégat",'ETPT Format DDG'!2:2,0)),"F-PLAC-ADD",
INDEX( 'ETPT Format DDG'!$A:$ZZ,,MATCH("Juridiction",'ETPT Format DDG'!2:2,0)),$A$3)</f>
      </c>
      <c r="Q113" s="73">
        <f>SUMIFS(
INDEX('ETPT Format DDG'!$A:$FB,,IFERROR(MATCH(E113,'ETPT Format DDG'!$2:$2,0),MATCH(C113,'ETPT Format DDG'!$2:$2,0))),
INDEX( 'ETPT Format DDG'!$A:$ZZ,,MATCH("Fonction agrégat",'ETPT Format DDG'!2:2,0)),"F-PLAC-SUB",
INDEX( 'ETPT Format DDG'!$A:$ZZ,,MATCH("Juridiction",'ETPT Format DDG'!2:2,0)),$A$3)</f>
      </c>
      <c r="R113" s="73">
        <f>SUMIFS(
INDEX('ETPT Format DDG'!$A:$FB,,IFERROR(MATCH(E113,'ETPT Format DDG'!$2:$2,0),MATCH(C113,'ETPT Format DDG'!$2:$2,0))),
INDEX( 'ETPT Format DDG'!$A:$ZZ,,MATCH("Fonction agrégat",'ETPT Format DDG'!2:2,0)),"C",
'ETPT Format DDG'!$H:$H,"Greffe",
INDEX( 'ETPT Format DDG'!$A:$ZZ,,MATCH("Juridiction",'ETPT Format DDG'!2:2,0)),$A$3)</f>
      </c>
      <c r="S113" s="71">
        <f>SUMIFS(
INDEX('ETPT Format DDG'!$A:$FB,,IFERROR(MATCH(E113,'ETPT Format DDG'!$2:$2,0),MATCH(C113,'ETPT Format DDG'!$2:$2,0))),
INDEX( 'ETPT Format DDG'!$A:$ZZ,,MATCH("Catégorie",'ETPT Format DDG'!2:2,0)),"Greffe",
INDEX( 'ETPT Format DDG'!$A:$ZZ,,MATCH("Juridiction",'ETPT Format DDG'!2:2,0)),$A$3)</f>
      </c>
      <c r="T113" s="72">
        <f>IF(AND(OR(LEFT(C113,3)="12.",LEFT(E113,3)="12.",LEFT(E113,5)="CET &gt;",IFERROR(S113/$S$6,"")=0),NOT(AND(LEFT(E113,4)="12.8",IFERROR(G113/$G$6,"")&lt;&gt;0)),NOT(AND(LEFT(E113,5)="12.31",IFERROR(S113/$G$6,"")&lt;&gt;0)),NOT(AND(LEFT(E113,5)="12.32",IFERROR(S113/$G$6,"")&lt;&gt;0))),"", IFERROR(S113/$S$6,""))</f>
      </c>
      <c r="U113" s="71">
        <f>SUMIFS(
INDEX('ETPT Format DDG'!$A:$FB,,IFERROR(MATCH(E113,'ETPT Format DDG'!$2:$2,0),MATCH(C113,'ETPT Format DDG'!$2:$2,0))),
INDEX( 'ETPT Format DDG'!$A:$ZZ,,MATCH("Fonction agrégat",'ETPT Format DDG'!2:2,0)),"C",
INDEX( 'ETPT Format DDG'!$A:$ZZ,,MATCH("Juridiction",'ETPT Format DDG'!2:2,0)),$A$3,
INDEX( 'ETPT Format DDG'!$A:$ZZ,,MATCH("Catégorie",'ETPT Format DDG'!2:2,0)),"Autour du magistrat")</f>
      </c>
      <c r="V113" s="74">
        <f>IF(AND(OR(LEFT(C113,3)="12.",LEFT(E113,3)="12.",LEFT(E113,5)="CET &gt;",IFERROR(U113/$U$6,"")=0),NOT(AND(LEFT(E113,4)="12.8",IFERROR(G113/$G$6,"")&lt;&gt;0)),NOT(AND(LEFT(E113,5)="12.31",IFERROR(U113/$G$6,"")&lt;&gt;0)),NOT(AND(LEFT(E113,5)="12.32",IFERROR(U113/$G$6,"")&lt;&gt;0))),"", IFERROR(U113/$U$6,""))</f>
      </c>
    </row>
    <row r="114" ht="16" customHeight="1" spans="1:23" x14ac:dyDescent="0.25">
      <c r="A114" s="40"/>
      <c r="C114" s="68" t="s">
        <v>174</v>
      </c>
      <c r="D114" s="68" t="s">
        <v>196</v>
      </c>
      <c r="E114" s="69"/>
      <c r="F114" s="70"/>
      <c r="G114" s="71">
        <f>SUMIFS(
INDEX('ETPT Format DDG'!$A:$ZZ,,IFERROR(MATCH(E114,'ETPT Format DDG'!$2:$2,0),MATCH(C114,'ETPT Format DDG'!$2:$2,0))),
INDEX( 'ETPT Format DDG'!$A:$ZZ,,MATCH("Fonction agrégat",'ETPT Format DDG'!2:2,0)),"M-TIT",
INDEX( 'ETPT Format DDG'!$A:$ZZ,,MATCH("Juridiction",'ETPT Format DDG'!2:2,0)),$A$3)</f>
      </c>
      <c r="H114" s="72">
        <f>IF(AND(OR(LEFT(C114,3)="12.",LEFT(E114,3)="12.",LEFT(E114,5)="CET &gt;",IFERROR(G114/$G$6,"")=0),NOT(AND(LEFT(E114,4)="12.8",IFERROR(G114/$G$6,"")&lt;&gt;0)),NOT(AND(LEFT(E114,5)="12.31",IFERROR(G114/$G$6,"")&lt;&gt;0)),NOT(AND(LEFT(E114,5)="12.32",IFERROR(G114/$G$6,"")&lt;&gt;0))),"", IFERROR(G114/$G$6,""))</f>
      </c>
      <c r="I114" s="73">
        <f>SUMIFS(
INDEX('ETPT Format DDG'!$A:$ZZ,,IFERROR(MATCH(E114,'ETPT Format DDG'!$2:$2,0),MATCH(C114,'ETPT Format DDG'!$2:$2,0))),
INDEX( 'ETPT Format DDG'!$A:$ZZ,,MATCH("Fonction agrégat",'ETPT Format DDG'!2:2,0)),"M-PLAC-ADD",
INDEX( 'ETPT Format DDG'!$A:$ZZ,,MATCH("Juridiction",'ETPT Format DDG'!2:2,0)),$A$3)</f>
      </c>
      <c r="J114" s="73">
        <f>SUMIFS(
INDEX('ETPT Format DDG'!$A:$ZZ,,IFERROR(MATCH(E114,'ETPT Format DDG'!$2:$2,0),MATCH(C114,'ETPT Format DDG'!$2:$2,0))),
INDEX( 'ETPT Format DDG'!$A:$ZZ,,MATCH("Fonction agrégat",'ETPT Format DDG'!2:2,0)),"M-PLAC-SUB",
INDEX( 'ETPT Format DDG'!$A:$ZZ,,MATCH("Juridiction",'ETPT Format DDG'!2:2,0)),$A$3)</f>
      </c>
      <c r="K114" s="73">
        <f>SUMIFS(
INDEX('ETPT Format DDG'!$A:$ZZ,,IFERROR(MATCH(E114,'ETPT Format DDG'!$2:$2,0),MATCH(C114,'ETPT Format DDG'!$2:$2,0))),
INDEX( 'ETPT Format DDG'!$A:$ZZ,,MATCH("Fonction agrégat",'ETPT Format DDG'!2:2,0)),"M-CONT",
INDEX( 'ETPT Format DDG'!$A:$ZZ,,MATCH("Juridiction",'ETPT Format DDG'!2:2,0)),$A$3,
INDEX( 'ETPT Format DDG'!$A:$ZZ,,MATCH("Catégorie",'ETPT Format DDG'!2:2,0)),"Magistrat")</f>
      </c>
      <c r="L114" s="71">
        <f>SUMIFS(
INDEX('ETPT Format DDG'!$A:$ZZ,,IFERROR(MATCH(E114,'ETPT Format DDG'!$2:$2,0),MATCH(C114,'ETPT Format DDG'!$2:$2,0))),
INDEX( 'ETPT Format DDG'!$A:$ZZ,,MATCH("Juridiction",'ETPT Format DDG'!2:2,0)),$A$3,
INDEX( 'ETPT Format DDG'!$A:$ZZ,,MATCH("Catégorie",'ETPT Format DDG'!2:2,0)),"Magistrat")</f>
      </c>
      <c r="M114" s="74">
        <f>IF(AND(OR(LEFT(C114,3)="12.",LEFT(E114,3)="12.",LEFT(E114,5)="CET &gt;", IFERROR(L114/$L$6,"")=0),NOT(AND(LEFT(E114,4)="12.8",IFERROR(G114/$G$6,"")&lt;&gt;0)),NOT(AND(LEFT(E114,5)="12.31",IFERROR(L114/$G$6,"")&lt;&gt;0)),NOT(AND(LEFT(E114,5)="12.32",IFERROR(L114/$G$6,"")&lt;&gt;0))),"", IFERROR(L114/$L$6,""))</f>
      </c>
      <c r="N114" s="73">
        <f>SUMIFS(
INDEX('ETPT Format DDG'!$A:$ZZ,,IFERROR(MATCH(E114,'ETPT Format DDG'!$2:$2,0),MATCH(C114,'ETPT Format DDG'!$2:$2,0))),
INDEX( 'ETPT Format DDG'!$A:$ZZ,,MATCH("Fonction agrégat",'ETPT Format DDG'!2:2,0)),"F-TIT",
INDEX( 'ETPT Format DDG'!$A:$ZZ,,MATCH("Juridiction",'ETPT Format DDG'!2:2,0)),$A$3)</f>
      </c>
      <c r="O114" s="72">
        <f>IF(AND(OR(LEFT(C114,3)="12.",LEFT(E114,3)="12.",LEFT(E114,5)="CET &gt;",IFERROR(N114/$N$6,"")=0),NOT(AND(LEFT(E114,4)="12.8",IFERROR(G114/$G$6,"")&lt;&gt;0)),NOT(AND(LEFT(E114,5)="12.31",IFERROR(N114/$G$6,"")&lt;&gt;0)),NOT(AND(LEFT(E114,5)="12.32",IFERROR(N114/$G$6,"")&lt;&gt;0))),"",IFERROR(N114/$N$6,""))</f>
      </c>
      <c r="P114" s="73">
        <f>SUMIFS(
INDEX('ETPT Format DDG'!$A:$FB,,IFERROR(MATCH(E114,'ETPT Format DDG'!$2:$2,0),MATCH(C114,'ETPT Format DDG'!$2:$2,0))),
INDEX( 'ETPT Format DDG'!$A:$ZZ,,MATCH("Fonction agrégat",'ETPT Format DDG'!2:2,0)),"F-PLAC-ADD",
INDEX( 'ETPT Format DDG'!$A:$ZZ,,MATCH("Juridiction",'ETPT Format DDG'!2:2,0)),$A$3)</f>
      </c>
      <c r="Q114" s="73">
        <f>SUMIFS(
INDEX('ETPT Format DDG'!$A:$FB,,IFERROR(MATCH(E114,'ETPT Format DDG'!$2:$2,0),MATCH(C114,'ETPT Format DDG'!$2:$2,0))),
INDEX( 'ETPT Format DDG'!$A:$ZZ,,MATCH("Fonction agrégat",'ETPT Format DDG'!2:2,0)),"F-PLAC-SUB",
INDEX( 'ETPT Format DDG'!$A:$ZZ,,MATCH("Juridiction",'ETPT Format DDG'!2:2,0)),$A$3)</f>
      </c>
      <c r="R114" s="73">
        <f>SUMIFS(
INDEX('ETPT Format DDG'!$A:$FB,,IFERROR(MATCH(E114,'ETPT Format DDG'!$2:$2,0),MATCH(C114,'ETPT Format DDG'!$2:$2,0))),
INDEX( 'ETPT Format DDG'!$A:$ZZ,,MATCH("Fonction agrégat",'ETPT Format DDG'!2:2,0)),"C",
'ETPT Format DDG'!$H:$H,"Greffe",
INDEX( 'ETPT Format DDG'!$A:$ZZ,,MATCH("Juridiction",'ETPT Format DDG'!2:2,0)),$A$3)</f>
      </c>
      <c r="S114" s="71">
        <f>SUMIFS(
INDEX('ETPT Format DDG'!$A:$FB,,IFERROR(MATCH(E114,'ETPT Format DDG'!$2:$2,0),MATCH(C114,'ETPT Format DDG'!$2:$2,0))),
INDEX( 'ETPT Format DDG'!$A:$ZZ,,MATCH("Catégorie",'ETPT Format DDG'!2:2,0)),"Greffe",
INDEX( 'ETPT Format DDG'!$A:$ZZ,,MATCH("Juridiction",'ETPT Format DDG'!2:2,0)),$A$3)</f>
      </c>
      <c r="T114" s="72">
        <f>IF(AND(OR(LEFT(C114,3)="12.",LEFT(E114,3)="12.",LEFT(E114,5)="CET &gt;",IFERROR(S114/$S$6,"")=0),NOT(AND(LEFT(E114,4)="12.8",IFERROR(G114/$G$6,"")&lt;&gt;0)),NOT(AND(LEFT(E114,5)="12.31",IFERROR(S114/$G$6,"")&lt;&gt;0)),NOT(AND(LEFT(E114,5)="12.32",IFERROR(S114/$G$6,"")&lt;&gt;0))),"", IFERROR(S114/$S$6,""))</f>
      </c>
      <c r="U114" s="71">
        <f>SUMIFS(
INDEX('ETPT Format DDG'!$A:$FB,,IFERROR(MATCH(E114,'ETPT Format DDG'!$2:$2,0),MATCH(C114,'ETPT Format DDG'!$2:$2,0))),
INDEX( 'ETPT Format DDG'!$A:$ZZ,,MATCH("Fonction agrégat",'ETPT Format DDG'!2:2,0)),"C",
INDEX( 'ETPT Format DDG'!$A:$ZZ,,MATCH("Juridiction",'ETPT Format DDG'!2:2,0)),$A$3,
INDEX( 'ETPT Format DDG'!$A:$ZZ,,MATCH("Catégorie",'ETPT Format DDG'!2:2,0)),"Autour du magistrat")</f>
      </c>
      <c r="V114" s="74">
        <f>IF(AND(OR(LEFT(C114,3)="12.",LEFT(E114,3)="12.",LEFT(E114,5)="CET &gt;",IFERROR(U114/$U$6,"")=0),NOT(AND(LEFT(E114,4)="12.8",IFERROR(G114/$G$6,"")&lt;&gt;0)),NOT(AND(LEFT(E114,5)="12.31",IFERROR(U114/$G$6,"")&lt;&gt;0)),NOT(AND(LEFT(E114,5)="12.32",IFERROR(U114/$G$6,"")&lt;&gt;0))),"", IFERROR(U114/$U$6,""))</f>
      </c>
    </row>
    <row r="115" ht="16" customHeight="1" spans="1:23" x14ac:dyDescent="0.25">
      <c r="A115" s="40"/>
      <c r="C115" s="68"/>
      <c r="D115" s="68"/>
      <c r="E115" s="69" t="s">
        <v>173</v>
      </c>
      <c r="F115" s="70" t="s">
        <v>173</v>
      </c>
      <c r="G115" s="71">
        <f>SUMIFS(
INDEX('ETPT Format DDG'!$A:$ZZ,,IFERROR(MATCH(E115,'ETPT Format DDG'!$2:$2,0),MATCH(C115,'ETPT Format DDG'!$2:$2,0))),
INDEX( 'ETPT Format DDG'!$A:$ZZ,,MATCH("Fonction agrégat",'ETPT Format DDG'!2:2,0)),"M-TIT",
INDEX( 'ETPT Format DDG'!$A:$ZZ,,MATCH("Juridiction",'ETPT Format DDG'!2:2,0)),$A$3)</f>
      </c>
      <c r="H115" s="72">
        <f>IF(AND(OR(LEFT(C115,3)="12.",LEFT(E115,3)="12.",LEFT(E115,5)="CET &gt;",IFERROR(G115/$G$6,"")=0),NOT(AND(LEFT(E115,4)="12.8",IFERROR(G115/$G$6,"")&lt;&gt;0)),NOT(AND(LEFT(E115,5)="12.31",IFERROR(G115/$G$6,"")&lt;&gt;0)),NOT(AND(LEFT(E115,5)="12.32",IFERROR(G115/$G$6,"")&lt;&gt;0))),"", IFERROR(G115/$G$6,""))</f>
      </c>
      <c r="I115" s="73">
        <f>SUMIFS(
INDEX('ETPT Format DDG'!$A:$ZZ,,IFERROR(MATCH(E115,'ETPT Format DDG'!$2:$2,0),MATCH(C115,'ETPT Format DDG'!$2:$2,0))),
INDEX( 'ETPT Format DDG'!$A:$ZZ,,MATCH("Fonction agrégat",'ETPT Format DDG'!2:2,0)),"M-PLAC-ADD",
INDEX( 'ETPT Format DDG'!$A:$ZZ,,MATCH("Juridiction",'ETPT Format DDG'!2:2,0)),$A$3)</f>
      </c>
      <c r="J115" s="73">
        <f>SUMIFS(
INDEX('ETPT Format DDG'!$A:$ZZ,,IFERROR(MATCH(E115,'ETPT Format DDG'!$2:$2,0),MATCH(C115,'ETPT Format DDG'!$2:$2,0))),
INDEX( 'ETPT Format DDG'!$A:$ZZ,,MATCH("Fonction agrégat",'ETPT Format DDG'!2:2,0)),"M-PLAC-SUB",
INDEX( 'ETPT Format DDG'!$A:$ZZ,,MATCH("Juridiction",'ETPT Format DDG'!2:2,0)),$A$3)</f>
      </c>
      <c r="K115" s="73">
        <f>SUMIFS(
INDEX('ETPT Format DDG'!$A:$ZZ,,IFERROR(MATCH(E115,'ETPT Format DDG'!$2:$2,0),MATCH(C115,'ETPT Format DDG'!$2:$2,0))),
INDEX( 'ETPT Format DDG'!$A:$ZZ,,MATCH("Fonction agrégat",'ETPT Format DDG'!2:2,0)),"M-CONT",
INDEX( 'ETPT Format DDG'!$A:$ZZ,,MATCH("Juridiction",'ETPT Format DDG'!2:2,0)),$A$3,
INDEX( 'ETPT Format DDG'!$A:$ZZ,,MATCH("Catégorie",'ETPT Format DDG'!2:2,0)),"Magistrat")</f>
      </c>
      <c r="L115" s="71">
        <f>SUMIFS(
INDEX('ETPT Format DDG'!$A:$ZZ,,IFERROR(MATCH(E115,'ETPT Format DDG'!$2:$2,0),MATCH(C115,'ETPT Format DDG'!$2:$2,0))),
INDEX( 'ETPT Format DDG'!$A:$ZZ,,MATCH("Juridiction",'ETPT Format DDG'!2:2,0)),$A$3,
INDEX( 'ETPT Format DDG'!$A:$ZZ,,MATCH("Catégorie",'ETPT Format DDG'!2:2,0)),"Magistrat")</f>
      </c>
      <c r="M115" s="74">
        <f>IF(AND(OR(LEFT(C115,3)="12.",LEFT(E115,3)="12.",LEFT(E115,5)="CET &gt;", IFERROR(L115/$L$6,"")=0),NOT(AND(LEFT(E115,4)="12.8",IFERROR(G115/$G$6,"")&lt;&gt;0)),NOT(AND(LEFT(E115,5)="12.31",IFERROR(L115/$G$6,"")&lt;&gt;0)),NOT(AND(LEFT(E115,5)="12.32",IFERROR(L115/$G$6,"")&lt;&gt;0))),"", IFERROR(L115/$L$6,""))</f>
      </c>
      <c r="N115" s="73">
        <f>SUMIFS(
INDEX('ETPT Format DDG'!$A:$ZZ,,IFERROR(MATCH(E115,'ETPT Format DDG'!$2:$2,0),MATCH(C115,'ETPT Format DDG'!$2:$2,0))),
INDEX( 'ETPT Format DDG'!$A:$ZZ,,MATCH("Fonction agrégat",'ETPT Format DDG'!2:2,0)),"F-TIT",
INDEX( 'ETPT Format DDG'!$A:$ZZ,,MATCH("Juridiction",'ETPT Format DDG'!2:2,0)),$A$3)</f>
      </c>
      <c r="O115" s="72">
        <f>IF(AND(OR(LEFT(C115,3)="12.",LEFT(E115,3)="12.",LEFT(E115,5)="CET &gt;",IFERROR(N115/$N$6,"")=0),NOT(AND(LEFT(E115,4)="12.8",IFERROR(G115/$G$6,"")&lt;&gt;0)),NOT(AND(LEFT(E115,5)="12.31",IFERROR(N115/$G$6,"")&lt;&gt;0)),NOT(AND(LEFT(E115,5)="12.32",IFERROR(N115/$G$6,"")&lt;&gt;0))),"",IFERROR(N115/$N$6,""))</f>
      </c>
      <c r="P115" s="73">
        <f>SUMIFS(
INDEX('ETPT Format DDG'!$A:$FB,,IFERROR(MATCH(E115,'ETPT Format DDG'!$2:$2,0),MATCH(C115,'ETPT Format DDG'!$2:$2,0))),
INDEX( 'ETPT Format DDG'!$A:$ZZ,,MATCH("Fonction agrégat",'ETPT Format DDG'!2:2,0)),"F-PLAC-ADD",
INDEX( 'ETPT Format DDG'!$A:$ZZ,,MATCH("Juridiction",'ETPT Format DDG'!2:2,0)),$A$3)</f>
      </c>
      <c r="Q115" s="73">
        <f>SUMIFS(
INDEX('ETPT Format DDG'!$A:$FB,,IFERROR(MATCH(E115,'ETPT Format DDG'!$2:$2,0),MATCH(C115,'ETPT Format DDG'!$2:$2,0))),
INDEX( 'ETPT Format DDG'!$A:$ZZ,,MATCH("Fonction agrégat",'ETPT Format DDG'!2:2,0)),"F-PLAC-SUB",
INDEX( 'ETPT Format DDG'!$A:$ZZ,,MATCH("Juridiction",'ETPT Format DDG'!2:2,0)),$A$3)</f>
      </c>
      <c r="R115" s="73">
        <f>SUMIFS(
INDEX('ETPT Format DDG'!$A:$FB,,IFERROR(MATCH(E115,'ETPT Format DDG'!$2:$2,0),MATCH(C115,'ETPT Format DDG'!$2:$2,0))),
INDEX( 'ETPT Format DDG'!$A:$ZZ,,MATCH("Fonction agrégat",'ETPT Format DDG'!2:2,0)),"C",
'ETPT Format DDG'!$H:$H,"Greffe",
INDEX( 'ETPT Format DDG'!$A:$ZZ,,MATCH("Juridiction",'ETPT Format DDG'!2:2,0)),$A$3)</f>
      </c>
      <c r="S115" s="71">
        <f>SUMIFS(
INDEX('ETPT Format DDG'!$A:$FB,,IFERROR(MATCH(E115,'ETPT Format DDG'!$2:$2,0),MATCH(C115,'ETPT Format DDG'!$2:$2,0))),
INDEX( 'ETPT Format DDG'!$A:$ZZ,,MATCH("Catégorie",'ETPT Format DDG'!2:2,0)),"Greffe",
INDEX( 'ETPT Format DDG'!$A:$ZZ,,MATCH("Juridiction",'ETPT Format DDG'!2:2,0)),$A$3)</f>
      </c>
      <c r="T115" s="72">
        <f>IF(AND(OR(LEFT(C115,3)="12.",LEFT(E115,3)="12.",LEFT(E115,5)="CET &gt;",IFERROR(S115/$S$6,"")=0),NOT(AND(LEFT(E115,4)="12.8",IFERROR(G115/$G$6,"")&lt;&gt;0)),NOT(AND(LEFT(E115,5)="12.31",IFERROR(S115/$G$6,"")&lt;&gt;0)),NOT(AND(LEFT(E115,5)="12.32",IFERROR(S115/$G$6,"")&lt;&gt;0))),"", IFERROR(S115/$S$6,""))</f>
      </c>
      <c r="U115" s="71">
        <f>SUMIFS(
INDEX('ETPT Format DDG'!$A:$FB,,IFERROR(MATCH(E115,'ETPT Format DDG'!$2:$2,0),MATCH(C115,'ETPT Format DDG'!$2:$2,0))),
INDEX( 'ETPT Format DDG'!$A:$ZZ,,MATCH("Fonction agrégat",'ETPT Format DDG'!2:2,0)),"C",
INDEX( 'ETPT Format DDG'!$A:$ZZ,,MATCH("Juridiction",'ETPT Format DDG'!2:2,0)),$A$3,
INDEX( 'ETPT Format DDG'!$A:$ZZ,,MATCH("Catégorie",'ETPT Format DDG'!2:2,0)),"Autour du magistrat")</f>
      </c>
      <c r="V115" s="74">
        <f>IF(AND(OR(LEFT(C115,3)="12.",LEFT(E115,3)="12.",LEFT(E115,5)="CET &gt;",IFERROR(U115/$U$6,"")=0),NOT(AND(LEFT(E115,4)="12.8",IFERROR(G115/$G$6,"")&lt;&gt;0)),NOT(AND(LEFT(E115,5)="12.31",IFERROR(U115/$G$6,"")&lt;&gt;0)),NOT(AND(LEFT(E115,5)="12.32",IFERROR(U115/$G$6,"")&lt;&gt;0))),"", IFERROR(U115/$U$6,""))</f>
      </c>
    </row>
    <row r="116" ht="16" customHeight="1" spans="1:23" x14ac:dyDescent="0.25">
      <c r="A116" s="40"/>
      <c r="C116" s="68"/>
      <c r="D116" s="68"/>
      <c r="E116" s="69" t="s">
        <v>138</v>
      </c>
      <c r="F116" s="70" t="s">
        <v>138</v>
      </c>
      <c r="G116" s="71">
        <f>SUMIFS(
INDEX('ETPT Format DDG'!$A:$ZZ,,IFERROR(MATCH(E116,'ETPT Format DDG'!$2:$2,0),MATCH(C116,'ETPT Format DDG'!$2:$2,0))),
INDEX( 'ETPT Format DDG'!$A:$ZZ,,MATCH("Fonction agrégat",'ETPT Format DDG'!2:2,0)),"M-TIT",
INDEX( 'ETPT Format DDG'!$A:$ZZ,,MATCH("Juridiction",'ETPT Format DDG'!2:2,0)),$A$3)</f>
      </c>
      <c r="H116" s="72">
        <f>IF(AND(OR(LEFT(C116,3)="12.",LEFT(E116,3)="12.",LEFT(E116,5)="CET &gt;",IFERROR(G116/$G$6,"")=0),NOT(AND(LEFT(E116,4)="12.8",IFERROR(G116/$G$6,"")&lt;&gt;0)),NOT(AND(LEFT(E116,5)="12.31",IFERROR(G116/$G$6,"")&lt;&gt;0)),NOT(AND(LEFT(E116,5)="12.32",IFERROR(G116/$G$6,"")&lt;&gt;0))),"", IFERROR(G116/$G$6,""))</f>
      </c>
      <c r="I116" s="73">
        <f>SUMIFS(
INDEX('ETPT Format DDG'!$A:$ZZ,,IFERROR(MATCH(E116,'ETPT Format DDG'!$2:$2,0),MATCH(C116,'ETPT Format DDG'!$2:$2,0))),
INDEX( 'ETPT Format DDG'!$A:$ZZ,,MATCH("Fonction agrégat",'ETPT Format DDG'!2:2,0)),"M-PLAC-ADD",
INDEX( 'ETPT Format DDG'!$A:$ZZ,,MATCH("Juridiction",'ETPT Format DDG'!2:2,0)),$A$3)</f>
      </c>
      <c r="J116" s="73">
        <f>SUMIFS(
INDEX('ETPT Format DDG'!$A:$ZZ,,IFERROR(MATCH(E116,'ETPT Format DDG'!$2:$2,0),MATCH(C116,'ETPT Format DDG'!$2:$2,0))),
INDEX( 'ETPT Format DDG'!$A:$ZZ,,MATCH("Fonction agrégat",'ETPT Format DDG'!2:2,0)),"M-PLAC-SUB",
INDEX( 'ETPT Format DDG'!$A:$ZZ,,MATCH("Juridiction",'ETPT Format DDG'!2:2,0)),$A$3)</f>
      </c>
      <c r="K116" s="73">
        <f>SUMIFS(
INDEX('ETPT Format DDG'!$A:$ZZ,,IFERROR(MATCH(E116,'ETPT Format DDG'!$2:$2,0),MATCH(C116,'ETPT Format DDG'!$2:$2,0))),
INDEX( 'ETPT Format DDG'!$A:$ZZ,,MATCH("Fonction agrégat",'ETPT Format DDG'!2:2,0)),"M-CONT",
INDEX( 'ETPT Format DDG'!$A:$ZZ,,MATCH("Juridiction",'ETPT Format DDG'!2:2,0)),$A$3,
INDEX( 'ETPT Format DDG'!$A:$ZZ,,MATCH("Catégorie",'ETPT Format DDG'!2:2,0)),"Magistrat")</f>
      </c>
      <c r="L116" s="71">
        <f>SUMIFS(
INDEX('ETPT Format DDG'!$A:$ZZ,,IFERROR(MATCH(E116,'ETPT Format DDG'!$2:$2,0),MATCH(C116,'ETPT Format DDG'!$2:$2,0))),
INDEX( 'ETPT Format DDG'!$A:$ZZ,,MATCH("Juridiction",'ETPT Format DDG'!2:2,0)),$A$3,
INDEX( 'ETPT Format DDG'!$A:$ZZ,,MATCH("Catégorie",'ETPT Format DDG'!2:2,0)),"Magistrat")</f>
      </c>
      <c r="M116" s="74">
        <f>IF(AND(OR(LEFT(C116,3)="12.",LEFT(E116,3)="12.",LEFT(E116,5)="CET &gt;", IFERROR(L116/$L$6,"")=0),NOT(AND(LEFT(E116,4)="12.8",IFERROR(G116/$G$6,"")&lt;&gt;0)),NOT(AND(LEFT(E116,5)="12.31",IFERROR(L116/$G$6,"")&lt;&gt;0)),NOT(AND(LEFT(E116,5)="12.32",IFERROR(L116/$G$6,"")&lt;&gt;0))),"", IFERROR(L116/$L$6,""))</f>
      </c>
      <c r="N116" s="73">
        <f>SUMIFS(
INDEX('ETPT Format DDG'!$A:$ZZ,,IFERROR(MATCH(E116,'ETPT Format DDG'!$2:$2,0),MATCH(C116,'ETPT Format DDG'!$2:$2,0))),
INDEX( 'ETPT Format DDG'!$A:$ZZ,,MATCH("Fonction agrégat",'ETPT Format DDG'!2:2,0)),"F-TIT",
INDEX( 'ETPT Format DDG'!$A:$ZZ,,MATCH("Juridiction",'ETPT Format DDG'!2:2,0)),$A$3)</f>
      </c>
      <c r="O116" s="72">
        <f>IF(AND(OR(LEFT(C116,3)="12.",LEFT(E116,3)="12.",LEFT(E116,5)="CET &gt;",IFERROR(N116/$N$6,"")=0),NOT(AND(LEFT(E116,4)="12.8",IFERROR(G116/$G$6,"")&lt;&gt;0)),NOT(AND(LEFT(E116,5)="12.31",IFERROR(N116/$G$6,"")&lt;&gt;0)),NOT(AND(LEFT(E116,5)="12.32",IFERROR(N116/$G$6,"")&lt;&gt;0))),"",IFERROR(N116/$N$6,""))</f>
      </c>
      <c r="P116" s="73">
        <f>SUMIFS(
INDEX('ETPT Format DDG'!$A:$FB,,IFERROR(MATCH(E116,'ETPT Format DDG'!$2:$2,0),MATCH(C116,'ETPT Format DDG'!$2:$2,0))),
INDEX( 'ETPT Format DDG'!$A:$ZZ,,MATCH("Fonction agrégat",'ETPT Format DDG'!2:2,0)),"F-PLAC-ADD",
INDEX( 'ETPT Format DDG'!$A:$ZZ,,MATCH("Juridiction",'ETPT Format DDG'!2:2,0)),$A$3)</f>
      </c>
      <c r="Q116" s="73">
        <f>SUMIFS(
INDEX('ETPT Format DDG'!$A:$FB,,IFERROR(MATCH(E116,'ETPT Format DDG'!$2:$2,0),MATCH(C116,'ETPT Format DDG'!$2:$2,0))),
INDEX( 'ETPT Format DDG'!$A:$ZZ,,MATCH("Fonction agrégat",'ETPT Format DDG'!2:2,0)),"F-PLAC-SUB",
INDEX( 'ETPT Format DDG'!$A:$ZZ,,MATCH("Juridiction",'ETPT Format DDG'!2:2,0)),$A$3)</f>
      </c>
      <c r="R116" s="73">
        <f>SUMIFS(
INDEX('ETPT Format DDG'!$A:$FB,,IFERROR(MATCH(E116,'ETPT Format DDG'!$2:$2,0),MATCH(C116,'ETPT Format DDG'!$2:$2,0))),
INDEX( 'ETPT Format DDG'!$A:$ZZ,,MATCH("Fonction agrégat",'ETPT Format DDG'!2:2,0)),"C",
'ETPT Format DDG'!$H:$H,"Greffe",
INDEX( 'ETPT Format DDG'!$A:$ZZ,,MATCH("Juridiction",'ETPT Format DDG'!2:2,0)),$A$3)</f>
      </c>
      <c r="S116" s="71">
        <f>SUMIFS(
INDEX('ETPT Format DDG'!$A:$FB,,IFERROR(MATCH(E116,'ETPT Format DDG'!$2:$2,0),MATCH(C116,'ETPT Format DDG'!$2:$2,0))),
INDEX( 'ETPT Format DDG'!$A:$ZZ,,MATCH("Catégorie",'ETPT Format DDG'!2:2,0)),"Greffe",
INDEX( 'ETPT Format DDG'!$A:$ZZ,,MATCH("Juridiction",'ETPT Format DDG'!2:2,0)),$A$3)</f>
      </c>
      <c r="T116" s="72">
        <f>IF(AND(OR(LEFT(C116,3)="12.",LEFT(E116,3)="12.",LEFT(E116,5)="CET &gt;",IFERROR(S116/$S$6,"")=0),NOT(AND(LEFT(E116,4)="12.8",IFERROR(G116/$G$6,"")&lt;&gt;0)),NOT(AND(LEFT(E116,5)="12.31",IFERROR(S116/$G$6,"")&lt;&gt;0)),NOT(AND(LEFT(E116,5)="12.32",IFERROR(S116/$G$6,"")&lt;&gt;0))),"", IFERROR(S116/$S$6,""))</f>
      </c>
      <c r="U116" s="71">
        <f>SUMIFS(
INDEX('ETPT Format DDG'!$A:$FB,,IFERROR(MATCH(E116,'ETPT Format DDG'!$2:$2,0),MATCH(C116,'ETPT Format DDG'!$2:$2,0))),
INDEX( 'ETPT Format DDG'!$A:$ZZ,,MATCH("Fonction agrégat",'ETPT Format DDG'!2:2,0)),"C",
INDEX( 'ETPT Format DDG'!$A:$ZZ,,MATCH("Juridiction",'ETPT Format DDG'!2:2,0)),$A$3,
INDEX( 'ETPT Format DDG'!$A:$ZZ,,MATCH("Catégorie",'ETPT Format DDG'!2:2,0)),"Autour du magistrat")</f>
      </c>
      <c r="V116" s="74">
        <f>IF(AND(OR(LEFT(C116,3)="12.",LEFT(E116,3)="12.",LEFT(E116,5)="CET &gt;",IFERROR(U116/$U$6,"")=0),NOT(AND(LEFT(E116,4)="12.8",IFERROR(G116/$G$6,"")&lt;&gt;0)),NOT(AND(LEFT(E116,5)="12.31",IFERROR(U116/$G$6,"")&lt;&gt;0)),NOT(AND(LEFT(E116,5)="12.32",IFERROR(U116/$G$6,"")&lt;&gt;0))),"", IFERROR(U116/$U$6,""))</f>
      </c>
    </row>
    <row r="117" ht="16" customHeight="1" spans="1:23" x14ac:dyDescent="0.25">
      <c r="A117" s="40"/>
      <c r="C117" s="68"/>
      <c r="D117" s="68"/>
      <c r="E117" s="69" t="s">
        <v>139</v>
      </c>
      <c r="F117" s="70" t="s">
        <v>139</v>
      </c>
      <c r="G117" s="71">
        <f>SUMIFS(
INDEX('ETPT Format DDG'!$A:$ZZ,,IFERROR(MATCH(E117,'ETPT Format DDG'!$2:$2,0),MATCH(C117,'ETPT Format DDG'!$2:$2,0))),
INDEX( 'ETPT Format DDG'!$A:$ZZ,,MATCH("Fonction agrégat",'ETPT Format DDG'!2:2,0)),"M-TIT",
INDEX( 'ETPT Format DDG'!$A:$ZZ,,MATCH("Juridiction",'ETPT Format DDG'!2:2,0)),$A$3)</f>
      </c>
      <c r="H117" s="72">
        <f>IF(AND(OR(LEFT(C117,3)="12.",LEFT(E117,3)="12.",LEFT(E117,5)="CET &gt;",IFERROR(G117/$G$6,"")=0),NOT(AND(LEFT(E117,4)="12.8",IFERROR(G117/$G$6,"")&lt;&gt;0)),NOT(AND(LEFT(E117,5)="12.31",IFERROR(G117/$G$6,"")&lt;&gt;0)),NOT(AND(LEFT(E117,5)="12.32",IFERROR(G117/$G$6,"")&lt;&gt;0))),"", IFERROR(G117/$G$6,""))</f>
      </c>
      <c r="I117" s="73">
        <f>SUMIFS(
INDEX('ETPT Format DDG'!$A:$ZZ,,IFERROR(MATCH(E117,'ETPT Format DDG'!$2:$2,0),MATCH(C117,'ETPT Format DDG'!$2:$2,0))),
INDEX( 'ETPT Format DDG'!$A:$ZZ,,MATCH("Fonction agrégat",'ETPT Format DDG'!2:2,0)),"M-PLAC-ADD",
INDEX( 'ETPT Format DDG'!$A:$ZZ,,MATCH("Juridiction",'ETPT Format DDG'!2:2,0)),$A$3)</f>
      </c>
      <c r="J117" s="73">
        <f>SUMIFS(
INDEX('ETPT Format DDG'!$A:$ZZ,,IFERROR(MATCH(E117,'ETPT Format DDG'!$2:$2,0),MATCH(C117,'ETPT Format DDG'!$2:$2,0))),
INDEX( 'ETPT Format DDG'!$A:$ZZ,,MATCH("Fonction agrégat",'ETPT Format DDG'!2:2,0)),"M-PLAC-SUB",
INDEX( 'ETPT Format DDG'!$A:$ZZ,,MATCH("Juridiction",'ETPT Format DDG'!2:2,0)),$A$3)</f>
      </c>
      <c r="K117" s="73">
        <f>SUMIFS(
INDEX('ETPT Format DDG'!$A:$ZZ,,IFERROR(MATCH(E117,'ETPT Format DDG'!$2:$2,0),MATCH(C117,'ETPT Format DDG'!$2:$2,0))),
INDEX( 'ETPT Format DDG'!$A:$ZZ,,MATCH("Fonction agrégat",'ETPT Format DDG'!2:2,0)),"M-CONT",
INDEX( 'ETPT Format DDG'!$A:$ZZ,,MATCH("Juridiction",'ETPT Format DDG'!2:2,0)),$A$3,
INDEX( 'ETPT Format DDG'!$A:$ZZ,,MATCH("Catégorie",'ETPT Format DDG'!2:2,0)),"Magistrat")</f>
      </c>
      <c r="L117" s="71">
        <f>SUMIFS(
INDEX('ETPT Format DDG'!$A:$ZZ,,IFERROR(MATCH(E117,'ETPT Format DDG'!$2:$2,0),MATCH(C117,'ETPT Format DDG'!$2:$2,0))),
INDEX( 'ETPT Format DDG'!$A:$ZZ,,MATCH("Juridiction",'ETPT Format DDG'!2:2,0)),$A$3,
INDEX( 'ETPT Format DDG'!$A:$ZZ,,MATCH("Catégorie",'ETPT Format DDG'!2:2,0)),"Magistrat")</f>
      </c>
      <c r="M117" s="74">
        <f>IF(AND(OR(LEFT(C117,3)="12.",LEFT(E117,3)="12.",LEFT(E117,5)="CET &gt;", IFERROR(L117/$L$6,"")=0),NOT(AND(LEFT(E117,4)="12.8",IFERROR(G117/$G$6,"")&lt;&gt;0)),NOT(AND(LEFT(E117,5)="12.31",IFERROR(L117/$G$6,"")&lt;&gt;0)),NOT(AND(LEFT(E117,5)="12.32",IFERROR(L117/$G$6,"")&lt;&gt;0))),"", IFERROR(L117/$L$6,""))</f>
      </c>
      <c r="N117" s="73">
        <f>SUMIFS(
INDEX('ETPT Format DDG'!$A:$ZZ,,IFERROR(MATCH(E117,'ETPT Format DDG'!$2:$2,0),MATCH(C117,'ETPT Format DDG'!$2:$2,0))),
INDEX( 'ETPT Format DDG'!$A:$ZZ,,MATCH("Fonction agrégat",'ETPT Format DDG'!2:2,0)),"F-TIT",
INDEX( 'ETPT Format DDG'!$A:$ZZ,,MATCH("Juridiction",'ETPT Format DDG'!2:2,0)),$A$3)</f>
      </c>
      <c r="O117" s="72">
        <f>IF(AND(OR(LEFT(C117,3)="12.",LEFT(E117,3)="12.",LEFT(E117,5)="CET &gt;",IFERROR(N117/$N$6,"")=0),NOT(AND(LEFT(E117,4)="12.8",IFERROR(G117/$G$6,"")&lt;&gt;0)),NOT(AND(LEFT(E117,5)="12.31",IFERROR(N117/$G$6,"")&lt;&gt;0)),NOT(AND(LEFT(E117,5)="12.32",IFERROR(N117/$G$6,"")&lt;&gt;0))),"",IFERROR(N117/$N$6,""))</f>
      </c>
      <c r="P117" s="73">
        <f>SUMIFS(
INDEX('ETPT Format DDG'!$A:$FB,,IFERROR(MATCH(E117,'ETPT Format DDG'!$2:$2,0),MATCH(C117,'ETPT Format DDG'!$2:$2,0))),
INDEX( 'ETPT Format DDG'!$A:$ZZ,,MATCH("Fonction agrégat",'ETPT Format DDG'!2:2,0)),"F-PLAC-ADD",
INDEX( 'ETPT Format DDG'!$A:$ZZ,,MATCH("Juridiction",'ETPT Format DDG'!2:2,0)),$A$3)</f>
      </c>
      <c r="Q117" s="73">
        <f>SUMIFS(
INDEX('ETPT Format DDG'!$A:$FB,,IFERROR(MATCH(E117,'ETPT Format DDG'!$2:$2,0),MATCH(C117,'ETPT Format DDG'!$2:$2,0))),
INDEX( 'ETPT Format DDG'!$A:$ZZ,,MATCH("Fonction agrégat",'ETPT Format DDG'!2:2,0)),"F-PLAC-SUB",
INDEX( 'ETPT Format DDG'!$A:$ZZ,,MATCH("Juridiction",'ETPT Format DDG'!2:2,0)),$A$3)</f>
      </c>
      <c r="R117" s="73">
        <f>SUMIFS(
INDEX('ETPT Format DDG'!$A:$FB,,IFERROR(MATCH(E117,'ETPT Format DDG'!$2:$2,0),MATCH(C117,'ETPT Format DDG'!$2:$2,0))),
INDEX( 'ETPT Format DDG'!$A:$ZZ,,MATCH("Fonction agrégat",'ETPT Format DDG'!2:2,0)),"C",
'ETPT Format DDG'!$H:$H,"Greffe",
INDEX( 'ETPT Format DDG'!$A:$ZZ,,MATCH("Juridiction",'ETPT Format DDG'!2:2,0)),$A$3)</f>
      </c>
      <c r="S117" s="71">
        <f>SUMIFS(
INDEX('ETPT Format DDG'!$A:$FB,,IFERROR(MATCH(E117,'ETPT Format DDG'!$2:$2,0),MATCH(C117,'ETPT Format DDG'!$2:$2,0))),
INDEX( 'ETPT Format DDG'!$A:$ZZ,,MATCH("Catégorie",'ETPT Format DDG'!2:2,0)),"Greffe",
INDEX( 'ETPT Format DDG'!$A:$ZZ,,MATCH("Juridiction",'ETPT Format DDG'!2:2,0)),$A$3)</f>
      </c>
      <c r="T117" s="72">
        <f>IF(AND(OR(LEFT(C117,3)="12.",LEFT(E117,3)="12.",LEFT(E117,5)="CET &gt;",IFERROR(S117/$S$6,"")=0),NOT(AND(LEFT(E117,4)="12.8",IFERROR(G117/$G$6,"")&lt;&gt;0)),NOT(AND(LEFT(E117,5)="12.31",IFERROR(S117/$G$6,"")&lt;&gt;0)),NOT(AND(LEFT(E117,5)="12.32",IFERROR(S117/$G$6,"")&lt;&gt;0))),"", IFERROR(S117/$S$6,""))</f>
      </c>
      <c r="U117" s="71">
        <f>SUMIFS(
INDEX('ETPT Format DDG'!$A:$FB,,IFERROR(MATCH(E117,'ETPT Format DDG'!$2:$2,0),MATCH(C117,'ETPT Format DDG'!$2:$2,0))),
INDEX( 'ETPT Format DDG'!$A:$ZZ,,MATCH("Fonction agrégat",'ETPT Format DDG'!2:2,0)),"C",
INDEX( 'ETPT Format DDG'!$A:$ZZ,,MATCH("Juridiction",'ETPT Format DDG'!2:2,0)),$A$3,
INDEX( 'ETPT Format DDG'!$A:$ZZ,,MATCH("Catégorie",'ETPT Format DDG'!2:2,0)),"Autour du magistrat")</f>
      </c>
      <c r="V117" s="74">
        <f>IF(AND(OR(LEFT(C117,3)="12.",LEFT(E117,3)="12.",LEFT(E117,5)="CET &gt;",IFERROR(U117/$U$6,"")=0),NOT(AND(LEFT(E117,4)="12.8",IFERROR(G117/$G$6,"")&lt;&gt;0)),NOT(AND(LEFT(E117,5)="12.31",IFERROR(U117/$G$6,"")&lt;&gt;0)),NOT(AND(LEFT(E117,5)="12.32",IFERROR(U117/$G$6,"")&lt;&gt;0))),"", IFERROR(U117/$U$6,""))</f>
      </c>
    </row>
    <row r="118" ht="16" customHeight="1" spans="1:23" x14ac:dyDescent="0.25">
      <c r="A118" s="40"/>
      <c r="C118" s="68"/>
      <c r="D118" s="68"/>
      <c r="E118" s="69" t="s">
        <v>140</v>
      </c>
      <c r="F118" s="70" t="s">
        <v>140</v>
      </c>
      <c r="G118" s="71">
        <f>SUMIFS(
INDEX('ETPT Format DDG'!$A:$ZZ,,IFERROR(MATCH(E118,'ETPT Format DDG'!$2:$2,0),MATCH(C118,'ETPT Format DDG'!$2:$2,0))),
INDEX( 'ETPT Format DDG'!$A:$ZZ,,MATCH("Fonction agrégat",'ETPT Format DDG'!2:2,0)),"M-TIT",
INDEX( 'ETPT Format DDG'!$A:$ZZ,,MATCH("Juridiction",'ETPT Format DDG'!2:2,0)),$A$3)</f>
      </c>
      <c r="H118" s="72">
        <f>IF(AND(OR(LEFT(C118,3)="12.",LEFT(E118,3)="12.",LEFT(E118,5)="CET &gt;",IFERROR(G118/$G$6,"")=0),NOT(AND(LEFT(E118,4)="12.8",IFERROR(G118/$G$6,"")&lt;&gt;0)),NOT(AND(LEFT(E118,5)="12.31",IFERROR(G118/$G$6,"")&lt;&gt;0)),NOT(AND(LEFT(E118,5)="12.32",IFERROR(G118/$G$6,"")&lt;&gt;0))),"", IFERROR(G118/$G$6,""))</f>
      </c>
      <c r="I118" s="73">
        <f>SUMIFS(
INDEX('ETPT Format DDG'!$A:$ZZ,,IFERROR(MATCH(E118,'ETPT Format DDG'!$2:$2,0),MATCH(C118,'ETPT Format DDG'!$2:$2,0))),
INDEX( 'ETPT Format DDG'!$A:$ZZ,,MATCH("Fonction agrégat",'ETPT Format DDG'!2:2,0)),"M-PLAC-ADD",
INDEX( 'ETPT Format DDG'!$A:$ZZ,,MATCH("Juridiction",'ETPT Format DDG'!2:2,0)),$A$3)</f>
      </c>
      <c r="J118" s="73">
        <f>SUMIFS(
INDEX('ETPT Format DDG'!$A:$ZZ,,IFERROR(MATCH(E118,'ETPT Format DDG'!$2:$2,0),MATCH(C118,'ETPT Format DDG'!$2:$2,0))),
INDEX( 'ETPT Format DDG'!$A:$ZZ,,MATCH("Fonction agrégat",'ETPT Format DDG'!2:2,0)),"M-PLAC-SUB",
INDEX( 'ETPT Format DDG'!$A:$ZZ,,MATCH("Juridiction",'ETPT Format DDG'!2:2,0)),$A$3)</f>
      </c>
      <c r="K118" s="73">
        <f>SUMIFS(
INDEX('ETPT Format DDG'!$A:$ZZ,,IFERROR(MATCH(E118,'ETPT Format DDG'!$2:$2,0),MATCH(C118,'ETPT Format DDG'!$2:$2,0))),
INDEX( 'ETPT Format DDG'!$A:$ZZ,,MATCH("Fonction agrégat",'ETPT Format DDG'!2:2,0)),"M-CONT",
INDEX( 'ETPT Format DDG'!$A:$ZZ,,MATCH("Juridiction",'ETPT Format DDG'!2:2,0)),$A$3,
INDEX( 'ETPT Format DDG'!$A:$ZZ,,MATCH("Catégorie",'ETPT Format DDG'!2:2,0)),"Magistrat")</f>
      </c>
      <c r="L118" s="71">
        <f>SUMIFS(
INDEX('ETPT Format DDG'!$A:$ZZ,,IFERROR(MATCH(E118,'ETPT Format DDG'!$2:$2,0),MATCH(C118,'ETPT Format DDG'!$2:$2,0))),
INDEX( 'ETPT Format DDG'!$A:$ZZ,,MATCH("Juridiction",'ETPT Format DDG'!2:2,0)),$A$3,
INDEX( 'ETPT Format DDG'!$A:$ZZ,,MATCH("Catégorie",'ETPT Format DDG'!2:2,0)),"Magistrat")</f>
      </c>
      <c r="M118" s="74">
        <f>IF(AND(OR(LEFT(C118,3)="12.",LEFT(E118,3)="12.",LEFT(E118,5)="CET &gt;", IFERROR(L118/$L$6,"")=0),NOT(AND(LEFT(E118,4)="12.8",IFERROR(G118/$G$6,"")&lt;&gt;0)),NOT(AND(LEFT(E118,5)="12.31",IFERROR(L118/$G$6,"")&lt;&gt;0)),NOT(AND(LEFT(E118,5)="12.32",IFERROR(L118/$G$6,"")&lt;&gt;0))),"", IFERROR(L118/$L$6,""))</f>
      </c>
      <c r="N118" s="73">
        <f>SUMIFS(
INDEX('ETPT Format DDG'!$A:$ZZ,,IFERROR(MATCH(E118,'ETPT Format DDG'!$2:$2,0),MATCH(C118,'ETPT Format DDG'!$2:$2,0))),
INDEX( 'ETPT Format DDG'!$A:$ZZ,,MATCH("Fonction agrégat",'ETPT Format DDG'!2:2,0)),"F-TIT",
INDEX( 'ETPT Format DDG'!$A:$ZZ,,MATCH("Juridiction",'ETPT Format DDG'!2:2,0)),$A$3)</f>
      </c>
      <c r="O118" s="72">
        <f>IF(AND(OR(LEFT(C118,3)="12.",LEFT(E118,3)="12.",LEFT(E118,5)="CET &gt;",IFERROR(N118/$N$6,"")=0),NOT(AND(LEFT(E118,4)="12.8",IFERROR(G118/$G$6,"")&lt;&gt;0)),NOT(AND(LEFT(E118,5)="12.31",IFERROR(N118/$G$6,"")&lt;&gt;0)),NOT(AND(LEFT(E118,5)="12.32",IFERROR(N118/$G$6,"")&lt;&gt;0))),"",IFERROR(N118/$N$6,""))</f>
      </c>
      <c r="P118" s="73">
        <f>SUMIFS(
INDEX('ETPT Format DDG'!$A:$FB,,IFERROR(MATCH(E118,'ETPT Format DDG'!$2:$2,0),MATCH(C118,'ETPT Format DDG'!$2:$2,0))),
INDEX( 'ETPT Format DDG'!$A:$ZZ,,MATCH("Fonction agrégat",'ETPT Format DDG'!2:2,0)),"F-PLAC-ADD",
INDEX( 'ETPT Format DDG'!$A:$ZZ,,MATCH("Juridiction",'ETPT Format DDG'!2:2,0)),$A$3)</f>
      </c>
      <c r="Q118" s="73">
        <f>SUMIFS(
INDEX('ETPT Format DDG'!$A:$FB,,IFERROR(MATCH(E118,'ETPT Format DDG'!$2:$2,0),MATCH(C118,'ETPT Format DDG'!$2:$2,0))),
INDEX( 'ETPT Format DDG'!$A:$ZZ,,MATCH("Fonction agrégat",'ETPT Format DDG'!2:2,0)),"F-PLAC-SUB",
INDEX( 'ETPT Format DDG'!$A:$ZZ,,MATCH("Juridiction",'ETPT Format DDG'!2:2,0)),$A$3)</f>
      </c>
      <c r="R118" s="73">
        <f>SUMIFS(
INDEX('ETPT Format DDG'!$A:$FB,,IFERROR(MATCH(E118,'ETPT Format DDG'!$2:$2,0),MATCH(C118,'ETPT Format DDG'!$2:$2,0))),
INDEX( 'ETPT Format DDG'!$A:$ZZ,,MATCH("Fonction agrégat",'ETPT Format DDG'!2:2,0)),"C",
'ETPT Format DDG'!$H:$H,"Greffe",
INDEX( 'ETPT Format DDG'!$A:$ZZ,,MATCH("Juridiction",'ETPT Format DDG'!2:2,0)),$A$3)</f>
      </c>
      <c r="S118" s="71">
        <f>SUMIFS(
INDEX('ETPT Format DDG'!$A:$FB,,IFERROR(MATCH(E118,'ETPT Format DDG'!$2:$2,0),MATCH(C118,'ETPT Format DDG'!$2:$2,0))),
INDEX( 'ETPT Format DDG'!$A:$ZZ,,MATCH("Catégorie",'ETPT Format DDG'!2:2,0)),"Greffe",
INDEX( 'ETPT Format DDG'!$A:$ZZ,,MATCH("Juridiction",'ETPT Format DDG'!2:2,0)),$A$3)</f>
      </c>
      <c r="T118" s="72">
        <f>IF(AND(OR(LEFT(C118,3)="12.",LEFT(E118,3)="12.",LEFT(E118,5)="CET &gt;",IFERROR(S118/$S$6,"")=0),NOT(AND(LEFT(E118,4)="12.8",IFERROR(G118/$G$6,"")&lt;&gt;0)),NOT(AND(LEFT(E118,5)="12.31",IFERROR(S118/$G$6,"")&lt;&gt;0)),NOT(AND(LEFT(E118,5)="12.32",IFERROR(S118/$G$6,"")&lt;&gt;0))),"", IFERROR(S118/$S$6,""))</f>
      </c>
      <c r="U118" s="71">
        <f>SUMIFS(
INDEX('ETPT Format DDG'!$A:$FB,,IFERROR(MATCH(E118,'ETPT Format DDG'!$2:$2,0),MATCH(C118,'ETPT Format DDG'!$2:$2,0))),
INDEX( 'ETPT Format DDG'!$A:$ZZ,,MATCH("Fonction agrégat",'ETPT Format DDG'!2:2,0)),"C",
INDEX( 'ETPT Format DDG'!$A:$ZZ,,MATCH("Juridiction",'ETPT Format DDG'!2:2,0)),$A$3,
INDEX( 'ETPT Format DDG'!$A:$ZZ,,MATCH("Catégorie",'ETPT Format DDG'!2:2,0)),"Autour du magistrat")</f>
      </c>
      <c r="V118" s="74">
        <f>IF(AND(OR(LEFT(C118,3)="12.",LEFT(E118,3)="12.",LEFT(E118,5)="CET &gt;",IFERROR(U118/$U$6,"")=0),NOT(AND(LEFT(E118,4)="12.8",IFERROR(G118/$G$6,"")&lt;&gt;0)),NOT(AND(LEFT(E118,5)="12.31",IFERROR(U118/$G$6,"")&lt;&gt;0)),NOT(AND(LEFT(E118,5)="12.32",IFERROR(U118/$G$6,"")&lt;&gt;0))),"", IFERROR(U118/$U$6,""))</f>
      </c>
    </row>
    <row r="119" spans="1:23" x14ac:dyDescent="0.25">
      <c r="G119" s="75"/>
      <c r="H119" s="75"/>
      <c r="I119" s="75"/>
      <c r="J119" s="75"/>
      <c r="K119" s="75"/>
      <c r="L119" s="75"/>
      <c r="M119" s="75"/>
      <c r="N119" s="75"/>
      <c r="O119" s="75"/>
      <c r="P119" s="75"/>
      <c r="Q119" s="75"/>
      <c r="R119" s="75"/>
      <c r="S119" s="75"/>
      <c r="T119" s="75"/>
      <c r="U119" s="75"/>
      <c r="V119" s="75"/>
    </row>
  </sheetData>
  <mergeCells count="3">
    <mergeCell ref="G4:M4"/>
    <mergeCell ref="N4:T4"/>
    <mergeCell ref="U4:V4"/>
  </mergeCells>
  <conditionalFormatting sqref="B4:F4">
    <cfRule type="expression" dxfId="1" priority="16">
      <formula>IF(LEFT($A$3,2)&lt;&gt;"TJ",TRUE,FALSE)</formula>
    </cfRule>
  </conditionalFormatting>
  <conditionalFormatting sqref="C6:V151">
    <cfRule type="expression" dxfId="2" priority="18">
      <formula>AND(ISBLANK($C6)=FALSE,ISBLANK($E6)=TRUE)</formula>
    </cfRule>
  </conditionalFormatting>
  <conditionalFormatting sqref="D1:F1048576">
    <cfRule type="expression" dxfId="3" priority="1">
      <formula>AND($D1="8. TOTAL JUGES D'INSTRUCTION",ROUND(_xlfn.NUMBERVALUE($U1)-_xlfn.NUMBERVALUE($U2)-_xlfn.NUMBERVALUE($U3)-_xlfn.NUMBERVALUE($U4)-_xlfn.NUMBERVALUE($U5)-_xlfn.NUMBERVALUE($U6),3)&lt;&gt;0)</formula>
    </cfRule>
    <cfRule type="expression" dxfId="4" priority="2">
      <formula>AND($D1="8. TOTAL JUGES D'INSTRUCTION",ROUND(_xlfn.NUMBERVALUE($S1)-_xlfn.NUMBERVALUE($S2)-_xlfn.NUMBERVALUE($S3)-_xlfn.NUMBERVALUE($S4)-_xlfn.NUMBERVALUE($S5)-_xlfn.NUMBERVALUE($S6),3)&lt;&gt;0)</formula>
    </cfRule>
    <cfRule type="expression" dxfId="5" priority="7">
      <formula>AND($D1="8. TOTAL JUGES D'INSTRUCTION",ROUND(_xlfn.NUMBERVALUE($L1)-_xlfn.NUMBERVALUE($L2)-_xlfn.NUMBERVALUE($L3)-_xlfn.NUMBERVALUE($L4)-_xlfn.NUMBERVALUE($L5)-_xlfn.NUMBERVALUE($L6),3)&lt;&gt;0)</formula>
    </cfRule>
    <cfRule type="expression" dxfId="6" priority="12">
      <formula>AND($D1="6. TOTAL JUGES DES ENFANTS",OR(ROUND(_xlfn.NUMBERVALUE($L1)-_xlfn.NUMBERVALUE($L2)-_xlfn.NUMBERVALUE($L3),3)&lt;&gt;0,ROUND(_xlfn.NUMBERVALUE($S1)-_xlfn.NUMBERVALUE($S2)-_xlfn.NUMBERVALUE($S3),3)&lt;&gt;0,ROUND(_xlfn.NUMBERVALUE($U1)-_xlfn.NUMBERVALUE($U2)-_xlfn.NUMBERVALUE($U3),3)&lt;&gt;0))</formula>
    </cfRule>
  </conditionalFormatting>
  <conditionalFormatting sqref="D7:F7">
    <cfRule type="expression" dxfId="7" priority="6">
      <formula>OR(ROUND(_xlfn.NUMBERVALUE($L7),3)&lt;&gt;ROUND(_xlfn.NUMBERVALUE($L6),3),ROUND(_xlfn.NUMBERVALUE($S7),3)&lt;&gt;ROUND(_xlfn.NUMBERVALUE($S6),3),ROUND(_xlfn.NUMBERVALUE($U7),3)&lt;&gt;ROUND(_xlfn.NUMBERVALUE($U6),3))</formula>
    </cfRule>
  </conditionalFormatting>
  <conditionalFormatting sqref="G1:M1048576">
    <cfRule type="expression" dxfId="8" priority="11">
      <formula>AND($D1="8. TOTAL JUGES D'INSTRUCTION",ROUND(_xlfn.NUMBERVALUE($L1)-(_xlfn.NUMBERVALUE($L2)+_xlfn.NUMBERVALUE($L3)+_xlfn.NUMBERVALUE($L4)+_xlfn.NUMBERVALUE($L5)+_xlfn.NUMBERVALUE($L6)),3)&lt;&gt;0)</formula>
    </cfRule>
    <cfRule type="expression" dxfId="9" priority="15">
      <formula>AND($D1="6. TOTAL JUGES DES ENFANTS",ROUND(_xlfn.NUMBERVALUE($L1)-(_xlfn.NUMBERVALUE($L2)+_xlfn.NUMBERVALUE($L3)),3)&lt;&gt;0)</formula>
    </cfRule>
  </conditionalFormatting>
  <conditionalFormatting sqref="G7:M7">
    <cfRule type="expression" dxfId="10" priority="5">
      <formula>ROUND(_xlfn.NUMBERVALUE($L7),3)&lt;&gt;ROUND(_xlfn.NUMBERVALUE($L6),3)</formula>
    </cfRule>
  </conditionalFormatting>
  <conditionalFormatting sqref="N1:T1048576">
    <cfRule type="expression" dxfId="11" priority="10">
      <formula>AND($D1="8. TOTAL JUGES D'INSTRUCTION",ROUND(_xlfn.NUMBERVALUE($S1)-_xlfn.NUMBERVALUE($S2)-_xlfn.NUMBERVALUE($S3)-_xlfn.NUMBERVALUE($S4)-_xlfn.NUMBERVALUE($S5)-_xlfn.NUMBERVALUE($S6),3)&lt;&gt;0)</formula>
    </cfRule>
    <cfRule type="expression" dxfId="12" priority="14">
      <formula>AND($D1="6. TOTAL JUGES DES ENFANTS",ROUND(_xlfn.NUMBERVALUE($S1)-_xlfn.NUMBERVALUE($S2)-_xlfn.NUMBERVALUE($S3),3)&lt;&gt;0)</formula>
    </cfRule>
  </conditionalFormatting>
  <conditionalFormatting sqref="N7:T7">
    <cfRule type="expression" dxfId="13" priority="4">
      <formula>ROUND(_xlfn.NUMBERVALUE($S7),3)&lt;&gt;ROUND(_xlfn.NUMBERVALUE($S6),3)</formula>
    </cfRule>
  </conditionalFormatting>
  <conditionalFormatting sqref="U1:V1048576">
    <cfRule type="expression" dxfId="14" priority="9">
      <formula>AND($D1="8. TOTAL JUGES D'INSTRUCTION",ROUND(_xlfn.NUMBERVALUE($U1)-_xlfn.NUMBERVALUE($U2)-_xlfn.NUMBERVALUE($U3)-_xlfn.NUMBERVALUE($U4)-_xlfn.NUMBERVALUE($U5)-_xlfn.NUMBERVALUE($U6),3)&lt;&gt;0)</formula>
    </cfRule>
    <cfRule type="expression" dxfId="15" priority="13">
      <formula>AND($D1="6. TOTAL JUGES DES ENFANTS",ROUND(_xlfn.NUMBERVALUE($U1)-_xlfn.NUMBERVALUE($U2)-_xlfn.NUMBERVALUE($U3),3)&lt;&gt;0)</formula>
    </cfRule>
  </conditionalFormatting>
  <conditionalFormatting sqref="U7:V7">
    <cfRule type="expression" dxfId="16" priority="3">
      <formula>ROUND(_xlfn.NUMBERVALUE($U7),3)&lt;&gt;ROUND(_xlfn.NUMBERVALUE($U6),3)</formula>
    </cfRule>
  </conditionalFormatting>
  <dataValidations count="1">
    <dataValidation type="list" showInputMessage="1" prompt="Selectionner une juridiction pour mettre à jour le tableau de synthèse ci-après" showErrorMessage="1" error="Veuillez selectionner une valeur dans le menu déroulant" sqref="A3">
      <formula1>"TEST010"</formula1>
    </dataValidation>
  </dataValidation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zoomScale="100" zoomScaleNormal="100">
      <selection activeCell="M30" sqref="M30"/>
    </sheetView>
  </sheetViews>
  <sheetFormatPr defaultRowHeight="13" outlineLevelRow="0" outlineLevelCol="0" x14ac:dyDescent="0.15" defaultColWidth="11" customHeight="1"/>
  <cols>
    <col min="1" max="1" width="8.33203125" style="216" customWidth="1"/>
    <col min="2" max="2" width="25.5" style="217" customWidth="1"/>
    <col min="3" max="4" width="11" style="216" customWidth="1"/>
    <col min="5" max="5" width="19" style="217" customWidth="1"/>
    <col min="6" max="6" width="11" style="216" customWidth="1"/>
    <col min="7" max="7" width="12" style="216" customWidth="1"/>
    <col min="8" max="8" width="27.33203125" style="217" customWidth="1"/>
    <col min="9" max="9" width="12.1640625" style="216" customWidth="1"/>
    <col min="10" max="11" width="22.33203125" style="216" customWidth="1"/>
    <col min="12" max="16384" width="11" style="216" customWidth="1"/>
  </cols>
  <sheetData>
    <row r="1" ht="16" customHeight="1" spans="1:13" s="218" customFormat="1" x14ac:dyDescent="0.25">
      <c r="A1" s="219" t="s">
        <v>697</v>
      </c>
      <c r="D1" s="219" t="s">
        <v>698</v>
      </c>
      <c r="G1" s="219" t="s">
        <v>699</v>
      </c>
      <c r="I1" s="220" t="s">
        <v>700</v>
      </c>
      <c r="M1" s="3" t="s">
        <v>701</v>
      </c>
    </row>
    <row r="2" ht="16" customHeight="1" spans="13:13" x14ac:dyDescent="0.25">
      <c r="M2" s="3" t="s">
        <v>701</v>
      </c>
    </row>
    <row r="3" ht="16" customHeight="1" spans="2:13" x14ac:dyDescent="0.25">
      <c r="B3" s="221"/>
      <c r="E3" s="221"/>
      <c r="H3" s="222"/>
      <c r="M3" s="3" t="s">
        <v>701</v>
      </c>
    </row>
    <row r="4" ht="16" customHeight="1" spans="2:13" x14ac:dyDescent="0.25">
      <c r="B4" s="221"/>
      <c r="E4" s="221"/>
      <c r="H4" s="222"/>
      <c r="M4" s="3" t="s">
        <v>701</v>
      </c>
    </row>
    <row r="5" ht="16" customHeight="1" spans="2:13" x14ac:dyDescent="0.25">
      <c r="B5" s="221"/>
      <c r="E5" s="221"/>
      <c r="H5" s="222"/>
      <c r="M5" s="3" t="s">
        <v>701</v>
      </c>
    </row>
    <row r="6" ht="16" customHeight="1" spans="8:13" x14ac:dyDescent="0.25">
      <c r="H6" s="222"/>
      <c r="M6" s="3" t="s">
        <v>701</v>
      </c>
    </row>
    <row r="7" ht="16" customHeight="1" spans="8:13" x14ac:dyDescent="0.25">
      <c r="H7" s="222"/>
      <c r="M7" s="3" t="s">
        <v>701</v>
      </c>
    </row>
    <row r="8" ht="16" customHeight="1" spans="8:13" x14ac:dyDescent="0.25">
      <c r="H8" s="222"/>
      <c r="M8" s="3" t="s">
        <v>701</v>
      </c>
    </row>
    <row r="9" ht="16" customHeight="1" spans="13:13" x14ac:dyDescent="0.25">
      <c r="M9" s="3" t="s">
        <v>701</v>
      </c>
    </row>
    <row r="10" ht="16" customHeight="1" spans="13:13" x14ac:dyDescent="0.25">
      <c r="M10" s="3" t="s">
        <v>701</v>
      </c>
    </row>
    <row r="11" ht="16" customHeight="1" spans="13:13" x14ac:dyDescent="0.25">
      <c r="M11" s="3" t="s">
        <v>701</v>
      </c>
    </row>
    <row r="12" ht="16" customHeight="1" spans="13:13" x14ac:dyDescent="0.25">
      <c r="M12" s="3" t="s">
        <v>701</v>
      </c>
    </row>
    <row r="13" ht="16" customHeight="1" spans="13:13" x14ac:dyDescent="0.25">
      <c r="M13" s="3" t="s">
        <v>701</v>
      </c>
    </row>
    <row r="14" ht="16" customHeight="1" spans="13:13" x14ac:dyDescent="0.25">
      <c r="M14" s="3" t="s">
        <v>701</v>
      </c>
    </row>
    <row r="15" ht="16" customHeight="1" spans="13:13" x14ac:dyDescent="0.25">
      <c r="M15" s="3" t="s">
        <v>701</v>
      </c>
    </row>
    <row r="16" ht="16" customHeight="1" spans="13:13" x14ac:dyDescent="0.25">
      <c r="M16" s="3" t="s">
        <v>701</v>
      </c>
    </row>
    <row r="17" ht="16" customHeight="1" spans="13:13" x14ac:dyDescent="0.25">
      <c r="M17" s="3" t="s">
        <v>701</v>
      </c>
    </row>
    <row r="18" ht="16" customHeight="1" spans="13:13" x14ac:dyDescent="0.25">
      <c r="M18" s="3" t="s">
        <v>701</v>
      </c>
    </row>
    <row r="19" ht="16" customHeight="1" spans="13:13" x14ac:dyDescent="0.25">
      <c r="M19" s="3" t="s">
        <v>701</v>
      </c>
    </row>
    <row r="20" ht="16" customHeight="1" spans="13:13" x14ac:dyDescent="0.25">
      <c r="M20" s="3" t="s">
        <v>701</v>
      </c>
    </row>
    <row r="21" ht="16" customHeight="1" spans="13:13" x14ac:dyDescent="0.25">
      <c r="M21" s="3" t="s">
        <v>701</v>
      </c>
    </row>
    <row r="22" ht="16" customHeight="1" spans="13:13" x14ac:dyDescent="0.25">
      <c r="M22" s="3" t="s">
        <v>701</v>
      </c>
    </row>
    <row r="23" ht="16" customHeight="1" spans="13:13" x14ac:dyDescent="0.25">
      <c r="M23" s="3" t="s">
        <v>701</v>
      </c>
    </row>
    <row r="24" ht="16" customHeight="1" spans="13:13" x14ac:dyDescent="0.25">
      <c r="M24" s="3" t="s">
        <v>701</v>
      </c>
    </row>
    <row r="25" ht="16" customHeight="1" spans="13:13" x14ac:dyDescent="0.25">
      <c r="M25" s="3" t="s">
        <v>701</v>
      </c>
    </row>
    <row r="26" ht="16" customHeight="1" spans="13:13" x14ac:dyDescent="0.25">
      <c r="M26" s="3" t="s">
        <v>701</v>
      </c>
    </row>
    <row r="27" ht="16" customHeight="1" spans="13:13" x14ac:dyDescent="0.25">
      <c r="M27" s="3" t="s">
        <v>701</v>
      </c>
    </row>
    <row r="28" ht="16" customHeight="1" spans="13:13" x14ac:dyDescent="0.25">
      <c r="M28" s="3" t="s">
        <v>701</v>
      </c>
    </row>
    <row r="29" ht="16" customHeight="1" spans="13:13" x14ac:dyDescent="0.25">
      <c r="M29" s="3" t="s">
        <v>701</v>
      </c>
    </row>
    <row r="30" ht="16" customHeight="1" spans="13:13" x14ac:dyDescent="0.25">
      <c r="M30" s="1" t="s">
        <v>702</v>
      </c>
    </row>
  </sheetData>
  <pageMargins left="0.7" right="0.7" top="0.75" bottom="0.75" header="0.3" footer="0.3"/>
  <pageSetup paperSize="9" orientation="portrait" horizontalDpi="4294967295" verticalDpi="4294967295" scale="100" fitToWidth="1" fitToHeight="1" firstPageNumber="1" useFirstPageNumber="1" copies="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59"/>
  <sheetViews>
    <sheetView workbookViewId="0" zoomScale="100" zoomScaleNormal="80">
      <selection activeCell="C33" sqref="C33"/>
    </sheetView>
  </sheetViews>
  <sheetFormatPr defaultRowHeight="15" outlineLevelRow="0" outlineLevelCol="0" x14ac:dyDescent="0.2" defaultColWidth="11"/>
  <cols>
    <col min="1" max="1" style="3" customWidth="1"/>
    <col min="2" max="2" width="28.5" style="3" customWidth="1"/>
    <col min="3" max="3" width="86.1640625" style="3" customWidth="1"/>
    <col min="4" max="4" width="11.6640625" style="3" customWidth="1"/>
    <col min="5" max="5" width="19" style="3" customWidth="1"/>
    <col min="6" max="6" width="17.1640625" style="3" customWidth="1"/>
    <col min="7" max="7" width="17" style="3" customWidth="1"/>
    <col min="8" max="8" width="62.33203125" style="3" customWidth="1"/>
    <col min="9" max="16384" width="11" style="3" customWidth="1"/>
  </cols>
  <sheetData>
    <row r="1" ht="44" customHeight="1" spans="1:8" x14ac:dyDescent="0.25">
      <c r="A1" s="76" t="s">
        <v>197</v>
      </c>
      <c r="B1" s="77" t="s">
        <v>33</v>
      </c>
      <c r="C1" s="77" t="s">
        <v>198</v>
      </c>
      <c r="D1" s="77" t="s">
        <v>199</v>
      </c>
      <c r="E1" s="77" t="s">
        <v>181</v>
      </c>
      <c r="F1" s="77" t="s">
        <v>200</v>
      </c>
      <c r="G1" s="77" t="s">
        <v>201</v>
      </c>
    </row>
    <row r="2" ht="32" customHeight="1" spans="1:8" x14ac:dyDescent="0.25">
      <c r="A2" s="3" t="s">
        <v>202</v>
      </c>
      <c r="B2" s="3" t="s">
        <v>203</v>
      </c>
      <c r="C2" s="3" t="s">
        <v>204</v>
      </c>
      <c r="D2" s="78" t="s">
        <v>205</v>
      </c>
      <c r="E2" s="3" t="s">
        <v>206</v>
      </c>
      <c r="F2" s="78" t="s">
        <v>207</v>
      </c>
      <c r="G2" s="78" t="s">
        <v>208</v>
      </c>
    </row>
    <row r="3" ht="32" customHeight="1" spans="1:8" x14ac:dyDescent="0.25">
      <c r="A3" s="3" t="s">
        <v>209</v>
      </c>
      <c r="B3" s="3" t="s">
        <v>203</v>
      </c>
      <c r="C3" s="3" t="s">
        <v>210</v>
      </c>
      <c r="D3" s="78" t="s">
        <v>205</v>
      </c>
      <c r="E3" s="3" t="s">
        <v>211</v>
      </c>
      <c r="F3" s="78" t="s">
        <v>207</v>
      </c>
      <c r="G3" s="78" t="s">
        <v>208</v>
      </c>
    </row>
    <row r="4" ht="32" customHeight="1" spans="1:8" x14ac:dyDescent="0.25">
      <c r="A4" s="3" t="s">
        <v>212</v>
      </c>
      <c r="B4" s="3" t="s">
        <v>203</v>
      </c>
      <c r="C4" s="3" t="s">
        <v>213</v>
      </c>
      <c r="D4" s="78" t="s">
        <v>205</v>
      </c>
      <c r="E4" s="3" t="s">
        <v>214</v>
      </c>
      <c r="F4" s="78" t="s">
        <v>207</v>
      </c>
      <c r="G4" s="78" t="s">
        <v>208</v>
      </c>
    </row>
    <row r="5" ht="32" customHeight="1" spans="1:8" x14ac:dyDescent="0.25">
      <c r="A5" s="3" t="s">
        <v>215</v>
      </c>
      <c r="B5" s="3" t="s">
        <v>203</v>
      </c>
      <c r="C5" s="3" t="s">
        <v>216</v>
      </c>
      <c r="D5" s="78" t="s">
        <v>205</v>
      </c>
      <c r="E5" s="3" t="s">
        <v>217</v>
      </c>
      <c r="F5" s="78" t="s">
        <v>218</v>
      </c>
      <c r="G5" s="78" t="s">
        <v>208</v>
      </c>
    </row>
    <row r="6" ht="32" customHeight="1" spans="1:8" x14ac:dyDescent="0.25">
      <c r="A6" s="3" t="s">
        <v>219</v>
      </c>
      <c r="B6" s="3" t="s">
        <v>203</v>
      </c>
      <c r="C6" s="3" t="s">
        <v>220</v>
      </c>
      <c r="D6" s="78" t="s">
        <v>205</v>
      </c>
      <c r="E6" s="3" t="s">
        <v>221</v>
      </c>
      <c r="F6" s="78" t="s">
        <v>218</v>
      </c>
      <c r="G6" s="78" t="s">
        <v>208</v>
      </c>
    </row>
    <row r="7" ht="32" customHeight="1" spans="1:8" x14ac:dyDescent="0.25">
      <c r="A7" s="3" t="s">
        <v>222</v>
      </c>
      <c r="B7" s="3" t="s">
        <v>203</v>
      </c>
      <c r="C7" s="3" t="s">
        <v>223</v>
      </c>
      <c r="D7" s="78" t="s">
        <v>205</v>
      </c>
      <c r="E7" s="3" t="s">
        <v>224</v>
      </c>
      <c r="F7" s="78" t="s">
        <v>218</v>
      </c>
      <c r="G7" s="78" t="s">
        <v>208</v>
      </c>
    </row>
    <row r="8" ht="32" customHeight="1" spans="1:8" x14ac:dyDescent="0.25">
      <c r="A8" s="3" t="s">
        <v>225</v>
      </c>
      <c r="B8" s="3" t="s">
        <v>203</v>
      </c>
      <c r="C8" s="3" t="s">
        <v>226</v>
      </c>
      <c r="D8" s="78" t="s">
        <v>205</v>
      </c>
      <c r="E8" s="3" t="s">
        <v>227</v>
      </c>
      <c r="F8" s="78" t="s">
        <v>207</v>
      </c>
      <c r="G8" s="78" t="s">
        <v>208</v>
      </c>
    </row>
    <row r="9" ht="32" customHeight="1" spans="1:8" x14ac:dyDescent="0.25">
      <c r="A9" s="3" t="s">
        <v>228</v>
      </c>
      <c r="B9" s="3" t="s">
        <v>203</v>
      </c>
      <c r="C9" s="3" t="s">
        <v>229</v>
      </c>
      <c r="D9" s="78" t="s">
        <v>205</v>
      </c>
      <c r="E9" s="3" t="s">
        <v>230</v>
      </c>
      <c r="F9" s="78" t="s">
        <v>218</v>
      </c>
      <c r="G9" s="78" t="s">
        <v>208</v>
      </c>
    </row>
    <row r="10" ht="32" customHeight="1" spans="1:8" x14ac:dyDescent="0.25">
      <c r="A10" s="3" t="s">
        <v>231</v>
      </c>
      <c r="B10" s="3" t="s">
        <v>203</v>
      </c>
      <c r="C10" s="3" t="s">
        <v>232</v>
      </c>
      <c r="D10" s="78" t="s">
        <v>205</v>
      </c>
      <c r="E10" s="3" t="s">
        <v>233</v>
      </c>
      <c r="F10" s="78" t="s">
        <v>218</v>
      </c>
      <c r="G10" s="78" t="s">
        <v>208</v>
      </c>
    </row>
    <row r="11" ht="32" customHeight="1" spans="1:8" x14ac:dyDescent="0.25">
      <c r="A11" s="3" t="s">
        <v>234</v>
      </c>
      <c r="B11" s="3" t="s">
        <v>203</v>
      </c>
      <c r="C11" s="3" t="s">
        <v>235</v>
      </c>
      <c r="D11" s="78" t="s">
        <v>205</v>
      </c>
      <c r="E11" s="3" t="s">
        <v>236</v>
      </c>
      <c r="F11" s="78" t="s">
        <v>207</v>
      </c>
      <c r="G11" s="78" t="s">
        <v>208</v>
      </c>
    </row>
    <row r="12" ht="32" customHeight="1" spans="1:8" x14ac:dyDescent="0.25">
      <c r="A12" s="3" t="s">
        <v>237</v>
      </c>
      <c r="B12" s="3" t="s">
        <v>203</v>
      </c>
      <c r="C12" s="3" t="s">
        <v>238</v>
      </c>
      <c r="D12" s="78" t="s">
        <v>205</v>
      </c>
      <c r="E12" s="3" t="s">
        <v>239</v>
      </c>
      <c r="F12" s="78" t="s">
        <v>218</v>
      </c>
      <c r="G12" s="78" t="s">
        <v>208</v>
      </c>
    </row>
    <row r="13" ht="32" customHeight="1" spans="1:8" x14ac:dyDescent="0.25">
      <c r="A13" s="3" t="s">
        <v>240</v>
      </c>
      <c r="B13" s="3" t="s">
        <v>203</v>
      </c>
      <c r="C13" s="3" t="s">
        <v>241</v>
      </c>
      <c r="D13" s="78" t="s">
        <v>205</v>
      </c>
      <c r="E13" s="3" t="s">
        <v>242</v>
      </c>
      <c r="F13" s="78" t="s">
        <v>218</v>
      </c>
      <c r="G13" s="78" t="s">
        <v>208</v>
      </c>
    </row>
    <row r="14" ht="32" customHeight="1" spans="1:8" x14ac:dyDescent="0.25">
      <c r="A14" s="3" t="s">
        <v>243</v>
      </c>
      <c r="B14" s="3" t="s">
        <v>203</v>
      </c>
      <c r="C14" s="3" t="s">
        <v>244</v>
      </c>
      <c r="D14" s="78" t="s">
        <v>205</v>
      </c>
      <c r="E14" s="3" t="s">
        <v>245</v>
      </c>
      <c r="F14" s="78" t="s">
        <v>218</v>
      </c>
      <c r="G14" s="78" t="s">
        <v>208</v>
      </c>
    </row>
    <row r="15" ht="32" customHeight="1" spans="1:8" x14ac:dyDescent="0.25">
      <c r="A15" s="3" t="s">
        <v>246</v>
      </c>
      <c r="B15" s="3" t="s">
        <v>203</v>
      </c>
      <c r="C15" s="3" t="s">
        <v>247</v>
      </c>
      <c r="D15" s="78" t="s">
        <v>205</v>
      </c>
      <c r="E15" s="3" t="s">
        <v>248</v>
      </c>
      <c r="F15" s="78" t="s">
        <v>218</v>
      </c>
      <c r="G15" s="78" t="s">
        <v>208</v>
      </c>
    </row>
    <row r="16" ht="32" customHeight="1" spans="1:8" x14ac:dyDescent="0.25">
      <c r="A16" s="3" t="s">
        <v>249</v>
      </c>
      <c r="B16" s="3" t="s">
        <v>203</v>
      </c>
      <c r="C16" s="3" t="s">
        <v>250</v>
      </c>
      <c r="D16" s="78" t="s">
        <v>205</v>
      </c>
      <c r="E16" s="3" t="s">
        <v>251</v>
      </c>
      <c r="F16" s="78" t="s">
        <v>218</v>
      </c>
      <c r="G16" s="78" t="s">
        <v>208</v>
      </c>
    </row>
    <row r="17" ht="32" customHeight="1" spans="1:8" x14ac:dyDescent="0.25">
      <c r="A17" s="3" t="s">
        <v>252</v>
      </c>
      <c r="B17" s="3" t="s">
        <v>203</v>
      </c>
      <c r="C17" s="3" t="s">
        <v>253</v>
      </c>
      <c r="D17" s="78" t="s">
        <v>205</v>
      </c>
      <c r="E17" s="3" t="s">
        <v>254</v>
      </c>
      <c r="F17" s="78" t="s">
        <v>207</v>
      </c>
      <c r="G17" s="78" t="s">
        <v>208</v>
      </c>
    </row>
    <row r="18" ht="32" customHeight="1" spans="1:8" x14ac:dyDescent="0.25">
      <c r="A18" s="3" t="s">
        <v>255</v>
      </c>
      <c r="B18" s="3" t="s">
        <v>203</v>
      </c>
      <c r="C18" s="3" t="s">
        <v>256</v>
      </c>
      <c r="D18" s="78" t="s">
        <v>205</v>
      </c>
      <c r="E18" s="3" t="s">
        <v>257</v>
      </c>
      <c r="F18" s="78" t="s">
        <v>218</v>
      </c>
      <c r="G18" s="78" t="s">
        <v>208</v>
      </c>
    </row>
    <row r="19" ht="32" customHeight="1" spans="1:8" x14ac:dyDescent="0.25">
      <c r="A19" s="3" t="s">
        <v>258</v>
      </c>
      <c r="B19" s="3" t="s">
        <v>203</v>
      </c>
      <c r="C19" s="3" t="s">
        <v>259</v>
      </c>
      <c r="D19" s="78" t="s">
        <v>205</v>
      </c>
      <c r="E19" s="3" t="s">
        <v>260</v>
      </c>
      <c r="F19" s="78" t="s">
        <v>218</v>
      </c>
      <c r="G19" s="78" t="s">
        <v>208</v>
      </c>
    </row>
    <row r="20" ht="32" customHeight="1" spans="1:8" x14ac:dyDescent="0.25">
      <c r="A20" s="3" t="s">
        <v>261</v>
      </c>
      <c r="B20" s="3" t="s">
        <v>203</v>
      </c>
      <c r="C20" s="3" t="s">
        <v>262</v>
      </c>
      <c r="D20" s="78" t="s">
        <v>205</v>
      </c>
      <c r="E20" s="3" t="s">
        <v>263</v>
      </c>
      <c r="F20" s="78" t="s">
        <v>218</v>
      </c>
      <c r="G20" s="78" t="s">
        <v>208</v>
      </c>
    </row>
    <row r="21" ht="32" customHeight="1" spans="1:8" x14ac:dyDescent="0.25">
      <c r="A21" s="3" t="s">
        <v>264</v>
      </c>
      <c r="B21" s="3" t="s">
        <v>203</v>
      </c>
      <c r="C21" s="3" t="s">
        <v>265</v>
      </c>
      <c r="D21" s="78" t="s">
        <v>205</v>
      </c>
      <c r="E21" s="3" t="s">
        <v>266</v>
      </c>
      <c r="F21" s="78" t="s">
        <v>218</v>
      </c>
      <c r="G21" s="78" t="s">
        <v>208</v>
      </c>
    </row>
    <row r="22" ht="32" customHeight="1" spans="1:8" x14ac:dyDescent="0.25">
      <c r="A22" s="3" t="s">
        <v>267</v>
      </c>
      <c r="B22" s="3" t="s">
        <v>203</v>
      </c>
      <c r="C22" s="3" t="s">
        <v>268</v>
      </c>
      <c r="D22" s="78" t="s">
        <v>269</v>
      </c>
      <c r="E22" s="3" t="s">
        <v>270</v>
      </c>
      <c r="F22" s="78"/>
      <c r="G22" s="78" t="s">
        <v>271</v>
      </c>
    </row>
    <row r="23" ht="32" customHeight="1" spans="1:8" x14ac:dyDescent="0.25">
      <c r="A23" s="3" t="s">
        <v>272</v>
      </c>
      <c r="B23" s="3" t="s">
        <v>203</v>
      </c>
      <c r="C23" s="3" t="s">
        <v>273</v>
      </c>
      <c r="D23" s="78" t="s">
        <v>269</v>
      </c>
      <c r="E23" s="3" t="s">
        <v>274</v>
      </c>
      <c r="F23" s="78" t="s">
        <v>275</v>
      </c>
      <c r="G23" s="78" t="s">
        <v>271</v>
      </c>
    </row>
    <row r="24" ht="32" customHeight="1" spans="1:8" x14ac:dyDescent="0.25">
      <c r="A24" s="3" t="s">
        <v>276</v>
      </c>
      <c r="B24" s="3" t="s">
        <v>203</v>
      </c>
      <c r="C24" s="3" t="s">
        <v>277</v>
      </c>
      <c r="D24" s="78" t="s">
        <v>269</v>
      </c>
      <c r="E24" s="3" t="s">
        <v>278</v>
      </c>
      <c r="F24" s="78" t="s">
        <v>279</v>
      </c>
      <c r="G24" s="78" t="s">
        <v>280</v>
      </c>
    </row>
    <row r="25" ht="32" customHeight="1" spans="1:8" x14ac:dyDescent="0.25">
      <c r="A25" s="3" t="s">
        <v>281</v>
      </c>
      <c r="B25" s="3" t="s">
        <v>203</v>
      </c>
      <c r="C25" s="3" t="s">
        <v>282</v>
      </c>
      <c r="D25" s="78" t="s">
        <v>269</v>
      </c>
      <c r="E25" s="3" t="s">
        <v>283</v>
      </c>
      <c r="F25" s="78"/>
      <c r="G25" s="78" t="s">
        <v>271</v>
      </c>
    </row>
    <row r="26" ht="32" customHeight="1" spans="1:8" x14ac:dyDescent="0.25">
      <c r="A26" s="3" t="s">
        <v>284</v>
      </c>
      <c r="B26" s="3" t="s">
        <v>203</v>
      </c>
      <c r="C26" s="3" t="s">
        <v>285</v>
      </c>
      <c r="D26" s="78" t="s">
        <v>269</v>
      </c>
      <c r="E26" s="3" t="s">
        <v>286</v>
      </c>
      <c r="F26" s="78" t="s">
        <v>275</v>
      </c>
      <c r="G26" s="78" t="s">
        <v>271</v>
      </c>
    </row>
    <row r="27" ht="32" customHeight="1" spans="1:8" x14ac:dyDescent="0.25">
      <c r="A27" s="3" t="s">
        <v>287</v>
      </c>
      <c r="B27" s="3" t="s">
        <v>203</v>
      </c>
      <c r="C27" s="3" t="s">
        <v>288</v>
      </c>
      <c r="D27" s="78" t="s">
        <v>269</v>
      </c>
      <c r="E27" s="3" t="s">
        <v>289</v>
      </c>
      <c r="F27" s="78" t="s">
        <v>279</v>
      </c>
      <c r="G27" s="78" t="s">
        <v>280</v>
      </c>
    </row>
    <row r="28" ht="32" customHeight="1" spans="1:8" x14ac:dyDescent="0.25">
      <c r="A28" s="3" t="s">
        <v>290</v>
      </c>
      <c r="B28" s="3" t="s">
        <v>203</v>
      </c>
      <c r="C28" s="3" t="s">
        <v>291</v>
      </c>
      <c r="D28" s="78" t="s">
        <v>292</v>
      </c>
      <c r="E28" s="3" t="s">
        <v>293</v>
      </c>
      <c r="F28" s="78" t="s">
        <v>157</v>
      </c>
      <c r="G28" s="78" t="s">
        <v>294</v>
      </c>
    </row>
    <row r="29" ht="32" customHeight="1" spans="1:8" x14ac:dyDescent="0.25">
      <c r="A29" s="3" t="s">
        <v>295</v>
      </c>
      <c r="B29" s="3" t="s">
        <v>203</v>
      </c>
      <c r="C29" s="3" t="s">
        <v>296</v>
      </c>
      <c r="D29" s="78" t="s">
        <v>292</v>
      </c>
      <c r="E29" s="3" t="s">
        <v>297</v>
      </c>
      <c r="F29" s="78" t="s">
        <v>157</v>
      </c>
      <c r="G29" s="78" t="s">
        <v>294</v>
      </c>
    </row>
    <row r="30" ht="32" customHeight="1" spans="1:8" x14ac:dyDescent="0.25">
      <c r="A30" s="3" t="s">
        <v>298</v>
      </c>
      <c r="B30" s="3" t="s">
        <v>203</v>
      </c>
      <c r="C30" s="3" t="s">
        <v>299</v>
      </c>
      <c r="D30" s="78" t="s">
        <v>292</v>
      </c>
      <c r="E30" s="3" t="s">
        <v>300</v>
      </c>
      <c r="F30" s="78" t="s">
        <v>157</v>
      </c>
      <c r="G30" s="78" t="s">
        <v>294</v>
      </c>
    </row>
    <row r="31" ht="32" customHeight="1" spans="1:8" x14ac:dyDescent="0.25">
      <c r="A31" s="3" t="s">
        <v>301</v>
      </c>
      <c r="B31" s="3" t="s">
        <v>203</v>
      </c>
      <c r="C31" s="3" t="s">
        <v>302</v>
      </c>
      <c r="D31" s="78" t="s">
        <v>292</v>
      </c>
      <c r="E31" s="3" t="s">
        <v>303</v>
      </c>
      <c r="F31" s="78" t="s">
        <v>157</v>
      </c>
      <c r="G31" s="78" t="s">
        <v>294</v>
      </c>
    </row>
    <row r="32" ht="32" customHeight="1" spans="1:8" x14ac:dyDescent="0.25">
      <c r="A32" s="3" t="s">
        <v>304</v>
      </c>
      <c r="B32" s="3" t="s">
        <v>305</v>
      </c>
      <c r="C32" s="3" t="s">
        <v>306</v>
      </c>
      <c r="D32" s="78" t="s">
        <v>205</v>
      </c>
      <c r="E32" s="3" t="s">
        <v>306</v>
      </c>
      <c r="F32" s="78" t="s">
        <v>307</v>
      </c>
      <c r="G32" s="78" t="s">
        <v>308</v>
      </c>
    </row>
    <row r="33" ht="32" customHeight="1" spans="1:8" x14ac:dyDescent="0.25">
      <c r="A33" s="3" t="s">
        <v>309</v>
      </c>
      <c r="B33" s="3" t="s">
        <v>305</v>
      </c>
      <c r="C33" s="3" t="s">
        <v>310</v>
      </c>
      <c r="D33" s="78" t="s">
        <v>292</v>
      </c>
      <c r="E33" s="3" t="s">
        <v>310</v>
      </c>
      <c r="F33" s="78" t="s">
        <v>307</v>
      </c>
      <c r="G33" s="78" t="s">
        <v>310</v>
      </c>
    </row>
    <row r="34" ht="32" customHeight="1" spans="1:8" x14ac:dyDescent="0.25">
      <c r="A34" s="3" t="s">
        <v>311</v>
      </c>
      <c r="B34" s="3" t="s">
        <v>305</v>
      </c>
      <c r="C34" s="3" t="s">
        <v>312</v>
      </c>
      <c r="D34" s="78" t="s">
        <v>205</v>
      </c>
      <c r="E34" s="3" t="s">
        <v>313</v>
      </c>
      <c r="F34" s="78" t="s">
        <v>307</v>
      </c>
      <c r="G34" s="78" t="s">
        <v>308</v>
      </c>
    </row>
    <row r="35" ht="32" customHeight="1" spans="1:8" x14ac:dyDescent="0.25">
      <c r="A35" s="3" t="s">
        <v>314</v>
      </c>
      <c r="B35" s="3" t="s">
        <v>305</v>
      </c>
      <c r="C35" s="3" t="s">
        <v>315</v>
      </c>
      <c r="D35" s="78" t="s">
        <v>205</v>
      </c>
      <c r="E35" s="3" t="s">
        <v>316</v>
      </c>
      <c r="F35" s="78" t="s">
        <v>307</v>
      </c>
      <c r="G35" s="78" t="s">
        <v>308</v>
      </c>
    </row>
    <row r="36" ht="32" customHeight="1" spans="1:8" x14ac:dyDescent="0.25">
      <c r="A36" s="3" t="s">
        <v>317</v>
      </c>
      <c r="B36" s="3" t="s">
        <v>305</v>
      </c>
      <c r="C36" s="3" t="s">
        <v>318</v>
      </c>
      <c r="D36" s="78" t="s">
        <v>205</v>
      </c>
      <c r="E36" s="3" t="s">
        <v>318</v>
      </c>
      <c r="F36" s="78" t="s">
        <v>307</v>
      </c>
      <c r="G36" s="78" t="s">
        <v>308</v>
      </c>
    </row>
    <row r="37" ht="32" customHeight="1" spans="1:8" x14ac:dyDescent="0.25">
      <c r="A37" s="3" t="s">
        <v>319</v>
      </c>
      <c r="B37" s="3" t="s">
        <v>305</v>
      </c>
      <c r="C37" s="3" t="s">
        <v>320</v>
      </c>
      <c r="D37" s="78" t="s">
        <v>205</v>
      </c>
      <c r="E37" s="3" t="s">
        <v>320</v>
      </c>
      <c r="F37" s="78" t="s">
        <v>307</v>
      </c>
      <c r="G37" s="78" t="s">
        <v>308</v>
      </c>
    </row>
    <row r="38" ht="32" customHeight="1" spans="1:8" x14ac:dyDescent="0.25">
      <c r="A38" s="3" t="s">
        <v>321</v>
      </c>
      <c r="B38" s="3" t="s">
        <v>305</v>
      </c>
      <c r="C38" s="3" t="s">
        <v>322</v>
      </c>
      <c r="D38" s="78" t="s">
        <v>205</v>
      </c>
      <c r="E38" s="3" t="s">
        <v>322</v>
      </c>
      <c r="F38" s="78" t="s">
        <v>323</v>
      </c>
      <c r="G38" s="78" t="s">
        <v>308</v>
      </c>
    </row>
    <row r="39" ht="32" customHeight="1" spans="1:8" x14ac:dyDescent="0.25">
      <c r="A39" s="3" t="s">
        <v>324</v>
      </c>
      <c r="B39" s="3" t="s">
        <v>305</v>
      </c>
      <c r="C39" s="3" t="s">
        <v>325</v>
      </c>
      <c r="D39" s="78" t="s">
        <v>269</v>
      </c>
      <c r="E39" s="3" t="s">
        <v>325</v>
      </c>
      <c r="F39" s="78"/>
      <c r="G39" s="78" t="s">
        <v>326</v>
      </c>
    </row>
    <row r="40" ht="32" customHeight="1" spans="1:8" x14ac:dyDescent="0.25">
      <c r="A40" s="3" t="s">
        <v>327</v>
      </c>
      <c r="B40" s="3" t="s">
        <v>305</v>
      </c>
      <c r="C40" s="3" t="s">
        <v>328</v>
      </c>
      <c r="D40" s="78" t="s">
        <v>269</v>
      </c>
      <c r="E40" s="3" t="s">
        <v>328</v>
      </c>
      <c r="F40" s="78" t="s">
        <v>329</v>
      </c>
      <c r="G40" s="78" t="s">
        <v>326</v>
      </c>
    </row>
    <row r="41" ht="32" customHeight="1" spans="1:8" x14ac:dyDescent="0.25">
      <c r="A41" s="3" t="s">
        <v>330</v>
      </c>
      <c r="B41" s="3" t="s">
        <v>305</v>
      </c>
      <c r="C41" s="3" t="s">
        <v>331</v>
      </c>
      <c r="D41" s="78" t="s">
        <v>269</v>
      </c>
      <c r="E41" s="3" t="s">
        <v>331</v>
      </c>
      <c r="F41" s="78" t="s">
        <v>332</v>
      </c>
      <c r="G41" s="78" t="s">
        <v>333</v>
      </c>
    </row>
    <row r="42" ht="32" customHeight="1" spans="1:8" x14ac:dyDescent="0.25">
      <c r="A42" s="3" t="s">
        <v>334</v>
      </c>
      <c r="B42" s="3" t="s">
        <v>305</v>
      </c>
      <c r="C42" s="3" t="s">
        <v>335</v>
      </c>
      <c r="D42" s="78" t="s">
        <v>269</v>
      </c>
      <c r="E42" s="3" t="s">
        <v>336</v>
      </c>
      <c r="F42" s="78"/>
      <c r="G42" s="78" t="s">
        <v>326</v>
      </c>
    </row>
    <row r="43" ht="32" customHeight="1" spans="1:8" x14ac:dyDescent="0.25">
      <c r="A43" s="3" t="s">
        <v>337</v>
      </c>
      <c r="B43" s="3" t="s">
        <v>305</v>
      </c>
      <c r="C43" s="3" t="s">
        <v>338</v>
      </c>
      <c r="D43" s="78" t="s">
        <v>269</v>
      </c>
      <c r="E43" s="3" t="s">
        <v>339</v>
      </c>
      <c r="F43" s="78" t="s">
        <v>329</v>
      </c>
      <c r="G43" s="78" t="s">
        <v>326</v>
      </c>
    </row>
    <row r="44" ht="32" customHeight="1" spans="1:8" x14ac:dyDescent="0.25">
      <c r="A44" s="3" t="s">
        <v>340</v>
      </c>
      <c r="B44" s="3" t="s">
        <v>305</v>
      </c>
      <c r="C44" s="3" t="s">
        <v>341</v>
      </c>
      <c r="D44" s="78" t="s">
        <v>269</v>
      </c>
      <c r="E44" s="3" t="s">
        <v>342</v>
      </c>
      <c r="F44" s="78" t="s">
        <v>332</v>
      </c>
      <c r="G44" s="78" t="s">
        <v>333</v>
      </c>
    </row>
    <row r="45" ht="32" customHeight="1" spans="1:8" x14ac:dyDescent="0.25">
      <c r="A45" s="3" t="s">
        <v>343</v>
      </c>
      <c r="B45" s="3" t="s">
        <v>305</v>
      </c>
      <c r="C45" s="3" t="s">
        <v>344</v>
      </c>
      <c r="D45" s="78" t="s">
        <v>269</v>
      </c>
      <c r="E45" s="3" t="s">
        <v>344</v>
      </c>
      <c r="F45" s="78"/>
      <c r="G45" s="78" t="s">
        <v>326</v>
      </c>
    </row>
    <row r="46" ht="32" customHeight="1" spans="1:8" x14ac:dyDescent="0.25">
      <c r="A46" s="3" t="s">
        <v>345</v>
      </c>
      <c r="B46" s="3" t="s">
        <v>305</v>
      </c>
      <c r="C46" s="3" t="s">
        <v>346</v>
      </c>
      <c r="D46" s="78" t="s">
        <v>269</v>
      </c>
      <c r="E46" s="3" t="s">
        <v>346</v>
      </c>
      <c r="F46" s="78" t="s">
        <v>329</v>
      </c>
      <c r="G46" s="78" t="s">
        <v>326</v>
      </c>
    </row>
    <row r="47" ht="32" customHeight="1" spans="1:8" x14ac:dyDescent="0.25">
      <c r="A47" s="3" t="s">
        <v>347</v>
      </c>
      <c r="B47" s="3" t="s">
        <v>305</v>
      </c>
      <c r="C47" s="3" t="s">
        <v>348</v>
      </c>
      <c r="D47" s="78" t="s">
        <v>269</v>
      </c>
      <c r="E47" s="3" t="s">
        <v>348</v>
      </c>
      <c r="F47" s="78" t="s">
        <v>332</v>
      </c>
      <c r="G47" s="78" t="s">
        <v>333</v>
      </c>
    </row>
    <row r="48" ht="32" customHeight="1" spans="1:8" x14ac:dyDescent="0.25">
      <c r="A48" s="3" t="s">
        <v>349</v>
      </c>
      <c r="B48" s="3" t="s">
        <v>305</v>
      </c>
      <c r="C48" s="3" t="s">
        <v>350</v>
      </c>
      <c r="D48" s="78" t="s">
        <v>269</v>
      </c>
      <c r="E48" s="3" t="s">
        <v>350</v>
      </c>
      <c r="F48" s="78"/>
      <c r="G48" s="78" t="s">
        <v>326</v>
      </c>
    </row>
    <row r="49" ht="32" customHeight="1" spans="1:8" x14ac:dyDescent="0.25">
      <c r="A49" s="3" t="s">
        <v>351</v>
      </c>
      <c r="B49" s="3" t="s">
        <v>305</v>
      </c>
      <c r="C49" s="3" t="s">
        <v>352</v>
      </c>
      <c r="D49" s="78" t="s">
        <v>269</v>
      </c>
      <c r="E49" s="3" t="s">
        <v>352</v>
      </c>
      <c r="F49" s="78" t="s">
        <v>329</v>
      </c>
      <c r="G49" s="78" t="s">
        <v>326</v>
      </c>
    </row>
    <row r="50" ht="32" customHeight="1" spans="1:8" x14ac:dyDescent="0.25">
      <c r="A50" s="3" t="s">
        <v>353</v>
      </c>
      <c r="B50" s="3" t="s">
        <v>305</v>
      </c>
      <c r="C50" s="3" t="s">
        <v>354</v>
      </c>
      <c r="D50" s="78" t="s">
        <v>269</v>
      </c>
      <c r="E50" s="3" t="s">
        <v>354</v>
      </c>
      <c r="F50" s="78" t="s">
        <v>332</v>
      </c>
      <c r="G50" s="78" t="s">
        <v>333</v>
      </c>
    </row>
    <row r="51" ht="32" customHeight="1" spans="1:8" x14ac:dyDescent="0.25">
      <c r="A51" s="3" t="s">
        <v>355</v>
      </c>
      <c r="B51" s="3" t="s">
        <v>305</v>
      </c>
      <c r="C51" s="3" t="s">
        <v>356</v>
      </c>
      <c r="D51" s="78" t="s">
        <v>269</v>
      </c>
      <c r="E51" s="3" t="s">
        <v>356</v>
      </c>
      <c r="F51" s="78" t="s">
        <v>329</v>
      </c>
      <c r="G51" s="78" t="s">
        <v>326</v>
      </c>
    </row>
    <row r="52" ht="32" customHeight="1" spans="1:8" x14ac:dyDescent="0.25">
      <c r="A52" s="3" t="s">
        <v>357</v>
      </c>
      <c r="B52" s="3" t="s">
        <v>305</v>
      </c>
      <c r="C52" s="3" t="s">
        <v>358</v>
      </c>
      <c r="D52" s="78" t="s">
        <v>269</v>
      </c>
      <c r="E52" s="3" t="s">
        <v>358</v>
      </c>
      <c r="F52" s="78" t="s">
        <v>332</v>
      </c>
      <c r="G52" s="78" t="s">
        <v>333</v>
      </c>
    </row>
    <row r="53" ht="32" customHeight="1" spans="1:8" x14ac:dyDescent="0.25">
      <c r="A53" s="3" t="s">
        <v>359</v>
      </c>
      <c r="B53" s="3" t="s">
        <v>305</v>
      </c>
      <c r="C53" s="3" t="s">
        <v>360</v>
      </c>
      <c r="D53" s="78" t="s">
        <v>269</v>
      </c>
      <c r="E53" s="3" t="s">
        <v>360</v>
      </c>
      <c r="F53" s="78"/>
      <c r="G53" s="78" t="s">
        <v>326</v>
      </c>
    </row>
    <row r="54" ht="32" customHeight="1" spans="1:8" x14ac:dyDescent="0.25">
      <c r="A54" s="3" t="s">
        <v>361</v>
      </c>
      <c r="B54" s="3" t="s">
        <v>305</v>
      </c>
      <c r="C54" s="3" t="s">
        <v>362</v>
      </c>
      <c r="D54" s="78" t="s">
        <v>269</v>
      </c>
      <c r="E54" s="3" t="s">
        <v>362</v>
      </c>
      <c r="F54" s="78" t="s">
        <v>363</v>
      </c>
      <c r="G54" s="78" t="s">
        <v>326</v>
      </c>
    </row>
    <row r="55" ht="32" customHeight="1" spans="1:8" x14ac:dyDescent="0.25">
      <c r="A55" s="3" t="s">
        <v>364</v>
      </c>
      <c r="B55" s="3" t="s">
        <v>305</v>
      </c>
      <c r="C55" s="3" t="s">
        <v>365</v>
      </c>
      <c r="D55" s="78" t="s">
        <v>269</v>
      </c>
      <c r="E55" s="3" t="s">
        <v>365</v>
      </c>
      <c r="F55" s="78" t="s">
        <v>366</v>
      </c>
      <c r="G55" s="78" t="s">
        <v>333</v>
      </c>
    </row>
    <row r="56" ht="32" customHeight="1" spans="1:8" x14ac:dyDescent="0.25">
      <c r="A56" s="3" t="s">
        <v>367</v>
      </c>
      <c r="B56" s="3" t="s">
        <v>305</v>
      </c>
      <c r="C56" s="3" t="s">
        <v>368</v>
      </c>
      <c r="D56" s="78" t="s">
        <v>292</v>
      </c>
      <c r="E56" s="3" t="s">
        <v>369</v>
      </c>
      <c r="F56" s="78" t="s">
        <v>157</v>
      </c>
      <c r="G56" s="78" t="s">
        <v>177</v>
      </c>
    </row>
    <row r="57" ht="32" customHeight="1" spans="1:8" x14ac:dyDescent="0.25">
      <c r="A57" s="3" t="s">
        <v>370</v>
      </c>
      <c r="B57" s="3" t="s">
        <v>305</v>
      </c>
      <c r="C57" s="3" t="s">
        <v>371</v>
      </c>
      <c r="D57" s="78" t="s">
        <v>292</v>
      </c>
      <c r="E57" s="3" t="s">
        <v>372</v>
      </c>
      <c r="F57" s="78" t="s">
        <v>157</v>
      </c>
      <c r="G57" s="78" t="s">
        <v>177</v>
      </c>
    </row>
    <row r="58" ht="32" customHeight="1" spans="1:8" x14ac:dyDescent="0.25">
      <c r="A58" s="3" t="s">
        <v>373</v>
      </c>
      <c r="B58" s="3" t="s">
        <v>305</v>
      </c>
      <c r="C58" s="3" t="s">
        <v>371</v>
      </c>
      <c r="D58" s="78" t="s">
        <v>292</v>
      </c>
      <c r="E58" s="3" t="s">
        <v>374</v>
      </c>
      <c r="F58" s="78" t="s">
        <v>307</v>
      </c>
      <c r="G58" s="78" t="s">
        <v>177</v>
      </c>
    </row>
    <row r="59" ht="32" customHeight="1" spans="1:8" x14ac:dyDescent="0.25">
      <c r="A59" s="3" t="s">
        <v>375</v>
      </c>
      <c r="B59" s="3" t="s">
        <v>305</v>
      </c>
      <c r="C59" s="3" t="s">
        <v>371</v>
      </c>
      <c r="D59" s="78" t="s">
        <v>292</v>
      </c>
      <c r="E59" s="3" t="s">
        <v>376</v>
      </c>
      <c r="F59" s="78" t="s">
        <v>376</v>
      </c>
      <c r="G59" s="78" t="s">
        <v>177</v>
      </c>
    </row>
    <row r="60" ht="32" customHeight="1" spans="1:8" x14ac:dyDescent="0.25">
      <c r="A60" s="3" t="s">
        <v>377</v>
      </c>
      <c r="B60" s="3" t="s">
        <v>305</v>
      </c>
      <c r="C60" s="3" t="s">
        <v>371</v>
      </c>
      <c r="D60" s="78" t="s">
        <v>292</v>
      </c>
      <c r="E60" s="3" t="s">
        <v>378</v>
      </c>
      <c r="F60" s="78" t="s">
        <v>378</v>
      </c>
      <c r="G60" s="78" t="s">
        <v>177</v>
      </c>
    </row>
    <row r="61" ht="32" customHeight="1" spans="1:8" x14ac:dyDescent="0.25">
      <c r="A61" s="3" t="s">
        <v>379</v>
      </c>
      <c r="B61" s="3" t="s">
        <v>305</v>
      </c>
      <c r="C61" s="3" t="s">
        <v>380</v>
      </c>
      <c r="D61" s="78" t="s">
        <v>292</v>
      </c>
      <c r="E61" s="3" t="s">
        <v>381</v>
      </c>
      <c r="F61" s="78" t="s">
        <v>307</v>
      </c>
      <c r="G61" s="78" t="s">
        <v>177</v>
      </c>
    </row>
    <row r="62" ht="32" customHeight="1" spans="1:8" x14ac:dyDescent="0.25">
      <c r="A62" s="3" t="s">
        <v>382</v>
      </c>
      <c r="B62" s="3" t="s">
        <v>305</v>
      </c>
      <c r="C62" s="3" t="s">
        <v>383</v>
      </c>
      <c r="D62" s="78" t="s">
        <v>292</v>
      </c>
      <c r="E62" s="3" t="s">
        <v>384</v>
      </c>
      <c r="F62" s="78" t="s">
        <v>307</v>
      </c>
      <c r="G62" s="78" t="s">
        <v>177</v>
      </c>
    </row>
    <row r="63" ht="32" customHeight="1" spans="1:8" x14ac:dyDescent="0.25">
      <c r="A63" s="3" t="s">
        <v>385</v>
      </c>
      <c r="B63" s="3" t="s">
        <v>305</v>
      </c>
      <c r="C63" s="3" t="s">
        <v>386</v>
      </c>
      <c r="D63" s="78" t="s">
        <v>292</v>
      </c>
      <c r="E63" s="3" t="s">
        <v>387</v>
      </c>
      <c r="F63" s="78" t="s">
        <v>307</v>
      </c>
      <c r="G63" s="78" t="s">
        <v>177</v>
      </c>
    </row>
    <row r="64" ht="32" customHeight="1" spans="1:8" x14ac:dyDescent="0.25">
      <c r="A64" s="3" t="s">
        <v>388</v>
      </c>
      <c r="B64" s="3" t="s">
        <v>305</v>
      </c>
      <c r="C64" s="3" t="s">
        <v>389</v>
      </c>
      <c r="D64" s="78" t="s">
        <v>292</v>
      </c>
      <c r="E64" s="3" t="s">
        <v>390</v>
      </c>
      <c r="F64" s="78" t="s">
        <v>323</v>
      </c>
      <c r="G64" s="78" t="s">
        <v>177</v>
      </c>
    </row>
    <row r="65" ht="32" customHeight="1" spans="1:8" x14ac:dyDescent="0.25">
      <c r="A65" s="3" t="s">
        <v>391</v>
      </c>
      <c r="B65" s="3" t="s">
        <v>305</v>
      </c>
      <c r="C65" s="3" t="s">
        <v>392</v>
      </c>
      <c r="D65" s="78" t="s">
        <v>292</v>
      </c>
      <c r="E65" s="3" t="s">
        <v>393</v>
      </c>
      <c r="F65" s="78" t="s">
        <v>157</v>
      </c>
      <c r="G65" s="78" t="s">
        <v>177</v>
      </c>
    </row>
    <row r="66" ht="32" customHeight="1" spans="1:8" x14ac:dyDescent="0.25">
      <c r="A66" s="3" t="s">
        <v>394</v>
      </c>
      <c r="B66" s="3" t="s">
        <v>305</v>
      </c>
      <c r="C66" s="3" t="s">
        <v>395</v>
      </c>
      <c r="D66" s="78" t="s">
        <v>292</v>
      </c>
      <c r="E66" s="3" t="s">
        <v>396</v>
      </c>
      <c r="F66" s="78" t="s">
        <v>157</v>
      </c>
      <c r="G66" s="78" t="s">
        <v>177</v>
      </c>
    </row>
    <row r="67" ht="32" customHeight="1" spans="1:8" x14ac:dyDescent="0.25">
      <c r="A67" s="3" t="s">
        <v>397</v>
      </c>
      <c r="B67" s="3" t="s">
        <v>305</v>
      </c>
      <c r="C67" s="3" t="s">
        <v>395</v>
      </c>
      <c r="D67" s="78" t="s">
        <v>292</v>
      </c>
      <c r="E67" s="3" t="s">
        <v>398</v>
      </c>
      <c r="F67" s="78" t="s">
        <v>398</v>
      </c>
      <c r="G67" s="78" t="s">
        <v>177</v>
      </c>
    </row>
    <row r="68" ht="32" customHeight="1" spans="1:8" x14ac:dyDescent="0.25">
      <c r="A68" s="3" t="s">
        <v>399</v>
      </c>
      <c r="B68" s="3" t="s">
        <v>305</v>
      </c>
      <c r="C68" s="3" t="s">
        <v>395</v>
      </c>
      <c r="D68" s="78" t="s">
        <v>292</v>
      </c>
      <c r="E68" s="3" t="s">
        <v>400</v>
      </c>
      <c r="F68" s="78" t="s">
        <v>400</v>
      </c>
      <c r="G68" s="78" t="s">
        <v>177</v>
      </c>
    </row>
    <row r="69" ht="32" customHeight="1" spans="1:8" x14ac:dyDescent="0.25">
      <c r="A69" s="3" t="s">
        <v>401</v>
      </c>
      <c r="B69" s="3" t="s">
        <v>305</v>
      </c>
      <c r="C69" s="3" t="s">
        <v>402</v>
      </c>
      <c r="D69" s="78" t="s">
        <v>292</v>
      </c>
      <c r="E69" s="3" t="s">
        <v>403</v>
      </c>
      <c r="F69" s="78" t="s">
        <v>307</v>
      </c>
      <c r="G69" s="78" t="s">
        <v>177</v>
      </c>
    </row>
    <row r="70" ht="32" customHeight="1" spans="1:8" x14ac:dyDescent="0.25">
      <c r="A70" s="3" t="s">
        <v>404</v>
      </c>
      <c r="B70" s="3" t="s">
        <v>305</v>
      </c>
      <c r="C70" s="3" t="s">
        <v>405</v>
      </c>
      <c r="D70" s="78" t="s">
        <v>292</v>
      </c>
      <c r="E70" s="3" t="s">
        <v>406</v>
      </c>
      <c r="F70" s="78" t="s">
        <v>307</v>
      </c>
      <c r="G70" s="78" t="s">
        <v>177</v>
      </c>
    </row>
    <row r="71" ht="32" customHeight="1" spans="1:8" x14ac:dyDescent="0.25">
      <c r="A71" s="3" t="s">
        <v>407</v>
      </c>
      <c r="B71" s="3" t="s">
        <v>155</v>
      </c>
      <c r="C71" s="3" t="s">
        <v>408</v>
      </c>
      <c r="D71" s="78" t="s">
        <v>292</v>
      </c>
      <c r="E71" s="3" t="s">
        <v>409</v>
      </c>
      <c r="F71" s="78" t="s">
        <v>157</v>
      </c>
      <c r="G71" s="78" t="s">
        <v>177</v>
      </c>
    </row>
    <row r="72" ht="32" customHeight="1" spans="1:8" x14ac:dyDescent="0.25">
      <c r="A72" s="3" t="s">
        <v>410</v>
      </c>
      <c r="B72" s="3" t="s">
        <v>155</v>
      </c>
      <c r="C72" s="3" t="s">
        <v>411</v>
      </c>
      <c r="D72" s="78" t="s">
        <v>292</v>
      </c>
      <c r="E72" s="3" t="s">
        <v>412</v>
      </c>
      <c r="F72" s="78" t="s">
        <v>157</v>
      </c>
      <c r="G72" s="78" t="s">
        <v>177</v>
      </c>
    </row>
    <row r="73" ht="32" customHeight="1" spans="1:8" x14ac:dyDescent="0.25">
      <c r="A73" s="3" t="s">
        <v>413</v>
      </c>
      <c r="B73" s="3" t="s">
        <v>155</v>
      </c>
      <c r="C73" s="3" t="s">
        <v>414</v>
      </c>
      <c r="D73" s="78" t="s">
        <v>292</v>
      </c>
      <c r="E73" s="3" t="s">
        <v>415</v>
      </c>
      <c r="F73" s="78" t="s">
        <v>157</v>
      </c>
      <c r="G73" s="78" t="s">
        <v>177</v>
      </c>
    </row>
    <row r="74" ht="32" customHeight="1" spans="1:8" x14ac:dyDescent="0.25">
      <c r="A74" s="3" t="s">
        <v>416</v>
      </c>
      <c r="B74" s="3" t="s">
        <v>155</v>
      </c>
      <c r="C74" s="3" t="s">
        <v>417</v>
      </c>
      <c r="D74" s="78" t="s">
        <v>292</v>
      </c>
      <c r="E74" s="3" t="s">
        <v>418</v>
      </c>
      <c r="F74" s="78" t="s">
        <v>419</v>
      </c>
      <c r="G74" s="78" t="s">
        <v>177</v>
      </c>
    </row>
    <row r="75" ht="32" customHeight="1" spans="1:8" x14ac:dyDescent="0.25">
      <c r="A75" s="3" t="s">
        <v>420</v>
      </c>
      <c r="B75" s="3" t="s">
        <v>155</v>
      </c>
      <c r="C75" s="3" t="s">
        <v>421</v>
      </c>
      <c r="D75" s="78" t="s">
        <v>292</v>
      </c>
      <c r="E75" s="3" t="s">
        <v>422</v>
      </c>
      <c r="F75" s="78" t="s">
        <v>423</v>
      </c>
      <c r="G75" s="78" t="s">
        <v>177</v>
      </c>
    </row>
    <row r="76" ht="32" customHeight="1" spans="1:8" x14ac:dyDescent="0.25">
      <c r="A76" s="3" t="s">
        <v>424</v>
      </c>
      <c r="B76" s="3" t="s">
        <v>155</v>
      </c>
      <c r="C76" s="3" t="s">
        <v>425</v>
      </c>
      <c r="D76" s="78" t="s">
        <v>292</v>
      </c>
      <c r="E76" s="3" t="s">
        <v>426</v>
      </c>
      <c r="F76" s="78" t="s">
        <v>427</v>
      </c>
      <c r="G76" s="78" t="s">
        <v>177</v>
      </c>
    </row>
    <row r="77" ht="32" customHeight="1" spans="1:8" x14ac:dyDescent="0.25">
      <c r="A77" s="3" t="s">
        <v>428</v>
      </c>
      <c r="B77" s="3" t="s">
        <v>155</v>
      </c>
      <c r="C77" s="3" t="s">
        <v>429</v>
      </c>
      <c r="D77" s="78" t="s">
        <v>292</v>
      </c>
      <c r="E77" s="3" t="s">
        <v>430</v>
      </c>
      <c r="F77" s="78" t="s">
        <v>431</v>
      </c>
      <c r="G77" s="78" t="s">
        <v>177</v>
      </c>
    </row>
    <row r="78" ht="32" customHeight="1" spans="1:8" x14ac:dyDescent="0.25">
      <c r="A78" s="3" t="s">
        <v>432</v>
      </c>
      <c r="B78" s="3" t="s">
        <v>155</v>
      </c>
      <c r="C78" s="3" t="s">
        <v>433</v>
      </c>
      <c r="D78" s="78" t="s">
        <v>292</v>
      </c>
      <c r="E78" s="3" t="s">
        <v>434</v>
      </c>
      <c r="F78" s="78" t="s">
        <v>435</v>
      </c>
      <c r="G78" s="78" t="s">
        <v>177</v>
      </c>
    </row>
    <row r="79" ht="32" customHeight="1" spans="1:8" x14ac:dyDescent="0.25">
      <c r="A79" s="3" t="s">
        <v>436</v>
      </c>
      <c r="B79" s="3" t="s">
        <v>155</v>
      </c>
      <c r="C79" s="3" t="s">
        <v>437</v>
      </c>
      <c r="D79" s="78" t="s">
        <v>292</v>
      </c>
      <c r="E79" s="3" t="s">
        <v>438</v>
      </c>
      <c r="F79" s="78" t="s">
        <v>439</v>
      </c>
      <c r="G79" s="78" t="s">
        <v>177</v>
      </c>
    </row>
    <row r="80" ht="32" customHeight="1" spans="1:8" x14ac:dyDescent="0.25">
      <c r="A80" s="3" t="s">
        <v>440</v>
      </c>
      <c r="B80" s="3" t="s">
        <v>155</v>
      </c>
      <c r="C80" s="3" t="s">
        <v>441</v>
      </c>
      <c r="D80" s="78" t="s">
        <v>292</v>
      </c>
      <c r="E80" s="3" t="s">
        <v>442</v>
      </c>
      <c r="F80" s="78" t="s">
        <v>443</v>
      </c>
      <c r="G80" s="78" t="s">
        <v>177</v>
      </c>
    </row>
    <row r="81" ht="32" customHeight="1" spans="1:8" x14ac:dyDescent="0.25">
      <c r="A81" s="3" t="s">
        <v>444</v>
      </c>
      <c r="B81" s="3" t="s">
        <v>155</v>
      </c>
      <c r="C81" s="3" t="s">
        <v>445</v>
      </c>
      <c r="D81" s="78" t="s">
        <v>292</v>
      </c>
      <c r="E81" s="3" t="s">
        <v>156</v>
      </c>
      <c r="F81" s="78"/>
      <c r="G81" s="78" t="s">
        <v>177</v>
      </c>
    </row>
    <row r="82" ht="32" customHeight="1" spans="1:8" x14ac:dyDescent="0.25">
      <c r="A82" s="3" t="s">
        <v>446</v>
      </c>
      <c r="B82" s="3" t="s">
        <v>155</v>
      </c>
      <c r="C82" s="3" t="s">
        <v>447</v>
      </c>
      <c r="D82" s="78" t="s">
        <v>292</v>
      </c>
      <c r="E82" s="3" t="s">
        <v>448</v>
      </c>
      <c r="F82" s="78" t="s">
        <v>419</v>
      </c>
      <c r="G82" s="78" t="s">
        <v>177</v>
      </c>
    </row>
    <row r="83" ht="32" customHeight="1" spans="1:8" x14ac:dyDescent="0.25">
      <c r="A83" s="3" t="s">
        <v>449</v>
      </c>
      <c r="B83" s="3" t="s">
        <v>155</v>
      </c>
      <c r="C83" s="3" t="s">
        <v>450</v>
      </c>
      <c r="D83" s="78" t="s">
        <v>292</v>
      </c>
      <c r="E83" s="3" t="s">
        <v>451</v>
      </c>
      <c r="F83" s="78" t="s">
        <v>423</v>
      </c>
      <c r="G83" s="78" t="s">
        <v>177</v>
      </c>
    </row>
    <row r="84" ht="32" customHeight="1" spans="1:8" x14ac:dyDescent="0.25">
      <c r="A84" s="3" t="s">
        <v>452</v>
      </c>
      <c r="B84" s="3" t="s">
        <v>155</v>
      </c>
      <c r="C84" s="3" t="s">
        <v>453</v>
      </c>
      <c r="D84" s="78" t="s">
        <v>292</v>
      </c>
      <c r="E84" s="3" t="s">
        <v>454</v>
      </c>
      <c r="F84" s="78" t="s">
        <v>427</v>
      </c>
      <c r="G84" s="78" t="s">
        <v>177</v>
      </c>
    </row>
    <row r="85" ht="32" customHeight="1" spans="1:8" x14ac:dyDescent="0.25">
      <c r="A85" s="3" t="s">
        <v>455</v>
      </c>
      <c r="B85" s="3" t="s">
        <v>155</v>
      </c>
      <c r="C85" s="3" t="s">
        <v>456</v>
      </c>
      <c r="D85" s="78" t="s">
        <v>292</v>
      </c>
      <c r="E85" s="3" t="s">
        <v>457</v>
      </c>
      <c r="F85" s="78" t="s">
        <v>431</v>
      </c>
      <c r="G85" s="78" t="s">
        <v>177</v>
      </c>
    </row>
    <row r="86" ht="32" customHeight="1" spans="1:8" x14ac:dyDescent="0.25">
      <c r="A86" s="3" t="s">
        <v>458</v>
      </c>
      <c r="B86" s="3" t="s">
        <v>155</v>
      </c>
      <c r="C86" s="3" t="s">
        <v>459</v>
      </c>
      <c r="D86" s="78" t="s">
        <v>292</v>
      </c>
      <c r="E86" s="3" t="s">
        <v>460</v>
      </c>
      <c r="F86" s="78" t="s">
        <v>435</v>
      </c>
      <c r="G86" s="78" t="s">
        <v>177</v>
      </c>
    </row>
    <row r="87" ht="32" customHeight="1" spans="1:8" x14ac:dyDescent="0.25">
      <c r="A87" s="3" t="s">
        <v>461</v>
      </c>
      <c r="B87" s="3" t="s">
        <v>155</v>
      </c>
      <c r="C87" s="3" t="s">
        <v>462</v>
      </c>
      <c r="D87" s="78" t="s">
        <v>292</v>
      </c>
      <c r="E87" s="3" t="s">
        <v>176</v>
      </c>
      <c r="F87" s="78" t="s">
        <v>439</v>
      </c>
      <c r="G87" s="78" t="s">
        <v>177</v>
      </c>
    </row>
    <row r="88" ht="32" customHeight="1" spans="1:8" x14ac:dyDescent="0.25">
      <c r="A88" s="3" t="s">
        <v>463</v>
      </c>
      <c r="B88" s="3" t="s">
        <v>155</v>
      </c>
      <c r="C88" s="3" t="s">
        <v>464</v>
      </c>
      <c r="D88" s="78" t="s">
        <v>292</v>
      </c>
      <c r="E88" s="3" t="s">
        <v>465</v>
      </c>
      <c r="F88" s="78" t="s">
        <v>443</v>
      </c>
      <c r="G88" s="78" t="s">
        <v>177</v>
      </c>
    </row>
    <row r="89" ht="32" customHeight="1" spans="1:8" x14ac:dyDescent="0.25">
      <c r="A89" s="3" t="s">
        <v>466</v>
      </c>
      <c r="B89" s="3" t="s">
        <v>155</v>
      </c>
      <c r="C89" s="3" t="s">
        <v>467</v>
      </c>
      <c r="D89" s="78" t="s">
        <v>292</v>
      </c>
      <c r="E89" s="3" t="s">
        <v>468</v>
      </c>
      <c r="F89" s="78" t="s">
        <v>157</v>
      </c>
      <c r="G89" s="78" t="s">
        <v>177</v>
      </c>
    </row>
    <row r="90" ht="32" customHeight="1" spans="1:8" x14ac:dyDescent="0.25">
      <c r="A90" s="3" t="s">
        <v>469</v>
      </c>
      <c r="B90" s="3" t="s">
        <v>155</v>
      </c>
      <c r="C90" s="3" t="s">
        <v>395</v>
      </c>
      <c r="D90" s="78" t="s">
        <v>205</v>
      </c>
      <c r="E90" s="3" t="s">
        <v>396</v>
      </c>
      <c r="F90" s="78" t="s">
        <v>157</v>
      </c>
      <c r="G90" s="78" t="s">
        <v>177</v>
      </c>
    </row>
    <row r="91" ht="32" customHeight="1" spans="1:8" x14ac:dyDescent="0.25">
      <c r="A91" s="3" t="s">
        <v>470</v>
      </c>
      <c r="B91" s="3" t="s">
        <v>155</v>
      </c>
      <c r="C91" s="3" t="s">
        <v>395</v>
      </c>
      <c r="D91" s="78" t="s">
        <v>292</v>
      </c>
      <c r="E91" s="3" t="s">
        <v>398</v>
      </c>
      <c r="F91" s="78" t="s">
        <v>398</v>
      </c>
      <c r="G91" s="78" t="s">
        <v>177</v>
      </c>
    </row>
    <row r="92" ht="32" customHeight="1" spans="1:8" x14ac:dyDescent="0.25">
      <c r="A92" s="3" t="s">
        <v>471</v>
      </c>
      <c r="B92" s="3" t="s">
        <v>155</v>
      </c>
      <c r="C92" s="3" t="s">
        <v>395</v>
      </c>
      <c r="D92" s="78" t="s">
        <v>292</v>
      </c>
      <c r="E92" s="3" t="s">
        <v>400</v>
      </c>
      <c r="F92" s="78" t="s">
        <v>400</v>
      </c>
      <c r="G92" s="78" t="s">
        <v>177</v>
      </c>
    </row>
    <row r="93" ht="32" customHeight="1" spans="1:8" x14ac:dyDescent="0.25">
      <c r="A93" s="3" t="s">
        <v>472</v>
      </c>
      <c r="B93" s="3" t="s">
        <v>155</v>
      </c>
      <c r="C93" s="3" t="s">
        <v>402</v>
      </c>
      <c r="D93" s="78" t="s">
        <v>292</v>
      </c>
      <c r="E93" s="3" t="s">
        <v>403</v>
      </c>
      <c r="F93" s="78" t="s">
        <v>307</v>
      </c>
      <c r="G93" s="78" t="s">
        <v>177</v>
      </c>
    </row>
    <row r="94" ht="32" customHeight="1" spans="1:8" x14ac:dyDescent="0.25">
      <c r="A94" s="3" t="s">
        <v>473</v>
      </c>
      <c r="B94" s="3" t="s">
        <v>155</v>
      </c>
      <c r="C94" s="3" t="s">
        <v>405</v>
      </c>
      <c r="D94" s="78" t="s">
        <v>292</v>
      </c>
      <c r="E94" s="3" t="s">
        <v>406</v>
      </c>
      <c r="F94" s="78" t="s">
        <v>307</v>
      </c>
      <c r="G94" s="78" t="s">
        <v>177</v>
      </c>
    </row>
    <row r="95" spans="1:8" x14ac:dyDescent="0.25">
      <c r="A95" s="3"/>
      <c r="B95" s="3"/>
      <c r="C95" s="3"/>
      <c r="D95" s="3"/>
      <c r="E95" s="3"/>
      <c r="F95" s="3"/>
      <c r="G95" s="3"/>
    </row>
    <row r="133" ht="15.75" customHeight="1" x14ac:dyDescent="0.25"/>
    <row r="134" ht="15.75" customHeight="1" x14ac:dyDescent="0.25"/>
    <row r="135" ht="15.75" customHeight="1" x14ac:dyDescent="0.25"/>
    <row r="136" ht="15.75" customHeight="1" x14ac:dyDescent="0.25"/>
    <row r="137" ht="15.75" customHeight="1" x14ac:dyDescent="0.25"/>
    <row r="148" ht="15.75" customHeight="1" x14ac:dyDescent="0.25"/>
    <row r="149" ht="15.75" customHeight="1" x14ac:dyDescent="0.25"/>
    <row r="150" ht="15.75" customHeight="1" spans="1:8" s="79" customFormat="1" x14ac:dyDescent="0.25">
      <c r="A150" s="79"/>
      <c r="B150" s="3"/>
      <c r="C150" s="3"/>
      <c r="D150" s="3"/>
      <c r="E150" s="3"/>
      <c r="F150" s="3"/>
      <c r="G150" s="3"/>
      <c r="H150" s="3"/>
    </row>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sheetData>
  <autoFilter ref="A1:G1"/>
  <pageMargins left="0.7086614173228347" right="0.7086614173228347" top="0.7480314960629921" bottom="0.7480314960629921" header="0.31496062992125984" footer="0.31496062992125984"/>
  <pageSetup paperSize="8" orientation="landscape" horizontalDpi="4294967295" verticalDpi="4294967295" scale="74" fitToWidth="1" fitToHeight="1" firstPageNumber="1" useFirstPageNumber="1" copies="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I27"/>
  <sheetViews>
    <sheetView workbookViewId="0" zoomScale="100" zoomScaleNormal="100">
      <pane xSplit="5" ySplit="1" topLeftCell="F13" activePane="bottomRight" state="frozen"/>
      <selection pane="bottomRight" activeCell="AE21" sqref="AE21"/>
    </sheetView>
  </sheetViews>
  <sheetFormatPr defaultRowHeight="16" outlineLevelRow="0" outlineLevelCol="0" x14ac:dyDescent="0.2" defaultColWidth="10.83203125" customHeight="1"/>
  <cols>
    <col min="1" max="1" width="5.83203125" style="223" customWidth="1"/>
    <col min="2" max="2" width="17.1640625" style="179" hidden="1" customWidth="1"/>
    <col min="3" max="3" width="6.33203125" style="179" customWidth="1"/>
    <col min="4" max="4" width="6.5" style="223" customWidth="1"/>
    <col min="5" max="5" width="19.5" style="223" customWidth="1"/>
    <col min="6" max="6" width="23" style="179" customWidth="1"/>
    <col min="7" max="7" width="9.33203125" style="179" customWidth="1"/>
    <col min="8" max="8" width="11.33203125" style="179" customWidth="1"/>
    <col min="9" max="9" width="9" style="179" customWidth="1"/>
    <col min="10" max="28" width="9.33203125" style="179" customWidth="1"/>
    <col min="29" max="29" width="11.6640625" style="179" customWidth="1"/>
    <col min="30" max="37" width="9.33203125" style="179" customWidth="1"/>
    <col min="38" max="38" width="7.83203125" style="179" customWidth="1"/>
    <col min="39" max="39" width="8.6640625" style="179" customWidth="1"/>
    <col min="40" max="42" width="9.33203125" style="179" customWidth="1"/>
    <col min="43" max="43" width="10.83203125" style="179" customWidth="1"/>
    <col min="44" max="48" width="9.33203125" style="179" customWidth="1"/>
    <col min="49" max="49" width="15.5" style="179" customWidth="1"/>
    <col min="50" max="50" width="16.5" style="179" customWidth="1"/>
    <col min="51" max="51" width="9.33203125" style="179" customWidth="1"/>
    <col min="52" max="61" width="9.33203125" style="179" hidden="1" customWidth="1"/>
    <col min="62" max="62" width="4" style="179" customWidth="1"/>
    <col min="63" max="16384" width="10.83203125" style="179" customWidth="1"/>
  </cols>
  <sheetData>
    <row r="1" ht="12" customHeight="1" spans="1:40" s="224" customFormat="1" x14ac:dyDescent="0.25">
      <c r="A1" s="225"/>
      <c r="B1" s="226" t="s">
        <v>474</v>
      </c>
      <c r="C1" s="226"/>
      <c r="D1" s="226"/>
      <c r="E1" s="226"/>
      <c r="F1" s="226"/>
      <c r="G1" s="227"/>
      <c r="H1" s="227"/>
      <c r="I1" s="227"/>
      <c r="J1" s="227"/>
      <c r="K1" s="227"/>
      <c r="L1" s="227"/>
      <c r="M1" s="227"/>
      <c r="N1" s="227"/>
      <c r="O1" s="227"/>
      <c r="P1" s="228"/>
      <c r="Q1" s="228"/>
      <c r="R1" s="228"/>
      <c r="S1" s="228"/>
      <c r="T1" s="228"/>
      <c r="U1" s="228"/>
      <c r="V1" s="228"/>
      <c r="W1" s="228"/>
      <c r="X1" s="228"/>
      <c r="Y1" s="228"/>
      <c r="Z1" s="228"/>
      <c r="AA1" s="228"/>
      <c r="AB1" s="228"/>
      <c r="AC1" s="228"/>
      <c r="AD1" s="228"/>
      <c r="AE1" s="228"/>
      <c r="AF1" s="228"/>
      <c r="AG1" s="228"/>
      <c r="AH1" s="228"/>
      <c r="AI1" s="228"/>
      <c r="AJ1" s="228"/>
      <c r="AK1" s="228"/>
      <c r="AL1" s="228"/>
      <c r="AM1" s="228"/>
      <c r="AN1" s="228"/>
    </row>
    <row r="2" ht="12" customHeight="1" spans="1:61" s="224" customFormat="1" x14ac:dyDescent="0.25">
      <c r="A2" s="229"/>
      <c r="B2" s="229"/>
      <c r="C2" s="229"/>
      <c r="D2" s="229"/>
      <c r="E2" s="229"/>
      <c r="F2" s="229"/>
      <c r="G2" s="230" t="s">
        <v>479</v>
      </c>
      <c r="H2" s="230" t="s">
        <v>479</v>
      </c>
      <c r="I2" s="230" t="s">
        <v>479</v>
      </c>
      <c r="J2" s="230" t="s">
        <v>479</v>
      </c>
      <c r="K2" s="230" t="s">
        <v>479</v>
      </c>
      <c r="L2" s="230" t="s">
        <v>479</v>
      </c>
      <c r="M2" s="230" t="s">
        <v>479</v>
      </c>
      <c r="N2" s="230" t="s">
        <v>479</v>
      </c>
      <c r="O2" s="230" t="s">
        <v>479</v>
      </c>
      <c r="P2" s="231" t="s">
        <v>480</v>
      </c>
      <c r="Q2" s="230" t="s">
        <v>481</v>
      </c>
      <c r="R2" s="230" t="s">
        <v>481</v>
      </c>
      <c r="S2" s="230" t="s">
        <v>481</v>
      </c>
      <c r="T2" s="230" t="s">
        <v>481</v>
      </c>
      <c r="U2" s="230" t="s">
        <v>481</v>
      </c>
      <c r="V2" s="230" t="s">
        <v>481</v>
      </c>
      <c r="W2" s="230" t="s">
        <v>481</v>
      </c>
      <c r="X2" s="230" t="s">
        <v>481</v>
      </c>
      <c r="Y2" s="230" t="s">
        <v>481</v>
      </c>
      <c r="Z2" s="230" t="s">
        <v>481</v>
      </c>
      <c r="AA2" s="230" t="s">
        <v>481</v>
      </c>
      <c r="AB2" s="230" t="s">
        <v>481</v>
      </c>
      <c r="AC2" s="230" t="s">
        <v>481</v>
      </c>
      <c r="AD2" s="231" t="s">
        <v>482</v>
      </c>
      <c r="AE2" s="230" t="s">
        <v>483</v>
      </c>
      <c r="AF2" s="230" t="s">
        <v>483</v>
      </c>
      <c r="AG2" s="230" t="s">
        <v>483</v>
      </c>
      <c r="AH2" s="230" t="s">
        <v>483</v>
      </c>
      <c r="AI2" s="230" t="s">
        <v>483</v>
      </c>
      <c r="AJ2" s="230" t="s">
        <v>483</v>
      </c>
      <c r="AK2" s="230" t="s">
        <v>483</v>
      </c>
      <c r="AL2" s="230" t="s">
        <v>483</v>
      </c>
      <c r="AM2" s="230" t="s">
        <v>483</v>
      </c>
      <c r="AN2" s="232" t="s">
        <v>484</v>
      </c>
      <c r="AZ2" s="233"/>
      <c r="BA2" s="233"/>
      <c r="BB2" s="233"/>
      <c r="BC2" s="233"/>
      <c r="BD2" s="233"/>
      <c r="BE2" s="233"/>
      <c r="BF2" s="233"/>
      <c r="BG2" s="233"/>
      <c r="BH2" s="233"/>
      <c r="BI2" s="194"/>
    </row>
    <row r="3" ht="36" customHeight="1" spans="1:61" s="224" customFormat="1" x14ac:dyDescent="0.25">
      <c r="A3" s="229"/>
      <c r="B3" s="229"/>
      <c r="C3" s="229"/>
      <c r="D3" s="229"/>
      <c r="E3" s="229"/>
      <c r="F3" s="229"/>
      <c r="G3" s="230" t="s">
        <v>499</v>
      </c>
      <c r="H3" s="230" t="s">
        <v>500</v>
      </c>
      <c r="I3" s="230" t="s">
        <v>501</v>
      </c>
      <c r="J3" s="230" t="s">
        <v>502</v>
      </c>
      <c r="K3" s="230" t="s">
        <v>503</v>
      </c>
      <c r="L3" s="230" t="s">
        <v>504</v>
      </c>
      <c r="M3" s="230" t="s">
        <v>266</v>
      </c>
      <c r="N3" s="230" t="s">
        <v>260</v>
      </c>
      <c r="O3" s="230" t="s">
        <v>505</v>
      </c>
      <c r="P3" s="231"/>
      <c r="Q3" s="230" t="s">
        <v>506</v>
      </c>
      <c r="R3" s="230" t="s">
        <v>507</v>
      </c>
      <c r="S3" s="230" t="s">
        <v>508</v>
      </c>
      <c r="T3" s="230" t="s">
        <v>509</v>
      </c>
      <c r="U3" s="230" t="s">
        <v>510</v>
      </c>
      <c r="V3" s="230" t="s">
        <v>511</v>
      </c>
      <c r="W3" s="230" t="s">
        <v>512</v>
      </c>
      <c r="X3" s="230" t="s">
        <v>513</v>
      </c>
      <c r="Y3" s="230" t="s">
        <v>514</v>
      </c>
      <c r="Z3" s="230" t="s">
        <v>515</v>
      </c>
      <c r="AA3" s="230" t="s">
        <v>516</v>
      </c>
      <c r="AB3" s="230" t="s">
        <v>517</v>
      </c>
      <c r="AC3" s="230" t="s">
        <v>518</v>
      </c>
      <c r="AD3" s="231"/>
      <c r="AE3" s="230" t="s">
        <v>519</v>
      </c>
      <c r="AF3" s="230" t="s">
        <v>520</v>
      </c>
      <c r="AG3" s="230" t="s">
        <v>521</v>
      </c>
      <c r="AH3" s="230" t="s">
        <v>522</v>
      </c>
      <c r="AI3" s="230" t="s">
        <v>523</v>
      </c>
      <c r="AJ3" s="230" t="s">
        <v>524</v>
      </c>
      <c r="AK3" s="230" t="s">
        <v>525</v>
      </c>
      <c r="AL3" s="230" t="s">
        <v>526</v>
      </c>
      <c r="AM3" s="230" t="s">
        <v>527</v>
      </c>
      <c r="AN3" s="234"/>
      <c r="AZ3" s="233"/>
      <c r="BA3" s="233"/>
      <c r="BB3" s="233"/>
      <c r="BC3" s="233"/>
      <c r="BD3" s="233"/>
      <c r="BE3" s="233"/>
      <c r="BF3" s="233"/>
      <c r="BG3" s="233"/>
      <c r="BH3" s="233"/>
      <c r="BI3" s="194"/>
    </row>
    <row r="4" ht="60" customHeight="1" spans="1:61" s="224" customFormat="1" x14ac:dyDescent="0.25">
      <c r="A4" s="235"/>
      <c r="B4" s="236" t="s">
        <v>528</v>
      </c>
      <c r="C4" s="236" t="s">
        <v>529</v>
      </c>
      <c r="D4" s="236" t="s">
        <v>37</v>
      </c>
      <c r="E4" s="236" t="s">
        <v>530</v>
      </c>
      <c r="F4" s="236" t="s">
        <v>531</v>
      </c>
      <c r="G4" s="230" t="s">
        <v>547</v>
      </c>
      <c r="H4" s="230" t="s">
        <v>548</v>
      </c>
      <c r="I4" s="230" t="s">
        <v>549</v>
      </c>
      <c r="J4" s="230" t="s">
        <v>550</v>
      </c>
      <c r="K4" s="230" t="s">
        <v>551</v>
      </c>
      <c r="L4" s="230" t="s">
        <v>552</v>
      </c>
      <c r="M4" s="230" t="s">
        <v>266</v>
      </c>
      <c r="N4" s="230" t="s">
        <v>553</v>
      </c>
      <c r="O4" s="230" t="s">
        <v>554</v>
      </c>
      <c r="P4" s="231"/>
      <c r="Q4" s="230" t="s">
        <v>555</v>
      </c>
      <c r="R4" s="230" t="s">
        <v>556</v>
      </c>
      <c r="S4" s="230" t="s">
        <v>557</v>
      </c>
      <c r="T4" s="230" t="s">
        <v>558</v>
      </c>
      <c r="U4" s="230" t="s">
        <v>559</v>
      </c>
      <c r="V4" s="230" t="s">
        <v>560</v>
      </c>
      <c r="W4" s="230" t="s">
        <v>561</v>
      </c>
      <c r="X4" s="230" t="s">
        <v>562</v>
      </c>
      <c r="Y4" s="230" t="s">
        <v>563</v>
      </c>
      <c r="Z4" s="230" t="s">
        <v>564</v>
      </c>
      <c r="AA4" s="230" t="s">
        <v>565</v>
      </c>
      <c r="AB4" s="230" t="s">
        <v>566</v>
      </c>
      <c r="AC4" s="230" t="s">
        <v>567</v>
      </c>
      <c r="AD4" s="231"/>
      <c r="AE4" s="230" t="s">
        <v>568</v>
      </c>
      <c r="AF4" s="230" t="s">
        <v>569</v>
      </c>
      <c r="AG4" s="230" t="s">
        <v>570</v>
      </c>
      <c r="AH4" s="230" t="s">
        <v>571</v>
      </c>
      <c r="AI4" s="230" t="s">
        <v>572</v>
      </c>
      <c r="AJ4" s="230" t="s">
        <v>573</v>
      </c>
      <c r="AK4" s="230" t="s">
        <v>574</v>
      </c>
      <c r="AL4" s="230" t="s">
        <v>575</v>
      </c>
      <c r="AM4" s="230" t="s">
        <v>576</v>
      </c>
      <c r="AN4" s="237"/>
      <c r="AZ4" s="233"/>
      <c r="BA4" s="233"/>
      <c r="BB4" s="233"/>
      <c r="BC4" s="233"/>
      <c r="BD4" s="233"/>
      <c r="BE4" s="233"/>
      <c r="BF4" s="233"/>
      <c r="BG4" s="233"/>
      <c r="BH4" s="233"/>
      <c r="BI4" s="194"/>
    </row>
    <row r="5" ht="293" customHeight="1" spans="1:61" s="224" customFormat="1" x14ac:dyDescent="0.25">
      <c r="A5" s="238" t="s">
        <v>577</v>
      </c>
      <c r="B5" s="239"/>
      <c r="C5" s="239"/>
      <c r="D5" s="240"/>
      <c r="E5" s="240" t="s">
        <v>578</v>
      </c>
      <c r="F5" s="240" t="s">
        <v>579</v>
      </c>
      <c r="G5" s="241" t="s">
        <v>703</v>
      </c>
      <c r="H5" s="241" t="s">
        <v>704</v>
      </c>
      <c r="I5" s="242"/>
      <c r="J5" s="242"/>
      <c r="K5" s="242"/>
      <c r="L5" s="242"/>
      <c r="M5" s="241"/>
      <c r="N5" s="241" t="s">
        <v>705</v>
      </c>
      <c r="O5" s="241" t="s">
        <v>706</v>
      </c>
      <c r="P5" s="243">
        <f>SUMIF($G$2:O$2,O$2,$G5:O5)</f>
        <v>0</v>
      </c>
      <c r="Q5" s="242"/>
      <c r="R5" s="242"/>
      <c r="S5" s="242"/>
      <c r="T5" s="242"/>
      <c r="U5" s="242"/>
      <c r="V5" s="242"/>
      <c r="W5" s="241" t="s">
        <v>707</v>
      </c>
      <c r="X5" s="241" t="s">
        <v>708</v>
      </c>
      <c r="Y5" s="241" t="s">
        <v>709</v>
      </c>
      <c r="Z5" s="241" t="s">
        <v>710</v>
      </c>
      <c r="AA5" s="241" t="s">
        <v>711</v>
      </c>
      <c r="AB5" s="241" t="s">
        <v>712</v>
      </c>
      <c r="AC5" s="241" t="s">
        <v>713</v>
      </c>
      <c r="AD5" s="244">
        <f>SUMIF($G$2:AC$2,Y$2,$G5:AC5)</f>
        <v>0</v>
      </c>
      <c r="AE5" s="245"/>
      <c r="AF5" s="245"/>
      <c r="AG5" s="246"/>
      <c r="AH5" s="246"/>
      <c r="AI5" s="246"/>
      <c r="AJ5" s="246"/>
      <c r="AK5" s="246"/>
      <c r="AL5" s="246"/>
      <c r="AM5" s="245"/>
      <c r="AN5" s="244">
        <f>SUMIF($G$2:AM$2,AM$2,$G5:AM5)</f>
        <v>0</v>
      </c>
      <c r="AZ5" s="247"/>
      <c r="BA5" s="247"/>
      <c r="BB5" s="248"/>
      <c r="BC5" s="248"/>
      <c r="BD5" s="248"/>
      <c r="BE5" s="248"/>
      <c r="BF5" s="248"/>
      <c r="BG5" s="248"/>
      <c r="BH5" s="247"/>
      <c r="BI5" s="249"/>
    </row>
    <row r="6" ht="409.6" customHeight="1" spans="1:61" s="224" customFormat="1" x14ac:dyDescent="0.25">
      <c r="A6" s="238" t="s">
        <v>577</v>
      </c>
      <c r="B6" s="239"/>
      <c r="C6" s="239"/>
      <c r="D6" s="240"/>
      <c r="E6" s="240" t="s">
        <v>580</v>
      </c>
      <c r="F6" s="240" t="s">
        <v>581</v>
      </c>
      <c r="G6" s="242"/>
      <c r="H6" s="242"/>
      <c r="I6" s="241" t="s">
        <v>714</v>
      </c>
      <c r="J6" s="241" t="s">
        <v>715</v>
      </c>
      <c r="K6" s="241" t="s">
        <v>716</v>
      </c>
      <c r="L6" s="241" t="s">
        <v>717</v>
      </c>
      <c r="M6" s="241" t="s">
        <v>718</v>
      </c>
      <c r="N6" s="241" t="s">
        <v>719</v>
      </c>
      <c r="O6" s="241" t="s">
        <v>720</v>
      </c>
      <c r="P6" s="243">
        <f>SUMIF($G$2:O$2,O$2,$G6:O6)</f>
        <v>0</v>
      </c>
      <c r="Q6" s="241" t="s">
        <v>721</v>
      </c>
      <c r="R6" s="241" t="s">
        <v>722</v>
      </c>
      <c r="S6" s="241" t="s">
        <v>723</v>
      </c>
      <c r="T6" s="241" t="s">
        <v>724</v>
      </c>
      <c r="U6" s="241" t="s">
        <v>725</v>
      </c>
      <c r="V6" s="241" t="s">
        <v>726</v>
      </c>
      <c r="W6" s="242"/>
      <c r="X6" s="242"/>
      <c r="Y6" s="242"/>
      <c r="Z6" s="242"/>
      <c r="AA6" s="242"/>
      <c r="AB6" s="241" t="s">
        <v>727</v>
      </c>
      <c r="AC6" s="241" t="s">
        <v>728</v>
      </c>
      <c r="AD6" s="244">
        <f>SUMIF($G$2:AC$2,Y$2,$G6:AC6)</f>
        <v>0</v>
      </c>
      <c r="AE6" s="245"/>
      <c r="AF6" s="246"/>
      <c r="AG6" s="246"/>
      <c r="AH6" s="246"/>
      <c r="AI6" s="246"/>
      <c r="AJ6" s="246"/>
      <c r="AK6" s="246"/>
      <c r="AL6" s="246"/>
      <c r="AM6" s="245"/>
      <c r="AN6" s="244">
        <f>SUMIF($G$2:AM$2,AM$2,$G6:AM6)</f>
        <v>0</v>
      </c>
      <c r="AZ6" s="247"/>
      <c r="BA6" s="248"/>
      <c r="BB6" s="248"/>
      <c r="BC6" s="248"/>
      <c r="BD6" s="248"/>
      <c r="BE6" s="248"/>
      <c r="BF6" s="248"/>
      <c r="BG6" s="248"/>
      <c r="BH6" s="247"/>
      <c r="BI6" s="249"/>
    </row>
    <row r="7" ht="48" customHeight="1" spans="1:61" s="224" customFormat="1" x14ac:dyDescent="0.25">
      <c r="A7" s="238" t="s">
        <v>577</v>
      </c>
      <c r="B7" s="239"/>
      <c r="C7" s="239"/>
      <c r="D7" s="240"/>
      <c r="E7" s="240" t="s">
        <v>583</v>
      </c>
      <c r="F7" s="240" t="s">
        <v>584</v>
      </c>
      <c r="G7" s="242"/>
      <c r="H7" s="241" t="s">
        <v>729</v>
      </c>
      <c r="I7" s="241" t="s">
        <v>730</v>
      </c>
      <c r="J7" s="242"/>
      <c r="K7" s="242"/>
      <c r="L7" s="242"/>
      <c r="M7" s="241" t="s">
        <v>731</v>
      </c>
      <c r="N7" s="241" t="s">
        <v>732</v>
      </c>
      <c r="O7" s="241" t="s">
        <v>733</v>
      </c>
      <c r="P7" s="243">
        <f>SUMIF($G$2:O$2,O$2,$G7:O7)</f>
        <v>0</v>
      </c>
      <c r="Q7" s="242"/>
      <c r="R7" s="242"/>
      <c r="S7" s="242"/>
      <c r="T7" s="242"/>
      <c r="U7" s="242"/>
      <c r="V7" s="242"/>
      <c r="W7" s="242"/>
      <c r="X7" s="242"/>
      <c r="Y7" s="242"/>
      <c r="Z7" s="242"/>
      <c r="AA7" s="242"/>
      <c r="AB7" s="242"/>
      <c r="AC7" s="241" t="s">
        <v>734</v>
      </c>
      <c r="AD7" s="244">
        <f>SUMIF($G$2:AC$2,Y$2,$G7:AC7)</f>
        <v>0</v>
      </c>
      <c r="AE7" s="245"/>
      <c r="AF7" s="245"/>
      <c r="AG7" s="245"/>
      <c r="AH7" s="245"/>
      <c r="AI7" s="245"/>
      <c r="AJ7" s="245"/>
      <c r="AK7" s="245"/>
      <c r="AL7" s="245"/>
      <c r="AM7" s="250"/>
      <c r="AN7" s="244">
        <f>SUMIF($G$2:AM$2,AM$2,$G7:AM7)</f>
        <v>0</v>
      </c>
      <c r="AZ7" s="247"/>
      <c r="BA7" s="247"/>
      <c r="BB7" s="247"/>
      <c r="BC7" s="247"/>
      <c r="BD7" s="247"/>
      <c r="BE7" s="247"/>
      <c r="BF7" s="247"/>
      <c r="BG7" s="247"/>
      <c r="BH7" s="251"/>
      <c r="BI7" s="249"/>
    </row>
    <row r="8" ht="63" customHeight="1" spans="1:61" s="224" customFormat="1" x14ac:dyDescent="0.25">
      <c r="A8" s="238" t="s">
        <v>577</v>
      </c>
      <c r="B8" s="239"/>
      <c r="C8" s="239"/>
      <c r="D8" s="240"/>
      <c r="E8" s="240" t="s">
        <v>587</v>
      </c>
      <c r="F8" s="240" t="s">
        <v>588</v>
      </c>
      <c r="G8" s="252"/>
      <c r="H8" s="241" t="s">
        <v>735</v>
      </c>
      <c r="I8" s="241" t="s">
        <v>736</v>
      </c>
      <c r="J8" s="252"/>
      <c r="K8" s="252"/>
      <c r="L8" s="252"/>
      <c r="M8" s="241" t="s">
        <v>737</v>
      </c>
      <c r="N8" s="241" t="s">
        <v>738</v>
      </c>
      <c r="O8" s="241" t="s">
        <v>739</v>
      </c>
      <c r="P8" s="243">
        <f>SUMIF($G$2:O$2,O$2,$G8:O8)</f>
        <v>0</v>
      </c>
      <c r="Q8" s="242"/>
      <c r="R8" s="242"/>
      <c r="S8" s="242"/>
      <c r="T8" s="242"/>
      <c r="U8" s="242"/>
      <c r="V8" s="242"/>
      <c r="W8" s="242"/>
      <c r="X8" s="242"/>
      <c r="Y8" s="242"/>
      <c r="Z8" s="242"/>
      <c r="AA8" s="242"/>
      <c r="AB8" s="242"/>
      <c r="AC8" s="241" t="s">
        <v>740</v>
      </c>
      <c r="AD8" s="244">
        <f>SUMIF($G$2:AC$2,Y$2,$G8:AC8)</f>
        <v>0</v>
      </c>
      <c r="AE8" s="245"/>
      <c r="AF8" s="245"/>
      <c r="AG8" s="245"/>
      <c r="AH8" s="245"/>
      <c r="AI8" s="245"/>
      <c r="AJ8" s="245"/>
      <c r="AK8" s="245"/>
      <c r="AL8" s="245"/>
      <c r="AM8" s="245"/>
      <c r="AN8" s="244">
        <f>SUMIF($G$2:AM$2,AM$2,$G8:AM8)</f>
        <v>0</v>
      </c>
      <c r="AZ8" s="247"/>
      <c r="BA8" s="247"/>
      <c r="BB8" s="247"/>
      <c r="BC8" s="247"/>
      <c r="BD8" s="247"/>
      <c r="BE8" s="247"/>
      <c r="BF8" s="247"/>
      <c r="BG8" s="247"/>
      <c r="BH8" s="247"/>
      <c r="BI8" s="249"/>
    </row>
    <row r="9" ht="156" customHeight="1" spans="1:61" s="224" customFormat="1" x14ac:dyDescent="0.25">
      <c r="A9" s="238" t="s">
        <v>577</v>
      </c>
      <c r="B9" s="239"/>
      <c r="C9" s="239"/>
      <c r="D9" s="240"/>
      <c r="E9" s="240" t="s">
        <v>589</v>
      </c>
      <c r="F9" s="240" t="s">
        <v>590</v>
      </c>
      <c r="G9" s="253"/>
      <c r="H9" s="241" t="s">
        <v>741</v>
      </c>
      <c r="I9" s="241" t="s">
        <v>742</v>
      </c>
      <c r="J9" s="254"/>
      <c r="K9" s="254"/>
      <c r="L9" s="254"/>
      <c r="M9" s="241" t="s">
        <v>743</v>
      </c>
      <c r="N9" s="241" t="s">
        <v>744</v>
      </c>
      <c r="O9" s="241" t="s">
        <v>745</v>
      </c>
      <c r="P9" s="255">
        <f>SUMIF($G$2:O$2,O$2,$G9:O9)</f>
        <v>0</v>
      </c>
      <c r="Q9" s="242"/>
      <c r="R9" s="242"/>
      <c r="S9" s="242"/>
      <c r="T9" s="242"/>
      <c r="U9" s="242"/>
      <c r="V9" s="242"/>
      <c r="W9" s="242"/>
      <c r="X9" s="242"/>
      <c r="Y9" s="242"/>
      <c r="Z9" s="242"/>
      <c r="AA9" s="242"/>
      <c r="AB9" s="242"/>
      <c r="AC9" s="241" t="s">
        <v>746</v>
      </c>
      <c r="AD9" s="244">
        <f>SUMIF($G$2:AC$2,Y$2,$G9:AC9)</f>
        <v>0</v>
      </c>
      <c r="AE9" s="245"/>
      <c r="AF9" s="245"/>
      <c r="AG9" s="245"/>
      <c r="AH9" s="245"/>
      <c r="AI9" s="245"/>
      <c r="AJ9" s="245"/>
      <c r="AK9" s="245"/>
      <c r="AL9" s="245"/>
      <c r="AM9" s="245"/>
      <c r="AN9" s="244">
        <f>SUMIF($G$2:AM$2,AM$2,$G9:AM9)</f>
        <v>0</v>
      </c>
      <c r="AZ9" s="247"/>
      <c r="BA9" s="247"/>
      <c r="BB9" s="247"/>
      <c r="BC9" s="247"/>
      <c r="BD9" s="247"/>
      <c r="BE9" s="247"/>
      <c r="BF9" s="247"/>
      <c r="BG9" s="247"/>
      <c r="BH9" s="247"/>
      <c r="BI9" s="249"/>
    </row>
    <row r="10" ht="72" customHeight="1" spans="1:61" s="224" customFormat="1" x14ac:dyDescent="0.25">
      <c r="A10" s="238" t="s">
        <v>577</v>
      </c>
      <c r="B10" s="239"/>
      <c r="C10" s="239"/>
      <c r="D10" s="240"/>
      <c r="E10" s="240" t="s">
        <v>591</v>
      </c>
      <c r="F10" s="240" t="s">
        <v>592</v>
      </c>
      <c r="G10" s="253"/>
      <c r="H10" s="241" t="s">
        <v>747</v>
      </c>
      <c r="I10" s="241" t="s">
        <v>748</v>
      </c>
      <c r="J10" s="254"/>
      <c r="K10" s="254"/>
      <c r="L10" s="254"/>
      <c r="M10" s="241" t="s">
        <v>749</v>
      </c>
      <c r="N10" s="241" t="s">
        <v>750</v>
      </c>
      <c r="O10" s="241" t="s">
        <v>751</v>
      </c>
      <c r="P10" s="255">
        <f>SUMIF($G$2:O$2,O$2,$G10:O10)</f>
        <v>0</v>
      </c>
      <c r="Q10" s="242"/>
      <c r="R10" s="242"/>
      <c r="S10" s="242"/>
      <c r="T10" s="242"/>
      <c r="U10" s="242"/>
      <c r="V10" s="242"/>
      <c r="W10" s="242"/>
      <c r="X10" s="242"/>
      <c r="Y10" s="242"/>
      <c r="Z10" s="242"/>
      <c r="AA10" s="242"/>
      <c r="AB10" s="242"/>
      <c r="AC10" s="241" t="s">
        <v>752</v>
      </c>
      <c r="AD10" s="244">
        <f>SUMIF($G$2:AC$2,Y$2,$G10:AC10)</f>
        <v>0</v>
      </c>
      <c r="AE10" s="245"/>
      <c r="AF10" s="245"/>
      <c r="AG10" s="245"/>
      <c r="AH10" s="245"/>
      <c r="AI10" s="245"/>
      <c r="AJ10" s="245"/>
      <c r="AK10" s="245"/>
      <c r="AL10" s="245"/>
      <c r="AM10" s="245"/>
      <c r="AN10" s="244">
        <f>SUMIF($G$2:AM$2,AM$2,$G10:AM10)</f>
        <v>0</v>
      </c>
      <c r="AZ10" s="247"/>
      <c r="BA10" s="247"/>
      <c r="BB10" s="247"/>
      <c r="BC10" s="247"/>
      <c r="BD10" s="247"/>
      <c r="BE10" s="247"/>
      <c r="BF10" s="247"/>
      <c r="BG10" s="247"/>
      <c r="BH10" s="247"/>
      <c r="BI10" s="249"/>
    </row>
    <row r="11" ht="72" customHeight="1" spans="1:61" s="224" customFormat="1" x14ac:dyDescent="0.25">
      <c r="A11" s="238" t="s">
        <v>577</v>
      </c>
      <c r="B11" s="239"/>
      <c r="C11" s="239"/>
      <c r="D11" s="240"/>
      <c r="E11" s="240" t="s">
        <v>593</v>
      </c>
      <c r="F11" s="240" t="s">
        <v>594</v>
      </c>
      <c r="G11" s="253"/>
      <c r="H11" s="241" t="s">
        <v>753</v>
      </c>
      <c r="I11" s="241" t="s">
        <v>754</v>
      </c>
      <c r="J11" s="254"/>
      <c r="K11" s="254"/>
      <c r="L11" s="254"/>
      <c r="M11" s="241" t="s">
        <v>755</v>
      </c>
      <c r="N11" s="241" t="s">
        <v>756</v>
      </c>
      <c r="O11" s="241" t="s">
        <v>757</v>
      </c>
      <c r="P11" s="255">
        <f>SUMIF($G$2:O$2,O$2,$G11:O11)</f>
        <v>0</v>
      </c>
      <c r="Q11" s="242"/>
      <c r="R11" s="242"/>
      <c r="S11" s="242"/>
      <c r="T11" s="242"/>
      <c r="U11" s="242"/>
      <c r="V11" s="242"/>
      <c r="W11" s="242"/>
      <c r="X11" s="242"/>
      <c r="Y11" s="242"/>
      <c r="Z11" s="242"/>
      <c r="AA11" s="242"/>
      <c r="AB11" s="242"/>
      <c r="AC11" s="241" t="s">
        <v>758</v>
      </c>
      <c r="AD11" s="244">
        <f>SUMIF($G$2:AC$2,Y$2,$G11:AC11)</f>
        <v>0</v>
      </c>
      <c r="AE11" s="245"/>
      <c r="AF11" s="245"/>
      <c r="AG11" s="245"/>
      <c r="AH11" s="245"/>
      <c r="AI11" s="245"/>
      <c r="AJ11" s="245"/>
      <c r="AK11" s="245"/>
      <c r="AL11" s="245"/>
      <c r="AM11" s="245"/>
      <c r="AN11" s="244">
        <f>SUMIF($G$2:AM$2,AM$2,$G11:AM11)</f>
        <v>0</v>
      </c>
      <c r="AZ11" s="247"/>
      <c r="BA11" s="247"/>
      <c r="BB11" s="247"/>
      <c r="BC11" s="247"/>
      <c r="BD11" s="247"/>
      <c r="BE11" s="247"/>
      <c r="BF11" s="247"/>
      <c r="BG11" s="247"/>
      <c r="BH11" s="247"/>
      <c r="BI11" s="249"/>
    </row>
    <row r="12" ht="72" customHeight="1" spans="1:61" s="224" customFormat="1" x14ac:dyDescent="0.25">
      <c r="A12" s="238" t="s">
        <v>577</v>
      </c>
      <c r="B12" s="239"/>
      <c r="C12" s="239"/>
      <c r="D12" s="240"/>
      <c r="E12" s="240" t="s">
        <v>595</v>
      </c>
      <c r="F12" s="240" t="s">
        <v>596</v>
      </c>
      <c r="G12" s="253"/>
      <c r="H12" s="241" t="s">
        <v>759</v>
      </c>
      <c r="I12" s="241" t="s">
        <v>760</v>
      </c>
      <c r="J12" s="254"/>
      <c r="K12" s="254"/>
      <c r="L12" s="254"/>
      <c r="M12" s="241" t="s">
        <v>761</v>
      </c>
      <c r="N12" s="241" t="s">
        <v>762</v>
      </c>
      <c r="O12" s="241" t="s">
        <v>763</v>
      </c>
      <c r="P12" s="255">
        <f>SUMIF($G$2:O$2,O$2,$G12:O12)</f>
        <v>0</v>
      </c>
      <c r="Q12" s="242"/>
      <c r="R12" s="242"/>
      <c r="S12" s="242"/>
      <c r="T12" s="242"/>
      <c r="U12" s="242"/>
      <c r="V12" s="242"/>
      <c r="W12" s="242"/>
      <c r="X12" s="242"/>
      <c r="Y12" s="242"/>
      <c r="Z12" s="242"/>
      <c r="AA12" s="242"/>
      <c r="AB12" s="242"/>
      <c r="AC12" s="241" t="s">
        <v>764</v>
      </c>
      <c r="AD12" s="244">
        <f>SUMIF($G$2:AC$2,Y$2,$G12:AC12)</f>
        <v>0</v>
      </c>
      <c r="AE12" s="245"/>
      <c r="AF12" s="245"/>
      <c r="AG12" s="245"/>
      <c r="AH12" s="245"/>
      <c r="AI12" s="245"/>
      <c r="AJ12" s="245"/>
      <c r="AK12" s="245"/>
      <c r="AL12" s="245"/>
      <c r="AM12" s="245"/>
      <c r="AN12" s="244">
        <f>SUMIF($G$2:AM$2,AM$2,$G12:AM12)</f>
        <v>0</v>
      </c>
      <c r="AZ12" s="247"/>
      <c r="BA12" s="247"/>
      <c r="BB12" s="247"/>
      <c r="BC12" s="247"/>
      <c r="BD12" s="247"/>
      <c r="BE12" s="247"/>
      <c r="BF12" s="247"/>
      <c r="BG12" s="247"/>
      <c r="BH12" s="247"/>
      <c r="BI12" s="249"/>
    </row>
    <row r="13" ht="79" customHeight="1" spans="1:61" s="224" customFormat="1" x14ac:dyDescent="0.25">
      <c r="A13" s="238" t="s">
        <v>577</v>
      </c>
      <c r="B13" s="239"/>
      <c r="C13" s="239"/>
      <c r="D13" s="240"/>
      <c r="E13" s="240" t="s">
        <v>597</v>
      </c>
      <c r="F13" s="240" t="s">
        <v>598</v>
      </c>
      <c r="G13" s="256"/>
      <c r="H13" s="241" t="s">
        <v>765</v>
      </c>
      <c r="I13" s="241" t="s">
        <v>766</v>
      </c>
      <c r="J13" s="254"/>
      <c r="K13" s="254"/>
      <c r="L13" s="254"/>
      <c r="M13" s="241" t="s">
        <v>767</v>
      </c>
      <c r="N13" s="241" t="s">
        <v>768</v>
      </c>
      <c r="O13" s="241" t="s">
        <v>769</v>
      </c>
      <c r="P13" s="243">
        <f>SUMIF($G$2:O$2,O$2,$G13:O13)</f>
        <v>0</v>
      </c>
      <c r="Q13" s="242"/>
      <c r="R13" s="242"/>
      <c r="S13" s="242"/>
      <c r="T13" s="242"/>
      <c r="U13" s="242"/>
      <c r="V13" s="242"/>
      <c r="W13" s="242"/>
      <c r="X13" s="242"/>
      <c r="Y13" s="242"/>
      <c r="Z13" s="242"/>
      <c r="AA13" s="242"/>
      <c r="AB13" s="241" t="s">
        <v>770</v>
      </c>
      <c r="AC13" s="241" t="s">
        <v>771</v>
      </c>
      <c r="AD13" s="244">
        <f>SUMIF($G$2:AC$2,Y$2,$G13:AC13)</f>
        <v>0</v>
      </c>
      <c r="AE13" s="245"/>
      <c r="AF13" s="245"/>
      <c r="AG13" s="245"/>
      <c r="AH13" s="245"/>
      <c r="AI13" s="245"/>
      <c r="AJ13" s="245"/>
      <c r="AK13" s="245"/>
      <c r="AL13" s="245"/>
      <c r="AM13" s="245"/>
      <c r="AN13" s="244">
        <f>SUMIF($G$2:AM$2,AM$2,$G13:AM13)</f>
        <v>0</v>
      </c>
      <c r="AZ13" s="247"/>
      <c r="BA13" s="247"/>
      <c r="BB13" s="247"/>
      <c r="BC13" s="247"/>
      <c r="BD13" s="247"/>
      <c r="BE13" s="247"/>
      <c r="BF13" s="247"/>
      <c r="BG13" s="247"/>
      <c r="BH13" s="247"/>
      <c r="BI13" s="249"/>
    </row>
    <row r="14" ht="245" customHeight="1" spans="1:61" s="224" customFormat="1" x14ac:dyDescent="0.25">
      <c r="A14" s="238" t="s">
        <v>577</v>
      </c>
      <c r="B14" s="239"/>
      <c r="C14" s="239"/>
      <c r="D14" s="240"/>
      <c r="E14" s="240" t="s">
        <v>599</v>
      </c>
      <c r="F14" s="240" t="s">
        <v>600</v>
      </c>
      <c r="G14" s="241" t="s">
        <v>772</v>
      </c>
      <c r="H14" s="241" t="s">
        <v>773</v>
      </c>
      <c r="I14" s="241" t="s">
        <v>774</v>
      </c>
      <c r="J14" s="241" t="s">
        <v>775</v>
      </c>
      <c r="K14" s="241" t="s">
        <v>776</v>
      </c>
      <c r="L14" s="241" t="s">
        <v>777</v>
      </c>
      <c r="M14" s="241" t="s">
        <v>778</v>
      </c>
      <c r="N14" s="241" t="s">
        <v>779</v>
      </c>
      <c r="O14" s="241" t="s">
        <v>780</v>
      </c>
      <c r="P14" s="243">
        <f>SUMIF($G$2:O$2,O$2,$G14:O14)</f>
        <v>0</v>
      </c>
      <c r="Q14" s="241" t="s">
        <v>781</v>
      </c>
      <c r="R14" s="241" t="s">
        <v>782</v>
      </c>
      <c r="S14" s="241" t="s">
        <v>783</v>
      </c>
      <c r="T14" s="241" t="s">
        <v>784</v>
      </c>
      <c r="U14" s="241" t="s">
        <v>785</v>
      </c>
      <c r="V14" s="241" t="s">
        <v>786</v>
      </c>
      <c r="W14" s="241" t="s">
        <v>787</v>
      </c>
      <c r="X14" s="241" t="s">
        <v>788</v>
      </c>
      <c r="Y14" s="241" t="s">
        <v>789</v>
      </c>
      <c r="Z14" s="241" t="s">
        <v>790</v>
      </c>
      <c r="AA14" s="241" t="s">
        <v>791</v>
      </c>
      <c r="AB14" s="242"/>
      <c r="AC14" s="241" t="s">
        <v>792</v>
      </c>
      <c r="AD14" s="244">
        <f>SUMIF($G$2:AC$2,Y$2,$G14:AC14)</f>
        <v>0</v>
      </c>
      <c r="AE14" s="245"/>
      <c r="AF14" s="245"/>
      <c r="AG14" s="245"/>
      <c r="AH14" s="245"/>
      <c r="AI14" s="245"/>
      <c r="AJ14" s="245"/>
      <c r="AK14" s="245"/>
      <c r="AL14" s="245"/>
      <c r="AM14" s="245"/>
      <c r="AN14" s="244">
        <f>SUMIF($G$2:AM$2,AM$2,$G14:AM14)</f>
        <v>0</v>
      </c>
      <c r="AZ14" s="247"/>
      <c r="BA14" s="247"/>
      <c r="BB14" s="247"/>
      <c r="BC14" s="247"/>
      <c r="BD14" s="247"/>
      <c r="BE14" s="247"/>
      <c r="BF14" s="247"/>
      <c r="BG14" s="247"/>
      <c r="BH14" s="247"/>
      <c r="BI14" s="249"/>
    </row>
    <row r="15" ht="236" customHeight="1" spans="1:61" s="224" customFormat="1" x14ac:dyDescent="0.25">
      <c r="A15" s="238" t="s">
        <v>577</v>
      </c>
      <c r="B15" s="239"/>
      <c r="C15" s="239"/>
      <c r="D15" s="240"/>
      <c r="E15" s="240" t="s">
        <v>601</v>
      </c>
      <c r="F15" s="240" t="s">
        <v>602</v>
      </c>
      <c r="G15" s="241" t="s">
        <v>793</v>
      </c>
      <c r="H15" s="241" t="s">
        <v>794</v>
      </c>
      <c r="I15" s="241" t="s">
        <v>795</v>
      </c>
      <c r="J15" s="241" t="s">
        <v>796</v>
      </c>
      <c r="K15" s="241" t="s">
        <v>797</v>
      </c>
      <c r="L15" s="241" t="s">
        <v>798</v>
      </c>
      <c r="M15" s="241" t="s">
        <v>799</v>
      </c>
      <c r="N15" s="241" t="s">
        <v>800</v>
      </c>
      <c r="O15" s="241" t="s">
        <v>801</v>
      </c>
      <c r="P15" s="243">
        <f>SUMIF($G$2:O$2,O$2,$G15:O15)</f>
        <v>0</v>
      </c>
      <c r="Q15" s="241" t="s">
        <v>802</v>
      </c>
      <c r="R15" s="241" t="s">
        <v>803</v>
      </c>
      <c r="S15" s="241" t="s">
        <v>804</v>
      </c>
      <c r="T15" s="241" t="s">
        <v>805</v>
      </c>
      <c r="U15" s="241" t="s">
        <v>806</v>
      </c>
      <c r="V15" s="241" t="s">
        <v>807</v>
      </c>
      <c r="W15" s="241" t="s">
        <v>808</v>
      </c>
      <c r="X15" s="241" t="s">
        <v>809</v>
      </c>
      <c r="Y15" s="241" t="s">
        <v>810</v>
      </c>
      <c r="Z15" s="241" t="s">
        <v>811</v>
      </c>
      <c r="AA15" s="241" t="s">
        <v>812</v>
      </c>
      <c r="AB15" s="242"/>
      <c r="AC15" s="241" t="s">
        <v>813</v>
      </c>
      <c r="AD15" s="244">
        <f>SUMIF($G$2:AC$2,Y$2,$G15:AC15)</f>
        <v>0</v>
      </c>
      <c r="AE15" s="245"/>
      <c r="AF15" s="245"/>
      <c r="AG15" s="245"/>
      <c r="AH15" s="245"/>
      <c r="AI15" s="245"/>
      <c r="AJ15" s="245"/>
      <c r="AK15" s="245"/>
      <c r="AL15" s="245"/>
      <c r="AM15" s="245"/>
      <c r="AN15" s="244">
        <f>SUMIF($G$2:AM$2,AM$2,$G15:AM15)</f>
        <v>0</v>
      </c>
      <c r="AZ15" s="247"/>
      <c r="BA15" s="247"/>
      <c r="BB15" s="247"/>
      <c r="BC15" s="247"/>
      <c r="BD15" s="247"/>
      <c r="BE15" s="247"/>
      <c r="BF15" s="247"/>
      <c r="BG15" s="247"/>
      <c r="BH15" s="247"/>
      <c r="BI15" s="249"/>
    </row>
    <row r="16" ht="12" customHeight="1" spans="1:61" s="224" customFormat="1" x14ac:dyDescent="0.25">
      <c r="A16" s="238"/>
      <c r="B16" s="257"/>
      <c r="C16" s="257"/>
      <c r="D16" s="258"/>
      <c r="E16" s="258"/>
      <c r="F16" s="259" t="s">
        <v>603</v>
      </c>
      <c r="G16" s="244">
        <f>SUMIF($C$5:$C15,$C15,G$5:G15)</f>
        <v>0</v>
      </c>
      <c r="H16" s="244">
        <f>SUMIF($C$5:$C15,$C15,H$5:H15)</f>
        <v>0</v>
      </c>
      <c r="I16" s="244">
        <f>SUMIF($C$5:$C15,$C15,I$5:I15)</f>
        <v>0</v>
      </c>
      <c r="J16" s="244">
        <f>SUMIF($C$5:$C15,$C15,J$5:J15)</f>
        <v>0</v>
      </c>
      <c r="K16" s="244">
        <f>SUMIF($C$5:$C15,$C15,K$5:K15)</f>
        <v>0</v>
      </c>
      <c r="L16" s="244">
        <f>SUMIF($C$5:$C15,$C15,L$5:L15)</f>
        <v>0</v>
      </c>
      <c r="M16" s="244">
        <f>SUMIF($C$5:$C15,$C15,M$5:M15)</f>
        <v>0</v>
      </c>
      <c r="N16" s="244">
        <f>SUMIF($C$5:$C15,$C15,N$5:N15)</f>
        <v>0</v>
      </c>
      <c r="O16" s="244">
        <f>SUMIF($C$5:$C15,$C15,O$5:O15)</f>
        <v>0</v>
      </c>
      <c r="P16" s="244">
        <f>SUMIF($C$5:$C15,$C15,P$5:P15)</f>
        <v>0</v>
      </c>
      <c r="Q16" s="244">
        <f>SUMIF($C$5:$C15,$C15,Q$5:Q15)</f>
        <v>0</v>
      </c>
      <c r="R16" s="244">
        <f>SUMIF($C$5:$C15,$C15,R$5:R15)</f>
        <v>0</v>
      </c>
      <c r="S16" s="244">
        <f>SUMIF($C$5:$C15,$C15,S$5:S15)</f>
        <v>0</v>
      </c>
      <c r="T16" s="244">
        <f>SUMIF($C$5:$C15,$C15,T$5:T15)</f>
        <v>0</v>
      </c>
      <c r="U16" s="244">
        <f>SUMIF($C$5:$C15,$C15,U$5:U15)</f>
        <v>0</v>
      </c>
      <c r="V16" s="244">
        <f>SUMIF($C$5:$C15,$C15,V$5:V15)</f>
        <v>0</v>
      </c>
      <c r="W16" s="244">
        <f>SUMIF($C$5:$C15,$C15,W$5:W15)</f>
        <v>0</v>
      </c>
      <c r="X16" s="244">
        <f>SUMIF($C$5:$C15,$C15,X$5:X15)</f>
        <v>0</v>
      </c>
      <c r="Y16" s="244">
        <f>SUMIF($C$5:$C15,$C15,Y$5:Y15)</f>
        <v>0</v>
      </c>
      <c r="Z16" s="244">
        <f>SUMIF($C$5:$C15,$C15,Z$5:Z15)</f>
        <v>0</v>
      </c>
      <c r="AA16" s="244">
        <f>SUMIF($C$5:$C15,$C15,AA$5:AA15)</f>
        <v>0</v>
      </c>
      <c r="AB16" s="244">
        <f>SUMIF($C$5:$C15,$C15,AB$5:AB15)</f>
        <v>0</v>
      </c>
      <c r="AC16" s="244">
        <f>SUMIF($C$5:$C15,$C15,AC$5:AC15)</f>
        <v>0</v>
      </c>
      <c r="AD16" s="244">
        <f>SUMIF($C$5:$C15,$C15,AD$5:AD15)</f>
        <v>0</v>
      </c>
      <c r="AE16" s="244">
        <f>SUMIF($C$5:$C15,$C15,AE$5:AE15)</f>
        <v>0</v>
      </c>
      <c r="AF16" s="244">
        <f>SUMIF($C$5:$C15,$C15,AF$5:AF15)</f>
        <v>0</v>
      </c>
      <c r="AG16" s="244">
        <f>SUMIF($C$5:$C15,$C15,AG$5:AG15)</f>
        <v>0</v>
      </c>
      <c r="AH16" s="244">
        <f>SUMIF($C$5:$C15,$C15,AH$5:AH15)</f>
        <v>0</v>
      </c>
      <c r="AI16" s="244">
        <f>SUMIF($C$5:$C15,$C15,AI$5:AI15)</f>
        <v>0</v>
      </c>
      <c r="AJ16" s="244">
        <f>SUMIF($C$5:$C15,$C15,AJ$5:AJ15)</f>
        <v>0</v>
      </c>
      <c r="AK16" s="244">
        <f>SUMIF($C$5:$C15,$C15,AK$5:AK15)</f>
        <v>0</v>
      </c>
      <c r="AL16" s="244">
        <f>SUMIF($C$5:$C15,$C15,AL$5:AL15)</f>
        <v>0</v>
      </c>
      <c r="AM16" s="244">
        <f>SUMIF($C$5:$C15,$C15,AM$5:AM15)</f>
        <v>0</v>
      </c>
      <c r="AN16" s="244">
        <f>SUMIF($C$5:$C15,$C15,AN$5:AN15)</f>
        <v>0</v>
      </c>
      <c r="AZ16" s="260"/>
      <c r="BA16" s="260"/>
      <c r="BB16" s="260"/>
      <c r="BC16" s="260"/>
      <c r="BD16" s="260"/>
      <c r="BE16" s="260"/>
      <c r="BF16" s="260"/>
      <c r="BG16" s="260"/>
      <c r="BH16" s="260"/>
      <c r="BI16" s="249"/>
    </row>
    <row r="17" ht="16" customHeight="1" spans="1:51" x14ac:dyDescent="0.25">
      <c r="A17" s="223"/>
      <c r="B17" s="179"/>
      <c r="C17" s="179"/>
      <c r="D17" s="223"/>
      <c r="E17" s="223"/>
      <c r="F17" s="223"/>
      <c r="G17" s="179"/>
      <c r="H17" s="179"/>
      <c r="I17" s="179"/>
      <c r="J17" s="179"/>
      <c r="K17" s="179"/>
      <c r="L17" s="179"/>
      <c r="M17" s="179"/>
      <c r="N17" s="179"/>
      <c r="O17" s="179"/>
      <c r="P17" s="179"/>
      <c r="Q17" s="179"/>
      <c r="R17" s="179"/>
      <c r="S17" s="179"/>
      <c r="T17" s="179"/>
      <c r="U17" s="179"/>
      <c r="V17" s="179"/>
      <c r="W17" s="179"/>
      <c r="X17" s="179"/>
      <c r="Y17" s="179"/>
      <c r="Z17" s="179"/>
      <c r="AA17" s="179"/>
      <c r="AB17" s="179"/>
      <c r="AC17" s="179"/>
      <c r="AD17" s="179"/>
      <c r="AE17" s="179"/>
      <c r="AF17" s="179"/>
      <c r="AG17" s="179"/>
      <c r="AH17" s="179"/>
      <c r="AI17" s="179"/>
      <c r="AJ17" s="179"/>
      <c r="AK17" s="179"/>
      <c r="AL17" s="179"/>
      <c r="AM17" s="179"/>
      <c r="AN17" s="179"/>
      <c r="AO17" s="179"/>
      <c r="AP17" s="179"/>
      <c r="AQ17" s="224"/>
      <c r="AR17" s="224"/>
      <c r="AS17" s="224"/>
      <c r="AT17" s="224"/>
      <c r="AU17" s="224"/>
      <c r="AV17" s="224"/>
      <c r="AW17" s="224"/>
      <c r="AX17" s="224"/>
      <c r="AY17" s="224"/>
    </row>
    <row r="18" ht="16" customHeight="1" spans="1:42" x14ac:dyDescent="0.25">
      <c r="A18" s="223"/>
      <c r="B18" s="179"/>
      <c r="C18" s="179"/>
      <c r="D18" s="223"/>
      <c r="E18" s="223"/>
      <c r="F18" s="223"/>
      <c r="G18" s="179"/>
      <c r="H18" s="179"/>
      <c r="I18" s="179"/>
      <c r="J18" s="179"/>
      <c r="K18" s="179"/>
      <c r="L18" s="179"/>
      <c r="M18" s="179"/>
      <c r="N18" s="179"/>
      <c r="O18" s="179"/>
      <c r="P18" s="179"/>
      <c r="Q18" s="179"/>
      <c r="R18" s="179"/>
      <c r="S18" s="179"/>
      <c r="T18" s="179"/>
      <c r="U18" s="179"/>
      <c r="V18" s="179"/>
      <c r="W18" s="179"/>
      <c r="X18" s="179"/>
      <c r="Y18" s="179"/>
      <c r="Z18" s="179"/>
      <c r="AA18" s="179"/>
      <c r="AB18" s="179"/>
      <c r="AC18" s="179"/>
      <c r="AD18" s="179"/>
      <c r="AE18" s="179"/>
      <c r="AF18" s="179"/>
      <c r="AG18" s="179"/>
      <c r="AH18" s="179"/>
      <c r="AI18" s="179"/>
      <c r="AJ18" s="179"/>
      <c r="AK18" s="179"/>
      <c r="AL18" s="179"/>
      <c r="AM18" s="179"/>
      <c r="AN18" s="179"/>
      <c r="AO18" s="179"/>
      <c r="AP18" s="179"/>
    </row>
    <row r="19" ht="180" customHeight="1" spans="1:42" x14ac:dyDescent="0.25">
      <c r="A19" s="223"/>
      <c r="B19" s="179"/>
      <c r="C19" s="179"/>
      <c r="D19" s="223"/>
      <c r="E19" s="223"/>
      <c r="F19" s="223"/>
      <c r="G19" s="179"/>
      <c r="H19" s="179"/>
      <c r="I19" s="179"/>
      <c r="J19" s="179"/>
      <c r="K19" s="179"/>
      <c r="L19" s="179"/>
      <c r="M19" s="179"/>
      <c r="N19" s="179"/>
      <c r="O19" s="179"/>
      <c r="P19" s="179"/>
      <c r="Q19" s="179"/>
      <c r="R19" s="179"/>
      <c r="S19" s="179"/>
      <c r="T19" s="179"/>
      <c r="U19" s="179"/>
      <c r="V19" s="179"/>
      <c r="W19" s="179"/>
      <c r="X19" s="179"/>
      <c r="Y19" s="179"/>
      <c r="Z19" s="179"/>
      <c r="AA19" s="179"/>
      <c r="AB19" s="261" t="s">
        <v>607</v>
      </c>
      <c r="AC19" s="241" t="s">
        <v>814</v>
      </c>
      <c r="AD19" s="179"/>
      <c r="AE19" s="179"/>
      <c r="AF19" s="179"/>
      <c r="AG19" s="179"/>
      <c r="AH19" s="179"/>
      <c r="AI19" s="179"/>
      <c r="AJ19" s="179"/>
      <c r="AK19" s="179"/>
      <c r="AL19" s="179"/>
      <c r="AM19" s="179"/>
      <c r="AN19" s="179"/>
      <c r="AO19" s="179"/>
      <c r="AP19" s="179"/>
    </row>
    <row r="20" spans="1:42" x14ac:dyDescent="0.25">
      <c r="A20" s="223"/>
      <c r="B20" s="179"/>
      <c r="C20" s="179"/>
      <c r="D20" s="223"/>
      <c r="E20" s="223"/>
      <c r="F20" s="223"/>
      <c r="G20" s="179"/>
      <c r="H20" s="179"/>
      <c r="I20" s="179"/>
      <c r="J20" s="179"/>
      <c r="K20" s="179"/>
      <c r="L20" s="179"/>
      <c r="M20" s="179"/>
      <c r="N20" s="179"/>
      <c r="O20" s="179"/>
      <c r="P20" s="179"/>
      <c r="Q20" s="179"/>
      <c r="R20" s="179"/>
      <c r="S20" s="179"/>
      <c r="T20" s="179"/>
      <c r="U20" s="179"/>
      <c r="V20" s="179"/>
      <c r="W20" s="179"/>
      <c r="X20" s="179"/>
      <c r="Y20" s="179"/>
      <c r="Z20" s="179"/>
      <c r="AA20" s="179"/>
      <c r="AB20" s="179"/>
      <c r="AC20" s="179"/>
      <c r="AD20" s="179"/>
      <c r="AE20" s="179"/>
      <c r="AF20" s="179"/>
      <c r="AG20" s="179"/>
      <c r="AH20" s="179"/>
      <c r="AI20" s="179"/>
      <c r="AJ20" s="179"/>
      <c r="AK20" s="179"/>
      <c r="AL20" s="179"/>
      <c r="AM20" s="179"/>
      <c r="AN20" s="179"/>
      <c r="AO20" s="179"/>
      <c r="AP20" s="179"/>
    </row>
    <row r="21" spans="1:42" x14ac:dyDescent="0.25">
      <c r="A21" s="223"/>
      <c r="B21" s="179"/>
      <c r="C21" s="179"/>
      <c r="D21" s="223"/>
      <c r="E21" s="223"/>
      <c r="F21" s="223"/>
      <c r="G21" s="179"/>
      <c r="H21" s="179"/>
      <c r="I21" s="179"/>
      <c r="J21" s="179"/>
      <c r="K21" s="179"/>
      <c r="L21" s="179"/>
      <c r="M21" s="179"/>
      <c r="N21" s="179"/>
      <c r="O21" s="179"/>
      <c r="P21" s="179"/>
      <c r="Q21" s="179"/>
      <c r="R21" s="179"/>
      <c r="S21" s="179"/>
      <c r="T21" s="179"/>
      <c r="U21" s="179"/>
      <c r="V21" s="179"/>
      <c r="W21" s="179"/>
      <c r="X21" s="179"/>
      <c r="Y21" s="179"/>
      <c r="Z21" s="179"/>
      <c r="AA21" s="179"/>
      <c r="AB21" s="179"/>
      <c r="AC21" s="179"/>
      <c r="AD21" s="179"/>
      <c r="AE21" s="179"/>
      <c r="AF21" s="179"/>
      <c r="AG21" s="179"/>
      <c r="AH21" s="179"/>
      <c r="AI21" s="179"/>
      <c r="AJ21" s="179"/>
      <c r="AK21" s="179"/>
      <c r="AL21" s="179"/>
      <c r="AM21" s="179"/>
      <c r="AN21" s="179"/>
      <c r="AO21" s="179"/>
      <c r="AP21" s="179"/>
    </row>
    <row r="22" spans="1:42" x14ac:dyDescent="0.25">
      <c r="A22" s="223"/>
      <c r="B22" s="179"/>
      <c r="C22" s="179"/>
      <c r="D22" s="223"/>
      <c r="E22" s="223"/>
      <c r="F22" s="223"/>
      <c r="G22" s="179"/>
      <c r="H22" s="179"/>
      <c r="I22" s="179"/>
      <c r="J22" s="179"/>
      <c r="K22" s="179"/>
      <c r="L22" s="179"/>
      <c r="M22" s="179"/>
      <c r="N22" s="179"/>
      <c r="O22" s="179"/>
      <c r="P22" s="179"/>
      <c r="Q22" s="179"/>
      <c r="R22" s="179"/>
      <c r="S22" s="179"/>
      <c r="T22" s="179"/>
      <c r="U22" s="179"/>
      <c r="V22" s="179"/>
      <c r="W22" s="179"/>
      <c r="X22" s="179"/>
      <c r="Y22" s="179"/>
      <c r="Z22" s="179"/>
      <c r="AA22" s="179"/>
      <c r="AB22" s="179"/>
      <c r="AC22" s="179"/>
      <c r="AD22" s="179"/>
      <c r="AE22" s="179"/>
      <c r="AF22" s="179"/>
      <c r="AG22" s="179"/>
      <c r="AH22" s="179"/>
      <c r="AI22" s="179"/>
      <c r="AJ22" s="179"/>
      <c r="AK22" s="179"/>
      <c r="AL22" s="179"/>
      <c r="AM22" s="179"/>
      <c r="AN22" s="179"/>
      <c r="AO22" s="179"/>
      <c r="AP22" s="179"/>
    </row>
    <row r="23" spans="1:42" x14ac:dyDescent="0.25">
      <c r="A23" s="223"/>
      <c r="B23" s="179"/>
      <c r="C23" s="179"/>
      <c r="D23" s="223"/>
      <c r="E23" s="223"/>
      <c r="F23" s="223"/>
      <c r="G23" s="179"/>
      <c r="H23" s="179"/>
      <c r="I23" s="179"/>
      <c r="J23" s="179"/>
      <c r="K23" s="179"/>
      <c r="L23" s="179"/>
      <c r="M23" s="179"/>
      <c r="N23" s="179"/>
      <c r="O23" s="179"/>
      <c r="P23" s="179"/>
      <c r="Q23" s="179"/>
      <c r="R23" s="179"/>
      <c r="S23" s="179"/>
      <c r="T23" s="179"/>
      <c r="U23" s="179"/>
      <c r="V23" s="179"/>
      <c r="W23" s="179"/>
      <c r="X23" s="179"/>
      <c r="Y23" s="179"/>
      <c r="Z23" s="179"/>
      <c r="AA23" s="179"/>
      <c r="AB23" s="179"/>
      <c r="AC23" s="179"/>
      <c r="AD23" s="179"/>
      <c r="AE23" s="179"/>
      <c r="AF23" s="179"/>
      <c r="AG23" s="179"/>
      <c r="AH23" s="179"/>
      <c r="AI23" s="179"/>
      <c r="AJ23" s="179"/>
      <c r="AK23" s="179"/>
      <c r="AL23" s="179"/>
      <c r="AM23" s="179"/>
      <c r="AN23" s="179"/>
      <c r="AO23" s="179"/>
      <c r="AP23" s="179"/>
    </row>
    <row r="24" spans="1:42" x14ac:dyDescent="0.25">
      <c r="A24" s="223"/>
      <c r="B24" s="179"/>
      <c r="C24" s="179"/>
      <c r="D24" s="223"/>
      <c r="E24" s="223"/>
      <c r="F24" s="223"/>
      <c r="G24" s="179"/>
      <c r="H24" s="179"/>
      <c r="I24" s="179"/>
      <c r="J24" s="179"/>
      <c r="K24" s="179"/>
      <c r="L24" s="179"/>
      <c r="M24" s="179"/>
      <c r="N24" s="179"/>
      <c r="O24" s="179"/>
      <c r="P24" s="179"/>
      <c r="Q24" s="179"/>
      <c r="R24" s="179"/>
      <c r="S24" s="179"/>
      <c r="T24" s="179"/>
      <c r="U24" s="179"/>
      <c r="V24" s="179"/>
      <c r="W24" s="179"/>
      <c r="X24" s="179"/>
      <c r="Y24" s="179"/>
      <c r="Z24" s="179"/>
      <c r="AA24" s="179"/>
      <c r="AB24" s="179"/>
      <c r="AC24" s="179"/>
      <c r="AD24" s="179"/>
      <c r="AE24" s="179"/>
      <c r="AF24" s="179"/>
      <c r="AG24" s="179"/>
      <c r="AH24" s="179"/>
      <c r="AI24" s="179"/>
      <c r="AJ24" s="179"/>
      <c r="AK24" s="179"/>
      <c r="AL24" s="179"/>
      <c r="AM24" s="179"/>
      <c r="AN24" s="179"/>
      <c r="AO24" s="179"/>
      <c r="AP24" s="179"/>
    </row>
    <row r="25" spans="1:42" x14ac:dyDescent="0.25">
      <c r="A25" s="223"/>
      <c r="B25" s="179"/>
      <c r="C25" s="179"/>
      <c r="D25" s="223"/>
      <c r="E25" s="223"/>
      <c r="F25" s="223"/>
      <c r="G25" s="179"/>
      <c r="H25" s="179"/>
      <c r="I25" s="179"/>
      <c r="J25" s="179"/>
      <c r="K25" s="179"/>
      <c r="L25" s="179"/>
      <c r="M25" s="179"/>
      <c r="N25" s="179"/>
      <c r="O25" s="179"/>
      <c r="P25" s="179"/>
      <c r="Q25" s="179"/>
      <c r="R25" s="179"/>
      <c r="S25" s="179"/>
      <c r="T25" s="179"/>
      <c r="U25" s="179"/>
      <c r="V25" s="179"/>
      <c r="W25" s="179"/>
      <c r="X25" s="179"/>
      <c r="Y25" s="179"/>
      <c r="Z25" s="179"/>
      <c r="AA25" s="179"/>
      <c r="AB25" s="179"/>
      <c r="AC25" s="179"/>
      <c r="AD25" s="179"/>
      <c r="AE25" s="179"/>
      <c r="AF25" s="179"/>
      <c r="AG25" s="179"/>
      <c r="AH25" s="179"/>
      <c r="AI25" s="179"/>
      <c r="AJ25" s="179"/>
      <c r="AK25" s="179"/>
      <c r="AL25" s="179"/>
      <c r="AM25" s="179"/>
      <c r="AN25" s="179"/>
      <c r="AO25" s="179"/>
      <c r="AP25" s="179"/>
    </row>
    <row r="26" spans="1:42" x14ac:dyDescent="0.25">
      <c r="A26" s="223"/>
      <c r="B26" s="179"/>
      <c r="C26" s="179"/>
      <c r="D26" s="223"/>
      <c r="E26" s="223"/>
      <c r="F26" s="223"/>
      <c r="G26" s="179"/>
      <c r="H26" s="179"/>
      <c r="I26" s="179"/>
      <c r="J26" s="179"/>
      <c r="K26" s="179"/>
      <c r="L26" s="179"/>
      <c r="M26" s="179"/>
      <c r="N26" s="179"/>
      <c r="O26" s="179"/>
      <c r="P26" s="179"/>
      <c r="Q26" s="179"/>
      <c r="R26" s="179"/>
      <c r="S26" s="179"/>
      <c r="T26" s="179"/>
      <c r="U26" s="179"/>
      <c r="V26" s="179"/>
      <c r="W26" s="179"/>
      <c r="X26" s="179"/>
      <c r="Y26" s="179"/>
      <c r="Z26" s="179"/>
      <c r="AA26" s="179"/>
      <c r="AB26" s="179"/>
      <c r="AC26" s="179"/>
      <c r="AD26" s="179"/>
      <c r="AE26" s="179"/>
      <c r="AF26" s="179"/>
      <c r="AG26" s="179"/>
      <c r="AH26" s="179"/>
      <c r="AI26" s="179"/>
      <c r="AJ26" s="179"/>
      <c r="AK26" s="179"/>
      <c r="AL26" s="179"/>
      <c r="AM26" s="179"/>
      <c r="AN26" s="179"/>
      <c r="AO26" s="179"/>
      <c r="AP26" s="179"/>
    </row>
    <row r="27" spans="1:42" x14ac:dyDescent="0.25">
      <c r="A27" s="223"/>
      <c r="B27" s="179"/>
      <c r="C27" s="179"/>
      <c r="D27" s="223"/>
      <c r="E27" s="223"/>
      <c r="F27" s="223"/>
      <c r="G27" s="179"/>
      <c r="H27" s="179"/>
      <c r="I27" s="179"/>
      <c r="J27" s="179"/>
      <c r="K27" s="179"/>
      <c r="L27" s="179"/>
      <c r="M27" s="179"/>
      <c r="N27" s="179"/>
      <c r="O27" s="179"/>
      <c r="P27" s="179"/>
      <c r="Q27" s="179"/>
      <c r="R27" s="179"/>
      <c r="S27" s="179"/>
      <c r="T27" s="179"/>
      <c r="U27" s="179"/>
      <c r="V27" s="179"/>
      <c r="W27" s="179"/>
      <c r="X27" s="179"/>
      <c r="Y27" s="179"/>
      <c r="Z27" s="179"/>
      <c r="AA27" s="179"/>
      <c r="AB27" s="179"/>
      <c r="AC27" s="179"/>
      <c r="AD27" s="179"/>
      <c r="AE27" s="179"/>
      <c r="AF27" s="179"/>
      <c r="AG27" s="179"/>
      <c r="AH27" s="179"/>
      <c r="AI27" s="179"/>
      <c r="AJ27" s="179"/>
      <c r="AK27" s="179"/>
      <c r="AL27" s="179"/>
      <c r="AM27" s="179"/>
      <c r="AN27" s="179"/>
      <c r="AO27" s="179"/>
      <c r="AP27" s="179"/>
    </row>
  </sheetData>
  <mergeCells count="5">
    <mergeCell ref="B1:F1"/>
    <mergeCell ref="P2:P4"/>
    <mergeCell ref="AD2:AD4"/>
    <mergeCell ref="AN2:AN4"/>
    <mergeCell ref="BI2:BI4"/>
  </mergeCells>
  <pageMargins left="0.7086614173228347" right="0.7086614173228347" top="0.7480314960629921" bottom="0.7480314960629921" header="0.31496062992125984" footer="0.31496062992125984"/>
  <pageSetup paperSize="8" orientation="landscape" horizontalDpi="4294967295" verticalDpi="4294967295" scale="29" fitToWidth="1" fitToHeight="1" firstPageNumber="1" useFirstPageNumber="1" copies="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XFD24"/>
  <sheetViews>
    <sheetView workbookViewId="0" zoomScale="110" zoomScaleNormal="100">
      <pane xSplit="3" ySplit="1" topLeftCell="AO2" activePane="bottomRight" state="frozen"/>
      <selection pane="bottomRight" activeCell="AV19" sqref="AV19"/>
    </sheetView>
  </sheetViews>
  <sheetFormatPr defaultRowHeight="16" outlineLevelRow="0" outlineLevelCol="0" x14ac:dyDescent="0.2" defaultColWidth="11" customHeight="1"/>
  <cols>
    <col min="1" max="1" width="6" style="80" hidden="1" customWidth="1"/>
    <col min="2" max="2" width="17.1640625" style="80" hidden="1" customWidth="1"/>
    <col min="3" max="3" width="6.33203125" style="80" customWidth="1"/>
    <col min="4" max="4" width="14.6640625" style="80" customWidth="1"/>
    <col min="5" max="5" width="6.5" style="80" customWidth="1"/>
    <col min="6" max="6" width="45" style="80" customWidth="1"/>
    <col min="7" max="8" width="9.33203125" style="80" customWidth="1"/>
    <col min="9" max="9" width="9.5" style="80" customWidth="1"/>
    <col min="10" max="10" width="9" style="80" customWidth="1"/>
    <col min="11" max="33" width="9.33203125" style="80" customWidth="1"/>
    <col min="34" max="34" width="8.5" style="80" customWidth="1"/>
    <col min="35" max="35" width="7.33203125" style="80" customWidth="1"/>
    <col min="36" max="57" width="9.33203125" style="80" customWidth="1"/>
    <col min="58" max="58" width="4" style="80" customWidth="1"/>
    <col min="59" max="16384" width="11" style="80" customWidth="1"/>
  </cols>
  <sheetData>
    <row r="1" ht="23.5" customHeight="1" spans="1:16384" s="81" customFormat="1" x14ac:dyDescent="0.25">
      <c r="A1" s="81"/>
      <c r="B1" s="82" t="s">
        <v>474</v>
      </c>
      <c r="C1" s="82"/>
      <c r="D1" s="82"/>
      <c r="E1" s="82"/>
      <c r="F1" s="82"/>
      <c r="G1" s="82"/>
      <c r="H1" s="82"/>
      <c r="I1" s="82"/>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1"/>
      <c r="IV1" s="81"/>
      <c r="IW1" s="81"/>
      <c r="IX1" s="81"/>
      <c r="IY1" s="81"/>
      <c r="IZ1" s="81"/>
      <c r="JA1" s="81"/>
      <c r="JB1" s="81"/>
      <c r="JC1" s="81"/>
      <c r="JD1" s="81"/>
      <c r="JE1" s="81"/>
      <c r="JF1" s="81"/>
      <c r="JG1" s="81"/>
      <c r="JH1" s="81"/>
      <c r="JI1" s="81"/>
      <c r="JJ1" s="81"/>
      <c r="JK1" s="81"/>
      <c r="JL1" s="81"/>
      <c r="JM1" s="81"/>
      <c r="JN1" s="81"/>
      <c r="JO1" s="81"/>
      <c r="JP1" s="81"/>
      <c r="JQ1" s="81"/>
      <c r="JR1" s="81"/>
      <c r="JS1" s="81"/>
      <c r="JT1" s="81"/>
      <c r="JU1" s="81"/>
      <c r="JV1" s="81"/>
      <c r="JW1" s="81"/>
      <c r="JX1" s="81"/>
      <c r="JY1" s="81"/>
      <c r="JZ1" s="81"/>
      <c r="KA1" s="81"/>
      <c r="KB1" s="81"/>
      <c r="KC1" s="81"/>
      <c r="KD1" s="81"/>
      <c r="KE1" s="81"/>
      <c r="KF1" s="81"/>
      <c r="KG1" s="81"/>
      <c r="KH1" s="81"/>
      <c r="KI1" s="81"/>
      <c r="KJ1" s="81"/>
      <c r="KK1" s="81"/>
      <c r="KL1" s="81"/>
      <c r="KM1" s="81"/>
      <c r="KN1" s="81"/>
      <c r="KO1" s="81"/>
      <c r="KP1" s="81"/>
      <c r="KQ1" s="81"/>
      <c r="KR1" s="81"/>
      <c r="KS1" s="81"/>
      <c r="KT1" s="81"/>
      <c r="KU1" s="81"/>
      <c r="KV1" s="81"/>
      <c r="KW1" s="81"/>
      <c r="KX1" s="81"/>
      <c r="KY1" s="81"/>
      <c r="KZ1" s="81"/>
      <c r="LA1" s="81"/>
      <c r="LB1" s="81"/>
      <c r="LC1" s="81"/>
      <c r="LD1" s="81"/>
      <c r="LE1" s="81"/>
      <c r="LF1" s="81"/>
      <c r="LG1" s="81"/>
      <c r="LH1" s="81"/>
      <c r="LI1" s="81"/>
      <c r="LJ1" s="81"/>
      <c r="LK1" s="81"/>
      <c r="LL1" s="81"/>
      <c r="LM1" s="81"/>
      <c r="LN1" s="81"/>
      <c r="LO1" s="81"/>
      <c r="LP1" s="81"/>
      <c r="LQ1" s="81"/>
      <c r="LR1" s="81"/>
      <c r="LS1" s="81"/>
      <c r="LT1" s="81"/>
      <c r="LU1" s="81"/>
      <c r="LV1" s="81"/>
      <c r="LW1" s="81"/>
      <c r="LX1" s="81"/>
      <c r="LY1" s="81"/>
      <c r="LZ1" s="81"/>
      <c r="MA1" s="81"/>
      <c r="MB1" s="81"/>
      <c r="MC1" s="81"/>
      <c r="MD1" s="81"/>
      <c r="ME1" s="81"/>
      <c r="MF1" s="81"/>
      <c r="MG1" s="81"/>
      <c r="MH1" s="81"/>
      <c r="MI1" s="81"/>
      <c r="MJ1" s="81"/>
      <c r="MK1" s="81"/>
      <c r="ML1" s="81"/>
      <c r="MM1" s="81"/>
      <c r="MN1" s="81"/>
      <c r="MO1" s="81"/>
      <c r="MP1" s="81"/>
      <c r="MQ1" s="81"/>
      <c r="MR1" s="81"/>
      <c r="MS1" s="81"/>
      <c r="MT1" s="81"/>
      <c r="MU1" s="81"/>
      <c r="MV1" s="81"/>
      <c r="MW1" s="81"/>
      <c r="MX1" s="81"/>
      <c r="MY1" s="81"/>
      <c r="MZ1" s="81"/>
      <c r="NA1" s="81"/>
      <c r="NB1" s="81"/>
      <c r="NC1" s="81"/>
      <c r="ND1" s="81"/>
      <c r="NE1" s="81"/>
      <c r="NF1" s="81"/>
      <c r="NG1" s="81"/>
      <c r="NH1" s="81"/>
      <c r="NI1" s="81"/>
      <c r="NJ1" s="81"/>
      <c r="NK1" s="81"/>
      <c r="NL1" s="81"/>
      <c r="NM1" s="81"/>
      <c r="NN1" s="81"/>
      <c r="NO1" s="81"/>
      <c r="NP1" s="81"/>
      <c r="NQ1" s="81"/>
      <c r="NR1" s="81"/>
      <c r="NS1" s="81"/>
      <c r="NT1" s="81"/>
      <c r="NU1" s="81"/>
      <c r="NV1" s="81"/>
      <c r="NW1" s="81"/>
      <c r="NX1" s="81"/>
      <c r="NY1" s="81"/>
      <c r="NZ1" s="81"/>
      <c r="OA1" s="81"/>
      <c r="OB1" s="81"/>
      <c r="OC1" s="81"/>
      <c r="OD1" s="81"/>
      <c r="OE1" s="81"/>
      <c r="OF1" s="81"/>
      <c r="OG1" s="81"/>
      <c r="OH1" s="81"/>
      <c r="OI1" s="81"/>
      <c r="OJ1" s="81"/>
      <c r="OK1" s="81"/>
      <c r="OL1" s="81"/>
      <c r="OM1" s="81"/>
      <c r="ON1" s="81"/>
      <c r="OO1" s="81"/>
      <c r="OP1" s="81"/>
      <c r="OQ1" s="81"/>
      <c r="OR1" s="81"/>
      <c r="OS1" s="81"/>
      <c r="OT1" s="81"/>
      <c r="OU1" s="81"/>
      <c r="OV1" s="81"/>
      <c r="OW1" s="81"/>
      <c r="OX1" s="81"/>
      <c r="OY1" s="81"/>
      <c r="OZ1" s="81"/>
      <c r="PA1" s="81"/>
      <c r="PB1" s="81"/>
      <c r="PC1" s="81"/>
      <c r="PD1" s="81"/>
      <c r="PE1" s="81"/>
      <c r="PF1" s="81"/>
      <c r="PG1" s="81"/>
      <c r="PH1" s="81"/>
      <c r="PI1" s="81"/>
      <c r="PJ1" s="81"/>
      <c r="PK1" s="81"/>
      <c r="PL1" s="81"/>
      <c r="PM1" s="81"/>
      <c r="PN1" s="81"/>
      <c r="PO1" s="81"/>
      <c r="PP1" s="81"/>
      <c r="PQ1" s="81"/>
      <c r="PR1" s="81"/>
      <c r="PS1" s="81"/>
      <c r="PT1" s="81"/>
      <c r="PU1" s="81"/>
      <c r="PV1" s="81"/>
      <c r="PW1" s="81"/>
      <c r="PX1" s="81"/>
      <c r="PY1" s="81"/>
      <c r="PZ1" s="81"/>
      <c r="QA1" s="81"/>
      <c r="QB1" s="81"/>
      <c r="QC1" s="81"/>
      <c r="QD1" s="81"/>
      <c r="QE1" s="81"/>
      <c r="QF1" s="81"/>
      <c r="QG1" s="81"/>
      <c r="QH1" s="81"/>
      <c r="QI1" s="81"/>
      <c r="QJ1" s="81"/>
      <c r="QK1" s="81"/>
      <c r="QL1" s="81"/>
      <c r="QM1" s="81"/>
      <c r="QN1" s="81"/>
      <c r="QO1" s="81"/>
      <c r="QP1" s="81"/>
      <c r="QQ1" s="81"/>
      <c r="QR1" s="81"/>
      <c r="QS1" s="81"/>
      <c r="QT1" s="81"/>
      <c r="QU1" s="81"/>
      <c r="QV1" s="81"/>
      <c r="QW1" s="81"/>
      <c r="QX1" s="81"/>
      <c r="QY1" s="81"/>
      <c r="QZ1" s="81"/>
      <c r="RA1" s="81"/>
      <c r="RB1" s="81"/>
      <c r="RC1" s="81"/>
      <c r="RD1" s="81"/>
      <c r="RE1" s="81"/>
      <c r="RF1" s="81"/>
      <c r="RG1" s="81"/>
      <c r="RH1" s="81"/>
      <c r="RI1" s="81"/>
      <c r="RJ1" s="81"/>
      <c r="RK1" s="81"/>
      <c r="RL1" s="81"/>
      <c r="RM1" s="81"/>
      <c r="RN1" s="81"/>
      <c r="RO1" s="81"/>
      <c r="RP1" s="81"/>
      <c r="RQ1" s="81"/>
      <c r="RR1" s="81"/>
      <c r="RS1" s="81"/>
      <c r="RT1" s="81"/>
      <c r="RU1" s="81"/>
      <c r="RV1" s="81"/>
      <c r="RW1" s="81"/>
      <c r="RX1" s="81"/>
      <c r="RY1" s="81"/>
      <c r="RZ1" s="81"/>
      <c r="SA1" s="81"/>
      <c r="SB1" s="81"/>
      <c r="SC1" s="81"/>
      <c r="SD1" s="81"/>
      <c r="SE1" s="81"/>
      <c r="SF1" s="81"/>
      <c r="SG1" s="81"/>
      <c r="SH1" s="81"/>
      <c r="SI1" s="81"/>
      <c r="SJ1" s="81"/>
      <c r="SK1" s="81"/>
      <c r="SL1" s="81"/>
      <c r="SM1" s="81"/>
      <c r="SN1" s="81"/>
      <c r="SO1" s="81"/>
      <c r="SP1" s="81"/>
      <c r="SQ1" s="81"/>
      <c r="SR1" s="81"/>
      <c r="SS1" s="81"/>
      <c r="ST1" s="81"/>
      <c r="SU1" s="81"/>
      <c r="SV1" s="81"/>
      <c r="SW1" s="81"/>
      <c r="SX1" s="81"/>
      <c r="SY1" s="81"/>
      <c r="SZ1" s="81"/>
      <c r="TA1" s="81"/>
      <c r="TB1" s="81"/>
      <c r="TC1" s="81"/>
      <c r="TD1" s="81"/>
      <c r="TE1" s="81"/>
      <c r="TF1" s="81"/>
      <c r="TG1" s="81"/>
      <c r="TH1" s="81"/>
      <c r="TI1" s="81"/>
      <c r="TJ1" s="81"/>
      <c r="TK1" s="81"/>
      <c r="TL1" s="81"/>
      <c r="TM1" s="81"/>
      <c r="TN1" s="81"/>
      <c r="TO1" s="81"/>
      <c r="TP1" s="81"/>
      <c r="TQ1" s="81"/>
      <c r="TR1" s="81"/>
      <c r="TS1" s="81"/>
      <c r="TT1" s="81"/>
      <c r="TU1" s="81"/>
      <c r="TV1" s="81"/>
      <c r="TW1" s="81"/>
      <c r="TX1" s="81"/>
      <c r="TY1" s="81"/>
      <c r="TZ1" s="81"/>
      <c r="UA1" s="81"/>
      <c r="UB1" s="81"/>
      <c r="UC1" s="81"/>
      <c r="UD1" s="81"/>
      <c r="UE1" s="81"/>
      <c r="UF1" s="81"/>
      <c r="UG1" s="81"/>
      <c r="UH1" s="81"/>
      <c r="UI1" s="81"/>
      <c r="UJ1" s="81"/>
      <c r="UK1" s="81"/>
      <c r="UL1" s="81"/>
      <c r="UM1" s="81"/>
      <c r="UN1" s="81"/>
      <c r="UO1" s="81"/>
      <c r="UP1" s="81"/>
      <c r="UQ1" s="81"/>
      <c r="UR1" s="81"/>
      <c r="US1" s="81"/>
      <c r="UT1" s="81"/>
      <c r="UU1" s="81"/>
      <c r="UV1" s="81"/>
      <c r="UW1" s="81"/>
      <c r="UX1" s="81"/>
      <c r="UY1" s="81"/>
      <c r="UZ1" s="81"/>
      <c r="VA1" s="81"/>
      <c r="VB1" s="81"/>
      <c r="VC1" s="81"/>
      <c r="VD1" s="81"/>
      <c r="VE1" s="81"/>
      <c r="VF1" s="81"/>
      <c r="VG1" s="81"/>
      <c r="VH1" s="81"/>
      <c r="VI1" s="81"/>
      <c r="VJ1" s="81"/>
      <c r="VK1" s="81"/>
      <c r="VL1" s="81"/>
      <c r="VM1" s="81"/>
      <c r="VN1" s="81"/>
      <c r="VO1" s="81"/>
      <c r="VP1" s="81"/>
      <c r="VQ1" s="81"/>
      <c r="VR1" s="81"/>
      <c r="VS1" s="81"/>
      <c r="VT1" s="81"/>
      <c r="VU1" s="81"/>
      <c r="VV1" s="81"/>
      <c r="VW1" s="81"/>
      <c r="VX1" s="81"/>
      <c r="VY1" s="81"/>
      <c r="VZ1" s="81"/>
      <c r="WA1" s="81"/>
      <c r="WB1" s="81"/>
      <c r="WC1" s="81"/>
      <c r="WD1" s="81"/>
      <c r="WE1" s="81"/>
      <c r="WF1" s="81"/>
      <c r="WG1" s="81"/>
      <c r="WH1" s="81"/>
      <c r="WI1" s="81"/>
      <c r="WJ1" s="81"/>
      <c r="WK1" s="81"/>
      <c r="WL1" s="81"/>
      <c r="WM1" s="81"/>
      <c r="WN1" s="81"/>
      <c r="WO1" s="81"/>
      <c r="WP1" s="81"/>
      <c r="WQ1" s="81"/>
      <c r="WR1" s="81"/>
      <c r="WS1" s="81"/>
      <c r="WT1" s="81"/>
      <c r="WU1" s="81"/>
      <c r="WV1" s="81"/>
      <c r="WW1" s="81"/>
      <c r="WX1" s="81"/>
      <c r="WY1" s="81"/>
      <c r="WZ1" s="81"/>
      <c r="XA1" s="81"/>
      <c r="XB1" s="81"/>
      <c r="XC1" s="81"/>
      <c r="XD1" s="81"/>
      <c r="XE1" s="81"/>
      <c r="XF1" s="81"/>
      <c r="XG1" s="81"/>
      <c r="XH1" s="81"/>
      <c r="XI1" s="81"/>
      <c r="XJ1" s="81"/>
      <c r="XK1" s="81"/>
      <c r="XL1" s="81"/>
      <c r="XM1" s="81"/>
      <c r="XN1" s="81"/>
      <c r="XO1" s="81"/>
      <c r="XP1" s="81"/>
      <c r="XQ1" s="81"/>
      <c r="XR1" s="81"/>
      <c r="XS1" s="81"/>
      <c r="XT1" s="81"/>
      <c r="XU1" s="81"/>
      <c r="XV1" s="81"/>
      <c r="XW1" s="81"/>
      <c r="XX1" s="81"/>
      <c r="XY1" s="81"/>
      <c r="XZ1" s="81"/>
      <c r="YA1" s="81"/>
      <c r="YB1" s="81"/>
      <c r="YC1" s="81"/>
      <c r="YD1" s="81"/>
      <c r="YE1" s="81"/>
      <c r="YF1" s="81"/>
      <c r="YG1" s="81"/>
      <c r="YH1" s="81"/>
      <c r="YI1" s="81"/>
      <c r="YJ1" s="81"/>
      <c r="YK1" s="81"/>
      <c r="YL1" s="81"/>
      <c r="YM1" s="81"/>
      <c r="YN1" s="81"/>
      <c r="YO1" s="81"/>
      <c r="YP1" s="81"/>
      <c r="YQ1" s="81"/>
      <c r="YR1" s="81"/>
      <c r="YS1" s="81"/>
      <c r="YT1" s="81"/>
      <c r="YU1" s="81"/>
      <c r="YV1" s="81"/>
      <c r="YW1" s="81"/>
      <c r="YX1" s="81"/>
      <c r="YY1" s="81"/>
      <c r="YZ1" s="81"/>
      <c r="ZA1" s="81"/>
      <c r="ZB1" s="81"/>
      <c r="ZC1" s="81"/>
      <c r="ZD1" s="81"/>
      <c r="ZE1" s="81"/>
      <c r="ZF1" s="81"/>
      <c r="ZG1" s="81"/>
      <c r="ZH1" s="81"/>
      <c r="ZI1" s="81"/>
      <c r="ZJ1" s="81"/>
      <c r="ZK1" s="81"/>
      <c r="ZL1" s="81"/>
      <c r="ZM1" s="81"/>
      <c r="ZN1" s="81"/>
      <c r="ZO1" s="81"/>
      <c r="ZP1" s="81"/>
      <c r="ZQ1" s="81"/>
      <c r="ZR1" s="81"/>
      <c r="ZS1" s="81"/>
      <c r="ZT1" s="81"/>
      <c r="ZU1" s="81"/>
      <c r="ZV1" s="81"/>
      <c r="ZW1" s="81"/>
      <c r="ZX1" s="81"/>
      <c r="ZY1" s="81"/>
      <c r="ZZ1" s="81"/>
      <c r="AAA1" s="81"/>
      <c r="AAB1" s="81"/>
      <c r="AAC1" s="81"/>
      <c r="AAD1" s="81"/>
      <c r="AAE1" s="81"/>
      <c r="AAF1" s="81"/>
      <c r="AAG1" s="81"/>
      <c r="AAH1" s="81"/>
      <c r="AAI1" s="81"/>
      <c r="AAJ1" s="81"/>
      <c r="AAK1" s="81"/>
      <c r="AAL1" s="81"/>
      <c r="AAM1" s="81"/>
      <c r="AAN1" s="81"/>
      <c r="AAO1" s="81"/>
      <c r="AAP1" s="81"/>
      <c r="AAQ1" s="81"/>
      <c r="AAR1" s="81"/>
      <c r="AAS1" s="81"/>
      <c r="AAT1" s="81"/>
      <c r="AAU1" s="81"/>
      <c r="AAV1" s="81"/>
      <c r="AAW1" s="81"/>
      <c r="AAX1" s="81"/>
      <c r="AAY1" s="81"/>
      <c r="AAZ1" s="81"/>
      <c r="ABA1" s="81"/>
      <c r="ABB1" s="81"/>
      <c r="ABC1" s="81"/>
      <c r="ABD1" s="81"/>
      <c r="ABE1" s="81"/>
      <c r="ABF1" s="81"/>
      <c r="ABG1" s="81"/>
      <c r="ABH1" s="81"/>
      <c r="ABI1" s="81"/>
      <c r="ABJ1" s="81"/>
      <c r="ABK1" s="81"/>
      <c r="ABL1" s="81"/>
      <c r="ABM1" s="81"/>
      <c r="ABN1" s="81"/>
      <c r="ABO1" s="81"/>
      <c r="ABP1" s="81"/>
      <c r="ABQ1" s="81"/>
      <c r="ABR1" s="81"/>
      <c r="ABS1" s="81"/>
      <c r="ABT1" s="81"/>
      <c r="ABU1" s="81"/>
      <c r="ABV1" s="81"/>
      <c r="ABW1" s="81"/>
      <c r="ABX1" s="81"/>
      <c r="ABY1" s="81"/>
      <c r="ABZ1" s="81"/>
      <c r="ACA1" s="81"/>
      <c r="ACB1" s="81"/>
      <c r="ACC1" s="81"/>
      <c r="ACD1" s="81"/>
      <c r="ACE1" s="81"/>
      <c r="ACF1" s="81"/>
      <c r="ACG1" s="81"/>
      <c r="ACH1" s="81"/>
      <c r="ACI1" s="81"/>
      <c r="ACJ1" s="81"/>
      <c r="ACK1" s="81"/>
      <c r="ACL1" s="81"/>
      <c r="ACM1" s="81"/>
      <c r="ACN1" s="81"/>
      <c r="ACO1" s="81"/>
      <c r="ACP1" s="81"/>
      <c r="ACQ1" s="81"/>
      <c r="ACR1" s="81"/>
      <c r="ACS1" s="81"/>
      <c r="ACT1" s="81"/>
      <c r="ACU1" s="81"/>
      <c r="ACV1" s="81"/>
      <c r="ACW1" s="81"/>
      <c r="ACX1" s="81"/>
      <c r="ACY1" s="81"/>
      <c r="ACZ1" s="81"/>
      <c r="ADA1" s="81"/>
      <c r="ADB1" s="81"/>
      <c r="ADC1" s="81"/>
      <c r="ADD1" s="81"/>
      <c r="ADE1" s="81"/>
      <c r="ADF1" s="81"/>
      <c r="ADG1" s="81"/>
      <c r="ADH1" s="81"/>
      <c r="ADI1" s="81"/>
      <c r="ADJ1" s="81"/>
      <c r="ADK1" s="81"/>
      <c r="ADL1" s="81"/>
      <c r="ADM1" s="81"/>
      <c r="ADN1" s="81"/>
      <c r="ADO1" s="81"/>
      <c r="ADP1" s="81"/>
      <c r="ADQ1" s="81"/>
      <c r="ADR1" s="81"/>
      <c r="ADS1" s="81"/>
      <c r="ADT1" s="81"/>
      <c r="ADU1" s="81"/>
      <c r="ADV1" s="81"/>
      <c r="ADW1" s="81"/>
      <c r="ADX1" s="81"/>
      <c r="ADY1" s="81"/>
      <c r="ADZ1" s="81"/>
      <c r="AEA1" s="81"/>
      <c r="AEB1" s="81"/>
      <c r="AEC1" s="81"/>
      <c r="AED1" s="81"/>
      <c r="AEE1" s="81"/>
      <c r="AEF1" s="81"/>
      <c r="AEG1" s="81"/>
      <c r="AEH1" s="81"/>
      <c r="AEI1" s="81"/>
      <c r="AEJ1" s="81"/>
      <c r="AEK1" s="81"/>
      <c r="AEL1" s="81"/>
      <c r="AEM1" s="81"/>
      <c r="AEN1" s="81"/>
      <c r="AEO1" s="81"/>
      <c r="AEP1" s="81"/>
      <c r="AEQ1" s="81"/>
      <c r="AER1" s="81"/>
      <c r="AES1" s="81"/>
      <c r="AET1" s="81"/>
      <c r="AEU1" s="81"/>
      <c r="AEV1" s="81"/>
      <c r="AEW1" s="81"/>
      <c r="AEX1" s="81"/>
      <c r="AEY1" s="81"/>
      <c r="AEZ1" s="81"/>
      <c r="AFA1" s="81"/>
      <c r="AFB1" s="81"/>
      <c r="AFC1" s="81"/>
      <c r="AFD1" s="81"/>
      <c r="AFE1" s="81"/>
      <c r="AFF1" s="81"/>
      <c r="AFG1" s="81"/>
      <c r="AFH1" s="81"/>
      <c r="AFI1" s="81"/>
      <c r="AFJ1" s="81"/>
      <c r="AFK1" s="81"/>
      <c r="AFL1" s="81"/>
      <c r="AFM1" s="81"/>
      <c r="AFN1" s="81"/>
      <c r="AFO1" s="81"/>
      <c r="AFP1" s="81"/>
      <c r="AFQ1" s="81"/>
      <c r="AFR1" s="81"/>
      <c r="AFS1" s="81"/>
      <c r="AFT1" s="81"/>
      <c r="AFU1" s="81"/>
      <c r="AFV1" s="81"/>
      <c r="AFW1" s="81"/>
      <c r="AFX1" s="81"/>
      <c r="AFY1" s="81"/>
      <c r="AFZ1" s="81"/>
      <c r="AGA1" s="81"/>
      <c r="AGB1" s="81"/>
      <c r="AGC1" s="81"/>
      <c r="AGD1" s="81"/>
      <c r="AGE1" s="81"/>
      <c r="AGF1" s="81"/>
      <c r="AGG1" s="81"/>
      <c r="AGH1" s="81"/>
      <c r="AGI1" s="81"/>
      <c r="AGJ1" s="81"/>
      <c r="AGK1" s="81"/>
      <c r="AGL1" s="81"/>
      <c r="AGM1" s="81"/>
      <c r="AGN1" s="81"/>
      <c r="AGO1" s="81"/>
      <c r="AGP1" s="81"/>
      <c r="AGQ1" s="81"/>
      <c r="AGR1" s="81"/>
      <c r="AGS1" s="81"/>
      <c r="AGT1" s="81"/>
      <c r="AGU1" s="81"/>
      <c r="AGV1" s="81"/>
      <c r="AGW1" s="81"/>
      <c r="AGX1" s="81"/>
      <c r="AGY1" s="81"/>
      <c r="AGZ1" s="81"/>
      <c r="AHA1" s="81"/>
      <c r="AHB1" s="81"/>
      <c r="AHC1" s="81"/>
      <c r="AHD1" s="81"/>
      <c r="AHE1" s="81"/>
      <c r="AHF1" s="81"/>
      <c r="AHG1" s="81"/>
      <c r="AHH1" s="81"/>
      <c r="AHI1" s="81"/>
      <c r="AHJ1" s="81"/>
      <c r="AHK1" s="81"/>
      <c r="AHL1" s="81"/>
      <c r="AHM1" s="81"/>
      <c r="AHN1" s="81"/>
      <c r="AHO1" s="81"/>
      <c r="AHP1" s="81"/>
      <c r="AHQ1" s="81"/>
      <c r="AHR1" s="81"/>
      <c r="AHS1" s="81"/>
      <c r="AHT1" s="81"/>
      <c r="AHU1" s="81"/>
      <c r="AHV1" s="81"/>
      <c r="AHW1" s="81"/>
      <c r="AHX1" s="81"/>
      <c r="AHY1" s="81"/>
      <c r="AHZ1" s="81"/>
      <c r="AIA1" s="81"/>
      <c r="AIB1" s="81"/>
      <c r="AIC1" s="81"/>
      <c r="AID1" s="81"/>
      <c r="AIE1" s="81"/>
      <c r="AIF1" s="81"/>
      <c r="AIG1" s="81"/>
      <c r="AIH1" s="81"/>
      <c r="AII1" s="81"/>
      <c r="AIJ1" s="81"/>
      <c r="AIK1" s="81"/>
      <c r="AIL1" s="81"/>
      <c r="AIM1" s="81"/>
      <c r="AIN1" s="81"/>
      <c r="AIO1" s="81"/>
      <c r="AIP1" s="81"/>
      <c r="AIQ1" s="81"/>
      <c r="AIR1" s="81"/>
      <c r="AIS1" s="81"/>
      <c r="AIT1" s="81"/>
      <c r="AIU1" s="81"/>
      <c r="AIV1" s="81"/>
      <c r="AIW1" s="81"/>
      <c r="AIX1" s="81"/>
      <c r="AIY1" s="81"/>
      <c r="AIZ1" s="81"/>
      <c r="AJA1" s="81"/>
      <c r="AJB1" s="81"/>
      <c r="AJC1" s="81"/>
      <c r="AJD1" s="81"/>
      <c r="AJE1" s="81"/>
      <c r="AJF1" s="81"/>
      <c r="AJG1" s="81"/>
      <c r="AJH1" s="81"/>
      <c r="AJI1" s="81"/>
      <c r="AJJ1" s="81"/>
      <c r="AJK1" s="81"/>
      <c r="AJL1" s="81"/>
      <c r="AJM1" s="81"/>
      <c r="AJN1" s="81"/>
      <c r="AJO1" s="81"/>
      <c r="AJP1" s="81"/>
      <c r="AJQ1" s="81"/>
      <c r="AJR1" s="81"/>
      <c r="AJS1" s="81"/>
      <c r="AJT1" s="81"/>
      <c r="AJU1" s="81"/>
      <c r="AJV1" s="81"/>
      <c r="AJW1" s="81"/>
      <c r="AJX1" s="81"/>
      <c r="AJY1" s="81"/>
      <c r="AJZ1" s="81"/>
      <c r="AKA1" s="81"/>
      <c r="AKB1" s="81"/>
      <c r="AKC1" s="81"/>
      <c r="AKD1" s="81"/>
      <c r="AKE1" s="81"/>
      <c r="AKF1" s="81"/>
      <c r="AKG1" s="81"/>
      <c r="AKH1" s="81"/>
      <c r="AKI1" s="81"/>
      <c r="AKJ1" s="81"/>
      <c r="AKK1" s="81"/>
      <c r="AKL1" s="81"/>
      <c r="AKM1" s="81"/>
      <c r="AKN1" s="81"/>
      <c r="AKO1" s="81"/>
      <c r="AKP1" s="81"/>
      <c r="AKQ1" s="81"/>
      <c r="AKR1" s="81"/>
      <c r="AKS1" s="81"/>
      <c r="AKT1" s="81"/>
      <c r="AKU1" s="81"/>
      <c r="AKV1" s="81"/>
      <c r="AKW1" s="81"/>
      <c r="AKX1" s="81"/>
      <c r="AKY1" s="81"/>
      <c r="AKZ1" s="81"/>
      <c r="ALA1" s="81"/>
      <c r="ALB1" s="81"/>
      <c r="ALC1" s="81"/>
      <c r="ALD1" s="81"/>
      <c r="ALE1" s="81"/>
      <c r="ALF1" s="81"/>
      <c r="ALG1" s="81"/>
      <c r="ALH1" s="81"/>
      <c r="ALI1" s="81"/>
      <c r="ALJ1" s="81"/>
      <c r="ALK1" s="81"/>
      <c r="ALL1" s="81"/>
      <c r="ALM1" s="81"/>
      <c r="ALN1" s="81"/>
      <c r="ALO1" s="81"/>
      <c r="ALP1" s="81"/>
      <c r="ALQ1" s="81"/>
      <c r="ALR1" s="81"/>
      <c r="ALS1" s="81"/>
      <c r="ALT1" s="81"/>
      <c r="ALU1" s="81"/>
      <c r="ALV1" s="81"/>
      <c r="ALW1" s="81"/>
      <c r="ALX1" s="81"/>
      <c r="ALY1" s="81"/>
      <c r="ALZ1" s="81"/>
      <c r="AMA1" s="81"/>
      <c r="AMB1" s="81"/>
      <c r="AMC1" s="81"/>
      <c r="AMD1" s="81"/>
      <c r="AME1" s="81"/>
      <c r="AMF1" s="81"/>
      <c r="AMG1" s="81"/>
      <c r="AMH1" s="81"/>
      <c r="AMI1" s="81"/>
      <c r="AMJ1" s="81"/>
      <c r="AMK1" s="81"/>
      <c r="AML1" s="81"/>
      <c r="AMM1" s="81"/>
      <c r="AMN1" s="81"/>
      <c r="AMO1" s="81"/>
      <c r="AMP1" s="81"/>
      <c r="AMQ1" s="81"/>
      <c r="AMR1" s="81"/>
      <c r="AMS1" s="81"/>
      <c r="AMT1" s="81"/>
      <c r="AMU1" s="81"/>
      <c r="AMV1" s="81"/>
      <c r="AMW1" s="81"/>
      <c r="AMX1" s="81"/>
      <c r="AMY1" s="81"/>
      <c r="AMZ1" s="81"/>
      <c r="ANA1" s="81"/>
      <c r="ANB1" s="81"/>
      <c r="ANC1" s="81"/>
      <c r="AND1" s="81"/>
      <c r="ANE1" s="81"/>
      <c r="ANF1" s="81"/>
      <c r="ANG1" s="81"/>
      <c r="ANH1" s="81"/>
      <c r="ANI1" s="81"/>
      <c r="ANJ1" s="81"/>
      <c r="ANK1" s="81"/>
      <c r="ANL1" s="81"/>
      <c r="ANM1" s="81"/>
      <c r="ANN1" s="81"/>
      <c r="ANO1" s="81"/>
      <c r="ANP1" s="81"/>
      <c r="ANQ1" s="81"/>
      <c r="ANR1" s="81"/>
      <c r="ANS1" s="81"/>
      <c r="ANT1" s="81"/>
      <c r="ANU1" s="81"/>
      <c r="ANV1" s="81"/>
      <c r="ANW1" s="81"/>
      <c r="ANX1" s="81"/>
      <c r="ANY1" s="81"/>
      <c r="ANZ1" s="81"/>
      <c r="AOA1" s="81"/>
      <c r="AOB1" s="81"/>
      <c r="AOC1" s="81"/>
      <c r="AOD1" s="81"/>
      <c r="AOE1" s="81"/>
      <c r="AOF1" s="81"/>
      <c r="AOG1" s="81"/>
      <c r="AOH1" s="81"/>
      <c r="AOI1" s="81"/>
      <c r="AOJ1" s="81"/>
      <c r="AOK1" s="81"/>
      <c r="AOL1" s="81"/>
      <c r="AOM1" s="81"/>
      <c r="AON1" s="81"/>
      <c r="AOO1" s="81"/>
      <c r="AOP1" s="81"/>
      <c r="AOQ1" s="81"/>
      <c r="AOR1" s="81"/>
      <c r="AOS1" s="81"/>
      <c r="AOT1" s="81"/>
      <c r="AOU1" s="81"/>
      <c r="AOV1" s="81"/>
      <c r="AOW1" s="81"/>
      <c r="AOX1" s="81"/>
      <c r="AOY1" s="81"/>
      <c r="AOZ1" s="81"/>
      <c r="APA1" s="81"/>
      <c r="APB1" s="81"/>
      <c r="APC1" s="81"/>
      <c r="APD1" s="81"/>
      <c r="APE1" s="81"/>
      <c r="APF1" s="81"/>
      <c r="APG1" s="81"/>
      <c r="APH1" s="81"/>
      <c r="API1" s="81"/>
      <c r="APJ1" s="81"/>
      <c r="APK1" s="81"/>
      <c r="APL1" s="81"/>
      <c r="APM1" s="81"/>
      <c r="APN1" s="81"/>
      <c r="APO1" s="81"/>
      <c r="APP1" s="81"/>
      <c r="APQ1" s="81"/>
      <c r="APR1" s="81"/>
      <c r="APS1" s="81"/>
      <c r="APT1" s="81"/>
      <c r="APU1" s="81"/>
      <c r="APV1" s="81"/>
      <c r="APW1" s="81"/>
      <c r="APX1" s="81"/>
      <c r="APY1" s="81"/>
      <c r="APZ1" s="81"/>
      <c r="AQA1" s="81"/>
      <c r="AQB1" s="81"/>
      <c r="AQC1" s="81"/>
      <c r="AQD1" s="81"/>
      <c r="AQE1" s="81"/>
      <c r="AQF1" s="81"/>
      <c r="AQG1" s="81"/>
      <c r="AQH1" s="81"/>
      <c r="AQI1" s="81"/>
      <c r="AQJ1" s="81"/>
      <c r="AQK1" s="81"/>
      <c r="AQL1" s="81"/>
      <c r="AQM1" s="81"/>
      <c r="AQN1" s="81"/>
      <c r="AQO1" s="81"/>
      <c r="AQP1" s="81"/>
      <c r="AQQ1" s="81"/>
      <c r="AQR1" s="81"/>
      <c r="AQS1" s="81"/>
      <c r="AQT1" s="81"/>
      <c r="AQU1" s="81"/>
      <c r="AQV1" s="81"/>
      <c r="AQW1" s="81"/>
      <c r="AQX1" s="81"/>
      <c r="AQY1" s="81"/>
      <c r="AQZ1" s="81"/>
      <c r="ARA1" s="81"/>
      <c r="ARB1" s="81"/>
      <c r="ARC1" s="81"/>
      <c r="ARD1" s="81"/>
      <c r="ARE1" s="81"/>
      <c r="ARF1" s="81"/>
      <c r="ARG1" s="81"/>
      <c r="ARH1" s="81"/>
      <c r="ARI1" s="81"/>
      <c r="ARJ1" s="81"/>
      <c r="ARK1" s="81"/>
      <c r="ARL1" s="81"/>
      <c r="ARM1" s="81"/>
      <c r="ARN1" s="81"/>
      <c r="ARO1" s="81"/>
      <c r="ARP1" s="81"/>
      <c r="ARQ1" s="81"/>
      <c r="ARR1" s="81"/>
      <c r="ARS1" s="81"/>
      <c r="ART1" s="81"/>
      <c r="ARU1" s="81"/>
      <c r="ARV1" s="81"/>
      <c r="ARW1" s="81"/>
      <c r="ARX1" s="81"/>
      <c r="ARY1" s="81"/>
      <c r="ARZ1" s="81"/>
      <c r="ASA1" s="81"/>
      <c r="ASB1" s="81"/>
      <c r="ASC1" s="81"/>
      <c r="ASD1" s="81"/>
      <c r="ASE1" s="81"/>
      <c r="ASF1" s="81"/>
      <c r="ASG1" s="81"/>
      <c r="ASH1" s="81"/>
      <c r="ASI1" s="81"/>
      <c r="ASJ1" s="81"/>
      <c r="ASK1" s="81"/>
      <c r="ASL1" s="81"/>
      <c r="ASM1" s="81"/>
      <c r="ASN1" s="81"/>
      <c r="ASO1" s="81"/>
      <c r="ASP1" s="81"/>
      <c r="ASQ1" s="81"/>
      <c r="ASR1" s="81"/>
      <c r="ASS1" s="81"/>
      <c r="AST1" s="81"/>
      <c r="ASU1" s="81"/>
      <c r="ASV1" s="81"/>
      <c r="ASW1" s="81"/>
      <c r="ASX1" s="81"/>
      <c r="ASY1" s="81"/>
      <c r="ASZ1" s="81"/>
      <c r="ATA1" s="81"/>
      <c r="ATB1" s="81"/>
      <c r="ATC1" s="81"/>
      <c r="ATD1" s="81"/>
      <c r="ATE1" s="81"/>
      <c r="ATF1" s="81"/>
      <c r="ATG1" s="81"/>
      <c r="ATH1" s="81"/>
      <c r="ATI1" s="81"/>
      <c r="ATJ1" s="81"/>
      <c r="ATK1" s="81"/>
      <c r="ATL1" s="81"/>
      <c r="ATM1" s="81"/>
      <c r="ATN1" s="81"/>
      <c r="ATO1" s="81"/>
      <c r="ATP1" s="81"/>
      <c r="ATQ1" s="81"/>
      <c r="ATR1" s="81"/>
      <c r="ATS1" s="81"/>
      <c r="ATT1" s="81"/>
      <c r="ATU1" s="81"/>
      <c r="ATV1" s="81"/>
      <c r="ATW1" s="81"/>
      <c r="ATX1" s="81"/>
      <c r="ATY1" s="81"/>
      <c r="ATZ1" s="81"/>
      <c r="AUA1" s="81"/>
      <c r="AUB1" s="81"/>
      <c r="AUC1" s="81"/>
      <c r="AUD1" s="81"/>
      <c r="AUE1" s="81"/>
      <c r="AUF1" s="81"/>
      <c r="AUG1" s="81"/>
      <c r="AUH1" s="81"/>
      <c r="AUI1" s="81"/>
      <c r="AUJ1" s="81"/>
      <c r="AUK1" s="81"/>
      <c r="AUL1" s="81"/>
      <c r="AUM1" s="81"/>
      <c r="AUN1" s="81"/>
      <c r="AUO1" s="81"/>
      <c r="AUP1" s="81"/>
      <c r="AUQ1" s="81"/>
      <c r="AUR1" s="81"/>
      <c r="AUS1" s="81"/>
      <c r="AUT1" s="81"/>
      <c r="AUU1" s="81"/>
      <c r="AUV1" s="81"/>
      <c r="AUW1" s="81"/>
      <c r="AUX1" s="81"/>
      <c r="AUY1" s="81"/>
      <c r="AUZ1" s="81"/>
      <c r="AVA1" s="81"/>
      <c r="AVB1" s="81"/>
      <c r="AVC1" s="81"/>
      <c r="AVD1" s="81"/>
      <c r="AVE1" s="81"/>
      <c r="AVF1" s="81"/>
      <c r="AVG1" s="81"/>
      <c r="AVH1" s="81"/>
      <c r="AVI1" s="81"/>
      <c r="AVJ1" s="81"/>
      <c r="AVK1" s="81"/>
      <c r="AVL1" s="81"/>
      <c r="AVM1" s="81"/>
      <c r="AVN1" s="81"/>
      <c r="AVO1" s="81"/>
      <c r="AVP1" s="81"/>
      <c r="AVQ1" s="81"/>
      <c r="AVR1" s="81"/>
      <c r="AVS1" s="81"/>
      <c r="AVT1" s="81"/>
      <c r="AVU1" s="81"/>
      <c r="AVV1" s="81"/>
      <c r="AVW1" s="81"/>
      <c r="AVX1" s="81"/>
      <c r="AVY1" s="81"/>
      <c r="AVZ1" s="81"/>
      <c r="AWA1" s="81"/>
      <c r="AWB1" s="81"/>
      <c r="AWC1" s="81"/>
      <c r="AWD1" s="81"/>
      <c r="AWE1" s="81"/>
      <c r="AWF1" s="81"/>
      <c r="AWG1" s="81"/>
      <c r="AWH1" s="81"/>
      <c r="AWI1" s="81"/>
      <c r="AWJ1" s="81"/>
      <c r="AWK1" s="81"/>
      <c r="AWL1" s="81"/>
      <c r="AWM1" s="81"/>
      <c r="AWN1" s="81"/>
      <c r="AWO1" s="81"/>
      <c r="AWP1" s="81"/>
      <c r="AWQ1" s="81"/>
      <c r="AWR1" s="81"/>
      <c r="AWS1" s="81"/>
      <c r="AWT1" s="81"/>
      <c r="AWU1" s="81"/>
      <c r="AWV1" s="81"/>
      <c r="AWW1" s="81"/>
      <c r="AWX1" s="81"/>
      <c r="AWY1" s="81"/>
      <c r="AWZ1" s="81"/>
      <c r="AXA1" s="81"/>
      <c r="AXB1" s="81"/>
      <c r="AXC1" s="81"/>
      <c r="AXD1" s="81"/>
      <c r="AXE1" s="81"/>
      <c r="AXF1" s="81"/>
      <c r="AXG1" s="81"/>
      <c r="AXH1" s="81"/>
      <c r="AXI1" s="81"/>
      <c r="AXJ1" s="81"/>
      <c r="AXK1" s="81"/>
      <c r="AXL1" s="81"/>
      <c r="AXM1" s="81"/>
      <c r="AXN1" s="81"/>
      <c r="AXO1" s="81"/>
      <c r="AXP1" s="81"/>
      <c r="AXQ1" s="81"/>
      <c r="AXR1" s="81"/>
      <c r="AXS1" s="81"/>
      <c r="AXT1" s="81"/>
      <c r="AXU1" s="81"/>
      <c r="AXV1" s="81"/>
      <c r="AXW1" s="81"/>
      <c r="AXX1" s="81"/>
      <c r="AXY1" s="81"/>
      <c r="AXZ1" s="81"/>
      <c r="AYA1" s="81"/>
      <c r="AYB1" s="81"/>
      <c r="AYC1" s="81"/>
      <c r="AYD1" s="81"/>
      <c r="AYE1" s="81"/>
      <c r="AYF1" s="81"/>
      <c r="AYG1" s="81"/>
      <c r="AYH1" s="81"/>
      <c r="AYI1" s="81"/>
      <c r="AYJ1" s="81"/>
      <c r="AYK1" s="81"/>
      <c r="AYL1" s="81"/>
      <c r="AYM1" s="81"/>
      <c r="AYN1" s="81"/>
      <c r="AYO1" s="81"/>
      <c r="AYP1" s="81"/>
      <c r="AYQ1" s="81"/>
      <c r="AYR1" s="81"/>
      <c r="AYS1" s="81"/>
      <c r="AYT1" s="81"/>
      <c r="AYU1" s="81"/>
      <c r="AYV1" s="81"/>
      <c r="AYW1" s="81"/>
      <c r="AYX1" s="81"/>
      <c r="AYY1" s="81"/>
      <c r="AYZ1" s="81"/>
      <c r="AZA1" s="81"/>
      <c r="AZB1" s="81"/>
      <c r="AZC1" s="81"/>
      <c r="AZD1" s="81"/>
      <c r="AZE1" s="81"/>
      <c r="AZF1" s="81"/>
      <c r="AZG1" s="81"/>
      <c r="AZH1" s="81"/>
      <c r="AZI1" s="81"/>
      <c r="AZJ1" s="81"/>
      <c r="AZK1" s="81"/>
      <c r="AZL1" s="81"/>
      <c r="AZM1" s="81"/>
      <c r="AZN1" s="81"/>
      <c r="AZO1" s="81"/>
      <c r="AZP1" s="81"/>
      <c r="AZQ1" s="81"/>
      <c r="AZR1" s="81"/>
      <c r="AZS1" s="81"/>
      <c r="AZT1" s="81"/>
      <c r="AZU1" s="81"/>
      <c r="AZV1" s="81"/>
      <c r="AZW1" s="81"/>
      <c r="AZX1" s="81"/>
      <c r="AZY1" s="81"/>
      <c r="AZZ1" s="81"/>
      <c r="BAA1" s="81"/>
      <c r="BAB1" s="81"/>
      <c r="BAC1" s="81"/>
      <c r="BAD1" s="81"/>
      <c r="BAE1" s="81"/>
      <c r="BAF1" s="81"/>
      <c r="BAG1" s="81"/>
      <c r="BAH1" s="81"/>
      <c r="BAI1" s="81"/>
      <c r="BAJ1" s="81"/>
      <c r="BAK1" s="81"/>
      <c r="BAL1" s="81"/>
      <c r="BAM1" s="81"/>
      <c r="BAN1" s="81"/>
      <c r="BAO1" s="81"/>
      <c r="BAP1" s="81"/>
      <c r="BAQ1" s="81"/>
      <c r="BAR1" s="81"/>
      <c r="BAS1" s="81"/>
      <c r="BAT1" s="81"/>
      <c r="BAU1" s="81"/>
      <c r="BAV1" s="81"/>
      <c r="BAW1" s="81"/>
      <c r="BAX1" s="81"/>
      <c r="BAY1" s="81"/>
      <c r="BAZ1" s="81"/>
      <c r="BBA1" s="81"/>
      <c r="BBB1" s="81"/>
      <c r="BBC1" s="81"/>
      <c r="BBD1" s="81"/>
      <c r="BBE1" s="81"/>
      <c r="BBF1" s="81"/>
      <c r="BBG1" s="81"/>
      <c r="BBH1" s="81"/>
      <c r="BBI1" s="81"/>
      <c r="BBJ1" s="81"/>
      <c r="BBK1" s="81"/>
      <c r="BBL1" s="81"/>
      <c r="BBM1" s="81"/>
      <c r="BBN1" s="81"/>
      <c r="BBO1" s="81"/>
      <c r="BBP1" s="81"/>
      <c r="BBQ1" s="81"/>
      <c r="BBR1" s="81"/>
      <c r="BBS1" s="81"/>
      <c r="BBT1" s="81"/>
      <c r="BBU1" s="81"/>
      <c r="BBV1" s="81"/>
      <c r="BBW1" s="81"/>
      <c r="BBX1" s="81"/>
      <c r="BBY1" s="81"/>
      <c r="BBZ1" s="81"/>
      <c r="BCA1" s="81"/>
      <c r="BCB1" s="81"/>
      <c r="BCC1" s="81"/>
      <c r="BCD1" s="81"/>
      <c r="BCE1" s="81"/>
      <c r="BCF1" s="81"/>
      <c r="BCG1" s="81"/>
      <c r="BCH1" s="81"/>
      <c r="BCI1" s="81"/>
      <c r="BCJ1" s="81"/>
      <c r="BCK1" s="81"/>
      <c r="BCL1" s="81"/>
      <c r="BCM1" s="81"/>
      <c r="BCN1" s="81"/>
      <c r="BCO1" s="81"/>
      <c r="BCP1" s="81"/>
      <c r="BCQ1" s="81"/>
      <c r="BCR1" s="81"/>
      <c r="BCS1" s="81"/>
      <c r="BCT1" s="81"/>
      <c r="BCU1" s="81"/>
      <c r="BCV1" s="81"/>
      <c r="BCW1" s="81"/>
      <c r="BCX1" s="81"/>
      <c r="BCY1" s="81"/>
      <c r="BCZ1" s="81"/>
      <c r="BDA1" s="81"/>
      <c r="BDB1" s="81"/>
      <c r="BDC1" s="81"/>
      <c r="BDD1" s="81"/>
      <c r="BDE1" s="81"/>
      <c r="BDF1" s="81"/>
      <c r="BDG1" s="81"/>
      <c r="BDH1" s="81"/>
      <c r="BDI1" s="81"/>
      <c r="BDJ1" s="81"/>
      <c r="BDK1" s="81"/>
      <c r="BDL1" s="81"/>
      <c r="BDM1" s="81"/>
      <c r="BDN1" s="81"/>
      <c r="BDO1" s="81"/>
      <c r="BDP1" s="81"/>
      <c r="BDQ1" s="81"/>
      <c r="BDR1" s="81"/>
      <c r="BDS1" s="81"/>
      <c r="BDT1" s="81"/>
      <c r="BDU1" s="81"/>
      <c r="BDV1" s="81"/>
      <c r="BDW1" s="81"/>
      <c r="BDX1" s="81"/>
      <c r="BDY1" s="81"/>
      <c r="BDZ1" s="81"/>
      <c r="BEA1" s="81"/>
      <c r="BEB1" s="81"/>
      <c r="BEC1" s="81"/>
      <c r="BED1" s="81"/>
      <c r="BEE1" s="81"/>
      <c r="BEF1" s="81"/>
      <c r="BEG1" s="81"/>
      <c r="BEH1" s="81"/>
      <c r="BEI1" s="81"/>
      <c r="BEJ1" s="81"/>
      <c r="BEK1" s="81"/>
      <c r="BEL1" s="81"/>
      <c r="BEM1" s="81"/>
      <c r="BEN1" s="81"/>
      <c r="BEO1" s="81"/>
      <c r="BEP1" s="81"/>
      <c r="BEQ1" s="81"/>
      <c r="BER1" s="81"/>
      <c r="BES1" s="81"/>
      <c r="BET1" s="81"/>
      <c r="BEU1" s="81"/>
      <c r="BEV1" s="81"/>
      <c r="BEW1" s="81"/>
      <c r="BEX1" s="81"/>
      <c r="BEY1" s="81"/>
      <c r="BEZ1" s="81"/>
      <c r="BFA1" s="81"/>
      <c r="BFB1" s="81"/>
      <c r="BFC1" s="81"/>
      <c r="BFD1" s="81"/>
      <c r="BFE1" s="81"/>
      <c r="BFF1" s="81"/>
      <c r="BFG1" s="81"/>
      <c r="BFH1" s="81"/>
      <c r="BFI1" s="81"/>
      <c r="BFJ1" s="81"/>
      <c r="BFK1" s="81"/>
      <c r="BFL1" s="81"/>
      <c r="BFM1" s="81"/>
      <c r="BFN1" s="81"/>
      <c r="BFO1" s="81"/>
      <c r="BFP1" s="81"/>
      <c r="BFQ1" s="81"/>
      <c r="BFR1" s="81"/>
      <c r="BFS1" s="81"/>
      <c r="BFT1" s="81"/>
      <c r="BFU1" s="81"/>
      <c r="BFV1" s="81"/>
      <c r="BFW1" s="81"/>
      <c r="BFX1" s="81"/>
      <c r="BFY1" s="81"/>
      <c r="BFZ1" s="81"/>
      <c r="BGA1" s="81"/>
      <c r="BGB1" s="81"/>
      <c r="BGC1" s="81"/>
      <c r="BGD1" s="81"/>
      <c r="BGE1" s="81"/>
      <c r="BGF1" s="81"/>
      <c r="BGG1" s="81"/>
      <c r="BGH1" s="81"/>
      <c r="BGI1" s="81"/>
      <c r="BGJ1" s="81"/>
      <c r="BGK1" s="81"/>
      <c r="BGL1" s="81"/>
      <c r="BGM1" s="81"/>
      <c r="BGN1" s="81"/>
      <c r="BGO1" s="81"/>
      <c r="BGP1" s="81"/>
      <c r="BGQ1" s="81"/>
      <c r="BGR1" s="81"/>
      <c r="BGS1" s="81"/>
      <c r="BGT1" s="81"/>
      <c r="BGU1" s="81"/>
      <c r="BGV1" s="81"/>
      <c r="BGW1" s="81"/>
      <c r="BGX1" s="81"/>
      <c r="BGY1" s="81"/>
      <c r="BGZ1" s="81"/>
      <c r="BHA1" s="81"/>
      <c r="BHB1" s="81"/>
      <c r="BHC1" s="81"/>
      <c r="BHD1" s="81"/>
      <c r="BHE1" s="81"/>
      <c r="BHF1" s="81"/>
      <c r="BHG1" s="81"/>
      <c r="BHH1" s="81"/>
      <c r="BHI1" s="81"/>
      <c r="BHJ1" s="81"/>
      <c r="BHK1" s="81"/>
      <c r="BHL1" s="81"/>
      <c r="BHM1" s="81"/>
      <c r="BHN1" s="81"/>
      <c r="BHO1" s="81"/>
      <c r="BHP1" s="81"/>
      <c r="BHQ1" s="81"/>
      <c r="BHR1" s="81"/>
      <c r="BHS1" s="81"/>
      <c r="BHT1" s="81"/>
      <c r="BHU1" s="81"/>
      <c r="BHV1" s="81"/>
      <c r="BHW1" s="81"/>
      <c r="BHX1" s="81"/>
      <c r="BHY1" s="81"/>
      <c r="BHZ1" s="81"/>
      <c r="BIA1" s="81"/>
      <c r="BIB1" s="81"/>
      <c r="BIC1" s="81"/>
      <c r="BID1" s="81"/>
      <c r="BIE1" s="81"/>
      <c r="BIF1" s="81"/>
      <c r="BIG1" s="81"/>
      <c r="BIH1" s="81"/>
      <c r="BII1" s="81"/>
      <c r="BIJ1" s="81"/>
      <c r="BIK1" s="81"/>
      <c r="BIL1" s="81"/>
      <c r="BIM1" s="81"/>
      <c r="BIN1" s="81"/>
      <c r="BIO1" s="81"/>
      <c r="BIP1" s="81"/>
      <c r="BIQ1" s="81"/>
      <c r="BIR1" s="81"/>
      <c r="BIS1" s="81"/>
      <c r="BIT1" s="81"/>
      <c r="BIU1" s="81"/>
      <c r="BIV1" s="81"/>
      <c r="BIW1" s="81"/>
      <c r="BIX1" s="81"/>
      <c r="BIY1" s="81"/>
      <c r="BIZ1" s="81"/>
      <c r="BJA1" s="81"/>
      <c r="BJB1" s="81"/>
      <c r="BJC1" s="81"/>
      <c r="BJD1" s="81"/>
      <c r="BJE1" s="81"/>
      <c r="BJF1" s="81"/>
      <c r="BJG1" s="81"/>
      <c r="BJH1" s="81"/>
      <c r="BJI1" s="81"/>
      <c r="BJJ1" s="81"/>
      <c r="BJK1" s="81"/>
      <c r="BJL1" s="81"/>
      <c r="BJM1" s="81"/>
      <c r="BJN1" s="81"/>
      <c r="BJO1" s="81"/>
      <c r="BJP1" s="81"/>
      <c r="BJQ1" s="81"/>
      <c r="BJR1" s="81"/>
      <c r="BJS1" s="81"/>
      <c r="BJT1" s="81"/>
      <c r="BJU1" s="81"/>
      <c r="BJV1" s="81"/>
      <c r="BJW1" s="81"/>
      <c r="BJX1" s="81"/>
      <c r="BJY1" s="81"/>
      <c r="BJZ1" s="81"/>
      <c r="BKA1" s="81"/>
      <c r="BKB1" s="81"/>
      <c r="BKC1" s="81"/>
      <c r="BKD1" s="81"/>
      <c r="BKE1" s="81"/>
      <c r="BKF1" s="81"/>
      <c r="BKG1" s="81"/>
      <c r="BKH1" s="81"/>
      <c r="BKI1" s="81"/>
      <c r="BKJ1" s="81"/>
      <c r="BKK1" s="81"/>
      <c r="BKL1" s="81"/>
      <c r="BKM1" s="81"/>
      <c r="BKN1" s="81"/>
      <c r="BKO1" s="81"/>
      <c r="BKP1" s="81"/>
      <c r="BKQ1" s="81"/>
      <c r="BKR1" s="81"/>
      <c r="BKS1" s="81"/>
      <c r="BKT1" s="81"/>
      <c r="BKU1" s="81"/>
      <c r="BKV1" s="81"/>
      <c r="BKW1" s="81"/>
      <c r="BKX1" s="81"/>
      <c r="BKY1" s="81"/>
      <c r="BKZ1" s="81"/>
      <c r="BLA1" s="81"/>
      <c r="BLB1" s="81"/>
      <c r="BLC1" s="81"/>
      <c r="BLD1" s="81"/>
      <c r="BLE1" s="81"/>
      <c r="BLF1" s="81"/>
      <c r="BLG1" s="81"/>
      <c r="BLH1" s="81"/>
      <c r="BLI1" s="81"/>
      <c r="BLJ1" s="81"/>
      <c r="BLK1" s="81"/>
      <c r="BLL1" s="81"/>
      <c r="BLM1" s="81"/>
      <c r="BLN1" s="81"/>
      <c r="BLO1" s="81"/>
      <c r="BLP1" s="81"/>
      <c r="BLQ1" s="81"/>
      <c r="BLR1" s="81"/>
      <c r="BLS1" s="81"/>
      <c r="BLT1" s="81"/>
      <c r="BLU1" s="81"/>
      <c r="BLV1" s="81"/>
      <c r="BLW1" s="81"/>
      <c r="BLX1" s="81"/>
      <c r="BLY1" s="81"/>
      <c r="BLZ1" s="81"/>
      <c r="BMA1" s="81"/>
      <c r="BMB1" s="81"/>
      <c r="BMC1" s="81"/>
      <c r="BMD1" s="81"/>
      <c r="BME1" s="81"/>
      <c r="BMF1" s="81"/>
      <c r="BMG1" s="81"/>
      <c r="BMH1" s="81"/>
      <c r="BMI1" s="81"/>
      <c r="BMJ1" s="81"/>
      <c r="BMK1" s="81"/>
      <c r="BML1" s="81"/>
      <c r="BMM1" s="81"/>
      <c r="BMN1" s="81"/>
      <c r="BMO1" s="81"/>
      <c r="BMP1" s="81"/>
      <c r="BMQ1" s="81"/>
      <c r="BMR1" s="81"/>
      <c r="BMS1" s="81"/>
      <c r="BMT1" s="81"/>
      <c r="BMU1" s="81"/>
      <c r="BMV1" s="81"/>
      <c r="BMW1" s="81"/>
      <c r="BMX1" s="81"/>
      <c r="BMY1" s="81"/>
      <c r="BMZ1" s="81"/>
      <c r="BNA1" s="81"/>
      <c r="BNB1" s="81"/>
      <c r="BNC1" s="81"/>
      <c r="BND1" s="81"/>
      <c r="BNE1" s="81"/>
      <c r="BNF1" s="81"/>
      <c r="BNG1" s="81"/>
      <c r="BNH1" s="81"/>
      <c r="BNI1" s="81"/>
      <c r="BNJ1" s="81"/>
      <c r="BNK1" s="81"/>
      <c r="BNL1" s="81"/>
      <c r="BNM1" s="81"/>
      <c r="BNN1" s="81"/>
      <c r="BNO1" s="81"/>
      <c r="BNP1" s="81"/>
      <c r="BNQ1" s="81"/>
      <c r="BNR1" s="81"/>
      <c r="BNS1" s="81"/>
      <c r="BNT1" s="81"/>
      <c r="BNU1" s="81"/>
      <c r="BNV1" s="81"/>
      <c r="BNW1" s="81"/>
      <c r="BNX1" s="81"/>
      <c r="BNY1" s="81"/>
      <c r="BNZ1" s="81"/>
      <c r="BOA1" s="81"/>
      <c r="BOB1" s="81"/>
      <c r="BOC1" s="81"/>
      <c r="BOD1" s="81"/>
      <c r="BOE1" s="81"/>
      <c r="BOF1" s="81"/>
      <c r="BOG1" s="81"/>
      <c r="BOH1" s="81"/>
      <c r="BOI1" s="81"/>
      <c r="BOJ1" s="81"/>
      <c r="BOK1" s="81"/>
      <c r="BOL1" s="81"/>
      <c r="BOM1" s="81"/>
      <c r="BON1" s="81"/>
      <c r="BOO1" s="81"/>
      <c r="BOP1" s="81"/>
      <c r="BOQ1" s="81"/>
      <c r="BOR1" s="81"/>
      <c r="BOS1" s="81"/>
      <c r="BOT1" s="81"/>
      <c r="BOU1" s="81"/>
      <c r="BOV1" s="81"/>
      <c r="BOW1" s="81"/>
      <c r="BOX1" s="81"/>
      <c r="BOY1" s="81"/>
      <c r="BOZ1" s="81"/>
      <c r="BPA1" s="81"/>
      <c r="BPB1" s="81"/>
      <c r="BPC1" s="81"/>
      <c r="BPD1" s="81"/>
      <c r="BPE1" s="81"/>
      <c r="BPF1" s="81"/>
      <c r="BPG1" s="81"/>
      <c r="BPH1" s="81"/>
      <c r="BPI1" s="81"/>
      <c r="BPJ1" s="81"/>
      <c r="BPK1" s="81"/>
      <c r="BPL1" s="81"/>
      <c r="BPM1" s="81"/>
      <c r="BPN1" s="81"/>
      <c r="BPO1" s="81"/>
      <c r="BPP1" s="81"/>
      <c r="BPQ1" s="81"/>
      <c r="BPR1" s="81"/>
      <c r="BPS1" s="81"/>
      <c r="BPT1" s="81"/>
      <c r="BPU1" s="81"/>
      <c r="BPV1" s="81"/>
      <c r="BPW1" s="81"/>
      <c r="BPX1" s="81"/>
      <c r="BPY1" s="81"/>
      <c r="BPZ1" s="81"/>
      <c r="BQA1" s="81"/>
      <c r="BQB1" s="81"/>
      <c r="BQC1" s="81"/>
      <c r="BQD1" s="81"/>
      <c r="BQE1" s="81"/>
      <c r="BQF1" s="81"/>
      <c r="BQG1" s="81"/>
      <c r="BQH1" s="81"/>
      <c r="BQI1" s="81"/>
      <c r="BQJ1" s="81"/>
      <c r="BQK1" s="81"/>
      <c r="BQL1" s="81"/>
      <c r="BQM1" s="81"/>
      <c r="BQN1" s="81"/>
      <c r="BQO1" s="81"/>
      <c r="BQP1" s="81"/>
      <c r="BQQ1" s="81"/>
      <c r="BQR1" s="81"/>
      <c r="BQS1" s="81"/>
      <c r="BQT1" s="81"/>
      <c r="BQU1" s="81"/>
      <c r="BQV1" s="81"/>
      <c r="BQW1" s="81"/>
      <c r="BQX1" s="81"/>
      <c r="BQY1" s="81"/>
      <c r="BQZ1" s="81"/>
      <c r="BRA1" s="81"/>
      <c r="BRB1" s="81"/>
      <c r="BRC1" s="81"/>
      <c r="BRD1" s="81"/>
      <c r="BRE1" s="81"/>
      <c r="BRF1" s="81"/>
      <c r="BRG1" s="81"/>
      <c r="BRH1" s="81"/>
      <c r="BRI1" s="81"/>
      <c r="BRJ1" s="81"/>
      <c r="BRK1" s="81"/>
      <c r="BRL1" s="81"/>
      <c r="BRM1" s="81"/>
      <c r="BRN1" s="81"/>
      <c r="BRO1" s="81"/>
      <c r="BRP1" s="81"/>
      <c r="BRQ1" s="81"/>
      <c r="BRR1" s="81"/>
      <c r="BRS1" s="81"/>
      <c r="BRT1" s="81"/>
      <c r="BRU1" s="81"/>
      <c r="BRV1" s="81"/>
      <c r="BRW1" s="81"/>
      <c r="BRX1" s="81"/>
      <c r="BRY1" s="81"/>
      <c r="BRZ1" s="81"/>
      <c r="BSA1" s="81"/>
      <c r="BSB1" s="81"/>
      <c r="BSC1" s="81"/>
      <c r="BSD1" s="81"/>
      <c r="BSE1" s="81"/>
      <c r="BSF1" s="81"/>
      <c r="BSG1" s="81"/>
      <c r="BSH1" s="81"/>
      <c r="BSI1" s="81"/>
      <c r="BSJ1" s="81"/>
      <c r="BSK1" s="81"/>
      <c r="BSL1" s="81"/>
      <c r="BSM1" s="81"/>
      <c r="BSN1" s="81"/>
      <c r="BSO1" s="81"/>
      <c r="BSP1" s="81"/>
      <c r="BSQ1" s="81"/>
      <c r="BSR1" s="81"/>
      <c r="BSS1" s="81"/>
      <c r="BST1" s="81"/>
      <c r="BSU1" s="81"/>
      <c r="BSV1" s="81"/>
      <c r="BSW1" s="81"/>
      <c r="BSX1" s="81"/>
      <c r="BSY1" s="81"/>
      <c r="BSZ1" s="81"/>
      <c r="BTA1" s="81"/>
      <c r="BTB1" s="81"/>
      <c r="BTC1" s="81"/>
      <c r="BTD1" s="81"/>
      <c r="BTE1" s="81"/>
      <c r="BTF1" s="81"/>
      <c r="BTG1" s="81"/>
      <c r="BTH1" s="81"/>
      <c r="BTI1" s="81"/>
      <c r="BTJ1" s="81"/>
      <c r="BTK1" s="81"/>
      <c r="BTL1" s="81"/>
      <c r="BTM1" s="81"/>
      <c r="BTN1" s="81"/>
      <c r="BTO1" s="81"/>
      <c r="BTP1" s="81"/>
      <c r="BTQ1" s="81"/>
      <c r="BTR1" s="81"/>
      <c r="BTS1" s="81"/>
      <c r="BTT1" s="81"/>
      <c r="BTU1" s="81"/>
      <c r="BTV1" s="81"/>
      <c r="BTW1" s="81"/>
      <c r="BTX1" s="81"/>
      <c r="BTY1" s="81"/>
      <c r="BTZ1" s="81"/>
      <c r="BUA1" s="81"/>
      <c r="BUB1" s="81"/>
      <c r="BUC1" s="81"/>
      <c r="BUD1" s="81"/>
      <c r="BUE1" s="81"/>
      <c r="BUF1" s="81"/>
      <c r="BUG1" s="81"/>
      <c r="BUH1" s="81"/>
      <c r="BUI1" s="81"/>
      <c r="BUJ1" s="81"/>
      <c r="BUK1" s="81"/>
      <c r="BUL1" s="81"/>
      <c r="BUM1" s="81"/>
      <c r="BUN1" s="81"/>
      <c r="BUO1" s="81"/>
      <c r="BUP1" s="81"/>
      <c r="BUQ1" s="81"/>
      <c r="BUR1" s="81"/>
      <c r="BUS1" s="81"/>
      <c r="BUT1" s="81"/>
      <c r="BUU1" s="81"/>
      <c r="BUV1" s="81"/>
      <c r="BUW1" s="81"/>
      <c r="BUX1" s="81"/>
      <c r="BUY1" s="81"/>
      <c r="BUZ1" s="81"/>
      <c r="BVA1" s="81"/>
      <c r="BVB1" s="81"/>
      <c r="BVC1" s="81"/>
      <c r="BVD1" s="81"/>
      <c r="BVE1" s="81"/>
      <c r="BVF1" s="81"/>
      <c r="BVG1" s="81"/>
      <c r="BVH1" s="81"/>
      <c r="BVI1" s="81"/>
      <c r="BVJ1" s="81"/>
      <c r="BVK1" s="81"/>
      <c r="BVL1" s="81"/>
      <c r="BVM1" s="81"/>
      <c r="BVN1" s="81"/>
      <c r="BVO1" s="81"/>
      <c r="BVP1" s="81"/>
      <c r="BVQ1" s="81"/>
      <c r="BVR1" s="81"/>
      <c r="BVS1" s="81"/>
      <c r="BVT1" s="81"/>
      <c r="BVU1" s="81"/>
      <c r="BVV1" s="81"/>
      <c r="BVW1" s="81"/>
      <c r="BVX1" s="81"/>
      <c r="BVY1" s="81"/>
      <c r="BVZ1" s="81"/>
      <c r="BWA1" s="81"/>
      <c r="BWB1" s="81"/>
      <c r="BWC1" s="81"/>
      <c r="BWD1" s="81"/>
      <c r="BWE1" s="81"/>
      <c r="BWF1" s="81"/>
      <c r="BWG1" s="81"/>
      <c r="BWH1" s="81"/>
      <c r="BWI1" s="81"/>
      <c r="BWJ1" s="81"/>
      <c r="BWK1" s="81"/>
      <c r="BWL1" s="81"/>
      <c r="BWM1" s="81"/>
      <c r="BWN1" s="81"/>
      <c r="BWO1" s="81"/>
      <c r="BWP1" s="81"/>
      <c r="BWQ1" s="81"/>
      <c r="BWR1" s="81"/>
      <c r="BWS1" s="81"/>
      <c r="BWT1" s="81"/>
      <c r="BWU1" s="81"/>
      <c r="BWV1" s="81"/>
      <c r="BWW1" s="81"/>
      <c r="BWX1" s="81"/>
      <c r="BWY1" s="81"/>
      <c r="BWZ1" s="81"/>
      <c r="BXA1" s="81"/>
      <c r="BXB1" s="81"/>
      <c r="BXC1" s="81"/>
      <c r="BXD1" s="81"/>
      <c r="BXE1" s="81"/>
      <c r="BXF1" s="81"/>
      <c r="BXG1" s="81"/>
      <c r="BXH1" s="81"/>
      <c r="BXI1" s="81"/>
      <c r="BXJ1" s="81"/>
      <c r="BXK1" s="81"/>
      <c r="BXL1" s="81"/>
      <c r="BXM1" s="81"/>
      <c r="BXN1" s="81"/>
      <c r="BXO1" s="81"/>
      <c r="BXP1" s="81"/>
      <c r="BXQ1" s="81"/>
      <c r="BXR1" s="81"/>
      <c r="BXS1" s="81"/>
      <c r="BXT1" s="81"/>
      <c r="BXU1" s="81"/>
      <c r="BXV1" s="81"/>
      <c r="BXW1" s="81"/>
      <c r="BXX1" s="81"/>
      <c r="BXY1" s="81"/>
      <c r="BXZ1" s="81"/>
      <c r="BYA1" s="81"/>
      <c r="BYB1" s="81"/>
      <c r="BYC1" s="81"/>
      <c r="BYD1" s="81"/>
      <c r="BYE1" s="81"/>
      <c r="BYF1" s="81"/>
      <c r="BYG1" s="81"/>
      <c r="BYH1" s="81"/>
      <c r="BYI1" s="81"/>
      <c r="BYJ1" s="81"/>
      <c r="BYK1" s="81"/>
      <c r="BYL1" s="81"/>
      <c r="BYM1" s="81"/>
      <c r="BYN1" s="81"/>
      <c r="BYO1" s="81"/>
      <c r="BYP1" s="81"/>
      <c r="BYQ1" s="81"/>
      <c r="BYR1" s="81"/>
      <c r="BYS1" s="81"/>
      <c r="BYT1" s="81"/>
      <c r="BYU1" s="81"/>
      <c r="BYV1" s="81"/>
      <c r="BYW1" s="81"/>
      <c r="BYX1" s="81"/>
      <c r="BYY1" s="81"/>
      <c r="BYZ1" s="81"/>
      <c r="BZA1" s="81"/>
      <c r="BZB1" s="81"/>
      <c r="BZC1" s="81"/>
      <c r="BZD1" s="81"/>
      <c r="BZE1" s="81"/>
      <c r="BZF1" s="81"/>
      <c r="BZG1" s="81"/>
      <c r="BZH1" s="81"/>
      <c r="BZI1" s="81"/>
      <c r="BZJ1" s="81"/>
      <c r="BZK1" s="81"/>
      <c r="BZL1" s="81"/>
      <c r="BZM1" s="81"/>
      <c r="BZN1" s="81"/>
      <c r="BZO1" s="81"/>
      <c r="BZP1" s="81"/>
      <c r="BZQ1" s="81"/>
      <c r="BZR1" s="81"/>
      <c r="BZS1" s="81"/>
      <c r="BZT1" s="81"/>
      <c r="BZU1" s="81"/>
      <c r="BZV1" s="81"/>
      <c r="BZW1" s="81"/>
      <c r="BZX1" s="81"/>
      <c r="BZY1" s="81"/>
      <c r="BZZ1" s="81"/>
      <c r="CAA1" s="81"/>
      <c r="CAB1" s="81"/>
      <c r="CAC1" s="81"/>
      <c r="CAD1" s="81"/>
      <c r="CAE1" s="81"/>
      <c r="CAF1" s="81"/>
      <c r="CAG1" s="81"/>
      <c r="CAH1" s="81"/>
      <c r="CAI1" s="81"/>
      <c r="CAJ1" s="81"/>
      <c r="CAK1" s="81"/>
      <c r="CAL1" s="81"/>
      <c r="CAM1" s="81"/>
      <c r="CAN1" s="81"/>
      <c r="CAO1" s="81"/>
      <c r="CAP1" s="81"/>
      <c r="CAQ1" s="81"/>
      <c r="CAR1" s="81"/>
      <c r="CAS1" s="81"/>
      <c r="CAT1" s="81"/>
      <c r="CAU1" s="81"/>
      <c r="CAV1" s="81"/>
      <c r="CAW1" s="81"/>
      <c r="CAX1" s="81"/>
      <c r="CAY1" s="81"/>
      <c r="CAZ1" s="81"/>
      <c r="CBA1" s="81"/>
      <c r="CBB1" s="81"/>
      <c r="CBC1" s="81"/>
      <c r="CBD1" s="81"/>
      <c r="CBE1" s="81"/>
      <c r="CBF1" s="81"/>
      <c r="CBG1" s="81"/>
      <c r="CBH1" s="81"/>
      <c r="CBI1" s="81"/>
      <c r="CBJ1" s="81"/>
      <c r="CBK1" s="81"/>
      <c r="CBL1" s="81"/>
      <c r="CBM1" s="81"/>
      <c r="CBN1" s="81"/>
      <c r="CBO1" s="81"/>
      <c r="CBP1" s="81"/>
      <c r="CBQ1" s="81"/>
      <c r="CBR1" s="81"/>
      <c r="CBS1" s="81"/>
      <c r="CBT1" s="81"/>
      <c r="CBU1" s="81"/>
      <c r="CBV1" s="81"/>
      <c r="CBW1" s="81"/>
      <c r="CBX1" s="81"/>
      <c r="CBY1" s="81"/>
      <c r="CBZ1" s="81"/>
      <c r="CCA1" s="81"/>
      <c r="CCB1" s="81"/>
      <c r="CCC1" s="81"/>
      <c r="CCD1" s="81"/>
      <c r="CCE1" s="81"/>
      <c r="CCF1" s="81"/>
      <c r="CCG1" s="81"/>
      <c r="CCH1" s="81"/>
      <c r="CCI1" s="81"/>
      <c r="CCJ1" s="81"/>
      <c r="CCK1" s="81"/>
      <c r="CCL1" s="81"/>
      <c r="CCM1" s="81"/>
      <c r="CCN1" s="81"/>
      <c r="CCO1" s="81"/>
      <c r="CCP1" s="81"/>
      <c r="CCQ1" s="81"/>
      <c r="CCR1" s="81"/>
      <c r="CCS1" s="81"/>
      <c r="CCT1" s="81"/>
      <c r="CCU1" s="81"/>
      <c r="CCV1" s="81"/>
      <c r="CCW1" s="81"/>
      <c r="CCX1" s="81"/>
      <c r="CCY1" s="81"/>
      <c r="CCZ1" s="81"/>
      <c r="CDA1" s="81"/>
      <c r="CDB1" s="81"/>
      <c r="CDC1" s="81"/>
      <c r="CDD1" s="81"/>
      <c r="CDE1" s="81"/>
      <c r="CDF1" s="81"/>
      <c r="CDG1" s="81"/>
      <c r="CDH1" s="81"/>
      <c r="CDI1" s="81"/>
      <c r="CDJ1" s="81"/>
      <c r="CDK1" s="81"/>
      <c r="CDL1" s="81"/>
      <c r="CDM1" s="81"/>
      <c r="CDN1" s="81"/>
      <c r="CDO1" s="81"/>
      <c r="CDP1" s="81"/>
      <c r="CDQ1" s="81"/>
      <c r="CDR1" s="81"/>
      <c r="CDS1" s="81"/>
      <c r="CDT1" s="81"/>
      <c r="CDU1" s="81"/>
      <c r="CDV1" s="81"/>
      <c r="CDW1" s="81"/>
      <c r="CDX1" s="81"/>
      <c r="CDY1" s="81"/>
      <c r="CDZ1" s="81"/>
      <c r="CEA1" s="81"/>
      <c r="CEB1" s="81"/>
      <c r="CEC1" s="81"/>
      <c r="CED1" s="81"/>
      <c r="CEE1" s="81"/>
      <c r="CEF1" s="81"/>
      <c r="CEG1" s="81"/>
      <c r="CEH1" s="81"/>
      <c r="CEI1" s="81"/>
      <c r="CEJ1" s="81"/>
      <c r="CEK1" s="81"/>
      <c r="CEL1" s="81"/>
      <c r="CEM1" s="81"/>
      <c r="CEN1" s="81"/>
      <c r="CEO1" s="81"/>
      <c r="CEP1" s="81"/>
      <c r="CEQ1" s="81"/>
      <c r="CER1" s="81"/>
      <c r="CES1" s="81"/>
      <c r="CET1" s="81"/>
      <c r="CEU1" s="81"/>
      <c r="CEV1" s="81"/>
      <c r="CEW1" s="81"/>
      <c r="CEX1" s="81"/>
      <c r="CEY1" s="81"/>
      <c r="CEZ1" s="81"/>
      <c r="CFA1" s="81"/>
      <c r="CFB1" s="81"/>
      <c r="CFC1" s="81"/>
      <c r="CFD1" s="81"/>
      <c r="CFE1" s="81"/>
      <c r="CFF1" s="81"/>
      <c r="CFG1" s="81"/>
      <c r="CFH1" s="81"/>
      <c r="CFI1" s="81"/>
      <c r="CFJ1" s="81"/>
      <c r="CFK1" s="81"/>
      <c r="CFL1" s="81"/>
      <c r="CFM1" s="81"/>
      <c r="CFN1" s="81"/>
      <c r="CFO1" s="81"/>
      <c r="CFP1" s="81"/>
      <c r="CFQ1" s="81"/>
      <c r="CFR1" s="81"/>
      <c r="CFS1" s="81"/>
      <c r="CFT1" s="81"/>
      <c r="CFU1" s="81"/>
      <c r="CFV1" s="81"/>
      <c r="CFW1" s="81"/>
      <c r="CFX1" s="81"/>
      <c r="CFY1" s="81"/>
      <c r="CFZ1" s="81"/>
      <c r="CGA1" s="81"/>
      <c r="CGB1" s="81"/>
      <c r="CGC1" s="81"/>
      <c r="CGD1" s="81"/>
      <c r="CGE1" s="81"/>
      <c r="CGF1" s="81"/>
      <c r="CGG1" s="81"/>
      <c r="CGH1" s="81"/>
      <c r="CGI1" s="81"/>
      <c r="CGJ1" s="81"/>
      <c r="CGK1" s="81"/>
      <c r="CGL1" s="81"/>
      <c r="CGM1" s="81"/>
      <c r="CGN1" s="81"/>
      <c r="CGO1" s="81"/>
      <c r="CGP1" s="81"/>
      <c r="CGQ1" s="81"/>
      <c r="CGR1" s="81"/>
      <c r="CGS1" s="81"/>
      <c r="CGT1" s="81"/>
      <c r="CGU1" s="81"/>
      <c r="CGV1" s="81"/>
      <c r="CGW1" s="81"/>
      <c r="CGX1" s="81"/>
      <c r="CGY1" s="81"/>
      <c r="CGZ1" s="81"/>
      <c r="CHA1" s="81"/>
      <c r="CHB1" s="81"/>
      <c r="CHC1" s="81"/>
      <c r="CHD1" s="81"/>
      <c r="CHE1" s="81"/>
      <c r="CHF1" s="81"/>
      <c r="CHG1" s="81"/>
      <c r="CHH1" s="81"/>
      <c r="CHI1" s="81"/>
      <c r="CHJ1" s="81"/>
      <c r="CHK1" s="81"/>
      <c r="CHL1" s="81"/>
      <c r="CHM1" s="81"/>
      <c r="CHN1" s="81"/>
      <c r="CHO1" s="81"/>
      <c r="CHP1" s="81"/>
      <c r="CHQ1" s="81"/>
      <c r="CHR1" s="81"/>
      <c r="CHS1" s="81"/>
      <c r="CHT1" s="81"/>
      <c r="CHU1" s="81"/>
      <c r="CHV1" s="81"/>
      <c r="CHW1" s="81"/>
      <c r="CHX1" s="81"/>
      <c r="CHY1" s="81"/>
      <c r="CHZ1" s="81"/>
      <c r="CIA1" s="81"/>
      <c r="CIB1" s="81"/>
      <c r="CIC1" s="81"/>
      <c r="CID1" s="81"/>
      <c r="CIE1" s="81"/>
      <c r="CIF1" s="81"/>
      <c r="CIG1" s="81"/>
      <c r="CIH1" s="81"/>
      <c r="CII1" s="81"/>
      <c r="CIJ1" s="81"/>
      <c r="CIK1" s="81"/>
      <c r="CIL1" s="81"/>
      <c r="CIM1" s="81"/>
      <c r="CIN1" s="81"/>
      <c r="CIO1" s="81"/>
      <c r="CIP1" s="81"/>
      <c r="CIQ1" s="81"/>
      <c r="CIR1" s="81"/>
      <c r="CIS1" s="81"/>
      <c r="CIT1" s="81"/>
      <c r="CIU1" s="81"/>
      <c r="CIV1" s="81"/>
      <c r="CIW1" s="81"/>
      <c r="CIX1" s="81"/>
      <c r="CIY1" s="81"/>
      <c r="CIZ1" s="81"/>
      <c r="CJA1" s="81"/>
      <c r="CJB1" s="81"/>
      <c r="CJC1" s="81"/>
      <c r="CJD1" s="81"/>
      <c r="CJE1" s="81"/>
      <c r="CJF1" s="81"/>
      <c r="CJG1" s="81"/>
      <c r="CJH1" s="81"/>
      <c r="CJI1" s="81"/>
      <c r="CJJ1" s="81"/>
      <c r="CJK1" s="81"/>
      <c r="CJL1" s="81"/>
      <c r="CJM1" s="81"/>
      <c r="CJN1" s="81"/>
      <c r="CJO1" s="81"/>
      <c r="CJP1" s="81"/>
      <c r="CJQ1" s="81"/>
      <c r="CJR1" s="81"/>
      <c r="CJS1" s="81"/>
      <c r="CJT1" s="81"/>
      <c r="CJU1" s="81"/>
      <c r="CJV1" s="81"/>
      <c r="CJW1" s="81"/>
      <c r="CJX1" s="81"/>
      <c r="CJY1" s="81"/>
      <c r="CJZ1" s="81"/>
      <c r="CKA1" s="81"/>
      <c r="CKB1" s="81"/>
      <c r="CKC1" s="81"/>
      <c r="CKD1" s="81"/>
      <c r="CKE1" s="81"/>
      <c r="CKF1" s="81"/>
      <c r="CKG1" s="81"/>
      <c r="CKH1" s="81"/>
      <c r="CKI1" s="81"/>
      <c r="CKJ1" s="81"/>
      <c r="CKK1" s="81"/>
      <c r="CKL1" s="81"/>
      <c r="CKM1" s="81"/>
      <c r="CKN1" s="81"/>
      <c r="CKO1" s="81"/>
      <c r="CKP1" s="81"/>
      <c r="CKQ1" s="81"/>
      <c r="CKR1" s="81"/>
      <c r="CKS1" s="81"/>
      <c r="CKT1" s="81"/>
      <c r="CKU1" s="81"/>
      <c r="CKV1" s="81"/>
      <c r="CKW1" s="81"/>
      <c r="CKX1" s="81"/>
      <c r="CKY1" s="81"/>
      <c r="CKZ1" s="81"/>
      <c r="CLA1" s="81"/>
      <c r="CLB1" s="81"/>
      <c r="CLC1" s="81"/>
      <c r="CLD1" s="81"/>
      <c r="CLE1" s="81"/>
      <c r="CLF1" s="81"/>
      <c r="CLG1" s="81"/>
      <c r="CLH1" s="81"/>
      <c r="CLI1" s="81"/>
      <c r="CLJ1" s="81"/>
      <c r="CLK1" s="81"/>
      <c r="CLL1" s="81"/>
      <c r="CLM1" s="81"/>
      <c r="CLN1" s="81"/>
      <c r="CLO1" s="81"/>
      <c r="CLP1" s="81"/>
      <c r="CLQ1" s="81"/>
      <c r="CLR1" s="81"/>
      <c r="CLS1" s="81"/>
      <c r="CLT1" s="81"/>
      <c r="CLU1" s="81"/>
      <c r="CLV1" s="81"/>
      <c r="CLW1" s="81"/>
      <c r="CLX1" s="81"/>
      <c r="CLY1" s="81"/>
      <c r="CLZ1" s="81"/>
      <c r="CMA1" s="81"/>
      <c r="CMB1" s="81"/>
      <c r="CMC1" s="81"/>
      <c r="CMD1" s="81"/>
      <c r="CME1" s="81"/>
      <c r="CMF1" s="81"/>
      <c r="CMG1" s="81"/>
      <c r="CMH1" s="81"/>
      <c r="CMI1" s="81"/>
      <c r="CMJ1" s="81"/>
      <c r="CMK1" s="81"/>
      <c r="CML1" s="81"/>
      <c r="CMM1" s="81"/>
      <c r="CMN1" s="81"/>
      <c r="CMO1" s="81"/>
      <c r="CMP1" s="81"/>
      <c r="CMQ1" s="81"/>
      <c r="CMR1" s="81"/>
      <c r="CMS1" s="81"/>
      <c r="CMT1" s="81"/>
      <c r="CMU1" s="81"/>
      <c r="CMV1" s="81"/>
      <c r="CMW1" s="81"/>
      <c r="CMX1" s="81"/>
      <c r="CMY1" s="81"/>
      <c r="CMZ1" s="81"/>
      <c r="CNA1" s="81"/>
      <c r="CNB1" s="81"/>
      <c r="CNC1" s="81"/>
      <c r="CND1" s="81"/>
      <c r="CNE1" s="81"/>
      <c r="CNF1" s="81"/>
      <c r="CNG1" s="81"/>
      <c r="CNH1" s="81"/>
      <c r="CNI1" s="81"/>
      <c r="CNJ1" s="81"/>
      <c r="CNK1" s="81"/>
      <c r="CNL1" s="81"/>
      <c r="CNM1" s="81"/>
      <c r="CNN1" s="81"/>
      <c r="CNO1" s="81"/>
      <c r="CNP1" s="81"/>
      <c r="CNQ1" s="81"/>
      <c r="CNR1" s="81"/>
      <c r="CNS1" s="81"/>
      <c r="CNT1" s="81"/>
      <c r="CNU1" s="81"/>
      <c r="CNV1" s="81"/>
      <c r="CNW1" s="81"/>
      <c r="CNX1" s="81"/>
      <c r="CNY1" s="81"/>
      <c r="CNZ1" s="81"/>
      <c r="COA1" s="81"/>
      <c r="COB1" s="81"/>
      <c r="COC1" s="81"/>
      <c r="COD1" s="81"/>
      <c r="COE1" s="81"/>
      <c r="COF1" s="81"/>
      <c r="COG1" s="81"/>
      <c r="COH1" s="81"/>
      <c r="COI1" s="81"/>
      <c r="COJ1" s="81"/>
      <c r="COK1" s="81"/>
      <c r="COL1" s="81"/>
      <c r="COM1" s="81"/>
      <c r="CON1" s="81"/>
      <c r="COO1" s="81"/>
      <c r="COP1" s="81"/>
      <c r="COQ1" s="81"/>
      <c r="COR1" s="81"/>
      <c r="COS1" s="81"/>
      <c r="COT1" s="81"/>
      <c r="COU1" s="81"/>
      <c r="COV1" s="81"/>
      <c r="COW1" s="81"/>
      <c r="COX1" s="81"/>
      <c r="COY1" s="81"/>
      <c r="COZ1" s="81"/>
      <c r="CPA1" s="81"/>
      <c r="CPB1" s="81"/>
      <c r="CPC1" s="81"/>
      <c r="CPD1" s="81"/>
      <c r="CPE1" s="81"/>
      <c r="CPF1" s="81"/>
      <c r="CPG1" s="81"/>
      <c r="CPH1" s="81"/>
      <c r="CPI1" s="81"/>
      <c r="CPJ1" s="81"/>
      <c r="CPK1" s="81"/>
      <c r="CPL1" s="81"/>
      <c r="CPM1" s="81"/>
      <c r="CPN1" s="81"/>
      <c r="CPO1" s="81"/>
      <c r="CPP1" s="81"/>
      <c r="CPQ1" s="81"/>
      <c r="CPR1" s="81"/>
      <c r="CPS1" s="81"/>
      <c r="CPT1" s="81"/>
      <c r="CPU1" s="81"/>
      <c r="CPV1" s="81"/>
      <c r="CPW1" s="81"/>
      <c r="CPX1" s="81"/>
      <c r="CPY1" s="81"/>
      <c r="CPZ1" s="81"/>
      <c r="CQA1" s="81"/>
      <c r="CQB1" s="81"/>
      <c r="CQC1" s="81"/>
      <c r="CQD1" s="81"/>
      <c r="CQE1" s="81"/>
      <c r="CQF1" s="81"/>
      <c r="CQG1" s="81"/>
      <c r="CQH1" s="81"/>
      <c r="CQI1" s="81"/>
      <c r="CQJ1" s="81"/>
      <c r="CQK1" s="81"/>
      <c r="CQL1" s="81"/>
      <c r="CQM1" s="81"/>
      <c r="CQN1" s="81"/>
      <c r="CQO1" s="81"/>
      <c r="CQP1" s="81"/>
      <c r="CQQ1" s="81"/>
      <c r="CQR1" s="81"/>
      <c r="CQS1" s="81"/>
      <c r="CQT1" s="81"/>
      <c r="CQU1" s="81"/>
      <c r="CQV1" s="81"/>
      <c r="CQW1" s="81"/>
      <c r="CQX1" s="81"/>
      <c r="CQY1" s="81"/>
      <c r="CQZ1" s="81"/>
      <c r="CRA1" s="81"/>
      <c r="CRB1" s="81"/>
      <c r="CRC1" s="81"/>
      <c r="CRD1" s="81"/>
      <c r="CRE1" s="81"/>
      <c r="CRF1" s="81"/>
      <c r="CRG1" s="81"/>
      <c r="CRH1" s="81"/>
      <c r="CRI1" s="81"/>
      <c r="CRJ1" s="81"/>
      <c r="CRK1" s="81"/>
      <c r="CRL1" s="81"/>
      <c r="CRM1" s="81"/>
      <c r="CRN1" s="81"/>
      <c r="CRO1" s="81"/>
      <c r="CRP1" s="81"/>
      <c r="CRQ1" s="81"/>
      <c r="CRR1" s="81"/>
      <c r="CRS1" s="81"/>
      <c r="CRT1" s="81"/>
      <c r="CRU1" s="81"/>
      <c r="CRV1" s="81"/>
      <c r="CRW1" s="81"/>
      <c r="CRX1" s="81"/>
      <c r="CRY1" s="81"/>
      <c r="CRZ1" s="81"/>
      <c r="CSA1" s="81"/>
      <c r="CSB1" s="81"/>
      <c r="CSC1" s="81"/>
      <c r="CSD1" s="81"/>
      <c r="CSE1" s="81"/>
      <c r="CSF1" s="81"/>
      <c r="CSG1" s="81"/>
      <c r="CSH1" s="81"/>
      <c r="CSI1" s="81"/>
      <c r="CSJ1" s="81"/>
      <c r="CSK1" s="81"/>
      <c r="CSL1" s="81"/>
      <c r="CSM1" s="81"/>
      <c r="CSN1" s="81"/>
      <c r="CSO1" s="81"/>
      <c r="CSP1" s="81"/>
      <c r="CSQ1" s="81"/>
      <c r="CSR1" s="81"/>
      <c r="CSS1" s="81"/>
      <c r="CST1" s="81"/>
      <c r="CSU1" s="81"/>
      <c r="CSV1" s="81"/>
      <c r="CSW1" s="81"/>
      <c r="CSX1" s="81"/>
      <c r="CSY1" s="81"/>
      <c r="CSZ1" s="81"/>
      <c r="CTA1" s="81"/>
      <c r="CTB1" s="81"/>
      <c r="CTC1" s="81"/>
      <c r="CTD1" s="81"/>
      <c r="CTE1" s="81"/>
      <c r="CTF1" s="81"/>
      <c r="CTG1" s="81"/>
      <c r="CTH1" s="81"/>
      <c r="CTI1" s="81"/>
      <c r="CTJ1" s="81"/>
      <c r="CTK1" s="81"/>
      <c r="CTL1" s="81"/>
      <c r="CTM1" s="81"/>
      <c r="CTN1" s="81"/>
      <c r="CTO1" s="81"/>
      <c r="CTP1" s="81"/>
      <c r="CTQ1" s="81"/>
      <c r="CTR1" s="81"/>
      <c r="CTS1" s="81"/>
      <c r="CTT1" s="81"/>
      <c r="CTU1" s="81"/>
      <c r="CTV1" s="81"/>
      <c r="CTW1" s="81"/>
      <c r="CTX1" s="81"/>
      <c r="CTY1" s="81"/>
      <c r="CTZ1" s="81"/>
      <c r="CUA1" s="81"/>
      <c r="CUB1" s="81"/>
      <c r="CUC1" s="81"/>
      <c r="CUD1" s="81"/>
      <c r="CUE1" s="81"/>
      <c r="CUF1" s="81"/>
      <c r="CUG1" s="81"/>
      <c r="CUH1" s="81"/>
      <c r="CUI1" s="81"/>
      <c r="CUJ1" s="81"/>
      <c r="CUK1" s="81"/>
      <c r="CUL1" s="81"/>
      <c r="CUM1" s="81"/>
      <c r="CUN1" s="81"/>
      <c r="CUO1" s="81"/>
      <c r="CUP1" s="81"/>
      <c r="CUQ1" s="81"/>
      <c r="CUR1" s="81"/>
      <c r="CUS1" s="81"/>
      <c r="CUT1" s="81"/>
      <c r="CUU1" s="81"/>
      <c r="CUV1" s="81"/>
      <c r="CUW1" s="81"/>
      <c r="CUX1" s="81"/>
      <c r="CUY1" s="81"/>
      <c r="CUZ1" s="81"/>
      <c r="CVA1" s="81"/>
      <c r="CVB1" s="81"/>
      <c r="CVC1" s="81"/>
      <c r="CVD1" s="81"/>
      <c r="CVE1" s="81"/>
      <c r="CVF1" s="81"/>
      <c r="CVG1" s="81"/>
      <c r="CVH1" s="81"/>
      <c r="CVI1" s="81"/>
      <c r="CVJ1" s="81"/>
      <c r="CVK1" s="81"/>
      <c r="CVL1" s="81"/>
      <c r="CVM1" s="81"/>
      <c r="CVN1" s="81"/>
      <c r="CVO1" s="81"/>
      <c r="CVP1" s="81"/>
      <c r="CVQ1" s="81"/>
      <c r="CVR1" s="81"/>
      <c r="CVS1" s="81"/>
      <c r="CVT1" s="81"/>
      <c r="CVU1" s="81"/>
      <c r="CVV1" s="81"/>
      <c r="CVW1" s="81"/>
      <c r="CVX1" s="81"/>
      <c r="CVY1" s="81"/>
      <c r="CVZ1" s="81"/>
      <c r="CWA1" s="81"/>
      <c r="CWB1" s="81"/>
      <c r="CWC1" s="81"/>
      <c r="CWD1" s="81"/>
      <c r="CWE1" s="81"/>
      <c r="CWF1" s="81"/>
      <c r="CWG1" s="81"/>
      <c r="CWH1" s="81"/>
      <c r="CWI1" s="81"/>
      <c r="CWJ1" s="81"/>
      <c r="CWK1" s="81"/>
      <c r="CWL1" s="81"/>
      <c r="CWM1" s="81"/>
      <c r="CWN1" s="81"/>
      <c r="CWO1" s="81"/>
      <c r="CWP1" s="81"/>
      <c r="CWQ1" s="81"/>
      <c r="CWR1" s="81"/>
      <c r="CWS1" s="81"/>
      <c r="CWT1" s="81"/>
      <c r="CWU1" s="81"/>
      <c r="CWV1" s="81"/>
      <c r="CWW1" s="81"/>
      <c r="CWX1" s="81"/>
      <c r="CWY1" s="81"/>
      <c r="CWZ1" s="81"/>
      <c r="CXA1" s="81"/>
      <c r="CXB1" s="81"/>
      <c r="CXC1" s="81"/>
      <c r="CXD1" s="81"/>
      <c r="CXE1" s="81"/>
      <c r="CXF1" s="81"/>
      <c r="CXG1" s="81"/>
      <c r="CXH1" s="81"/>
      <c r="CXI1" s="81"/>
      <c r="CXJ1" s="81"/>
      <c r="CXK1" s="81"/>
      <c r="CXL1" s="81"/>
      <c r="CXM1" s="81"/>
      <c r="CXN1" s="81"/>
      <c r="CXO1" s="81"/>
      <c r="CXP1" s="81"/>
      <c r="CXQ1" s="81"/>
      <c r="CXR1" s="81"/>
      <c r="CXS1" s="81"/>
      <c r="CXT1" s="81"/>
      <c r="CXU1" s="81"/>
      <c r="CXV1" s="81"/>
      <c r="CXW1" s="81"/>
      <c r="CXX1" s="81"/>
      <c r="CXY1" s="81"/>
      <c r="CXZ1" s="81"/>
      <c r="CYA1" s="81"/>
      <c r="CYB1" s="81"/>
      <c r="CYC1" s="81"/>
      <c r="CYD1" s="81"/>
      <c r="CYE1" s="81"/>
      <c r="CYF1" s="81"/>
      <c r="CYG1" s="81"/>
      <c r="CYH1" s="81"/>
      <c r="CYI1" s="81"/>
      <c r="CYJ1" s="81"/>
      <c r="CYK1" s="81"/>
      <c r="CYL1" s="81"/>
      <c r="CYM1" s="81"/>
      <c r="CYN1" s="81"/>
      <c r="CYO1" s="81"/>
      <c r="CYP1" s="81"/>
      <c r="CYQ1" s="81"/>
      <c r="CYR1" s="81"/>
      <c r="CYS1" s="81"/>
      <c r="CYT1" s="81"/>
      <c r="CYU1" s="81"/>
      <c r="CYV1" s="81"/>
      <c r="CYW1" s="81"/>
      <c r="CYX1" s="81"/>
      <c r="CYY1" s="81"/>
      <c r="CYZ1" s="81"/>
      <c r="CZA1" s="81"/>
      <c r="CZB1" s="81"/>
      <c r="CZC1" s="81"/>
      <c r="CZD1" s="81"/>
      <c r="CZE1" s="81"/>
      <c r="CZF1" s="81"/>
      <c r="CZG1" s="81"/>
      <c r="CZH1" s="81"/>
      <c r="CZI1" s="81"/>
      <c r="CZJ1" s="81"/>
      <c r="CZK1" s="81"/>
      <c r="CZL1" s="81"/>
      <c r="CZM1" s="81"/>
      <c r="CZN1" s="81"/>
      <c r="CZO1" s="81"/>
      <c r="CZP1" s="81"/>
      <c r="CZQ1" s="81"/>
      <c r="CZR1" s="81"/>
      <c r="CZS1" s="81"/>
      <c r="CZT1" s="81"/>
      <c r="CZU1" s="81"/>
      <c r="CZV1" s="81"/>
      <c r="CZW1" s="81"/>
      <c r="CZX1" s="81"/>
      <c r="CZY1" s="81"/>
      <c r="CZZ1" s="81"/>
      <c r="DAA1" s="81"/>
      <c r="DAB1" s="81"/>
      <c r="DAC1" s="81"/>
      <c r="DAD1" s="81"/>
      <c r="DAE1" s="81"/>
      <c r="DAF1" s="81"/>
      <c r="DAG1" s="81"/>
      <c r="DAH1" s="81"/>
      <c r="DAI1" s="81"/>
      <c r="DAJ1" s="81"/>
      <c r="DAK1" s="81"/>
      <c r="DAL1" s="81"/>
      <c r="DAM1" s="81"/>
      <c r="DAN1" s="81"/>
      <c r="DAO1" s="81"/>
      <c r="DAP1" s="81"/>
      <c r="DAQ1" s="81"/>
      <c r="DAR1" s="81"/>
      <c r="DAS1" s="81"/>
      <c r="DAT1" s="81"/>
      <c r="DAU1" s="81"/>
      <c r="DAV1" s="81"/>
      <c r="DAW1" s="81"/>
      <c r="DAX1" s="81"/>
      <c r="DAY1" s="81"/>
      <c r="DAZ1" s="81"/>
      <c r="DBA1" s="81"/>
      <c r="DBB1" s="81"/>
      <c r="DBC1" s="81"/>
      <c r="DBD1" s="81"/>
      <c r="DBE1" s="81"/>
      <c r="DBF1" s="81"/>
      <c r="DBG1" s="81"/>
      <c r="DBH1" s="81"/>
      <c r="DBI1" s="81"/>
      <c r="DBJ1" s="81"/>
      <c r="DBK1" s="81"/>
      <c r="DBL1" s="81"/>
      <c r="DBM1" s="81"/>
      <c r="DBN1" s="81"/>
      <c r="DBO1" s="81"/>
      <c r="DBP1" s="81"/>
      <c r="DBQ1" s="81"/>
      <c r="DBR1" s="81"/>
      <c r="DBS1" s="81"/>
      <c r="DBT1" s="81"/>
      <c r="DBU1" s="81"/>
      <c r="DBV1" s="81"/>
      <c r="DBW1" s="81"/>
      <c r="DBX1" s="81"/>
      <c r="DBY1" s="81"/>
      <c r="DBZ1" s="81"/>
      <c r="DCA1" s="81"/>
      <c r="DCB1" s="81"/>
      <c r="DCC1" s="81"/>
      <c r="DCD1" s="81"/>
      <c r="DCE1" s="81"/>
      <c r="DCF1" s="81"/>
      <c r="DCG1" s="81"/>
      <c r="DCH1" s="81"/>
      <c r="DCI1" s="81"/>
      <c r="DCJ1" s="81"/>
      <c r="DCK1" s="81"/>
      <c r="DCL1" s="81"/>
      <c r="DCM1" s="81"/>
      <c r="DCN1" s="81"/>
      <c r="DCO1" s="81"/>
      <c r="DCP1" s="81"/>
      <c r="DCQ1" s="81"/>
      <c r="DCR1" s="81"/>
      <c r="DCS1" s="81"/>
      <c r="DCT1" s="81"/>
      <c r="DCU1" s="81"/>
      <c r="DCV1" s="81"/>
      <c r="DCW1" s="81"/>
      <c r="DCX1" s="81"/>
      <c r="DCY1" s="81"/>
      <c r="DCZ1" s="81"/>
      <c r="DDA1" s="81"/>
      <c r="DDB1" s="81"/>
      <c r="DDC1" s="81"/>
      <c r="DDD1" s="81"/>
      <c r="DDE1" s="81"/>
      <c r="DDF1" s="81"/>
      <c r="DDG1" s="81"/>
      <c r="DDH1" s="81"/>
      <c r="DDI1" s="81"/>
      <c r="DDJ1" s="81"/>
      <c r="DDK1" s="81"/>
      <c r="DDL1" s="81"/>
      <c r="DDM1" s="81"/>
      <c r="DDN1" s="81"/>
      <c r="DDO1" s="81"/>
      <c r="DDP1" s="81"/>
      <c r="DDQ1" s="81"/>
      <c r="DDR1" s="81"/>
      <c r="DDS1" s="81"/>
      <c r="DDT1" s="81"/>
      <c r="DDU1" s="81"/>
      <c r="DDV1" s="81"/>
      <c r="DDW1" s="81"/>
      <c r="DDX1" s="81"/>
      <c r="DDY1" s="81"/>
      <c r="DDZ1" s="81"/>
      <c r="DEA1" s="81"/>
      <c r="DEB1" s="81"/>
      <c r="DEC1" s="81"/>
      <c r="DED1" s="81"/>
      <c r="DEE1" s="81"/>
      <c r="DEF1" s="81"/>
      <c r="DEG1" s="81"/>
      <c r="DEH1" s="81"/>
      <c r="DEI1" s="81"/>
      <c r="DEJ1" s="81"/>
      <c r="DEK1" s="81"/>
      <c r="DEL1" s="81"/>
      <c r="DEM1" s="81"/>
      <c r="DEN1" s="81"/>
      <c r="DEO1" s="81"/>
      <c r="DEP1" s="81"/>
      <c r="DEQ1" s="81"/>
      <c r="DER1" s="81"/>
      <c r="DES1" s="81"/>
      <c r="DET1" s="81"/>
      <c r="DEU1" s="81"/>
      <c r="DEV1" s="81"/>
      <c r="DEW1" s="81"/>
      <c r="DEX1" s="81"/>
      <c r="DEY1" s="81"/>
      <c r="DEZ1" s="81"/>
      <c r="DFA1" s="81"/>
      <c r="DFB1" s="81"/>
      <c r="DFC1" s="81"/>
      <c r="DFD1" s="81"/>
      <c r="DFE1" s="81"/>
      <c r="DFF1" s="81"/>
      <c r="DFG1" s="81"/>
      <c r="DFH1" s="81"/>
      <c r="DFI1" s="81"/>
      <c r="DFJ1" s="81"/>
      <c r="DFK1" s="81"/>
      <c r="DFL1" s="81"/>
      <c r="DFM1" s="81"/>
      <c r="DFN1" s="81"/>
      <c r="DFO1" s="81"/>
      <c r="DFP1" s="81"/>
      <c r="DFQ1" s="81"/>
      <c r="DFR1" s="81"/>
      <c r="DFS1" s="81"/>
      <c r="DFT1" s="81"/>
      <c r="DFU1" s="81"/>
      <c r="DFV1" s="81"/>
      <c r="DFW1" s="81"/>
      <c r="DFX1" s="81"/>
      <c r="DFY1" s="81"/>
      <c r="DFZ1" s="81"/>
      <c r="DGA1" s="81"/>
      <c r="DGB1" s="81"/>
      <c r="DGC1" s="81"/>
      <c r="DGD1" s="81"/>
      <c r="DGE1" s="81"/>
      <c r="DGF1" s="81"/>
      <c r="DGG1" s="81"/>
      <c r="DGH1" s="81"/>
      <c r="DGI1" s="81"/>
      <c r="DGJ1" s="81"/>
      <c r="DGK1" s="81"/>
      <c r="DGL1" s="81"/>
      <c r="DGM1" s="81"/>
      <c r="DGN1" s="81"/>
      <c r="DGO1" s="81"/>
      <c r="DGP1" s="81"/>
      <c r="DGQ1" s="81"/>
      <c r="DGR1" s="81"/>
      <c r="DGS1" s="81"/>
      <c r="DGT1" s="81"/>
      <c r="DGU1" s="81"/>
      <c r="DGV1" s="81"/>
      <c r="DGW1" s="81"/>
      <c r="DGX1" s="81"/>
      <c r="DGY1" s="81"/>
      <c r="DGZ1" s="81"/>
      <c r="DHA1" s="81"/>
      <c r="DHB1" s="81"/>
      <c r="DHC1" s="81"/>
      <c r="DHD1" s="81"/>
      <c r="DHE1" s="81"/>
      <c r="DHF1" s="81"/>
      <c r="DHG1" s="81"/>
      <c r="DHH1" s="81"/>
      <c r="DHI1" s="81"/>
      <c r="DHJ1" s="81"/>
      <c r="DHK1" s="81"/>
      <c r="DHL1" s="81"/>
      <c r="DHM1" s="81"/>
      <c r="DHN1" s="81"/>
      <c r="DHO1" s="81"/>
      <c r="DHP1" s="81"/>
      <c r="DHQ1" s="81"/>
      <c r="DHR1" s="81"/>
      <c r="DHS1" s="81"/>
      <c r="DHT1" s="81"/>
      <c r="DHU1" s="81"/>
      <c r="DHV1" s="81"/>
      <c r="DHW1" s="81"/>
      <c r="DHX1" s="81"/>
      <c r="DHY1" s="81"/>
      <c r="DHZ1" s="81"/>
      <c r="DIA1" s="81"/>
      <c r="DIB1" s="81"/>
      <c r="DIC1" s="81"/>
      <c r="DID1" s="81"/>
      <c r="DIE1" s="81"/>
      <c r="DIF1" s="81"/>
      <c r="DIG1" s="81"/>
      <c r="DIH1" s="81"/>
      <c r="DII1" s="81"/>
      <c r="DIJ1" s="81"/>
      <c r="DIK1" s="81"/>
      <c r="DIL1" s="81"/>
      <c r="DIM1" s="81"/>
      <c r="DIN1" s="81"/>
      <c r="DIO1" s="81"/>
      <c r="DIP1" s="81"/>
      <c r="DIQ1" s="81"/>
      <c r="DIR1" s="81"/>
      <c r="DIS1" s="81"/>
      <c r="DIT1" s="81"/>
      <c r="DIU1" s="81"/>
      <c r="DIV1" s="81"/>
      <c r="DIW1" s="81"/>
      <c r="DIX1" s="81"/>
      <c r="DIY1" s="81"/>
      <c r="DIZ1" s="81"/>
      <c r="DJA1" s="81"/>
      <c r="DJB1" s="81"/>
      <c r="DJC1" s="81"/>
      <c r="DJD1" s="81"/>
      <c r="DJE1" s="81"/>
      <c r="DJF1" s="81"/>
      <c r="DJG1" s="81"/>
      <c r="DJH1" s="81"/>
      <c r="DJI1" s="81"/>
      <c r="DJJ1" s="81"/>
      <c r="DJK1" s="81"/>
      <c r="DJL1" s="81"/>
      <c r="DJM1" s="81"/>
      <c r="DJN1" s="81"/>
      <c r="DJO1" s="81"/>
      <c r="DJP1" s="81"/>
      <c r="DJQ1" s="81"/>
      <c r="DJR1" s="81"/>
      <c r="DJS1" s="81"/>
      <c r="DJT1" s="81"/>
      <c r="DJU1" s="81"/>
      <c r="DJV1" s="81"/>
      <c r="DJW1" s="81"/>
      <c r="DJX1" s="81"/>
      <c r="DJY1" s="81"/>
      <c r="DJZ1" s="81"/>
      <c r="DKA1" s="81"/>
      <c r="DKB1" s="81"/>
      <c r="DKC1" s="81"/>
      <c r="DKD1" s="81"/>
      <c r="DKE1" s="81"/>
      <c r="DKF1" s="81"/>
      <c r="DKG1" s="81"/>
      <c r="DKH1" s="81"/>
      <c r="DKI1" s="81"/>
      <c r="DKJ1" s="81"/>
      <c r="DKK1" s="81"/>
      <c r="DKL1" s="81"/>
      <c r="DKM1" s="81"/>
      <c r="DKN1" s="81"/>
      <c r="DKO1" s="81"/>
      <c r="DKP1" s="81"/>
      <c r="DKQ1" s="81"/>
      <c r="DKR1" s="81"/>
      <c r="DKS1" s="81"/>
      <c r="DKT1" s="81"/>
      <c r="DKU1" s="81"/>
      <c r="DKV1" s="81"/>
      <c r="DKW1" s="81"/>
      <c r="DKX1" s="81"/>
      <c r="DKY1" s="81"/>
      <c r="DKZ1" s="81"/>
      <c r="DLA1" s="81"/>
      <c r="DLB1" s="81"/>
      <c r="DLC1" s="81"/>
      <c r="DLD1" s="81"/>
      <c r="DLE1" s="81"/>
      <c r="DLF1" s="81"/>
      <c r="DLG1" s="81"/>
      <c r="DLH1" s="81"/>
      <c r="DLI1" s="81"/>
      <c r="DLJ1" s="81"/>
      <c r="DLK1" s="81"/>
      <c r="DLL1" s="81"/>
      <c r="DLM1" s="81"/>
      <c r="DLN1" s="81"/>
      <c r="DLO1" s="81"/>
      <c r="DLP1" s="81"/>
      <c r="DLQ1" s="81"/>
      <c r="DLR1" s="81"/>
      <c r="DLS1" s="81"/>
      <c r="DLT1" s="81"/>
      <c r="DLU1" s="81"/>
      <c r="DLV1" s="81"/>
      <c r="DLW1" s="81"/>
      <c r="DLX1" s="81"/>
      <c r="DLY1" s="81"/>
      <c r="DLZ1" s="81"/>
      <c r="DMA1" s="81"/>
      <c r="DMB1" s="81"/>
      <c r="DMC1" s="81"/>
      <c r="DMD1" s="81"/>
      <c r="DME1" s="81"/>
      <c r="DMF1" s="81"/>
      <c r="DMG1" s="81"/>
      <c r="DMH1" s="81"/>
      <c r="DMI1" s="81"/>
      <c r="DMJ1" s="81"/>
      <c r="DMK1" s="81"/>
      <c r="DML1" s="81"/>
      <c r="DMM1" s="81"/>
      <c r="DMN1" s="81"/>
      <c r="DMO1" s="81"/>
      <c r="DMP1" s="81"/>
      <c r="DMQ1" s="81"/>
      <c r="DMR1" s="81"/>
      <c r="DMS1" s="81"/>
      <c r="DMT1" s="81"/>
      <c r="DMU1" s="81"/>
      <c r="DMV1" s="81"/>
      <c r="DMW1" s="81"/>
      <c r="DMX1" s="81"/>
      <c r="DMY1" s="81"/>
      <c r="DMZ1" s="81"/>
      <c r="DNA1" s="81"/>
      <c r="DNB1" s="81"/>
      <c r="DNC1" s="81"/>
      <c r="DND1" s="81"/>
      <c r="DNE1" s="81"/>
      <c r="DNF1" s="81"/>
      <c r="DNG1" s="81"/>
      <c r="DNH1" s="81"/>
      <c r="DNI1" s="81"/>
      <c r="DNJ1" s="81"/>
      <c r="DNK1" s="81"/>
      <c r="DNL1" s="81"/>
      <c r="DNM1" s="81"/>
      <c r="DNN1" s="81"/>
      <c r="DNO1" s="81"/>
      <c r="DNP1" s="81"/>
      <c r="DNQ1" s="81"/>
      <c r="DNR1" s="81"/>
      <c r="DNS1" s="81"/>
      <c r="DNT1" s="81"/>
      <c r="DNU1" s="81"/>
      <c r="DNV1" s="81"/>
      <c r="DNW1" s="81"/>
      <c r="DNX1" s="81"/>
      <c r="DNY1" s="81"/>
      <c r="DNZ1" s="81"/>
      <c r="DOA1" s="81"/>
      <c r="DOB1" s="81"/>
      <c r="DOC1" s="81"/>
      <c r="DOD1" s="81"/>
      <c r="DOE1" s="81"/>
      <c r="DOF1" s="81"/>
      <c r="DOG1" s="81"/>
      <c r="DOH1" s="81"/>
      <c r="DOI1" s="81"/>
      <c r="DOJ1" s="81"/>
      <c r="DOK1" s="81"/>
      <c r="DOL1" s="81"/>
      <c r="DOM1" s="81"/>
      <c r="DON1" s="81"/>
      <c r="DOO1" s="81"/>
      <c r="DOP1" s="81"/>
      <c r="DOQ1" s="81"/>
      <c r="DOR1" s="81"/>
      <c r="DOS1" s="81"/>
      <c r="DOT1" s="81"/>
      <c r="DOU1" s="81"/>
      <c r="DOV1" s="81"/>
      <c r="DOW1" s="81"/>
      <c r="DOX1" s="81"/>
      <c r="DOY1" s="81"/>
      <c r="DOZ1" s="81"/>
      <c r="DPA1" s="81"/>
      <c r="DPB1" s="81"/>
      <c r="DPC1" s="81"/>
      <c r="DPD1" s="81"/>
      <c r="DPE1" s="81"/>
      <c r="DPF1" s="81"/>
      <c r="DPG1" s="81"/>
      <c r="DPH1" s="81"/>
      <c r="DPI1" s="81"/>
      <c r="DPJ1" s="81"/>
      <c r="DPK1" s="81"/>
      <c r="DPL1" s="81"/>
      <c r="DPM1" s="81"/>
      <c r="DPN1" s="81"/>
      <c r="DPO1" s="81"/>
      <c r="DPP1" s="81"/>
      <c r="DPQ1" s="81"/>
      <c r="DPR1" s="81"/>
      <c r="DPS1" s="81"/>
      <c r="DPT1" s="81"/>
      <c r="DPU1" s="81"/>
      <c r="DPV1" s="81"/>
      <c r="DPW1" s="81"/>
      <c r="DPX1" s="81"/>
      <c r="DPY1" s="81"/>
      <c r="DPZ1" s="81"/>
      <c r="DQA1" s="81"/>
      <c r="DQB1" s="81"/>
      <c r="DQC1" s="81"/>
      <c r="DQD1" s="81"/>
      <c r="DQE1" s="81"/>
      <c r="DQF1" s="81"/>
      <c r="DQG1" s="81"/>
      <c r="DQH1" s="81"/>
      <c r="DQI1" s="81"/>
      <c r="DQJ1" s="81"/>
      <c r="DQK1" s="81"/>
      <c r="DQL1" s="81"/>
      <c r="DQM1" s="81"/>
      <c r="DQN1" s="81"/>
      <c r="DQO1" s="81"/>
      <c r="DQP1" s="81"/>
      <c r="DQQ1" s="81"/>
      <c r="DQR1" s="81"/>
      <c r="DQS1" s="81"/>
      <c r="DQT1" s="81"/>
      <c r="DQU1" s="81"/>
      <c r="DQV1" s="81"/>
      <c r="DQW1" s="81"/>
      <c r="DQX1" s="81"/>
      <c r="DQY1" s="81"/>
      <c r="DQZ1" s="81"/>
      <c r="DRA1" s="81"/>
      <c r="DRB1" s="81"/>
      <c r="DRC1" s="81"/>
      <c r="DRD1" s="81"/>
      <c r="DRE1" s="81"/>
      <c r="DRF1" s="81"/>
      <c r="DRG1" s="81"/>
      <c r="DRH1" s="81"/>
      <c r="DRI1" s="81"/>
      <c r="DRJ1" s="81"/>
      <c r="DRK1" s="81"/>
      <c r="DRL1" s="81"/>
      <c r="DRM1" s="81"/>
      <c r="DRN1" s="81"/>
      <c r="DRO1" s="81"/>
      <c r="DRP1" s="81"/>
      <c r="DRQ1" s="81"/>
      <c r="DRR1" s="81"/>
      <c r="DRS1" s="81"/>
      <c r="DRT1" s="81"/>
      <c r="DRU1" s="81"/>
      <c r="DRV1" s="81"/>
      <c r="DRW1" s="81"/>
      <c r="DRX1" s="81"/>
      <c r="DRY1" s="81"/>
      <c r="DRZ1" s="81"/>
      <c r="DSA1" s="81"/>
      <c r="DSB1" s="81"/>
      <c r="DSC1" s="81"/>
      <c r="DSD1" s="81"/>
      <c r="DSE1" s="81"/>
      <c r="DSF1" s="81"/>
      <c r="DSG1" s="81"/>
      <c r="DSH1" s="81"/>
      <c r="DSI1" s="81"/>
      <c r="DSJ1" s="81"/>
      <c r="DSK1" s="81"/>
      <c r="DSL1" s="81"/>
      <c r="DSM1" s="81"/>
      <c r="DSN1" s="81"/>
      <c r="DSO1" s="81"/>
      <c r="DSP1" s="81"/>
      <c r="DSQ1" s="81"/>
      <c r="DSR1" s="81"/>
      <c r="DSS1" s="81"/>
      <c r="DST1" s="81"/>
      <c r="DSU1" s="81"/>
      <c r="DSV1" s="81"/>
      <c r="DSW1" s="81"/>
      <c r="DSX1" s="81"/>
      <c r="DSY1" s="81"/>
      <c r="DSZ1" s="81"/>
      <c r="DTA1" s="81"/>
      <c r="DTB1" s="81"/>
      <c r="DTC1" s="81"/>
      <c r="DTD1" s="81"/>
      <c r="DTE1" s="81"/>
      <c r="DTF1" s="81"/>
      <c r="DTG1" s="81"/>
      <c r="DTH1" s="81"/>
      <c r="DTI1" s="81"/>
      <c r="DTJ1" s="81"/>
      <c r="DTK1" s="81"/>
      <c r="DTL1" s="81"/>
      <c r="DTM1" s="81"/>
      <c r="DTN1" s="81"/>
      <c r="DTO1" s="81"/>
      <c r="DTP1" s="81"/>
      <c r="DTQ1" s="81"/>
      <c r="DTR1" s="81"/>
      <c r="DTS1" s="81"/>
      <c r="DTT1" s="81"/>
      <c r="DTU1" s="81"/>
      <c r="DTV1" s="81"/>
      <c r="DTW1" s="81"/>
      <c r="DTX1" s="81"/>
      <c r="DTY1" s="81"/>
      <c r="DTZ1" s="81"/>
      <c r="DUA1" s="81"/>
      <c r="DUB1" s="81"/>
      <c r="DUC1" s="81"/>
      <c r="DUD1" s="81"/>
      <c r="DUE1" s="81"/>
      <c r="DUF1" s="81"/>
      <c r="DUG1" s="81"/>
      <c r="DUH1" s="81"/>
      <c r="DUI1" s="81"/>
      <c r="DUJ1" s="81"/>
      <c r="DUK1" s="81"/>
      <c r="DUL1" s="81"/>
      <c r="DUM1" s="81"/>
      <c r="DUN1" s="81"/>
      <c r="DUO1" s="81"/>
      <c r="DUP1" s="81"/>
      <c r="DUQ1" s="81"/>
      <c r="DUR1" s="81"/>
      <c r="DUS1" s="81"/>
      <c r="DUT1" s="81"/>
      <c r="DUU1" s="81"/>
      <c r="DUV1" s="81"/>
      <c r="DUW1" s="81"/>
      <c r="DUX1" s="81"/>
      <c r="DUY1" s="81"/>
      <c r="DUZ1" s="81"/>
      <c r="DVA1" s="81"/>
      <c r="DVB1" s="81"/>
      <c r="DVC1" s="81"/>
      <c r="DVD1" s="81"/>
      <c r="DVE1" s="81"/>
      <c r="DVF1" s="81"/>
      <c r="DVG1" s="81"/>
      <c r="DVH1" s="81"/>
      <c r="DVI1" s="81"/>
      <c r="DVJ1" s="81"/>
      <c r="DVK1" s="81"/>
      <c r="DVL1" s="81"/>
      <c r="DVM1" s="81"/>
      <c r="DVN1" s="81"/>
      <c r="DVO1" s="81"/>
      <c r="DVP1" s="81"/>
      <c r="DVQ1" s="81"/>
      <c r="DVR1" s="81"/>
      <c r="DVS1" s="81"/>
      <c r="DVT1" s="81"/>
      <c r="DVU1" s="81"/>
      <c r="DVV1" s="81"/>
      <c r="DVW1" s="81"/>
      <c r="DVX1" s="81"/>
      <c r="DVY1" s="81"/>
      <c r="DVZ1" s="81"/>
      <c r="DWA1" s="81"/>
      <c r="DWB1" s="81"/>
      <c r="DWC1" s="81"/>
      <c r="DWD1" s="81"/>
      <c r="DWE1" s="81"/>
      <c r="DWF1" s="81"/>
      <c r="DWG1" s="81"/>
      <c r="DWH1" s="81"/>
      <c r="DWI1" s="81"/>
      <c r="DWJ1" s="81"/>
      <c r="DWK1" s="81"/>
      <c r="DWL1" s="81"/>
      <c r="DWM1" s="81"/>
      <c r="DWN1" s="81"/>
      <c r="DWO1" s="81"/>
      <c r="DWP1" s="81"/>
      <c r="DWQ1" s="81"/>
      <c r="DWR1" s="81"/>
      <c r="DWS1" s="81"/>
      <c r="DWT1" s="81"/>
      <c r="DWU1" s="81"/>
      <c r="DWV1" s="81"/>
      <c r="DWW1" s="81"/>
      <c r="DWX1" s="81"/>
      <c r="DWY1" s="81"/>
      <c r="DWZ1" s="81"/>
      <c r="DXA1" s="81"/>
      <c r="DXB1" s="81"/>
      <c r="DXC1" s="81"/>
      <c r="DXD1" s="81"/>
      <c r="DXE1" s="81"/>
      <c r="DXF1" s="81"/>
      <c r="DXG1" s="81"/>
      <c r="DXH1" s="81"/>
      <c r="DXI1" s="81"/>
      <c r="DXJ1" s="81"/>
      <c r="DXK1" s="81"/>
      <c r="DXL1" s="81"/>
      <c r="DXM1" s="81"/>
      <c r="DXN1" s="81"/>
      <c r="DXO1" s="81"/>
      <c r="DXP1" s="81"/>
      <c r="DXQ1" s="81"/>
      <c r="DXR1" s="81"/>
      <c r="DXS1" s="81"/>
      <c r="DXT1" s="81"/>
      <c r="DXU1" s="81"/>
      <c r="DXV1" s="81"/>
      <c r="DXW1" s="81"/>
      <c r="DXX1" s="81"/>
      <c r="DXY1" s="81"/>
      <c r="DXZ1" s="81"/>
      <c r="DYA1" s="81"/>
      <c r="DYB1" s="81"/>
      <c r="DYC1" s="81"/>
      <c r="DYD1" s="81"/>
      <c r="DYE1" s="81"/>
      <c r="DYF1" s="81"/>
      <c r="DYG1" s="81"/>
      <c r="DYH1" s="81"/>
      <c r="DYI1" s="81"/>
      <c r="DYJ1" s="81"/>
      <c r="DYK1" s="81"/>
      <c r="DYL1" s="81"/>
      <c r="DYM1" s="81"/>
      <c r="DYN1" s="81"/>
      <c r="DYO1" s="81"/>
      <c r="DYP1" s="81"/>
      <c r="DYQ1" s="81"/>
      <c r="DYR1" s="81"/>
      <c r="DYS1" s="81"/>
      <c r="DYT1" s="81"/>
      <c r="DYU1" s="81"/>
      <c r="DYV1" s="81"/>
      <c r="DYW1" s="81"/>
      <c r="DYX1" s="81"/>
      <c r="DYY1" s="81"/>
      <c r="DYZ1" s="81"/>
      <c r="DZA1" s="81"/>
      <c r="DZB1" s="81"/>
      <c r="DZC1" s="81"/>
      <c r="DZD1" s="81"/>
      <c r="DZE1" s="81"/>
      <c r="DZF1" s="81"/>
      <c r="DZG1" s="81"/>
      <c r="DZH1" s="81"/>
      <c r="DZI1" s="81"/>
      <c r="DZJ1" s="81"/>
      <c r="DZK1" s="81"/>
      <c r="DZL1" s="81"/>
      <c r="DZM1" s="81"/>
      <c r="DZN1" s="81"/>
      <c r="DZO1" s="81"/>
      <c r="DZP1" s="81"/>
      <c r="DZQ1" s="81"/>
      <c r="DZR1" s="81"/>
      <c r="DZS1" s="81"/>
      <c r="DZT1" s="81"/>
      <c r="DZU1" s="81"/>
      <c r="DZV1" s="81"/>
      <c r="DZW1" s="81"/>
      <c r="DZX1" s="81"/>
      <c r="DZY1" s="81"/>
      <c r="DZZ1" s="81"/>
      <c r="EAA1" s="81"/>
      <c r="EAB1" s="81"/>
      <c r="EAC1" s="81"/>
      <c r="EAD1" s="81"/>
      <c r="EAE1" s="81"/>
      <c r="EAF1" s="81"/>
      <c r="EAG1" s="81"/>
      <c r="EAH1" s="81"/>
      <c r="EAI1" s="81"/>
      <c r="EAJ1" s="81"/>
      <c r="EAK1" s="81"/>
      <c r="EAL1" s="81"/>
      <c r="EAM1" s="81"/>
      <c r="EAN1" s="81"/>
      <c r="EAO1" s="81"/>
      <c r="EAP1" s="81"/>
      <c r="EAQ1" s="81"/>
      <c r="EAR1" s="81"/>
      <c r="EAS1" s="81"/>
      <c r="EAT1" s="81"/>
      <c r="EAU1" s="81"/>
      <c r="EAV1" s="81"/>
      <c r="EAW1" s="81"/>
      <c r="EAX1" s="81"/>
      <c r="EAY1" s="81"/>
      <c r="EAZ1" s="81"/>
      <c r="EBA1" s="81"/>
      <c r="EBB1" s="81"/>
      <c r="EBC1" s="81"/>
      <c r="EBD1" s="81"/>
      <c r="EBE1" s="81"/>
      <c r="EBF1" s="81"/>
      <c r="EBG1" s="81"/>
      <c r="EBH1" s="81"/>
      <c r="EBI1" s="81"/>
      <c r="EBJ1" s="81"/>
      <c r="EBK1" s="81"/>
      <c r="EBL1" s="81"/>
      <c r="EBM1" s="81"/>
      <c r="EBN1" s="81"/>
      <c r="EBO1" s="81"/>
      <c r="EBP1" s="81"/>
      <c r="EBQ1" s="81"/>
      <c r="EBR1" s="81"/>
      <c r="EBS1" s="81"/>
      <c r="EBT1" s="81"/>
      <c r="EBU1" s="81"/>
      <c r="EBV1" s="81"/>
      <c r="EBW1" s="81"/>
      <c r="EBX1" s="81"/>
      <c r="EBY1" s="81"/>
      <c r="EBZ1" s="81"/>
      <c r="ECA1" s="81"/>
      <c r="ECB1" s="81"/>
      <c r="ECC1" s="81"/>
      <c r="ECD1" s="81"/>
      <c r="ECE1" s="81"/>
      <c r="ECF1" s="81"/>
      <c r="ECG1" s="81"/>
      <c r="ECH1" s="81"/>
      <c r="ECI1" s="81"/>
      <c r="ECJ1" s="81"/>
      <c r="ECK1" s="81"/>
      <c r="ECL1" s="81"/>
      <c r="ECM1" s="81"/>
      <c r="ECN1" s="81"/>
      <c r="ECO1" s="81"/>
      <c r="ECP1" s="81"/>
      <c r="ECQ1" s="81"/>
      <c r="ECR1" s="81"/>
      <c r="ECS1" s="81"/>
      <c r="ECT1" s="81"/>
      <c r="ECU1" s="81"/>
      <c r="ECV1" s="81"/>
      <c r="ECW1" s="81"/>
      <c r="ECX1" s="81"/>
      <c r="ECY1" s="81"/>
      <c r="ECZ1" s="81"/>
      <c r="EDA1" s="81"/>
      <c r="EDB1" s="81"/>
      <c r="EDC1" s="81"/>
      <c r="EDD1" s="81"/>
      <c r="EDE1" s="81"/>
      <c r="EDF1" s="81"/>
      <c r="EDG1" s="81"/>
      <c r="EDH1" s="81"/>
      <c r="EDI1" s="81"/>
      <c r="EDJ1" s="81"/>
      <c r="EDK1" s="81"/>
      <c r="EDL1" s="81"/>
      <c r="EDM1" s="81"/>
      <c r="EDN1" s="81"/>
      <c r="EDO1" s="81"/>
      <c r="EDP1" s="81"/>
      <c r="EDQ1" s="81"/>
      <c r="EDR1" s="81"/>
      <c r="EDS1" s="81"/>
      <c r="EDT1" s="81"/>
      <c r="EDU1" s="81"/>
      <c r="EDV1" s="81"/>
      <c r="EDW1" s="81"/>
      <c r="EDX1" s="81"/>
      <c r="EDY1" s="81"/>
      <c r="EDZ1" s="81"/>
      <c r="EEA1" s="81"/>
      <c r="EEB1" s="81"/>
      <c r="EEC1" s="81"/>
      <c r="EED1" s="81"/>
      <c r="EEE1" s="81"/>
      <c r="EEF1" s="81"/>
      <c r="EEG1" s="81"/>
      <c r="EEH1" s="81"/>
      <c r="EEI1" s="81"/>
      <c r="EEJ1" s="81"/>
      <c r="EEK1" s="81"/>
      <c r="EEL1" s="81"/>
      <c r="EEM1" s="81"/>
      <c r="EEN1" s="81"/>
      <c r="EEO1" s="81"/>
      <c r="EEP1" s="81"/>
      <c r="EEQ1" s="81"/>
      <c r="EER1" s="81"/>
      <c r="EES1" s="81"/>
      <c r="EET1" s="81"/>
      <c r="EEU1" s="81"/>
      <c r="EEV1" s="81"/>
      <c r="EEW1" s="81"/>
      <c r="EEX1" s="81"/>
      <c r="EEY1" s="81"/>
      <c r="EEZ1" s="81"/>
      <c r="EFA1" s="81"/>
      <c r="EFB1" s="81"/>
      <c r="EFC1" s="81"/>
      <c r="EFD1" s="81"/>
      <c r="EFE1" s="81"/>
      <c r="EFF1" s="81"/>
      <c r="EFG1" s="81"/>
      <c r="EFH1" s="81"/>
      <c r="EFI1" s="81"/>
      <c r="EFJ1" s="81"/>
      <c r="EFK1" s="81"/>
      <c r="EFL1" s="81"/>
      <c r="EFM1" s="81"/>
      <c r="EFN1" s="81"/>
      <c r="EFO1" s="81"/>
      <c r="EFP1" s="81"/>
      <c r="EFQ1" s="81"/>
      <c r="EFR1" s="81"/>
      <c r="EFS1" s="81"/>
      <c r="EFT1" s="81"/>
      <c r="EFU1" s="81"/>
      <c r="EFV1" s="81"/>
      <c r="EFW1" s="81"/>
      <c r="EFX1" s="81"/>
      <c r="EFY1" s="81"/>
      <c r="EFZ1" s="81"/>
      <c r="EGA1" s="81"/>
      <c r="EGB1" s="81"/>
      <c r="EGC1" s="81"/>
      <c r="EGD1" s="81"/>
      <c r="EGE1" s="81"/>
      <c r="EGF1" s="81"/>
      <c r="EGG1" s="81"/>
      <c r="EGH1" s="81"/>
      <c r="EGI1" s="81"/>
      <c r="EGJ1" s="81"/>
      <c r="EGK1" s="81"/>
      <c r="EGL1" s="81"/>
      <c r="EGM1" s="81"/>
      <c r="EGN1" s="81"/>
      <c r="EGO1" s="81"/>
      <c r="EGP1" s="81"/>
      <c r="EGQ1" s="81"/>
      <c r="EGR1" s="81"/>
      <c r="EGS1" s="81"/>
      <c r="EGT1" s="81"/>
      <c r="EGU1" s="81"/>
      <c r="EGV1" s="81"/>
      <c r="EGW1" s="81"/>
      <c r="EGX1" s="81"/>
      <c r="EGY1" s="81"/>
      <c r="EGZ1" s="81"/>
      <c r="EHA1" s="81"/>
      <c r="EHB1" s="81"/>
      <c r="EHC1" s="81"/>
      <c r="EHD1" s="81"/>
      <c r="EHE1" s="81"/>
      <c r="EHF1" s="81"/>
      <c r="EHG1" s="81"/>
      <c r="EHH1" s="81"/>
      <c r="EHI1" s="81"/>
      <c r="EHJ1" s="81"/>
      <c r="EHK1" s="81"/>
      <c r="EHL1" s="81"/>
      <c r="EHM1" s="81"/>
      <c r="EHN1" s="81"/>
      <c r="EHO1" s="81"/>
      <c r="EHP1" s="81"/>
      <c r="EHQ1" s="81"/>
      <c r="EHR1" s="81"/>
      <c r="EHS1" s="81"/>
      <c r="EHT1" s="81"/>
      <c r="EHU1" s="81"/>
      <c r="EHV1" s="81"/>
      <c r="EHW1" s="81"/>
      <c r="EHX1" s="81"/>
      <c r="EHY1" s="81"/>
      <c r="EHZ1" s="81"/>
      <c r="EIA1" s="81"/>
      <c r="EIB1" s="81"/>
      <c r="EIC1" s="81"/>
      <c r="EID1" s="81"/>
      <c r="EIE1" s="81"/>
      <c r="EIF1" s="81"/>
      <c r="EIG1" s="81"/>
      <c r="EIH1" s="81"/>
      <c r="EII1" s="81"/>
      <c r="EIJ1" s="81"/>
      <c r="EIK1" s="81"/>
      <c r="EIL1" s="81"/>
      <c r="EIM1" s="81"/>
      <c r="EIN1" s="81"/>
      <c r="EIO1" s="81"/>
      <c r="EIP1" s="81"/>
      <c r="EIQ1" s="81"/>
      <c r="EIR1" s="81"/>
      <c r="EIS1" s="81"/>
      <c r="EIT1" s="81"/>
      <c r="EIU1" s="81"/>
      <c r="EIV1" s="81"/>
      <c r="EIW1" s="81"/>
      <c r="EIX1" s="81"/>
      <c r="EIY1" s="81"/>
      <c r="EIZ1" s="81"/>
      <c r="EJA1" s="81"/>
      <c r="EJB1" s="81"/>
      <c r="EJC1" s="81"/>
      <c r="EJD1" s="81"/>
      <c r="EJE1" s="81"/>
      <c r="EJF1" s="81"/>
      <c r="EJG1" s="81"/>
      <c r="EJH1" s="81"/>
      <c r="EJI1" s="81"/>
      <c r="EJJ1" s="81"/>
      <c r="EJK1" s="81"/>
      <c r="EJL1" s="81"/>
      <c r="EJM1" s="81"/>
      <c r="EJN1" s="81"/>
      <c r="EJO1" s="81"/>
      <c r="EJP1" s="81"/>
      <c r="EJQ1" s="81"/>
      <c r="EJR1" s="81"/>
      <c r="EJS1" s="81"/>
      <c r="EJT1" s="81"/>
      <c r="EJU1" s="81"/>
      <c r="EJV1" s="81"/>
      <c r="EJW1" s="81"/>
      <c r="EJX1" s="81"/>
      <c r="EJY1" s="81"/>
      <c r="EJZ1" s="81"/>
      <c r="EKA1" s="81"/>
      <c r="EKB1" s="81"/>
      <c r="EKC1" s="81"/>
      <c r="EKD1" s="81"/>
      <c r="EKE1" s="81"/>
      <c r="EKF1" s="81"/>
      <c r="EKG1" s="81"/>
      <c r="EKH1" s="81"/>
      <c r="EKI1" s="81"/>
      <c r="EKJ1" s="81"/>
      <c r="EKK1" s="81"/>
      <c r="EKL1" s="81"/>
      <c r="EKM1" s="81"/>
      <c r="EKN1" s="81"/>
      <c r="EKO1" s="81"/>
      <c r="EKP1" s="81"/>
      <c r="EKQ1" s="81"/>
      <c r="EKR1" s="81"/>
      <c r="EKS1" s="81"/>
      <c r="EKT1" s="81"/>
      <c r="EKU1" s="81"/>
      <c r="EKV1" s="81"/>
      <c r="EKW1" s="81"/>
      <c r="EKX1" s="81"/>
      <c r="EKY1" s="81"/>
      <c r="EKZ1" s="81"/>
      <c r="ELA1" s="81"/>
      <c r="ELB1" s="81"/>
      <c r="ELC1" s="81"/>
      <c r="ELD1" s="81"/>
      <c r="ELE1" s="81"/>
      <c r="ELF1" s="81"/>
      <c r="ELG1" s="81"/>
      <c r="ELH1" s="81"/>
      <c r="ELI1" s="81"/>
      <c r="ELJ1" s="81"/>
      <c r="ELK1" s="81"/>
      <c r="ELL1" s="81"/>
      <c r="ELM1" s="81"/>
      <c r="ELN1" s="81"/>
      <c r="ELO1" s="81"/>
      <c r="ELP1" s="81"/>
      <c r="ELQ1" s="81"/>
      <c r="ELR1" s="81"/>
      <c r="ELS1" s="81"/>
      <c r="ELT1" s="81"/>
      <c r="ELU1" s="81"/>
      <c r="ELV1" s="81"/>
      <c r="ELW1" s="81"/>
      <c r="ELX1" s="81"/>
      <c r="ELY1" s="81"/>
      <c r="ELZ1" s="81"/>
      <c r="EMA1" s="81"/>
      <c r="EMB1" s="81"/>
      <c r="EMC1" s="81"/>
      <c r="EMD1" s="81"/>
      <c r="EME1" s="81"/>
      <c r="EMF1" s="81"/>
      <c r="EMG1" s="81"/>
      <c r="EMH1" s="81"/>
      <c r="EMI1" s="81"/>
      <c r="EMJ1" s="81"/>
      <c r="EMK1" s="81"/>
      <c r="EML1" s="81"/>
      <c r="EMM1" s="81"/>
      <c r="EMN1" s="81"/>
      <c r="EMO1" s="81"/>
      <c r="EMP1" s="81"/>
      <c r="EMQ1" s="81"/>
      <c r="EMR1" s="81"/>
      <c r="EMS1" s="81"/>
      <c r="EMT1" s="81"/>
      <c r="EMU1" s="81"/>
      <c r="EMV1" s="81"/>
      <c r="EMW1" s="81"/>
      <c r="EMX1" s="81"/>
      <c r="EMY1" s="81"/>
      <c r="EMZ1" s="81"/>
      <c r="ENA1" s="81"/>
      <c r="ENB1" s="81"/>
      <c r="ENC1" s="81"/>
      <c r="END1" s="81"/>
      <c r="ENE1" s="81"/>
      <c r="ENF1" s="81"/>
      <c r="ENG1" s="81"/>
      <c r="ENH1" s="81"/>
      <c r="ENI1" s="81"/>
      <c r="ENJ1" s="81"/>
      <c r="ENK1" s="81"/>
      <c r="ENL1" s="81"/>
      <c r="ENM1" s="81"/>
      <c r="ENN1" s="81"/>
      <c r="ENO1" s="81"/>
      <c r="ENP1" s="81"/>
      <c r="ENQ1" s="81"/>
      <c r="ENR1" s="81"/>
      <c r="ENS1" s="81"/>
      <c r="ENT1" s="81"/>
      <c r="ENU1" s="81"/>
      <c r="ENV1" s="81"/>
      <c r="ENW1" s="81"/>
      <c r="ENX1" s="81"/>
      <c r="ENY1" s="81"/>
      <c r="ENZ1" s="81"/>
      <c r="EOA1" s="81"/>
      <c r="EOB1" s="81"/>
      <c r="EOC1" s="81"/>
      <c r="EOD1" s="81"/>
      <c r="EOE1" s="81"/>
      <c r="EOF1" s="81"/>
      <c r="EOG1" s="81"/>
      <c r="EOH1" s="81"/>
      <c r="EOI1" s="81"/>
      <c r="EOJ1" s="81"/>
      <c r="EOK1" s="81"/>
      <c r="EOL1" s="81"/>
      <c r="EOM1" s="81"/>
      <c r="EON1" s="81"/>
      <c r="EOO1" s="81"/>
      <c r="EOP1" s="81"/>
      <c r="EOQ1" s="81"/>
      <c r="EOR1" s="81"/>
      <c r="EOS1" s="81"/>
      <c r="EOT1" s="81"/>
      <c r="EOU1" s="81"/>
      <c r="EOV1" s="81"/>
      <c r="EOW1" s="81"/>
      <c r="EOX1" s="81"/>
      <c r="EOY1" s="81"/>
      <c r="EOZ1" s="81"/>
      <c r="EPA1" s="81"/>
      <c r="EPB1" s="81"/>
      <c r="EPC1" s="81"/>
      <c r="EPD1" s="81"/>
      <c r="EPE1" s="81"/>
      <c r="EPF1" s="81"/>
      <c r="EPG1" s="81"/>
      <c r="EPH1" s="81"/>
      <c r="EPI1" s="81"/>
      <c r="EPJ1" s="81"/>
      <c r="EPK1" s="81"/>
      <c r="EPL1" s="81"/>
      <c r="EPM1" s="81"/>
      <c r="EPN1" s="81"/>
      <c r="EPO1" s="81"/>
      <c r="EPP1" s="81"/>
      <c r="EPQ1" s="81"/>
      <c r="EPR1" s="81"/>
      <c r="EPS1" s="81"/>
      <c r="EPT1" s="81"/>
      <c r="EPU1" s="81"/>
      <c r="EPV1" s="81"/>
      <c r="EPW1" s="81"/>
      <c r="EPX1" s="81"/>
      <c r="EPY1" s="81"/>
      <c r="EPZ1" s="81"/>
      <c r="EQA1" s="81"/>
      <c r="EQB1" s="81"/>
      <c r="EQC1" s="81"/>
      <c r="EQD1" s="81"/>
      <c r="EQE1" s="81"/>
      <c r="EQF1" s="81"/>
      <c r="EQG1" s="81"/>
      <c r="EQH1" s="81"/>
      <c r="EQI1" s="81"/>
      <c r="EQJ1" s="81"/>
      <c r="EQK1" s="81"/>
      <c r="EQL1" s="81"/>
      <c r="EQM1" s="81"/>
      <c r="EQN1" s="81"/>
      <c r="EQO1" s="81"/>
      <c r="EQP1" s="81"/>
      <c r="EQQ1" s="81"/>
      <c r="EQR1" s="81"/>
      <c r="EQS1" s="81"/>
      <c r="EQT1" s="81"/>
      <c r="EQU1" s="81"/>
      <c r="EQV1" s="81"/>
      <c r="EQW1" s="81"/>
      <c r="EQX1" s="81"/>
      <c r="EQY1" s="81"/>
      <c r="EQZ1" s="81"/>
      <c r="ERA1" s="81"/>
      <c r="ERB1" s="81"/>
      <c r="ERC1" s="81"/>
      <c r="ERD1" s="81"/>
      <c r="ERE1" s="81"/>
      <c r="ERF1" s="81"/>
      <c r="ERG1" s="81"/>
      <c r="ERH1" s="81"/>
      <c r="ERI1" s="81"/>
      <c r="ERJ1" s="81"/>
      <c r="ERK1" s="81"/>
      <c r="ERL1" s="81"/>
      <c r="ERM1" s="81"/>
      <c r="ERN1" s="81"/>
      <c r="ERO1" s="81"/>
      <c r="ERP1" s="81"/>
      <c r="ERQ1" s="81"/>
      <c r="ERR1" s="81"/>
      <c r="ERS1" s="81"/>
      <c r="ERT1" s="81"/>
      <c r="ERU1" s="81"/>
      <c r="ERV1" s="81"/>
      <c r="ERW1" s="81"/>
      <c r="ERX1" s="81"/>
      <c r="ERY1" s="81"/>
      <c r="ERZ1" s="81"/>
      <c r="ESA1" s="81"/>
      <c r="ESB1" s="81"/>
      <c r="ESC1" s="81"/>
      <c r="ESD1" s="81"/>
      <c r="ESE1" s="81"/>
      <c r="ESF1" s="81"/>
      <c r="ESG1" s="81"/>
      <c r="ESH1" s="81"/>
      <c r="ESI1" s="81"/>
      <c r="ESJ1" s="81"/>
      <c r="ESK1" s="81"/>
      <c r="ESL1" s="81"/>
      <c r="ESM1" s="81"/>
      <c r="ESN1" s="81"/>
      <c r="ESO1" s="81"/>
      <c r="ESP1" s="81"/>
      <c r="ESQ1" s="81"/>
      <c r="ESR1" s="81"/>
      <c r="ESS1" s="81"/>
      <c r="EST1" s="81"/>
      <c r="ESU1" s="81"/>
      <c r="ESV1" s="81"/>
      <c r="ESW1" s="81"/>
      <c r="ESX1" s="81"/>
      <c r="ESY1" s="81"/>
      <c r="ESZ1" s="81"/>
      <c r="ETA1" s="81"/>
      <c r="ETB1" s="81"/>
      <c r="ETC1" s="81"/>
      <c r="ETD1" s="81"/>
      <c r="ETE1" s="81"/>
      <c r="ETF1" s="81"/>
      <c r="ETG1" s="81"/>
      <c r="ETH1" s="81"/>
      <c r="ETI1" s="81"/>
      <c r="ETJ1" s="81"/>
      <c r="ETK1" s="81"/>
      <c r="ETL1" s="81"/>
      <c r="ETM1" s="81"/>
      <c r="ETN1" s="81"/>
      <c r="ETO1" s="81"/>
      <c r="ETP1" s="81"/>
      <c r="ETQ1" s="81"/>
      <c r="ETR1" s="81"/>
      <c r="ETS1" s="81"/>
      <c r="ETT1" s="81"/>
      <c r="ETU1" s="81"/>
      <c r="ETV1" s="81"/>
      <c r="ETW1" s="81"/>
      <c r="ETX1" s="81"/>
      <c r="ETY1" s="81"/>
      <c r="ETZ1" s="81"/>
      <c r="EUA1" s="81"/>
      <c r="EUB1" s="81"/>
      <c r="EUC1" s="81"/>
      <c r="EUD1" s="81"/>
      <c r="EUE1" s="81"/>
      <c r="EUF1" s="81"/>
      <c r="EUG1" s="81"/>
      <c r="EUH1" s="81"/>
      <c r="EUI1" s="81"/>
      <c r="EUJ1" s="81"/>
      <c r="EUK1" s="81"/>
      <c r="EUL1" s="81"/>
      <c r="EUM1" s="81"/>
      <c r="EUN1" s="81"/>
      <c r="EUO1" s="81"/>
      <c r="EUP1" s="81"/>
      <c r="EUQ1" s="81"/>
      <c r="EUR1" s="81"/>
      <c r="EUS1" s="81"/>
      <c r="EUT1" s="81"/>
      <c r="EUU1" s="81"/>
      <c r="EUV1" s="81"/>
      <c r="EUW1" s="81"/>
      <c r="EUX1" s="81"/>
      <c r="EUY1" s="81"/>
      <c r="EUZ1" s="81"/>
      <c r="EVA1" s="81"/>
      <c r="EVB1" s="81"/>
      <c r="EVC1" s="81"/>
      <c r="EVD1" s="81"/>
      <c r="EVE1" s="81"/>
      <c r="EVF1" s="81"/>
      <c r="EVG1" s="81"/>
      <c r="EVH1" s="81"/>
      <c r="EVI1" s="81"/>
      <c r="EVJ1" s="81"/>
      <c r="EVK1" s="81"/>
      <c r="EVL1" s="81"/>
      <c r="EVM1" s="81"/>
      <c r="EVN1" s="81"/>
      <c r="EVO1" s="81"/>
      <c r="EVP1" s="81"/>
      <c r="EVQ1" s="81"/>
      <c r="EVR1" s="81"/>
      <c r="EVS1" s="81"/>
      <c r="EVT1" s="81"/>
      <c r="EVU1" s="81"/>
      <c r="EVV1" s="81"/>
      <c r="EVW1" s="81"/>
      <c r="EVX1" s="81"/>
      <c r="EVY1" s="81"/>
      <c r="EVZ1" s="81"/>
      <c r="EWA1" s="81"/>
      <c r="EWB1" s="81"/>
      <c r="EWC1" s="81"/>
      <c r="EWD1" s="81"/>
      <c r="EWE1" s="81"/>
      <c r="EWF1" s="81"/>
      <c r="EWG1" s="81"/>
      <c r="EWH1" s="81"/>
      <c r="EWI1" s="81"/>
      <c r="EWJ1" s="81"/>
      <c r="EWK1" s="81"/>
      <c r="EWL1" s="81"/>
      <c r="EWM1" s="81"/>
      <c r="EWN1" s="81"/>
      <c r="EWO1" s="81"/>
      <c r="EWP1" s="81"/>
      <c r="EWQ1" s="81"/>
      <c r="EWR1" s="81"/>
      <c r="EWS1" s="81"/>
      <c r="EWT1" s="81"/>
      <c r="EWU1" s="81"/>
      <c r="EWV1" s="81"/>
      <c r="EWW1" s="81"/>
      <c r="EWX1" s="81"/>
      <c r="EWY1" s="81"/>
      <c r="EWZ1" s="81"/>
      <c r="EXA1" s="81"/>
      <c r="EXB1" s="81"/>
      <c r="EXC1" s="81"/>
      <c r="EXD1" s="81"/>
      <c r="EXE1" s="81"/>
      <c r="EXF1" s="81"/>
      <c r="EXG1" s="81"/>
      <c r="EXH1" s="81"/>
      <c r="EXI1" s="81"/>
      <c r="EXJ1" s="81"/>
      <c r="EXK1" s="81"/>
      <c r="EXL1" s="81"/>
      <c r="EXM1" s="81"/>
      <c r="EXN1" s="81"/>
      <c r="EXO1" s="81"/>
      <c r="EXP1" s="81"/>
      <c r="EXQ1" s="81"/>
      <c r="EXR1" s="81"/>
      <c r="EXS1" s="81"/>
      <c r="EXT1" s="81"/>
      <c r="EXU1" s="81"/>
      <c r="EXV1" s="81"/>
      <c r="EXW1" s="81"/>
      <c r="EXX1" s="81"/>
      <c r="EXY1" s="81"/>
      <c r="EXZ1" s="81"/>
      <c r="EYA1" s="81"/>
      <c r="EYB1" s="81"/>
      <c r="EYC1" s="81"/>
      <c r="EYD1" s="81"/>
      <c r="EYE1" s="81"/>
      <c r="EYF1" s="81"/>
      <c r="EYG1" s="81"/>
      <c r="EYH1" s="81"/>
      <c r="EYI1" s="81"/>
      <c r="EYJ1" s="81"/>
      <c r="EYK1" s="81"/>
      <c r="EYL1" s="81"/>
      <c r="EYM1" s="81"/>
      <c r="EYN1" s="81"/>
      <c r="EYO1" s="81"/>
      <c r="EYP1" s="81"/>
      <c r="EYQ1" s="81"/>
      <c r="EYR1" s="81"/>
      <c r="EYS1" s="81"/>
      <c r="EYT1" s="81"/>
      <c r="EYU1" s="81"/>
      <c r="EYV1" s="81"/>
      <c r="EYW1" s="81"/>
      <c r="EYX1" s="81"/>
      <c r="EYY1" s="81"/>
      <c r="EYZ1" s="81"/>
      <c r="EZA1" s="81"/>
      <c r="EZB1" s="81"/>
      <c r="EZC1" s="81"/>
      <c r="EZD1" s="81"/>
      <c r="EZE1" s="81"/>
      <c r="EZF1" s="81"/>
      <c r="EZG1" s="81"/>
      <c r="EZH1" s="81"/>
      <c r="EZI1" s="81"/>
      <c r="EZJ1" s="81"/>
      <c r="EZK1" s="81"/>
      <c r="EZL1" s="81"/>
      <c r="EZM1" s="81"/>
      <c r="EZN1" s="81"/>
      <c r="EZO1" s="81"/>
      <c r="EZP1" s="81"/>
      <c r="EZQ1" s="81"/>
      <c r="EZR1" s="81"/>
      <c r="EZS1" s="81"/>
      <c r="EZT1" s="81"/>
      <c r="EZU1" s="81"/>
      <c r="EZV1" s="81"/>
      <c r="EZW1" s="81"/>
      <c r="EZX1" s="81"/>
      <c r="EZY1" s="81"/>
      <c r="EZZ1" s="81"/>
      <c r="FAA1" s="81"/>
      <c r="FAB1" s="81"/>
      <c r="FAC1" s="81"/>
      <c r="FAD1" s="81"/>
      <c r="FAE1" s="81"/>
      <c r="FAF1" s="81"/>
      <c r="FAG1" s="81"/>
      <c r="FAH1" s="81"/>
      <c r="FAI1" s="81"/>
      <c r="FAJ1" s="81"/>
      <c r="FAK1" s="81"/>
      <c r="FAL1" s="81"/>
      <c r="FAM1" s="81"/>
      <c r="FAN1" s="81"/>
      <c r="FAO1" s="81"/>
      <c r="FAP1" s="81"/>
      <c r="FAQ1" s="81"/>
      <c r="FAR1" s="81"/>
      <c r="FAS1" s="81"/>
      <c r="FAT1" s="81"/>
      <c r="FAU1" s="81"/>
      <c r="FAV1" s="81"/>
      <c r="FAW1" s="81"/>
      <c r="FAX1" s="81"/>
      <c r="FAY1" s="81"/>
      <c r="FAZ1" s="81"/>
      <c r="FBA1" s="81"/>
      <c r="FBB1" s="81"/>
      <c r="FBC1" s="81"/>
      <c r="FBD1" s="81"/>
      <c r="FBE1" s="81"/>
      <c r="FBF1" s="81"/>
      <c r="FBG1" s="81"/>
      <c r="FBH1" s="81"/>
      <c r="FBI1" s="81"/>
      <c r="FBJ1" s="81"/>
      <c r="FBK1" s="81"/>
      <c r="FBL1" s="81"/>
      <c r="FBM1" s="81"/>
      <c r="FBN1" s="81"/>
      <c r="FBO1" s="81"/>
      <c r="FBP1" s="81"/>
      <c r="FBQ1" s="81"/>
      <c r="FBR1" s="81"/>
      <c r="FBS1" s="81"/>
      <c r="FBT1" s="81"/>
      <c r="FBU1" s="81"/>
      <c r="FBV1" s="81"/>
      <c r="FBW1" s="81"/>
      <c r="FBX1" s="81"/>
      <c r="FBY1" s="81"/>
      <c r="FBZ1" s="81"/>
      <c r="FCA1" s="81"/>
      <c r="FCB1" s="81"/>
      <c r="FCC1" s="81"/>
      <c r="FCD1" s="81"/>
      <c r="FCE1" s="81"/>
      <c r="FCF1" s="81"/>
      <c r="FCG1" s="81"/>
      <c r="FCH1" s="81"/>
      <c r="FCI1" s="81"/>
      <c r="FCJ1" s="81"/>
      <c r="FCK1" s="81"/>
      <c r="FCL1" s="81"/>
      <c r="FCM1" s="81"/>
      <c r="FCN1" s="81"/>
      <c r="FCO1" s="81"/>
      <c r="FCP1" s="81"/>
      <c r="FCQ1" s="81"/>
      <c r="FCR1" s="81"/>
      <c r="FCS1" s="81"/>
      <c r="FCT1" s="81"/>
      <c r="FCU1" s="81"/>
      <c r="FCV1" s="81"/>
      <c r="FCW1" s="81"/>
      <c r="FCX1" s="81"/>
      <c r="FCY1" s="81"/>
      <c r="FCZ1" s="81"/>
      <c r="FDA1" s="81"/>
      <c r="FDB1" s="81"/>
      <c r="FDC1" s="81"/>
      <c r="FDD1" s="81"/>
      <c r="FDE1" s="81"/>
      <c r="FDF1" s="81"/>
      <c r="FDG1" s="81"/>
      <c r="FDH1" s="81"/>
      <c r="FDI1" s="81"/>
      <c r="FDJ1" s="81"/>
      <c r="FDK1" s="81"/>
      <c r="FDL1" s="81"/>
      <c r="FDM1" s="81"/>
      <c r="FDN1" s="81"/>
      <c r="FDO1" s="81"/>
      <c r="FDP1" s="81"/>
      <c r="FDQ1" s="81"/>
      <c r="FDR1" s="81"/>
      <c r="FDS1" s="81"/>
      <c r="FDT1" s="81"/>
      <c r="FDU1" s="81"/>
      <c r="FDV1" s="81"/>
      <c r="FDW1" s="81"/>
      <c r="FDX1" s="81"/>
      <c r="FDY1" s="81"/>
      <c r="FDZ1" s="81"/>
      <c r="FEA1" s="81"/>
      <c r="FEB1" s="81"/>
      <c r="FEC1" s="81"/>
      <c r="FED1" s="81"/>
      <c r="FEE1" s="81"/>
      <c r="FEF1" s="81"/>
      <c r="FEG1" s="81"/>
      <c r="FEH1" s="81"/>
      <c r="FEI1" s="81"/>
      <c r="FEJ1" s="81"/>
      <c r="FEK1" s="81"/>
      <c r="FEL1" s="81"/>
      <c r="FEM1" s="81"/>
      <c r="FEN1" s="81"/>
      <c r="FEO1" s="81"/>
      <c r="FEP1" s="81"/>
      <c r="FEQ1" s="81"/>
      <c r="FER1" s="81"/>
      <c r="FES1" s="81"/>
      <c r="FET1" s="81"/>
      <c r="FEU1" s="81"/>
      <c r="FEV1" s="81"/>
      <c r="FEW1" s="81"/>
      <c r="FEX1" s="81"/>
      <c r="FEY1" s="81"/>
      <c r="FEZ1" s="81"/>
      <c r="FFA1" s="81"/>
      <c r="FFB1" s="81"/>
      <c r="FFC1" s="81"/>
      <c r="FFD1" s="81"/>
      <c r="FFE1" s="81"/>
      <c r="FFF1" s="81"/>
      <c r="FFG1" s="81"/>
      <c r="FFH1" s="81"/>
      <c r="FFI1" s="81"/>
      <c r="FFJ1" s="81"/>
      <c r="FFK1" s="81"/>
      <c r="FFL1" s="81"/>
      <c r="FFM1" s="81"/>
      <c r="FFN1" s="81"/>
      <c r="FFO1" s="81"/>
      <c r="FFP1" s="81"/>
      <c r="FFQ1" s="81"/>
      <c r="FFR1" s="81"/>
      <c r="FFS1" s="81"/>
      <c r="FFT1" s="81"/>
      <c r="FFU1" s="81"/>
      <c r="FFV1" s="81"/>
      <c r="FFW1" s="81"/>
      <c r="FFX1" s="81"/>
      <c r="FFY1" s="81"/>
      <c r="FFZ1" s="81"/>
      <c r="FGA1" s="81"/>
      <c r="FGB1" s="81"/>
      <c r="FGC1" s="81"/>
      <c r="FGD1" s="81"/>
      <c r="FGE1" s="81"/>
      <c r="FGF1" s="81"/>
      <c r="FGG1" s="81"/>
      <c r="FGH1" s="81"/>
      <c r="FGI1" s="81"/>
      <c r="FGJ1" s="81"/>
      <c r="FGK1" s="81"/>
      <c r="FGL1" s="81"/>
      <c r="FGM1" s="81"/>
      <c r="FGN1" s="81"/>
      <c r="FGO1" s="81"/>
      <c r="FGP1" s="81"/>
      <c r="FGQ1" s="81"/>
      <c r="FGR1" s="81"/>
      <c r="FGS1" s="81"/>
      <c r="FGT1" s="81"/>
      <c r="FGU1" s="81"/>
      <c r="FGV1" s="81"/>
      <c r="FGW1" s="81"/>
      <c r="FGX1" s="81"/>
      <c r="FGY1" s="81"/>
      <c r="FGZ1" s="81"/>
      <c r="FHA1" s="81"/>
      <c r="FHB1" s="81"/>
      <c r="FHC1" s="81"/>
      <c r="FHD1" s="81"/>
      <c r="FHE1" s="81"/>
      <c r="FHF1" s="81"/>
      <c r="FHG1" s="81"/>
      <c r="FHH1" s="81"/>
      <c r="FHI1" s="81"/>
      <c r="FHJ1" s="81"/>
      <c r="FHK1" s="81"/>
      <c r="FHL1" s="81"/>
      <c r="FHM1" s="81"/>
      <c r="FHN1" s="81"/>
      <c r="FHO1" s="81"/>
      <c r="FHP1" s="81"/>
      <c r="FHQ1" s="81"/>
      <c r="FHR1" s="81"/>
      <c r="FHS1" s="81"/>
      <c r="FHT1" s="81"/>
      <c r="FHU1" s="81"/>
      <c r="FHV1" s="81"/>
      <c r="FHW1" s="81"/>
      <c r="FHX1" s="81"/>
      <c r="FHY1" s="81"/>
      <c r="FHZ1" s="81"/>
      <c r="FIA1" s="81"/>
      <c r="FIB1" s="81"/>
      <c r="FIC1" s="81"/>
      <c r="FID1" s="81"/>
      <c r="FIE1" s="81"/>
      <c r="FIF1" s="81"/>
      <c r="FIG1" s="81"/>
      <c r="FIH1" s="81"/>
      <c r="FII1" s="81"/>
      <c r="FIJ1" s="81"/>
      <c r="FIK1" s="81"/>
      <c r="FIL1" s="81"/>
      <c r="FIM1" s="81"/>
      <c r="FIN1" s="81"/>
      <c r="FIO1" s="81"/>
      <c r="FIP1" s="81"/>
      <c r="FIQ1" s="81"/>
      <c r="FIR1" s="81"/>
      <c r="FIS1" s="81"/>
      <c r="FIT1" s="81"/>
      <c r="FIU1" s="81"/>
      <c r="FIV1" s="81"/>
      <c r="FIW1" s="81"/>
      <c r="FIX1" s="81"/>
      <c r="FIY1" s="81"/>
      <c r="FIZ1" s="81"/>
      <c r="FJA1" s="81"/>
      <c r="FJB1" s="81"/>
      <c r="FJC1" s="81"/>
      <c r="FJD1" s="81"/>
      <c r="FJE1" s="81"/>
      <c r="FJF1" s="81"/>
      <c r="FJG1" s="81"/>
      <c r="FJH1" s="81"/>
      <c r="FJI1" s="81"/>
      <c r="FJJ1" s="81"/>
      <c r="FJK1" s="81"/>
      <c r="FJL1" s="81"/>
      <c r="FJM1" s="81"/>
      <c r="FJN1" s="81"/>
      <c r="FJO1" s="81"/>
      <c r="FJP1" s="81"/>
      <c r="FJQ1" s="81"/>
      <c r="FJR1" s="81"/>
      <c r="FJS1" s="81"/>
      <c r="FJT1" s="81"/>
      <c r="FJU1" s="81"/>
      <c r="FJV1" s="81"/>
      <c r="FJW1" s="81"/>
      <c r="FJX1" s="81"/>
      <c r="FJY1" s="81"/>
      <c r="FJZ1" s="81"/>
      <c r="FKA1" s="81"/>
      <c r="FKB1" s="81"/>
      <c r="FKC1" s="81"/>
      <c r="FKD1" s="81"/>
      <c r="FKE1" s="81"/>
      <c r="FKF1" s="81"/>
      <c r="FKG1" s="81"/>
      <c r="FKH1" s="81"/>
      <c r="FKI1" s="81"/>
      <c r="FKJ1" s="81"/>
      <c r="FKK1" s="81"/>
      <c r="FKL1" s="81"/>
      <c r="FKM1" s="81"/>
      <c r="FKN1" s="81"/>
      <c r="FKO1" s="81"/>
      <c r="FKP1" s="81"/>
      <c r="FKQ1" s="81"/>
      <c r="FKR1" s="81"/>
      <c r="FKS1" s="81"/>
      <c r="FKT1" s="81"/>
      <c r="FKU1" s="81"/>
      <c r="FKV1" s="81"/>
      <c r="FKW1" s="81"/>
      <c r="FKX1" s="81"/>
      <c r="FKY1" s="81"/>
      <c r="FKZ1" s="81"/>
      <c r="FLA1" s="81"/>
      <c r="FLB1" s="81"/>
      <c r="FLC1" s="81"/>
      <c r="FLD1" s="81"/>
      <c r="FLE1" s="81"/>
      <c r="FLF1" s="81"/>
      <c r="FLG1" s="81"/>
      <c r="FLH1" s="81"/>
      <c r="FLI1" s="81"/>
      <c r="FLJ1" s="81"/>
      <c r="FLK1" s="81"/>
      <c r="FLL1" s="81"/>
      <c r="FLM1" s="81"/>
      <c r="FLN1" s="81"/>
      <c r="FLO1" s="81"/>
      <c r="FLP1" s="81"/>
      <c r="FLQ1" s="81"/>
      <c r="FLR1" s="81"/>
      <c r="FLS1" s="81"/>
      <c r="FLT1" s="81"/>
      <c r="FLU1" s="81"/>
      <c r="FLV1" s="81"/>
      <c r="FLW1" s="81"/>
      <c r="FLX1" s="81"/>
      <c r="FLY1" s="81"/>
      <c r="FLZ1" s="81"/>
      <c r="FMA1" s="81"/>
      <c r="FMB1" s="81"/>
      <c r="FMC1" s="81"/>
      <c r="FMD1" s="81"/>
      <c r="FME1" s="81"/>
      <c r="FMF1" s="81"/>
      <c r="FMG1" s="81"/>
      <c r="FMH1" s="81"/>
      <c r="FMI1" s="81"/>
      <c r="FMJ1" s="81"/>
      <c r="FMK1" s="81"/>
      <c r="FML1" s="81"/>
      <c r="FMM1" s="81"/>
      <c r="FMN1" s="81"/>
      <c r="FMO1" s="81"/>
      <c r="FMP1" s="81"/>
      <c r="FMQ1" s="81"/>
      <c r="FMR1" s="81"/>
      <c r="FMS1" s="81"/>
      <c r="FMT1" s="81"/>
      <c r="FMU1" s="81"/>
      <c r="FMV1" s="81"/>
      <c r="FMW1" s="81"/>
      <c r="FMX1" s="81"/>
      <c r="FMY1" s="81"/>
      <c r="FMZ1" s="81"/>
      <c r="FNA1" s="81"/>
      <c r="FNB1" s="81"/>
      <c r="FNC1" s="81"/>
      <c r="FND1" s="81"/>
      <c r="FNE1" s="81"/>
      <c r="FNF1" s="81"/>
      <c r="FNG1" s="81"/>
      <c r="FNH1" s="81"/>
      <c r="FNI1" s="81"/>
      <c r="FNJ1" s="81"/>
      <c r="FNK1" s="81"/>
      <c r="FNL1" s="81"/>
      <c r="FNM1" s="81"/>
      <c r="FNN1" s="81"/>
      <c r="FNO1" s="81"/>
      <c r="FNP1" s="81"/>
      <c r="FNQ1" s="81"/>
      <c r="FNR1" s="81"/>
      <c r="FNS1" s="81"/>
      <c r="FNT1" s="81"/>
      <c r="FNU1" s="81"/>
      <c r="FNV1" s="81"/>
      <c r="FNW1" s="81"/>
      <c r="FNX1" s="81"/>
      <c r="FNY1" s="81"/>
      <c r="FNZ1" s="81"/>
      <c r="FOA1" s="81"/>
      <c r="FOB1" s="81"/>
      <c r="FOC1" s="81"/>
      <c r="FOD1" s="81"/>
      <c r="FOE1" s="81"/>
      <c r="FOF1" s="81"/>
      <c r="FOG1" s="81"/>
      <c r="FOH1" s="81"/>
      <c r="FOI1" s="81"/>
      <c r="FOJ1" s="81"/>
      <c r="FOK1" s="81"/>
      <c r="FOL1" s="81"/>
      <c r="FOM1" s="81"/>
      <c r="FON1" s="81"/>
      <c r="FOO1" s="81"/>
      <c r="FOP1" s="81"/>
      <c r="FOQ1" s="81"/>
      <c r="FOR1" s="81"/>
      <c r="FOS1" s="81"/>
      <c r="FOT1" s="81"/>
      <c r="FOU1" s="81"/>
      <c r="FOV1" s="81"/>
      <c r="FOW1" s="81"/>
      <c r="FOX1" s="81"/>
      <c r="FOY1" s="81"/>
      <c r="FOZ1" s="81"/>
      <c r="FPA1" s="81"/>
      <c r="FPB1" s="81"/>
      <c r="FPC1" s="81"/>
      <c r="FPD1" s="81"/>
      <c r="FPE1" s="81"/>
      <c r="FPF1" s="81"/>
      <c r="FPG1" s="81"/>
      <c r="FPH1" s="81"/>
      <c r="FPI1" s="81"/>
      <c r="FPJ1" s="81"/>
      <c r="FPK1" s="81"/>
      <c r="FPL1" s="81"/>
      <c r="FPM1" s="81"/>
      <c r="FPN1" s="81"/>
      <c r="FPO1" s="81"/>
      <c r="FPP1" s="81"/>
      <c r="FPQ1" s="81"/>
      <c r="FPR1" s="81"/>
      <c r="FPS1" s="81"/>
      <c r="FPT1" s="81"/>
      <c r="FPU1" s="81"/>
      <c r="FPV1" s="81"/>
      <c r="FPW1" s="81"/>
      <c r="FPX1" s="81"/>
      <c r="FPY1" s="81"/>
      <c r="FPZ1" s="81"/>
      <c r="FQA1" s="81"/>
      <c r="FQB1" s="81"/>
      <c r="FQC1" s="81"/>
      <c r="FQD1" s="81"/>
      <c r="FQE1" s="81"/>
      <c r="FQF1" s="81"/>
      <c r="FQG1" s="81"/>
      <c r="FQH1" s="81"/>
      <c r="FQI1" s="81"/>
      <c r="FQJ1" s="81"/>
      <c r="FQK1" s="81"/>
      <c r="FQL1" s="81"/>
      <c r="FQM1" s="81"/>
      <c r="FQN1" s="81"/>
      <c r="FQO1" s="81"/>
      <c r="FQP1" s="81"/>
      <c r="FQQ1" s="81"/>
      <c r="FQR1" s="81"/>
      <c r="FQS1" s="81"/>
      <c r="FQT1" s="81"/>
      <c r="FQU1" s="81"/>
      <c r="FQV1" s="81"/>
      <c r="FQW1" s="81"/>
      <c r="FQX1" s="81"/>
      <c r="FQY1" s="81"/>
      <c r="FQZ1" s="81"/>
      <c r="FRA1" s="81"/>
      <c r="FRB1" s="81"/>
      <c r="FRC1" s="81"/>
      <c r="FRD1" s="81"/>
      <c r="FRE1" s="81"/>
      <c r="FRF1" s="81"/>
      <c r="FRG1" s="81"/>
      <c r="FRH1" s="81"/>
      <c r="FRI1" s="81"/>
      <c r="FRJ1" s="81"/>
      <c r="FRK1" s="81"/>
      <c r="FRL1" s="81"/>
      <c r="FRM1" s="81"/>
      <c r="FRN1" s="81"/>
      <c r="FRO1" s="81"/>
      <c r="FRP1" s="81"/>
      <c r="FRQ1" s="81"/>
      <c r="FRR1" s="81"/>
      <c r="FRS1" s="81"/>
      <c r="FRT1" s="81"/>
      <c r="FRU1" s="81"/>
      <c r="FRV1" s="81"/>
      <c r="FRW1" s="81"/>
      <c r="FRX1" s="81"/>
      <c r="FRY1" s="81"/>
      <c r="FRZ1" s="81"/>
      <c r="FSA1" s="81"/>
      <c r="FSB1" s="81"/>
      <c r="FSC1" s="81"/>
      <c r="FSD1" s="81"/>
      <c r="FSE1" s="81"/>
      <c r="FSF1" s="81"/>
      <c r="FSG1" s="81"/>
      <c r="FSH1" s="81"/>
      <c r="FSI1" s="81"/>
      <c r="FSJ1" s="81"/>
      <c r="FSK1" s="81"/>
      <c r="FSL1" s="81"/>
      <c r="FSM1" s="81"/>
      <c r="FSN1" s="81"/>
      <c r="FSO1" s="81"/>
      <c r="FSP1" s="81"/>
      <c r="FSQ1" s="81"/>
      <c r="FSR1" s="81"/>
      <c r="FSS1" s="81"/>
      <c r="FST1" s="81"/>
      <c r="FSU1" s="81"/>
      <c r="FSV1" s="81"/>
      <c r="FSW1" s="81"/>
      <c r="FSX1" s="81"/>
      <c r="FSY1" s="81"/>
      <c r="FSZ1" s="81"/>
      <c r="FTA1" s="81"/>
      <c r="FTB1" s="81"/>
      <c r="FTC1" s="81"/>
      <c r="FTD1" s="81"/>
      <c r="FTE1" s="81"/>
      <c r="FTF1" s="81"/>
      <c r="FTG1" s="81"/>
      <c r="FTH1" s="81"/>
      <c r="FTI1" s="81"/>
      <c r="FTJ1" s="81"/>
      <c r="FTK1" s="81"/>
      <c r="FTL1" s="81"/>
      <c r="FTM1" s="81"/>
      <c r="FTN1" s="81"/>
      <c r="FTO1" s="81"/>
      <c r="FTP1" s="81"/>
      <c r="FTQ1" s="81"/>
      <c r="FTR1" s="81"/>
      <c r="FTS1" s="81"/>
      <c r="FTT1" s="81"/>
      <c r="FTU1" s="81"/>
      <c r="FTV1" s="81"/>
      <c r="FTW1" s="81"/>
      <c r="FTX1" s="81"/>
      <c r="FTY1" s="81"/>
      <c r="FTZ1" s="81"/>
      <c r="FUA1" s="81"/>
      <c r="FUB1" s="81"/>
      <c r="FUC1" s="81"/>
      <c r="FUD1" s="81"/>
      <c r="FUE1" s="81"/>
      <c r="FUF1" s="81"/>
      <c r="FUG1" s="81"/>
      <c r="FUH1" s="81"/>
      <c r="FUI1" s="81"/>
      <c r="FUJ1" s="81"/>
      <c r="FUK1" s="81"/>
      <c r="FUL1" s="81"/>
      <c r="FUM1" s="81"/>
      <c r="FUN1" s="81"/>
      <c r="FUO1" s="81"/>
      <c r="FUP1" s="81"/>
      <c r="FUQ1" s="81"/>
      <c r="FUR1" s="81"/>
      <c r="FUS1" s="81"/>
      <c r="FUT1" s="81"/>
      <c r="FUU1" s="81"/>
      <c r="FUV1" s="81"/>
      <c r="FUW1" s="81"/>
      <c r="FUX1" s="81"/>
      <c r="FUY1" s="81"/>
      <c r="FUZ1" s="81"/>
      <c r="FVA1" s="81"/>
      <c r="FVB1" s="81"/>
      <c r="FVC1" s="81"/>
      <c r="FVD1" s="81"/>
      <c r="FVE1" s="81"/>
      <c r="FVF1" s="81"/>
      <c r="FVG1" s="81"/>
      <c r="FVH1" s="81"/>
      <c r="FVI1" s="81"/>
      <c r="FVJ1" s="81"/>
      <c r="FVK1" s="81"/>
      <c r="FVL1" s="81"/>
      <c r="FVM1" s="81"/>
      <c r="FVN1" s="81"/>
      <c r="FVO1" s="81"/>
      <c r="FVP1" s="81"/>
      <c r="FVQ1" s="81"/>
      <c r="FVR1" s="81"/>
      <c r="FVS1" s="81"/>
      <c r="FVT1" s="81"/>
      <c r="FVU1" s="81"/>
      <c r="FVV1" s="81"/>
      <c r="FVW1" s="81"/>
      <c r="FVX1" s="81"/>
      <c r="FVY1" s="81"/>
      <c r="FVZ1" s="81"/>
      <c r="FWA1" s="81"/>
      <c r="FWB1" s="81"/>
      <c r="FWC1" s="81"/>
      <c r="FWD1" s="81"/>
      <c r="FWE1" s="81"/>
      <c r="FWF1" s="81"/>
      <c r="FWG1" s="81"/>
      <c r="FWH1" s="81"/>
      <c r="FWI1" s="81"/>
      <c r="FWJ1" s="81"/>
      <c r="FWK1" s="81"/>
      <c r="FWL1" s="81"/>
      <c r="FWM1" s="81"/>
      <c r="FWN1" s="81"/>
      <c r="FWO1" s="81"/>
      <c r="FWP1" s="81"/>
      <c r="FWQ1" s="81"/>
      <c r="FWR1" s="81"/>
      <c r="FWS1" s="81"/>
      <c r="FWT1" s="81"/>
      <c r="FWU1" s="81"/>
      <c r="FWV1" s="81"/>
      <c r="FWW1" s="81"/>
      <c r="FWX1" s="81"/>
      <c r="FWY1" s="81"/>
      <c r="FWZ1" s="81"/>
      <c r="FXA1" s="81"/>
      <c r="FXB1" s="81"/>
      <c r="FXC1" s="81"/>
      <c r="FXD1" s="81"/>
      <c r="FXE1" s="81"/>
      <c r="FXF1" s="81"/>
      <c r="FXG1" s="81"/>
      <c r="FXH1" s="81"/>
      <c r="FXI1" s="81"/>
      <c r="FXJ1" s="81"/>
      <c r="FXK1" s="81"/>
      <c r="FXL1" s="81"/>
      <c r="FXM1" s="81"/>
      <c r="FXN1" s="81"/>
      <c r="FXO1" s="81"/>
      <c r="FXP1" s="81"/>
      <c r="FXQ1" s="81"/>
      <c r="FXR1" s="81"/>
      <c r="FXS1" s="81"/>
      <c r="FXT1" s="81"/>
      <c r="FXU1" s="81"/>
      <c r="FXV1" s="81"/>
      <c r="FXW1" s="81"/>
      <c r="FXX1" s="81"/>
      <c r="FXY1" s="81"/>
      <c r="FXZ1" s="81"/>
      <c r="FYA1" s="81"/>
      <c r="FYB1" s="81"/>
      <c r="FYC1" s="81"/>
      <c r="FYD1" s="81"/>
      <c r="FYE1" s="81"/>
      <c r="FYF1" s="81"/>
      <c r="FYG1" s="81"/>
      <c r="FYH1" s="81"/>
      <c r="FYI1" s="81"/>
      <c r="FYJ1" s="81"/>
      <c r="FYK1" s="81"/>
      <c r="FYL1" s="81"/>
      <c r="FYM1" s="81"/>
      <c r="FYN1" s="81"/>
      <c r="FYO1" s="81"/>
      <c r="FYP1" s="81"/>
      <c r="FYQ1" s="81"/>
      <c r="FYR1" s="81"/>
      <c r="FYS1" s="81"/>
      <c r="FYT1" s="81"/>
      <c r="FYU1" s="81"/>
      <c r="FYV1" s="81"/>
      <c r="FYW1" s="81"/>
      <c r="FYX1" s="81"/>
      <c r="FYY1" s="81"/>
      <c r="FYZ1" s="81"/>
      <c r="FZA1" s="81"/>
      <c r="FZB1" s="81"/>
      <c r="FZC1" s="81"/>
      <c r="FZD1" s="81"/>
      <c r="FZE1" s="81"/>
      <c r="FZF1" s="81"/>
      <c r="FZG1" s="81"/>
      <c r="FZH1" s="81"/>
      <c r="FZI1" s="81"/>
      <c r="FZJ1" s="81"/>
      <c r="FZK1" s="81"/>
      <c r="FZL1" s="81"/>
      <c r="FZM1" s="81"/>
      <c r="FZN1" s="81"/>
      <c r="FZO1" s="81"/>
      <c r="FZP1" s="81"/>
      <c r="FZQ1" s="81"/>
      <c r="FZR1" s="81"/>
      <c r="FZS1" s="81"/>
      <c r="FZT1" s="81"/>
      <c r="FZU1" s="81"/>
      <c r="FZV1" s="81"/>
      <c r="FZW1" s="81"/>
      <c r="FZX1" s="81"/>
      <c r="FZY1" s="81"/>
      <c r="FZZ1" s="81"/>
      <c r="GAA1" s="81"/>
      <c r="GAB1" s="81"/>
      <c r="GAC1" s="81"/>
      <c r="GAD1" s="81"/>
      <c r="GAE1" s="81"/>
      <c r="GAF1" s="81"/>
      <c r="GAG1" s="81"/>
      <c r="GAH1" s="81"/>
      <c r="GAI1" s="81"/>
      <c r="GAJ1" s="81"/>
      <c r="GAK1" s="81"/>
      <c r="GAL1" s="81"/>
      <c r="GAM1" s="81"/>
      <c r="GAN1" s="81"/>
      <c r="GAO1" s="81"/>
      <c r="GAP1" s="81"/>
      <c r="GAQ1" s="81"/>
      <c r="GAR1" s="81"/>
      <c r="GAS1" s="81"/>
      <c r="GAT1" s="81"/>
      <c r="GAU1" s="81"/>
      <c r="GAV1" s="81"/>
      <c r="GAW1" s="81"/>
      <c r="GAX1" s="81"/>
      <c r="GAY1" s="81"/>
      <c r="GAZ1" s="81"/>
      <c r="GBA1" s="81"/>
      <c r="GBB1" s="81"/>
      <c r="GBC1" s="81"/>
      <c r="GBD1" s="81"/>
      <c r="GBE1" s="81"/>
      <c r="GBF1" s="81"/>
      <c r="GBG1" s="81"/>
      <c r="GBH1" s="81"/>
      <c r="GBI1" s="81"/>
      <c r="GBJ1" s="81"/>
      <c r="GBK1" s="81"/>
      <c r="GBL1" s="81"/>
      <c r="GBM1" s="81"/>
      <c r="GBN1" s="81"/>
      <c r="GBO1" s="81"/>
      <c r="GBP1" s="81"/>
      <c r="GBQ1" s="81"/>
      <c r="GBR1" s="81"/>
      <c r="GBS1" s="81"/>
      <c r="GBT1" s="81"/>
      <c r="GBU1" s="81"/>
      <c r="GBV1" s="81"/>
      <c r="GBW1" s="81"/>
      <c r="GBX1" s="81"/>
      <c r="GBY1" s="81"/>
      <c r="GBZ1" s="81"/>
      <c r="GCA1" s="81"/>
      <c r="GCB1" s="81"/>
      <c r="GCC1" s="81"/>
      <c r="GCD1" s="81"/>
      <c r="GCE1" s="81"/>
      <c r="GCF1" s="81"/>
      <c r="GCG1" s="81"/>
      <c r="GCH1" s="81"/>
      <c r="GCI1" s="81"/>
      <c r="GCJ1" s="81"/>
      <c r="GCK1" s="81"/>
      <c r="GCL1" s="81"/>
      <c r="GCM1" s="81"/>
      <c r="GCN1" s="81"/>
      <c r="GCO1" s="81"/>
      <c r="GCP1" s="81"/>
      <c r="GCQ1" s="81"/>
      <c r="GCR1" s="81"/>
      <c r="GCS1" s="81"/>
      <c r="GCT1" s="81"/>
      <c r="GCU1" s="81"/>
      <c r="GCV1" s="81"/>
      <c r="GCW1" s="81"/>
      <c r="GCX1" s="81"/>
      <c r="GCY1" s="81"/>
      <c r="GCZ1" s="81"/>
      <c r="GDA1" s="81"/>
      <c r="GDB1" s="81"/>
      <c r="GDC1" s="81"/>
      <c r="GDD1" s="81"/>
      <c r="GDE1" s="81"/>
      <c r="GDF1" s="81"/>
      <c r="GDG1" s="81"/>
      <c r="GDH1" s="81"/>
      <c r="GDI1" s="81"/>
      <c r="GDJ1" s="81"/>
      <c r="GDK1" s="81"/>
      <c r="GDL1" s="81"/>
      <c r="GDM1" s="81"/>
      <c r="GDN1" s="81"/>
      <c r="GDO1" s="81"/>
      <c r="GDP1" s="81"/>
      <c r="GDQ1" s="81"/>
      <c r="GDR1" s="81"/>
      <c r="GDS1" s="81"/>
      <c r="GDT1" s="81"/>
      <c r="GDU1" s="81"/>
      <c r="GDV1" s="81"/>
      <c r="GDW1" s="81"/>
      <c r="GDX1" s="81"/>
      <c r="GDY1" s="81"/>
      <c r="GDZ1" s="81"/>
      <c r="GEA1" s="81"/>
      <c r="GEB1" s="81"/>
      <c r="GEC1" s="81"/>
      <c r="GED1" s="81"/>
      <c r="GEE1" s="81"/>
      <c r="GEF1" s="81"/>
      <c r="GEG1" s="81"/>
      <c r="GEH1" s="81"/>
      <c r="GEI1" s="81"/>
      <c r="GEJ1" s="81"/>
      <c r="GEK1" s="81"/>
      <c r="GEL1" s="81"/>
      <c r="GEM1" s="81"/>
      <c r="GEN1" s="81"/>
      <c r="GEO1" s="81"/>
      <c r="GEP1" s="81"/>
      <c r="GEQ1" s="81"/>
      <c r="GER1" s="81"/>
      <c r="GES1" s="81"/>
      <c r="GET1" s="81"/>
      <c r="GEU1" s="81"/>
      <c r="GEV1" s="81"/>
      <c r="GEW1" s="81"/>
      <c r="GEX1" s="81"/>
      <c r="GEY1" s="81"/>
      <c r="GEZ1" s="81"/>
      <c r="GFA1" s="81"/>
      <c r="GFB1" s="81"/>
      <c r="GFC1" s="81"/>
      <c r="GFD1" s="81"/>
      <c r="GFE1" s="81"/>
      <c r="GFF1" s="81"/>
      <c r="GFG1" s="81"/>
      <c r="GFH1" s="81"/>
      <c r="GFI1" s="81"/>
      <c r="GFJ1" s="81"/>
      <c r="GFK1" s="81"/>
      <c r="GFL1" s="81"/>
      <c r="GFM1" s="81"/>
      <c r="GFN1" s="81"/>
      <c r="GFO1" s="81"/>
      <c r="GFP1" s="81"/>
      <c r="GFQ1" s="81"/>
      <c r="GFR1" s="81"/>
      <c r="GFS1" s="81"/>
      <c r="GFT1" s="81"/>
      <c r="GFU1" s="81"/>
      <c r="GFV1" s="81"/>
      <c r="GFW1" s="81"/>
      <c r="GFX1" s="81"/>
      <c r="GFY1" s="81"/>
      <c r="GFZ1" s="81"/>
      <c r="GGA1" s="81"/>
      <c r="GGB1" s="81"/>
      <c r="GGC1" s="81"/>
      <c r="GGD1" s="81"/>
      <c r="GGE1" s="81"/>
      <c r="GGF1" s="81"/>
      <c r="GGG1" s="81"/>
      <c r="GGH1" s="81"/>
      <c r="GGI1" s="81"/>
      <c r="GGJ1" s="81"/>
      <c r="GGK1" s="81"/>
      <c r="GGL1" s="81"/>
      <c r="GGM1" s="81"/>
      <c r="GGN1" s="81"/>
      <c r="GGO1" s="81"/>
      <c r="GGP1" s="81"/>
      <c r="GGQ1" s="81"/>
      <c r="GGR1" s="81"/>
      <c r="GGS1" s="81"/>
      <c r="GGT1" s="81"/>
      <c r="GGU1" s="81"/>
      <c r="GGV1" s="81"/>
      <c r="GGW1" s="81"/>
      <c r="GGX1" s="81"/>
      <c r="GGY1" s="81"/>
      <c r="GGZ1" s="81"/>
      <c r="GHA1" s="81"/>
      <c r="GHB1" s="81"/>
      <c r="GHC1" s="81"/>
      <c r="GHD1" s="81"/>
      <c r="GHE1" s="81"/>
      <c r="GHF1" s="81"/>
      <c r="GHG1" s="81"/>
      <c r="GHH1" s="81"/>
      <c r="GHI1" s="81"/>
      <c r="GHJ1" s="81"/>
      <c r="GHK1" s="81"/>
      <c r="GHL1" s="81"/>
      <c r="GHM1" s="81"/>
      <c r="GHN1" s="81"/>
      <c r="GHO1" s="81"/>
      <c r="GHP1" s="81"/>
      <c r="GHQ1" s="81"/>
      <c r="GHR1" s="81"/>
      <c r="GHS1" s="81"/>
      <c r="GHT1" s="81"/>
      <c r="GHU1" s="81"/>
      <c r="GHV1" s="81"/>
      <c r="GHW1" s="81"/>
      <c r="GHX1" s="81"/>
      <c r="GHY1" s="81"/>
      <c r="GHZ1" s="81"/>
      <c r="GIA1" s="81"/>
      <c r="GIB1" s="81"/>
      <c r="GIC1" s="81"/>
      <c r="GID1" s="81"/>
      <c r="GIE1" s="81"/>
      <c r="GIF1" s="81"/>
      <c r="GIG1" s="81"/>
      <c r="GIH1" s="81"/>
      <c r="GII1" s="81"/>
      <c r="GIJ1" s="81"/>
      <c r="GIK1" s="81"/>
      <c r="GIL1" s="81"/>
      <c r="GIM1" s="81"/>
      <c r="GIN1" s="81"/>
      <c r="GIO1" s="81"/>
      <c r="GIP1" s="81"/>
      <c r="GIQ1" s="81"/>
      <c r="GIR1" s="81"/>
      <c r="GIS1" s="81"/>
      <c r="GIT1" s="81"/>
      <c r="GIU1" s="81"/>
      <c r="GIV1" s="81"/>
      <c r="GIW1" s="81"/>
      <c r="GIX1" s="81"/>
      <c r="GIY1" s="81"/>
      <c r="GIZ1" s="81"/>
      <c r="GJA1" s="81"/>
      <c r="GJB1" s="81"/>
      <c r="GJC1" s="81"/>
      <c r="GJD1" s="81"/>
      <c r="GJE1" s="81"/>
      <c r="GJF1" s="81"/>
      <c r="GJG1" s="81"/>
      <c r="GJH1" s="81"/>
      <c r="GJI1" s="81"/>
      <c r="GJJ1" s="81"/>
      <c r="GJK1" s="81"/>
      <c r="GJL1" s="81"/>
      <c r="GJM1" s="81"/>
      <c r="GJN1" s="81"/>
      <c r="GJO1" s="81"/>
      <c r="GJP1" s="81"/>
      <c r="GJQ1" s="81"/>
      <c r="GJR1" s="81"/>
      <c r="GJS1" s="81"/>
      <c r="GJT1" s="81"/>
      <c r="GJU1" s="81"/>
      <c r="GJV1" s="81"/>
      <c r="GJW1" s="81"/>
      <c r="GJX1" s="81"/>
      <c r="GJY1" s="81"/>
      <c r="GJZ1" s="81"/>
      <c r="GKA1" s="81"/>
      <c r="GKB1" s="81"/>
      <c r="GKC1" s="81"/>
      <c r="GKD1" s="81"/>
      <c r="GKE1" s="81"/>
      <c r="GKF1" s="81"/>
      <c r="GKG1" s="81"/>
      <c r="GKH1" s="81"/>
      <c r="GKI1" s="81"/>
      <c r="GKJ1" s="81"/>
      <c r="GKK1" s="81"/>
      <c r="GKL1" s="81"/>
      <c r="GKM1" s="81"/>
      <c r="GKN1" s="81"/>
      <c r="GKO1" s="81"/>
      <c r="GKP1" s="81"/>
      <c r="GKQ1" s="81"/>
      <c r="GKR1" s="81"/>
      <c r="GKS1" s="81"/>
      <c r="GKT1" s="81"/>
      <c r="GKU1" s="81"/>
      <c r="GKV1" s="81"/>
      <c r="GKW1" s="81"/>
      <c r="GKX1" s="81"/>
      <c r="GKY1" s="81"/>
      <c r="GKZ1" s="81"/>
      <c r="GLA1" s="81"/>
      <c r="GLB1" s="81"/>
      <c r="GLC1" s="81"/>
      <c r="GLD1" s="81"/>
      <c r="GLE1" s="81"/>
      <c r="GLF1" s="81"/>
      <c r="GLG1" s="81"/>
      <c r="GLH1" s="81"/>
      <c r="GLI1" s="81"/>
      <c r="GLJ1" s="81"/>
      <c r="GLK1" s="81"/>
      <c r="GLL1" s="81"/>
      <c r="GLM1" s="81"/>
      <c r="GLN1" s="81"/>
      <c r="GLO1" s="81"/>
      <c r="GLP1" s="81"/>
      <c r="GLQ1" s="81"/>
      <c r="GLR1" s="81"/>
      <c r="GLS1" s="81"/>
      <c r="GLT1" s="81"/>
      <c r="GLU1" s="81"/>
      <c r="GLV1" s="81"/>
      <c r="GLW1" s="81"/>
      <c r="GLX1" s="81"/>
      <c r="GLY1" s="81"/>
      <c r="GLZ1" s="81"/>
      <c r="GMA1" s="81"/>
      <c r="GMB1" s="81"/>
      <c r="GMC1" s="81"/>
      <c r="GMD1" s="81"/>
      <c r="GME1" s="81"/>
      <c r="GMF1" s="81"/>
      <c r="GMG1" s="81"/>
      <c r="GMH1" s="81"/>
      <c r="GMI1" s="81"/>
      <c r="GMJ1" s="81"/>
      <c r="GMK1" s="81"/>
      <c r="GML1" s="81"/>
      <c r="GMM1" s="81"/>
      <c r="GMN1" s="81"/>
      <c r="GMO1" s="81"/>
      <c r="GMP1" s="81"/>
      <c r="GMQ1" s="81"/>
      <c r="GMR1" s="81"/>
      <c r="GMS1" s="81"/>
      <c r="GMT1" s="81"/>
      <c r="GMU1" s="81"/>
      <c r="GMV1" s="81"/>
      <c r="GMW1" s="81"/>
      <c r="GMX1" s="81"/>
      <c r="GMY1" s="81"/>
      <c r="GMZ1" s="81"/>
      <c r="GNA1" s="81"/>
      <c r="GNB1" s="81"/>
      <c r="GNC1" s="81"/>
      <c r="GND1" s="81"/>
      <c r="GNE1" s="81"/>
      <c r="GNF1" s="81"/>
      <c r="GNG1" s="81"/>
      <c r="GNH1" s="81"/>
      <c r="GNI1" s="81"/>
      <c r="GNJ1" s="81"/>
      <c r="GNK1" s="81"/>
      <c r="GNL1" s="81"/>
      <c r="GNM1" s="81"/>
      <c r="GNN1" s="81"/>
      <c r="GNO1" s="81"/>
      <c r="GNP1" s="81"/>
      <c r="GNQ1" s="81"/>
      <c r="GNR1" s="81"/>
      <c r="GNS1" s="81"/>
      <c r="GNT1" s="81"/>
      <c r="GNU1" s="81"/>
      <c r="GNV1" s="81"/>
      <c r="GNW1" s="81"/>
      <c r="GNX1" s="81"/>
      <c r="GNY1" s="81"/>
      <c r="GNZ1" s="81"/>
      <c r="GOA1" s="81"/>
      <c r="GOB1" s="81"/>
      <c r="GOC1" s="81"/>
      <c r="GOD1" s="81"/>
      <c r="GOE1" s="81"/>
      <c r="GOF1" s="81"/>
      <c r="GOG1" s="81"/>
      <c r="GOH1" s="81"/>
      <c r="GOI1" s="81"/>
      <c r="GOJ1" s="81"/>
      <c r="GOK1" s="81"/>
      <c r="GOL1" s="81"/>
      <c r="GOM1" s="81"/>
      <c r="GON1" s="81"/>
      <c r="GOO1" s="81"/>
      <c r="GOP1" s="81"/>
      <c r="GOQ1" s="81"/>
      <c r="GOR1" s="81"/>
      <c r="GOS1" s="81"/>
      <c r="GOT1" s="81"/>
      <c r="GOU1" s="81"/>
      <c r="GOV1" s="81"/>
      <c r="GOW1" s="81"/>
      <c r="GOX1" s="81"/>
      <c r="GOY1" s="81"/>
      <c r="GOZ1" s="81"/>
      <c r="GPA1" s="81"/>
      <c r="GPB1" s="81"/>
      <c r="GPC1" s="81"/>
      <c r="GPD1" s="81"/>
      <c r="GPE1" s="81"/>
      <c r="GPF1" s="81"/>
      <c r="GPG1" s="81"/>
      <c r="GPH1" s="81"/>
      <c r="GPI1" s="81"/>
      <c r="GPJ1" s="81"/>
      <c r="GPK1" s="81"/>
      <c r="GPL1" s="81"/>
      <c r="GPM1" s="81"/>
      <c r="GPN1" s="81"/>
      <c r="GPO1" s="81"/>
      <c r="GPP1" s="81"/>
      <c r="GPQ1" s="81"/>
      <c r="GPR1" s="81"/>
      <c r="GPS1" s="81"/>
      <c r="GPT1" s="81"/>
      <c r="GPU1" s="81"/>
      <c r="GPV1" s="81"/>
      <c r="GPW1" s="81"/>
      <c r="GPX1" s="81"/>
      <c r="GPY1" s="81"/>
      <c r="GPZ1" s="81"/>
      <c r="GQA1" s="81"/>
      <c r="GQB1" s="81"/>
      <c r="GQC1" s="81"/>
      <c r="GQD1" s="81"/>
      <c r="GQE1" s="81"/>
      <c r="GQF1" s="81"/>
      <c r="GQG1" s="81"/>
      <c r="GQH1" s="81"/>
      <c r="GQI1" s="81"/>
      <c r="GQJ1" s="81"/>
      <c r="GQK1" s="81"/>
      <c r="GQL1" s="81"/>
      <c r="GQM1" s="81"/>
      <c r="GQN1" s="81"/>
      <c r="GQO1" s="81"/>
      <c r="GQP1" s="81"/>
      <c r="GQQ1" s="81"/>
      <c r="GQR1" s="81"/>
      <c r="GQS1" s="81"/>
      <c r="GQT1" s="81"/>
      <c r="GQU1" s="81"/>
      <c r="GQV1" s="81"/>
      <c r="GQW1" s="81"/>
      <c r="GQX1" s="81"/>
      <c r="GQY1" s="81"/>
      <c r="GQZ1" s="81"/>
      <c r="GRA1" s="81"/>
      <c r="GRB1" s="81"/>
      <c r="GRC1" s="81"/>
      <c r="GRD1" s="81"/>
      <c r="GRE1" s="81"/>
      <c r="GRF1" s="81"/>
      <c r="GRG1" s="81"/>
      <c r="GRH1" s="81"/>
      <c r="GRI1" s="81"/>
      <c r="GRJ1" s="81"/>
      <c r="GRK1" s="81"/>
      <c r="GRL1" s="81"/>
      <c r="GRM1" s="81"/>
      <c r="GRN1" s="81"/>
      <c r="GRO1" s="81"/>
      <c r="GRP1" s="81"/>
      <c r="GRQ1" s="81"/>
      <c r="GRR1" s="81"/>
      <c r="GRS1" s="81"/>
      <c r="GRT1" s="81"/>
      <c r="GRU1" s="81"/>
      <c r="GRV1" s="81"/>
      <c r="GRW1" s="81"/>
      <c r="GRX1" s="81"/>
      <c r="GRY1" s="81"/>
      <c r="GRZ1" s="81"/>
      <c r="GSA1" s="81"/>
      <c r="GSB1" s="81"/>
      <c r="GSC1" s="81"/>
      <c r="GSD1" s="81"/>
      <c r="GSE1" s="81"/>
      <c r="GSF1" s="81"/>
      <c r="GSG1" s="81"/>
      <c r="GSH1" s="81"/>
      <c r="GSI1" s="81"/>
      <c r="GSJ1" s="81"/>
      <c r="GSK1" s="81"/>
      <c r="GSL1" s="81"/>
      <c r="GSM1" s="81"/>
      <c r="GSN1" s="81"/>
      <c r="GSO1" s="81"/>
      <c r="GSP1" s="81"/>
      <c r="GSQ1" s="81"/>
      <c r="GSR1" s="81"/>
      <c r="GSS1" s="81"/>
      <c r="GST1" s="81"/>
      <c r="GSU1" s="81"/>
      <c r="GSV1" s="81"/>
      <c r="GSW1" s="81"/>
      <c r="GSX1" s="81"/>
      <c r="GSY1" s="81"/>
      <c r="GSZ1" s="81"/>
      <c r="GTA1" s="81"/>
      <c r="GTB1" s="81"/>
      <c r="GTC1" s="81"/>
      <c r="GTD1" s="81"/>
      <c r="GTE1" s="81"/>
      <c r="GTF1" s="81"/>
      <c r="GTG1" s="81"/>
      <c r="GTH1" s="81"/>
      <c r="GTI1" s="81"/>
      <c r="GTJ1" s="81"/>
      <c r="GTK1" s="81"/>
      <c r="GTL1" s="81"/>
      <c r="GTM1" s="81"/>
      <c r="GTN1" s="81"/>
      <c r="GTO1" s="81"/>
      <c r="GTP1" s="81"/>
      <c r="GTQ1" s="81"/>
      <c r="GTR1" s="81"/>
      <c r="GTS1" s="81"/>
      <c r="GTT1" s="81"/>
      <c r="GTU1" s="81"/>
      <c r="GTV1" s="81"/>
      <c r="GTW1" s="81"/>
      <c r="GTX1" s="81"/>
      <c r="GTY1" s="81"/>
      <c r="GTZ1" s="81"/>
      <c r="GUA1" s="81"/>
      <c r="GUB1" s="81"/>
      <c r="GUC1" s="81"/>
      <c r="GUD1" s="81"/>
      <c r="GUE1" s="81"/>
      <c r="GUF1" s="81"/>
      <c r="GUG1" s="81"/>
      <c r="GUH1" s="81"/>
      <c r="GUI1" s="81"/>
      <c r="GUJ1" s="81"/>
      <c r="GUK1" s="81"/>
      <c r="GUL1" s="81"/>
      <c r="GUM1" s="81"/>
      <c r="GUN1" s="81"/>
      <c r="GUO1" s="81"/>
      <c r="GUP1" s="81"/>
      <c r="GUQ1" s="81"/>
      <c r="GUR1" s="81"/>
      <c r="GUS1" s="81"/>
      <c r="GUT1" s="81"/>
      <c r="GUU1" s="81"/>
      <c r="GUV1" s="81"/>
      <c r="GUW1" s="81"/>
      <c r="GUX1" s="81"/>
      <c r="GUY1" s="81"/>
      <c r="GUZ1" s="81"/>
      <c r="GVA1" s="81"/>
      <c r="GVB1" s="81"/>
      <c r="GVC1" s="81"/>
      <c r="GVD1" s="81"/>
      <c r="GVE1" s="81"/>
      <c r="GVF1" s="81"/>
      <c r="GVG1" s="81"/>
      <c r="GVH1" s="81"/>
      <c r="GVI1" s="81"/>
      <c r="GVJ1" s="81"/>
      <c r="GVK1" s="81"/>
      <c r="GVL1" s="81"/>
      <c r="GVM1" s="81"/>
      <c r="GVN1" s="81"/>
      <c r="GVO1" s="81"/>
      <c r="GVP1" s="81"/>
      <c r="GVQ1" s="81"/>
      <c r="GVR1" s="81"/>
      <c r="GVS1" s="81"/>
      <c r="GVT1" s="81"/>
      <c r="GVU1" s="81"/>
      <c r="GVV1" s="81"/>
      <c r="GVW1" s="81"/>
      <c r="GVX1" s="81"/>
      <c r="GVY1" s="81"/>
      <c r="GVZ1" s="81"/>
      <c r="GWA1" s="81"/>
      <c r="GWB1" s="81"/>
      <c r="GWC1" s="81"/>
      <c r="GWD1" s="81"/>
      <c r="GWE1" s="81"/>
      <c r="GWF1" s="81"/>
      <c r="GWG1" s="81"/>
      <c r="GWH1" s="81"/>
      <c r="GWI1" s="81"/>
      <c r="GWJ1" s="81"/>
      <c r="GWK1" s="81"/>
      <c r="GWL1" s="81"/>
      <c r="GWM1" s="81"/>
      <c r="GWN1" s="81"/>
      <c r="GWO1" s="81"/>
      <c r="GWP1" s="81"/>
      <c r="GWQ1" s="81"/>
      <c r="GWR1" s="81"/>
      <c r="GWS1" s="81"/>
      <c r="GWT1" s="81"/>
      <c r="GWU1" s="81"/>
      <c r="GWV1" s="81"/>
      <c r="GWW1" s="81"/>
      <c r="GWX1" s="81"/>
      <c r="GWY1" s="81"/>
      <c r="GWZ1" s="81"/>
      <c r="GXA1" s="81"/>
      <c r="GXB1" s="81"/>
      <c r="GXC1" s="81"/>
      <c r="GXD1" s="81"/>
      <c r="GXE1" s="81"/>
      <c r="GXF1" s="81"/>
      <c r="GXG1" s="81"/>
      <c r="GXH1" s="81"/>
      <c r="GXI1" s="81"/>
      <c r="GXJ1" s="81"/>
      <c r="GXK1" s="81"/>
      <c r="GXL1" s="81"/>
      <c r="GXM1" s="81"/>
      <c r="GXN1" s="81"/>
      <c r="GXO1" s="81"/>
      <c r="GXP1" s="81"/>
      <c r="GXQ1" s="81"/>
      <c r="GXR1" s="81"/>
      <c r="GXS1" s="81"/>
      <c r="GXT1" s="81"/>
      <c r="GXU1" s="81"/>
      <c r="GXV1" s="81"/>
      <c r="GXW1" s="81"/>
      <c r="GXX1" s="81"/>
      <c r="GXY1" s="81"/>
      <c r="GXZ1" s="81"/>
      <c r="GYA1" s="81"/>
      <c r="GYB1" s="81"/>
      <c r="GYC1" s="81"/>
      <c r="GYD1" s="81"/>
      <c r="GYE1" s="81"/>
      <c r="GYF1" s="81"/>
      <c r="GYG1" s="81"/>
      <c r="GYH1" s="81"/>
      <c r="GYI1" s="81"/>
      <c r="GYJ1" s="81"/>
      <c r="GYK1" s="81"/>
      <c r="GYL1" s="81"/>
      <c r="GYM1" s="81"/>
      <c r="GYN1" s="81"/>
      <c r="GYO1" s="81"/>
      <c r="GYP1" s="81"/>
      <c r="GYQ1" s="81"/>
      <c r="GYR1" s="81"/>
      <c r="GYS1" s="81"/>
      <c r="GYT1" s="81"/>
      <c r="GYU1" s="81"/>
      <c r="GYV1" s="81"/>
      <c r="GYW1" s="81"/>
      <c r="GYX1" s="81"/>
      <c r="GYY1" s="81"/>
      <c r="GYZ1" s="81"/>
      <c r="GZA1" s="81"/>
      <c r="GZB1" s="81"/>
      <c r="GZC1" s="81"/>
      <c r="GZD1" s="81"/>
      <c r="GZE1" s="81"/>
      <c r="GZF1" s="81"/>
      <c r="GZG1" s="81"/>
      <c r="GZH1" s="81"/>
      <c r="GZI1" s="81"/>
      <c r="GZJ1" s="81"/>
      <c r="GZK1" s="81"/>
      <c r="GZL1" s="81"/>
      <c r="GZM1" s="81"/>
      <c r="GZN1" s="81"/>
      <c r="GZO1" s="81"/>
      <c r="GZP1" s="81"/>
      <c r="GZQ1" s="81"/>
      <c r="GZR1" s="81"/>
      <c r="GZS1" s="81"/>
      <c r="GZT1" s="81"/>
      <c r="GZU1" s="81"/>
      <c r="GZV1" s="81"/>
      <c r="GZW1" s="81"/>
      <c r="GZX1" s="81"/>
      <c r="GZY1" s="81"/>
      <c r="GZZ1" s="81"/>
      <c r="HAA1" s="81"/>
      <c r="HAB1" s="81"/>
      <c r="HAC1" s="81"/>
      <c r="HAD1" s="81"/>
      <c r="HAE1" s="81"/>
      <c r="HAF1" s="81"/>
      <c r="HAG1" s="81"/>
      <c r="HAH1" s="81"/>
      <c r="HAI1" s="81"/>
      <c r="HAJ1" s="81"/>
      <c r="HAK1" s="81"/>
      <c r="HAL1" s="81"/>
      <c r="HAM1" s="81"/>
      <c r="HAN1" s="81"/>
      <c r="HAO1" s="81"/>
      <c r="HAP1" s="81"/>
      <c r="HAQ1" s="81"/>
      <c r="HAR1" s="81"/>
      <c r="HAS1" s="81"/>
      <c r="HAT1" s="81"/>
      <c r="HAU1" s="81"/>
      <c r="HAV1" s="81"/>
      <c r="HAW1" s="81"/>
      <c r="HAX1" s="81"/>
      <c r="HAY1" s="81"/>
      <c r="HAZ1" s="81"/>
      <c r="HBA1" s="81"/>
      <c r="HBB1" s="81"/>
      <c r="HBC1" s="81"/>
      <c r="HBD1" s="81"/>
      <c r="HBE1" s="81"/>
      <c r="HBF1" s="81"/>
      <c r="HBG1" s="81"/>
      <c r="HBH1" s="81"/>
      <c r="HBI1" s="81"/>
      <c r="HBJ1" s="81"/>
      <c r="HBK1" s="81"/>
      <c r="HBL1" s="81"/>
      <c r="HBM1" s="81"/>
      <c r="HBN1" s="81"/>
      <c r="HBO1" s="81"/>
      <c r="HBP1" s="81"/>
      <c r="HBQ1" s="81"/>
      <c r="HBR1" s="81"/>
      <c r="HBS1" s="81"/>
      <c r="HBT1" s="81"/>
      <c r="HBU1" s="81"/>
      <c r="HBV1" s="81"/>
      <c r="HBW1" s="81"/>
      <c r="HBX1" s="81"/>
      <c r="HBY1" s="81"/>
      <c r="HBZ1" s="81"/>
      <c r="HCA1" s="81"/>
      <c r="HCB1" s="81"/>
      <c r="HCC1" s="81"/>
      <c r="HCD1" s="81"/>
      <c r="HCE1" s="81"/>
      <c r="HCF1" s="81"/>
      <c r="HCG1" s="81"/>
      <c r="HCH1" s="81"/>
      <c r="HCI1" s="81"/>
      <c r="HCJ1" s="81"/>
      <c r="HCK1" s="81"/>
      <c r="HCL1" s="81"/>
      <c r="HCM1" s="81"/>
      <c r="HCN1" s="81"/>
      <c r="HCO1" s="81"/>
      <c r="HCP1" s="81"/>
      <c r="HCQ1" s="81"/>
      <c r="HCR1" s="81"/>
      <c r="HCS1" s="81"/>
      <c r="HCT1" s="81"/>
      <c r="HCU1" s="81"/>
      <c r="HCV1" s="81"/>
      <c r="HCW1" s="81"/>
      <c r="HCX1" s="81"/>
      <c r="HCY1" s="81"/>
      <c r="HCZ1" s="81"/>
      <c r="HDA1" s="81"/>
      <c r="HDB1" s="81"/>
      <c r="HDC1" s="81"/>
      <c r="HDD1" s="81"/>
      <c r="HDE1" s="81"/>
      <c r="HDF1" s="81"/>
      <c r="HDG1" s="81"/>
      <c r="HDH1" s="81"/>
      <c r="HDI1" s="81"/>
      <c r="HDJ1" s="81"/>
      <c r="HDK1" s="81"/>
      <c r="HDL1" s="81"/>
      <c r="HDM1" s="81"/>
      <c r="HDN1" s="81"/>
      <c r="HDO1" s="81"/>
      <c r="HDP1" s="81"/>
      <c r="HDQ1" s="81"/>
      <c r="HDR1" s="81"/>
      <c r="HDS1" s="81"/>
      <c r="HDT1" s="81"/>
      <c r="HDU1" s="81"/>
      <c r="HDV1" s="81"/>
      <c r="HDW1" s="81"/>
      <c r="HDX1" s="81"/>
      <c r="HDY1" s="81"/>
      <c r="HDZ1" s="81"/>
      <c r="HEA1" s="81"/>
      <c r="HEB1" s="81"/>
      <c r="HEC1" s="81"/>
      <c r="HED1" s="81"/>
      <c r="HEE1" s="81"/>
      <c r="HEF1" s="81"/>
      <c r="HEG1" s="81"/>
      <c r="HEH1" s="81"/>
      <c r="HEI1" s="81"/>
      <c r="HEJ1" s="81"/>
      <c r="HEK1" s="81"/>
      <c r="HEL1" s="81"/>
      <c r="HEM1" s="81"/>
      <c r="HEN1" s="81"/>
      <c r="HEO1" s="81"/>
      <c r="HEP1" s="81"/>
      <c r="HEQ1" s="81"/>
      <c r="HER1" s="81"/>
      <c r="HES1" s="81"/>
      <c r="HET1" s="81"/>
      <c r="HEU1" s="81"/>
      <c r="HEV1" s="81"/>
      <c r="HEW1" s="81"/>
      <c r="HEX1" s="81"/>
      <c r="HEY1" s="81"/>
      <c r="HEZ1" s="81"/>
      <c r="HFA1" s="81"/>
      <c r="HFB1" s="81"/>
      <c r="HFC1" s="81"/>
      <c r="HFD1" s="81"/>
      <c r="HFE1" s="81"/>
      <c r="HFF1" s="81"/>
      <c r="HFG1" s="81"/>
      <c r="HFH1" s="81"/>
      <c r="HFI1" s="81"/>
      <c r="HFJ1" s="81"/>
      <c r="HFK1" s="81"/>
      <c r="HFL1" s="81"/>
      <c r="HFM1" s="81"/>
      <c r="HFN1" s="81"/>
      <c r="HFO1" s="81"/>
      <c r="HFP1" s="81"/>
      <c r="HFQ1" s="81"/>
      <c r="HFR1" s="81"/>
      <c r="HFS1" s="81"/>
      <c r="HFT1" s="81"/>
      <c r="HFU1" s="81"/>
      <c r="HFV1" s="81"/>
      <c r="HFW1" s="81"/>
      <c r="HFX1" s="81"/>
      <c r="HFY1" s="81"/>
      <c r="HFZ1" s="81"/>
      <c r="HGA1" s="81"/>
      <c r="HGB1" s="81"/>
      <c r="HGC1" s="81"/>
      <c r="HGD1" s="81"/>
      <c r="HGE1" s="81"/>
      <c r="HGF1" s="81"/>
      <c r="HGG1" s="81"/>
      <c r="HGH1" s="81"/>
      <c r="HGI1" s="81"/>
      <c r="HGJ1" s="81"/>
      <c r="HGK1" s="81"/>
      <c r="HGL1" s="81"/>
      <c r="HGM1" s="81"/>
      <c r="HGN1" s="81"/>
      <c r="HGO1" s="81"/>
      <c r="HGP1" s="81"/>
      <c r="HGQ1" s="81"/>
      <c r="HGR1" s="81"/>
      <c r="HGS1" s="81"/>
      <c r="HGT1" s="81"/>
      <c r="HGU1" s="81"/>
      <c r="HGV1" s="81"/>
      <c r="HGW1" s="81"/>
      <c r="HGX1" s="81"/>
      <c r="HGY1" s="81"/>
      <c r="HGZ1" s="81"/>
      <c r="HHA1" s="81"/>
      <c r="HHB1" s="81"/>
      <c r="HHC1" s="81"/>
      <c r="HHD1" s="81"/>
      <c r="HHE1" s="81"/>
      <c r="HHF1" s="81"/>
      <c r="HHG1" s="81"/>
      <c r="HHH1" s="81"/>
      <c r="HHI1" s="81"/>
      <c r="HHJ1" s="81"/>
      <c r="HHK1" s="81"/>
      <c r="HHL1" s="81"/>
      <c r="HHM1" s="81"/>
      <c r="HHN1" s="81"/>
      <c r="HHO1" s="81"/>
      <c r="HHP1" s="81"/>
      <c r="HHQ1" s="81"/>
      <c r="HHR1" s="81"/>
      <c r="HHS1" s="81"/>
      <c r="HHT1" s="81"/>
      <c r="HHU1" s="81"/>
      <c r="HHV1" s="81"/>
      <c r="HHW1" s="81"/>
      <c r="HHX1" s="81"/>
      <c r="HHY1" s="81"/>
      <c r="HHZ1" s="81"/>
      <c r="HIA1" s="81"/>
      <c r="HIB1" s="81"/>
      <c r="HIC1" s="81"/>
      <c r="HID1" s="81"/>
      <c r="HIE1" s="81"/>
      <c r="HIF1" s="81"/>
      <c r="HIG1" s="81"/>
      <c r="HIH1" s="81"/>
      <c r="HII1" s="81"/>
      <c r="HIJ1" s="81"/>
      <c r="HIK1" s="81"/>
      <c r="HIL1" s="81"/>
      <c r="HIM1" s="81"/>
      <c r="HIN1" s="81"/>
      <c r="HIO1" s="81"/>
      <c r="HIP1" s="81"/>
      <c r="HIQ1" s="81"/>
      <c r="HIR1" s="81"/>
      <c r="HIS1" s="81"/>
      <c r="HIT1" s="81"/>
      <c r="HIU1" s="81"/>
      <c r="HIV1" s="81"/>
      <c r="HIW1" s="81"/>
      <c r="HIX1" s="81"/>
      <c r="HIY1" s="81"/>
      <c r="HIZ1" s="81"/>
      <c r="HJA1" s="81"/>
      <c r="HJB1" s="81"/>
      <c r="HJC1" s="81"/>
      <c r="HJD1" s="81"/>
      <c r="HJE1" s="81"/>
      <c r="HJF1" s="81"/>
      <c r="HJG1" s="81"/>
      <c r="HJH1" s="81"/>
      <c r="HJI1" s="81"/>
      <c r="HJJ1" s="81"/>
      <c r="HJK1" s="81"/>
      <c r="HJL1" s="81"/>
      <c r="HJM1" s="81"/>
      <c r="HJN1" s="81"/>
      <c r="HJO1" s="81"/>
      <c r="HJP1" s="81"/>
      <c r="HJQ1" s="81"/>
      <c r="HJR1" s="81"/>
      <c r="HJS1" s="81"/>
      <c r="HJT1" s="81"/>
      <c r="HJU1" s="81"/>
      <c r="HJV1" s="81"/>
      <c r="HJW1" s="81"/>
      <c r="HJX1" s="81"/>
      <c r="HJY1" s="81"/>
      <c r="HJZ1" s="81"/>
      <c r="HKA1" s="81"/>
      <c r="HKB1" s="81"/>
      <c r="HKC1" s="81"/>
      <c r="HKD1" s="81"/>
      <c r="HKE1" s="81"/>
      <c r="HKF1" s="81"/>
      <c r="HKG1" s="81"/>
      <c r="HKH1" s="81"/>
      <c r="HKI1" s="81"/>
      <c r="HKJ1" s="81"/>
      <c r="HKK1" s="81"/>
      <c r="HKL1" s="81"/>
      <c r="HKM1" s="81"/>
      <c r="HKN1" s="81"/>
      <c r="HKO1" s="81"/>
      <c r="HKP1" s="81"/>
      <c r="HKQ1" s="81"/>
      <c r="HKR1" s="81"/>
      <c r="HKS1" s="81"/>
      <c r="HKT1" s="81"/>
      <c r="HKU1" s="81"/>
      <c r="HKV1" s="81"/>
      <c r="HKW1" s="81"/>
      <c r="HKX1" s="81"/>
      <c r="HKY1" s="81"/>
      <c r="HKZ1" s="81"/>
      <c r="HLA1" s="81"/>
      <c r="HLB1" s="81"/>
      <c r="HLC1" s="81"/>
      <c r="HLD1" s="81"/>
      <c r="HLE1" s="81"/>
      <c r="HLF1" s="81"/>
      <c r="HLG1" s="81"/>
      <c r="HLH1" s="81"/>
      <c r="HLI1" s="81"/>
      <c r="HLJ1" s="81"/>
      <c r="HLK1" s="81"/>
      <c r="HLL1" s="81"/>
      <c r="HLM1" s="81"/>
      <c r="HLN1" s="81"/>
      <c r="HLO1" s="81"/>
      <c r="HLP1" s="81"/>
      <c r="HLQ1" s="81"/>
      <c r="HLR1" s="81"/>
      <c r="HLS1" s="81"/>
      <c r="HLT1" s="81"/>
      <c r="HLU1" s="81"/>
      <c r="HLV1" s="81"/>
      <c r="HLW1" s="81"/>
      <c r="HLX1" s="81"/>
      <c r="HLY1" s="81"/>
      <c r="HLZ1" s="81"/>
      <c r="HMA1" s="81"/>
      <c r="HMB1" s="81"/>
      <c r="HMC1" s="81"/>
      <c r="HMD1" s="81"/>
      <c r="HME1" s="81"/>
      <c r="HMF1" s="81"/>
      <c r="HMG1" s="81"/>
      <c r="HMH1" s="81"/>
      <c r="HMI1" s="81"/>
      <c r="HMJ1" s="81"/>
      <c r="HMK1" s="81"/>
      <c r="HML1" s="81"/>
      <c r="HMM1" s="81"/>
      <c r="HMN1" s="81"/>
      <c r="HMO1" s="81"/>
      <c r="HMP1" s="81"/>
      <c r="HMQ1" s="81"/>
      <c r="HMR1" s="81"/>
      <c r="HMS1" s="81"/>
      <c r="HMT1" s="81"/>
      <c r="HMU1" s="81"/>
      <c r="HMV1" s="81"/>
      <c r="HMW1" s="81"/>
      <c r="HMX1" s="81"/>
      <c r="HMY1" s="81"/>
      <c r="HMZ1" s="81"/>
      <c r="HNA1" s="81"/>
      <c r="HNB1" s="81"/>
      <c r="HNC1" s="81"/>
      <c r="HND1" s="81"/>
      <c r="HNE1" s="81"/>
      <c r="HNF1" s="81"/>
      <c r="HNG1" s="81"/>
      <c r="HNH1" s="81"/>
      <c r="HNI1" s="81"/>
      <c r="HNJ1" s="81"/>
      <c r="HNK1" s="81"/>
      <c r="HNL1" s="81"/>
      <c r="HNM1" s="81"/>
      <c r="HNN1" s="81"/>
      <c r="HNO1" s="81"/>
      <c r="HNP1" s="81"/>
      <c r="HNQ1" s="81"/>
      <c r="HNR1" s="81"/>
      <c r="HNS1" s="81"/>
      <c r="HNT1" s="81"/>
      <c r="HNU1" s="81"/>
      <c r="HNV1" s="81"/>
      <c r="HNW1" s="81"/>
      <c r="HNX1" s="81"/>
      <c r="HNY1" s="81"/>
      <c r="HNZ1" s="81"/>
      <c r="HOA1" s="81"/>
      <c r="HOB1" s="81"/>
      <c r="HOC1" s="81"/>
      <c r="HOD1" s="81"/>
      <c r="HOE1" s="81"/>
      <c r="HOF1" s="81"/>
      <c r="HOG1" s="81"/>
      <c r="HOH1" s="81"/>
      <c r="HOI1" s="81"/>
      <c r="HOJ1" s="81"/>
      <c r="HOK1" s="81"/>
      <c r="HOL1" s="81"/>
      <c r="HOM1" s="81"/>
      <c r="HON1" s="81"/>
      <c r="HOO1" s="81"/>
      <c r="HOP1" s="81"/>
      <c r="HOQ1" s="81"/>
      <c r="HOR1" s="81"/>
      <c r="HOS1" s="81"/>
      <c r="HOT1" s="81"/>
      <c r="HOU1" s="81"/>
      <c r="HOV1" s="81"/>
      <c r="HOW1" s="81"/>
      <c r="HOX1" s="81"/>
      <c r="HOY1" s="81"/>
      <c r="HOZ1" s="81"/>
      <c r="HPA1" s="81"/>
      <c r="HPB1" s="81"/>
      <c r="HPC1" s="81"/>
      <c r="HPD1" s="81"/>
      <c r="HPE1" s="81"/>
      <c r="HPF1" s="81"/>
      <c r="HPG1" s="81"/>
      <c r="HPH1" s="81"/>
      <c r="HPI1" s="81"/>
      <c r="HPJ1" s="81"/>
      <c r="HPK1" s="81"/>
      <c r="HPL1" s="81"/>
      <c r="HPM1" s="81"/>
      <c r="HPN1" s="81"/>
      <c r="HPO1" s="81"/>
      <c r="HPP1" s="81"/>
      <c r="HPQ1" s="81"/>
      <c r="HPR1" s="81"/>
      <c r="HPS1" s="81"/>
      <c r="HPT1" s="81"/>
      <c r="HPU1" s="81"/>
      <c r="HPV1" s="81"/>
      <c r="HPW1" s="81"/>
      <c r="HPX1" s="81"/>
      <c r="HPY1" s="81"/>
      <c r="HPZ1" s="81"/>
      <c r="HQA1" s="81"/>
      <c r="HQB1" s="81"/>
      <c r="HQC1" s="81"/>
      <c r="HQD1" s="81"/>
      <c r="HQE1" s="81"/>
      <c r="HQF1" s="81"/>
      <c r="HQG1" s="81"/>
      <c r="HQH1" s="81"/>
      <c r="HQI1" s="81"/>
      <c r="HQJ1" s="81"/>
      <c r="HQK1" s="81"/>
      <c r="HQL1" s="81"/>
      <c r="HQM1" s="81"/>
      <c r="HQN1" s="81"/>
      <c r="HQO1" s="81"/>
      <c r="HQP1" s="81"/>
      <c r="HQQ1" s="81"/>
      <c r="HQR1" s="81"/>
      <c r="HQS1" s="81"/>
      <c r="HQT1" s="81"/>
      <c r="HQU1" s="81"/>
      <c r="HQV1" s="81"/>
      <c r="HQW1" s="81"/>
      <c r="HQX1" s="81"/>
      <c r="HQY1" s="81"/>
      <c r="HQZ1" s="81"/>
      <c r="HRA1" s="81"/>
      <c r="HRB1" s="81"/>
      <c r="HRC1" s="81"/>
      <c r="HRD1" s="81"/>
      <c r="HRE1" s="81"/>
      <c r="HRF1" s="81"/>
      <c r="HRG1" s="81"/>
      <c r="HRH1" s="81"/>
      <c r="HRI1" s="81"/>
      <c r="HRJ1" s="81"/>
      <c r="HRK1" s="81"/>
      <c r="HRL1" s="81"/>
      <c r="HRM1" s="81"/>
      <c r="HRN1" s="81"/>
      <c r="HRO1" s="81"/>
      <c r="HRP1" s="81"/>
      <c r="HRQ1" s="81"/>
      <c r="HRR1" s="81"/>
      <c r="HRS1" s="81"/>
      <c r="HRT1" s="81"/>
      <c r="HRU1" s="81"/>
      <c r="HRV1" s="81"/>
      <c r="HRW1" s="81"/>
      <c r="HRX1" s="81"/>
      <c r="HRY1" s="81"/>
      <c r="HRZ1" s="81"/>
      <c r="HSA1" s="81"/>
      <c r="HSB1" s="81"/>
      <c r="HSC1" s="81"/>
      <c r="HSD1" s="81"/>
      <c r="HSE1" s="81"/>
      <c r="HSF1" s="81"/>
      <c r="HSG1" s="81"/>
      <c r="HSH1" s="81"/>
      <c r="HSI1" s="81"/>
      <c r="HSJ1" s="81"/>
      <c r="HSK1" s="81"/>
      <c r="HSL1" s="81"/>
      <c r="HSM1" s="81"/>
      <c r="HSN1" s="81"/>
      <c r="HSO1" s="81"/>
      <c r="HSP1" s="81"/>
      <c r="HSQ1" s="81"/>
      <c r="HSR1" s="81"/>
      <c r="HSS1" s="81"/>
      <c r="HST1" s="81"/>
      <c r="HSU1" s="81"/>
      <c r="HSV1" s="81"/>
      <c r="HSW1" s="81"/>
      <c r="HSX1" s="81"/>
      <c r="HSY1" s="81"/>
      <c r="HSZ1" s="81"/>
      <c r="HTA1" s="81"/>
      <c r="HTB1" s="81"/>
      <c r="HTC1" s="81"/>
      <c r="HTD1" s="81"/>
      <c r="HTE1" s="81"/>
      <c r="HTF1" s="81"/>
      <c r="HTG1" s="81"/>
      <c r="HTH1" s="81"/>
      <c r="HTI1" s="81"/>
      <c r="HTJ1" s="81"/>
      <c r="HTK1" s="81"/>
      <c r="HTL1" s="81"/>
      <c r="HTM1" s="81"/>
      <c r="HTN1" s="81"/>
      <c r="HTO1" s="81"/>
      <c r="HTP1" s="81"/>
      <c r="HTQ1" s="81"/>
      <c r="HTR1" s="81"/>
      <c r="HTS1" s="81"/>
      <c r="HTT1" s="81"/>
      <c r="HTU1" s="81"/>
      <c r="HTV1" s="81"/>
      <c r="HTW1" s="81"/>
      <c r="HTX1" s="81"/>
      <c r="HTY1" s="81"/>
      <c r="HTZ1" s="81"/>
      <c r="HUA1" s="81"/>
      <c r="HUB1" s="81"/>
      <c r="HUC1" s="81"/>
      <c r="HUD1" s="81"/>
      <c r="HUE1" s="81"/>
      <c r="HUF1" s="81"/>
      <c r="HUG1" s="81"/>
      <c r="HUH1" s="81"/>
      <c r="HUI1" s="81"/>
      <c r="HUJ1" s="81"/>
      <c r="HUK1" s="81"/>
      <c r="HUL1" s="81"/>
      <c r="HUM1" s="81"/>
      <c r="HUN1" s="81"/>
      <c r="HUO1" s="81"/>
      <c r="HUP1" s="81"/>
      <c r="HUQ1" s="81"/>
      <c r="HUR1" s="81"/>
      <c r="HUS1" s="81"/>
      <c r="HUT1" s="81"/>
      <c r="HUU1" s="81"/>
      <c r="HUV1" s="81"/>
      <c r="HUW1" s="81"/>
      <c r="HUX1" s="81"/>
      <c r="HUY1" s="81"/>
      <c r="HUZ1" s="81"/>
      <c r="HVA1" s="81"/>
      <c r="HVB1" s="81"/>
      <c r="HVC1" s="81"/>
      <c r="HVD1" s="81"/>
      <c r="HVE1" s="81"/>
      <c r="HVF1" s="81"/>
      <c r="HVG1" s="81"/>
      <c r="HVH1" s="81"/>
      <c r="HVI1" s="81"/>
      <c r="HVJ1" s="81"/>
      <c r="HVK1" s="81"/>
      <c r="HVL1" s="81"/>
      <c r="HVM1" s="81"/>
      <c r="HVN1" s="81"/>
      <c r="HVO1" s="81"/>
      <c r="HVP1" s="81"/>
      <c r="HVQ1" s="81"/>
      <c r="HVR1" s="81"/>
      <c r="HVS1" s="81"/>
      <c r="HVT1" s="81"/>
      <c r="HVU1" s="81"/>
      <c r="HVV1" s="81"/>
      <c r="HVW1" s="81"/>
      <c r="HVX1" s="81"/>
      <c r="HVY1" s="81"/>
      <c r="HVZ1" s="81"/>
      <c r="HWA1" s="81"/>
      <c r="HWB1" s="81"/>
      <c r="HWC1" s="81"/>
      <c r="HWD1" s="81"/>
      <c r="HWE1" s="81"/>
      <c r="HWF1" s="81"/>
      <c r="HWG1" s="81"/>
      <c r="HWH1" s="81"/>
      <c r="HWI1" s="81"/>
      <c r="HWJ1" s="81"/>
      <c r="HWK1" s="81"/>
      <c r="HWL1" s="81"/>
      <c r="HWM1" s="81"/>
      <c r="HWN1" s="81"/>
      <c r="HWO1" s="81"/>
      <c r="HWP1" s="81"/>
      <c r="HWQ1" s="81"/>
      <c r="HWR1" s="81"/>
      <c r="HWS1" s="81"/>
      <c r="HWT1" s="81"/>
      <c r="HWU1" s="81"/>
      <c r="HWV1" s="81"/>
      <c r="HWW1" s="81"/>
      <c r="HWX1" s="81"/>
      <c r="HWY1" s="81"/>
      <c r="HWZ1" s="81"/>
      <c r="HXA1" s="81"/>
      <c r="HXB1" s="81"/>
      <c r="HXC1" s="81"/>
      <c r="HXD1" s="81"/>
      <c r="HXE1" s="81"/>
      <c r="HXF1" s="81"/>
      <c r="HXG1" s="81"/>
      <c r="HXH1" s="81"/>
      <c r="HXI1" s="81"/>
      <c r="HXJ1" s="81"/>
      <c r="HXK1" s="81"/>
      <c r="HXL1" s="81"/>
      <c r="HXM1" s="81"/>
      <c r="HXN1" s="81"/>
      <c r="HXO1" s="81"/>
      <c r="HXP1" s="81"/>
      <c r="HXQ1" s="81"/>
      <c r="HXR1" s="81"/>
      <c r="HXS1" s="81"/>
      <c r="HXT1" s="81"/>
      <c r="HXU1" s="81"/>
      <c r="HXV1" s="81"/>
      <c r="HXW1" s="81"/>
      <c r="HXX1" s="81"/>
      <c r="HXY1" s="81"/>
      <c r="HXZ1" s="81"/>
      <c r="HYA1" s="81"/>
      <c r="HYB1" s="81"/>
      <c r="HYC1" s="81"/>
      <c r="HYD1" s="81"/>
      <c r="HYE1" s="81"/>
      <c r="HYF1" s="81"/>
      <c r="HYG1" s="81"/>
      <c r="HYH1" s="81"/>
      <c r="HYI1" s="81"/>
      <c r="HYJ1" s="81"/>
      <c r="HYK1" s="81"/>
      <c r="HYL1" s="81"/>
      <c r="HYM1" s="81"/>
      <c r="HYN1" s="81"/>
      <c r="HYO1" s="81"/>
      <c r="HYP1" s="81"/>
      <c r="HYQ1" s="81"/>
      <c r="HYR1" s="81"/>
      <c r="HYS1" s="81"/>
      <c r="HYT1" s="81"/>
      <c r="HYU1" s="81"/>
      <c r="HYV1" s="81"/>
      <c r="HYW1" s="81"/>
      <c r="HYX1" s="81"/>
      <c r="HYY1" s="81"/>
      <c r="HYZ1" s="81"/>
      <c r="HZA1" s="81"/>
      <c r="HZB1" s="81"/>
      <c r="HZC1" s="81"/>
      <c r="HZD1" s="81"/>
      <c r="HZE1" s="81"/>
      <c r="HZF1" s="81"/>
      <c r="HZG1" s="81"/>
      <c r="HZH1" s="81"/>
      <c r="HZI1" s="81"/>
      <c r="HZJ1" s="81"/>
      <c r="HZK1" s="81"/>
      <c r="HZL1" s="81"/>
      <c r="HZM1" s="81"/>
      <c r="HZN1" s="81"/>
      <c r="HZO1" s="81"/>
      <c r="HZP1" s="81"/>
      <c r="HZQ1" s="81"/>
      <c r="HZR1" s="81"/>
      <c r="HZS1" s="81"/>
      <c r="HZT1" s="81"/>
      <c r="HZU1" s="81"/>
      <c r="HZV1" s="81"/>
      <c r="HZW1" s="81"/>
      <c r="HZX1" s="81"/>
      <c r="HZY1" s="81"/>
      <c r="HZZ1" s="81"/>
      <c r="IAA1" s="81"/>
      <c r="IAB1" s="81"/>
      <c r="IAC1" s="81"/>
      <c r="IAD1" s="81"/>
      <c r="IAE1" s="81"/>
      <c r="IAF1" s="81"/>
      <c r="IAG1" s="81"/>
      <c r="IAH1" s="81"/>
      <c r="IAI1" s="81"/>
      <c r="IAJ1" s="81"/>
      <c r="IAK1" s="81"/>
      <c r="IAL1" s="81"/>
      <c r="IAM1" s="81"/>
      <c r="IAN1" s="81"/>
      <c r="IAO1" s="81"/>
      <c r="IAP1" s="81"/>
      <c r="IAQ1" s="81"/>
      <c r="IAR1" s="81"/>
      <c r="IAS1" s="81"/>
      <c r="IAT1" s="81"/>
      <c r="IAU1" s="81"/>
      <c r="IAV1" s="81"/>
      <c r="IAW1" s="81"/>
      <c r="IAX1" s="81"/>
      <c r="IAY1" s="81"/>
      <c r="IAZ1" s="81"/>
      <c r="IBA1" s="81"/>
      <c r="IBB1" s="81"/>
      <c r="IBC1" s="81"/>
      <c r="IBD1" s="81"/>
      <c r="IBE1" s="81"/>
      <c r="IBF1" s="81"/>
      <c r="IBG1" s="81"/>
      <c r="IBH1" s="81"/>
      <c r="IBI1" s="81"/>
      <c r="IBJ1" s="81"/>
      <c r="IBK1" s="81"/>
      <c r="IBL1" s="81"/>
      <c r="IBM1" s="81"/>
      <c r="IBN1" s="81"/>
      <c r="IBO1" s="81"/>
      <c r="IBP1" s="81"/>
      <c r="IBQ1" s="81"/>
      <c r="IBR1" s="81"/>
      <c r="IBS1" s="81"/>
      <c r="IBT1" s="81"/>
      <c r="IBU1" s="81"/>
      <c r="IBV1" s="81"/>
      <c r="IBW1" s="81"/>
      <c r="IBX1" s="81"/>
      <c r="IBY1" s="81"/>
      <c r="IBZ1" s="81"/>
      <c r="ICA1" s="81"/>
      <c r="ICB1" s="81"/>
      <c r="ICC1" s="81"/>
      <c r="ICD1" s="81"/>
      <c r="ICE1" s="81"/>
      <c r="ICF1" s="81"/>
      <c r="ICG1" s="81"/>
      <c r="ICH1" s="81"/>
      <c r="ICI1" s="81"/>
      <c r="ICJ1" s="81"/>
      <c r="ICK1" s="81"/>
      <c r="ICL1" s="81"/>
      <c r="ICM1" s="81"/>
      <c r="ICN1" s="81"/>
      <c r="ICO1" s="81"/>
      <c r="ICP1" s="81"/>
      <c r="ICQ1" s="81"/>
      <c r="ICR1" s="81"/>
      <c r="ICS1" s="81"/>
      <c r="ICT1" s="81"/>
      <c r="ICU1" s="81"/>
      <c r="ICV1" s="81"/>
      <c r="ICW1" s="81"/>
      <c r="ICX1" s="81"/>
      <c r="ICY1" s="81"/>
      <c r="ICZ1" s="81"/>
      <c r="IDA1" s="81"/>
      <c r="IDB1" s="81"/>
      <c r="IDC1" s="81"/>
      <c r="IDD1" s="81"/>
      <c r="IDE1" s="81"/>
      <c r="IDF1" s="81"/>
      <c r="IDG1" s="81"/>
      <c r="IDH1" s="81"/>
      <c r="IDI1" s="81"/>
      <c r="IDJ1" s="81"/>
      <c r="IDK1" s="81"/>
      <c r="IDL1" s="81"/>
      <c r="IDM1" s="81"/>
      <c r="IDN1" s="81"/>
      <c r="IDO1" s="81"/>
      <c r="IDP1" s="81"/>
      <c r="IDQ1" s="81"/>
      <c r="IDR1" s="81"/>
      <c r="IDS1" s="81"/>
      <c r="IDT1" s="81"/>
      <c r="IDU1" s="81"/>
      <c r="IDV1" s="81"/>
      <c r="IDW1" s="81"/>
      <c r="IDX1" s="81"/>
      <c r="IDY1" s="81"/>
      <c r="IDZ1" s="81"/>
      <c r="IEA1" s="81"/>
      <c r="IEB1" s="81"/>
      <c r="IEC1" s="81"/>
      <c r="IED1" s="81"/>
      <c r="IEE1" s="81"/>
      <c r="IEF1" s="81"/>
      <c r="IEG1" s="81"/>
      <c r="IEH1" s="81"/>
      <c r="IEI1" s="81"/>
      <c r="IEJ1" s="81"/>
      <c r="IEK1" s="81"/>
      <c r="IEL1" s="81"/>
      <c r="IEM1" s="81"/>
      <c r="IEN1" s="81"/>
      <c r="IEO1" s="81"/>
      <c r="IEP1" s="81"/>
      <c r="IEQ1" s="81"/>
      <c r="IER1" s="81"/>
      <c r="IES1" s="81"/>
      <c r="IET1" s="81"/>
      <c r="IEU1" s="81"/>
      <c r="IEV1" s="81"/>
      <c r="IEW1" s="81"/>
      <c r="IEX1" s="81"/>
      <c r="IEY1" s="81"/>
      <c r="IEZ1" s="81"/>
      <c r="IFA1" s="81"/>
      <c r="IFB1" s="81"/>
      <c r="IFC1" s="81"/>
      <c r="IFD1" s="81"/>
      <c r="IFE1" s="81"/>
      <c r="IFF1" s="81"/>
      <c r="IFG1" s="81"/>
      <c r="IFH1" s="81"/>
      <c r="IFI1" s="81"/>
      <c r="IFJ1" s="81"/>
      <c r="IFK1" s="81"/>
      <c r="IFL1" s="81"/>
      <c r="IFM1" s="81"/>
      <c r="IFN1" s="81"/>
      <c r="IFO1" s="81"/>
      <c r="IFP1" s="81"/>
      <c r="IFQ1" s="81"/>
      <c r="IFR1" s="81"/>
      <c r="IFS1" s="81"/>
      <c r="IFT1" s="81"/>
      <c r="IFU1" s="81"/>
      <c r="IFV1" s="81"/>
      <c r="IFW1" s="81"/>
      <c r="IFX1" s="81"/>
      <c r="IFY1" s="81"/>
      <c r="IFZ1" s="81"/>
      <c r="IGA1" s="81"/>
      <c r="IGB1" s="81"/>
      <c r="IGC1" s="81"/>
      <c r="IGD1" s="81"/>
      <c r="IGE1" s="81"/>
      <c r="IGF1" s="81"/>
      <c r="IGG1" s="81"/>
      <c r="IGH1" s="81"/>
      <c r="IGI1" s="81"/>
      <c r="IGJ1" s="81"/>
      <c r="IGK1" s="81"/>
      <c r="IGL1" s="81"/>
      <c r="IGM1" s="81"/>
      <c r="IGN1" s="81"/>
      <c r="IGO1" s="81"/>
      <c r="IGP1" s="81"/>
      <c r="IGQ1" s="81"/>
      <c r="IGR1" s="81"/>
      <c r="IGS1" s="81"/>
      <c r="IGT1" s="81"/>
      <c r="IGU1" s="81"/>
      <c r="IGV1" s="81"/>
      <c r="IGW1" s="81"/>
      <c r="IGX1" s="81"/>
      <c r="IGY1" s="81"/>
      <c r="IGZ1" s="81"/>
      <c r="IHA1" s="81"/>
      <c r="IHB1" s="81"/>
      <c r="IHC1" s="81"/>
      <c r="IHD1" s="81"/>
      <c r="IHE1" s="81"/>
      <c r="IHF1" s="81"/>
      <c r="IHG1" s="81"/>
      <c r="IHH1" s="81"/>
      <c r="IHI1" s="81"/>
      <c r="IHJ1" s="81"/>
      <c r="IHK1" s="81"/>
      <c r="IHL1" s="81"/>
      <c r="IHM1" s="81"/>
      <c r="IHN1" s="81"/>
      <c r="IHO1" s="81"/>
      <c r="IHP1" s="81"/>
      <c r="IHQ1" s="81"/>
      <c r="IHR1" s="81"/>
      <c r="IHS1" s="81"/>
      <c r="IHT1" s="81"/>
      <c r="IHU1" s="81"/>
      <c r="IHV1" s="81"/>
      <c r="IHW1" s="81"/>
      <c r="IHX1" s="81"/>
      <c r="IHY1" s="81"/>
      <c r="IHZ1" s="81"/>
      <c r="IIA1" s="81"/>
      <c r="IIB1" s="81"/>
      <c r="IIC1" s="81"/>
      <c r="IID1" s="81"/>
      <c r="IIE1" s="81"/>
      <c r="IIF1" s="81"/>
      <c r="IIG1" s="81"/>
      <c r="IIH1" s="81"/>
      <c r="III1" s="81"/>
      <c r="IIJ1" s="81"/>
      <c r="IIK1" s="81"/>
      <c r="IIL1" s="81"/>
      <c r="IIM1" s="81"/>
      <c r="IIN1" s="81"/>
      <c r="IIO1" s="81"/>
      <c r="IIP1" s="81"/>
      <c r="IIQ1" s="81"/>
      <c r="IIR1" s="81"/>
      <c r="IIS1" s="81"/>
      <c r="IIT1" s="81"/>
      <c r="IIU1" s="81"/>
      <c r="IIV1" s="81"/>
      <c r="IIW1" s="81"/>
      <c r="IIX1" s="81"/>
      <c r="IIY1" s="81"/>
      <c r="IIZ1" s="81"/>
      <c r="IJA1" s="81"/>
      <c r="IJB1" s="81"/>
      <c r="IJC1" s="81"/>
      <c r="IJD1" s="81"/>
      <c r="IJE1" s="81"/>
      <c r="IJF1" s="81"/>
      <c r="IJG1" s="81"/>
      <c r="IJH1" s="81"/>
      <c r="IJI1" s="81"/>
      <c r="IJJ1" s="81"/>
      <c r="IJK1" s="81"/>
      <c r="IJL1" s="81"/>
      <c r="IJM1" s="81"/>
      <c r="IJN1" s="81"/>
      <c r="IJO1" s="81"/>
      <c r="IJP1" s="81"/>
      <c r="IJQ1" s="81"/>
      <c r="IJR1" s="81"/>
      <c r="IJS1" s="81"/>
      <c r="IJT1" s="81"/>
      <c r="IJU1" s="81"/>
      <c r="IJV1" s="81"/>
      <c r="IJW1" s="81"/>
      <c r="IJX1" s="81"/>
      <c r="IJY1" s="81"/>
      <c r="IJZ1" s="81"/>
      <c r="IKA1" s="81"/>
      <c r="IKB1" s="81"/>
      <c r="IKC1" s="81"/>
      <c r="IKD1" s="81"/>
      <c r="IKE1" s="81"/>
      <c r="IKF1" s="81"/>
      <c r="IKG1" s="81"/>
      <c r="IKH1" s="81"/>
      <c r="IKI1" s="81"/>
      <c r="IKJ1" s="81"/>
      <c r="IKK1" s="81"/>
      <c r="IKL1" s="81"/>
      <c r="IKM1" s="81"/>
      <c r="IKN1" s="81"/>
      <c r="IKO1" s="81"/>
      <c r="IKP1" s="81"/>
      <c r="IKQ1" s="81"/>
      <c r="IKR1" s="81"/>
      <c r="IKS1" s="81"/>
      <c r="IKT1" s="81"/>
      <c r="IKU1" s="81"/>
      <c r="IKV1" s="81"/>
      <c r="IKW1" s="81"/>
      <c r="IKX1" s="81"/>
      <c r="IKY1" s="81"/>
      <c r="IKZ1" s="81"/>
      <c r="ILA1" s="81"/>
      <c r="ILB1" s="81"/>
      <c r="ILC1" s="81"/>
      <c r="ILD1" s="81"/>
      <c r="ILE1" s="81"/>
      <c r="ILF1" s="81"/>
      <c r="ILG1" s="81"/>
      <c r="ILH1" s="81"/>
      <c r="ILI1" s="81"/>
      <c r="ILJ1" s="81"/>
      <c r="ILK1" s="81"/>
      <c r="ILL1" s="81"/>
      <c r="ILM1" s="81"/>
      <c r="ILN1" s="81"/>
      <c r="ILO1" s="81"/>
      <c r="ILP1" s="81"/>
      <c r="ILQ1" s="81"/>
      <c r="ILR1" s="81"/>
      <c r="ILS1" s="81"/>
      <c r="ILT1" s="81"/>
      <c r="ILU1" s="81"/>
      <c r="ILV1" s="81"/>
      <c r="ILW1" s="81"/>
      <c r="ILX1" s="81"/>
      <c r="ILY1" s="81"/>
      <c r="ILZ1" s="81"/>
      <c r="IMA1" s="81"/>
      <c r="IMB1" s="81"/>
      <c r="IMC1" s="81"/>
      <c r="IMD1" s="81"/>
      <c r="IME1" s="81"/>
      <c r="IMF1" s="81"/>
      <c r="IMG1" s="81"/>
      <c r="IMH1" s="81"/>
      <c r="IMI1" s="81"/>
      <c r="IMJ1" s="81"/>
      <c r="IMK1" s="81"/>
      <c r="IML1" s="81"/>
      <c r="IMM1" s="81"/>
      <c r="IMN1" s="81"/>
      <c r="IMO1" s="81"/>
      <c r="IMP1" s="81"/>
      <c r="IMQ1" s="81"/>
      <c r="IMR1" s="81"/>
      <c r="IMS1" s="81"/>
      <c r="IMT1" s="81"/>
      <c r="IMU1" s="81"/>
      <c r="IMV1" s="81"/>
      <c r="IMW1" s="81"/>
      <c r="IMX1" s="81"/>
      <c r="IMY1" s="81"/>
      <c r="IMZ1" s="81"/>
      <c r="INA1" s="81"/>
      <c r="INB1" s="81"/>
      <c r="INC1" s="81"/>
      <c r="IND1" s="81"/>
      <c r="INE1" s="81"/>
      <c r="INF1" s="81"/>
      <c r="ING1" s="81"/>
      <c r="INH1" s="81"/>
      <c r="INI1" s="81"/>
      <c r="INJ1" s="81"/>
      <c r="INK1" s="81"/>
      <c r="INL1" s="81"/>
      <c r="INM1" s="81"/>
      <c r="INN1" s="81"/>
      <c r="INO1" s="81"/>
      <c r="INP1" s="81"/>
      <c r="INQ1" s="81"/>
      <c r="INR1" s="81"/>
      <c r="INS1" s="81"/>
      <c r="INT1" s="81"/>
      <c r="INU1" s="81"/>
      <c r="INV1" s="81"/>
      <c r="INW1" s="81"/>
      <c r="INX1" s="81"/>
      <c r="INY1" s="81"/>
      <c r="INZ1" s="81"/>
      <c r="IOA1" s="81"/>
      <c r="IOB1" s="81"/>
      <c r="IOC1" s="81"/>
      <c r="IOD1" s="81"/>
      <c r="IOE1" s="81"/>
      <c r="IOF1" s="81"/>
      <c r="IOG1" s="81"/>
      <c r="IOH1" s="81"/>
      <c r="IOI1" s="81"/>
      <c r="IOJ1" s="81"/>
      <c r="IOK1" s="81"/>
      <c r="IOL1" s="81"/>
      <c r="IOM1" s="81"/>
      <c r="ION1" s="81"/>
      <c r="IOO1" s="81"/>
      <c r="IOP1" s="81"/>
      <c r="IOQ1" s="81"/>
      <c r="IOR1" s="81"/>
      <c r="IOS1" s="81"/>
      <c r="IOT1" s="81"/>
      <c r="IOU1" s="81"/>
      <c r="IOV1" s="81"/>
      <c r="IOW1" s="81"/>
      <c r="IOX1" s="81"/>
      <c r="IOY1" s="81"/>
      <c r="IOZ1" s="81"/>
      <c r="IPA1" s="81"/>
      <c r="IPB1" s="81"/>
      <c r="IPC1" s="81"/>
      <c r="IPD1" s="81"/>
      <c r="IPE1" s="81"/>
      <c r="IPF1" s="81"/>
      <c r="IPG1" s="81"/>
      <c r="IPH1" s="81"/>
      <c r="IPI1" s="81"/>
      <c r="IPJ1" s="81"/>
      <c r="IPK1" s="81"/>
      <c r="IPL1" s="81"/>
      <c r="IPM1" s="81"/>
      <c r="IPN1" s="81"/>
      <c r="IPO1" s="81"/>
      <c r="IPP1" s="81"/>
      <c r="IPQ1" s="81"/>
      <c r="IPR1" s="81"/>
      <c r="IPS1" s="81"/>
      <c r="IPT1" s="81"/>
      <c r="IPU1" s="81"/>
      <c r="IPV1" s="81"/>
      <c r="IPW1" s="81"/>
      <c r="IPX1" s="81"/>
      <c r="IPY1" s="81"/>
      <c r="IPZ1" s="81"/>
      <c r="IQA1" s="81"/>
      <c r="IQB1" s="81"/>
      <c r="IQC1" s="81"/>
      <c r="IQD1" s="81"/>
      <c r="IQE1" s="81"/>
      <c r="IQF1" s="81"/>
      <c r="IQG1" s="81"/>
      <c r="IQH1" s="81"/>
      <c r="IQI1" s="81"/>
      <c r="IQJ1" s="81"/>
      <c r="IQK1" s="81"/>
      <c r="IQL1" s="81"/>
      <c r="IQM1" s="81"/>
      <c r="IQN1" s="81"/>
      <c r="IQO1" s="81"/>
      <c r="IQP1" s="81"/>
      <c r="IQQ1" s="81"/>
      <c r="IQR1" s="81"/>
      <c r="IQS1" s="81"/>
      <c r="IQT1" s="81"/>
      <c r="IQU1" s="81"/>
      <c r="IQV1" s="81"/>
      <c r="IQW1" s="81"/>
      <c r="IQX1" s="81"/>
      <c r="IQY1" s="81"/>
      <c r="IQZ1" s="81"/>
      <c r="IRA1" s="81"/>
      <c r="IRB1" s="81"/>
      <c r="IRC1" s="81"/>
      <c r="IRD1" s="81"/>
      <c r="IRE1" s="81"/>
      <c r="IRF1" s="81"/>
      <c r="IRG1" s="81"/>
      <c r="IRH1" s="81"/>
      <c r="IRI1" s="81"/>
      <c r="IRJ1" s="81"/>
      <c r="IRK1" s="81"/>
      <c r="IRL1" s="81"/>
      <c r="IRM1" s="81"/>
      <c r="IRN1" s="81"/>
      <c r="IRO1" s="81"/>
      <c r="IRP1" s="81"/>
      <c r="IRQ1" s="81"/>
      <c r="IRR1" s="81"/>
      <c r="IRS1" s="81"/>
      <c r="IRT1" s="81"/>
      <c r="IRU1" s="81"/>
      <c r="IRV1" s="81"/>
      <c r="IRW1" s="81"/>
      <c r="IRX1" s="81"/>
      <c r="IRY1" s="81"/>
      <c r="IRZ1" s="81"/>
      <c r="ISA1" s="81"/>
      <c r="ISB1" s="81"/>
      <c r="ISC1" s="81"/>
      <c r="ISD1" s="81"/>
      <c r="ISE1" s="81"/>
      <c r="ISF1" s="81"/>
      <c r="ISG1" s="81"/>
      <c r="ISH1" s="81"/>
      <c r="ISI1" s="81"/>
      <c r="ISJ1" s="81"/>
      <c r="ISK1" s="81"/>
      <c r="ISL1" s="81"/>
      <c r="ISM1" s="81"/>
      <c r="ISN1" s="81"/>
      <c r="ISO1" s="81"/>
      <c r="ISP1" s="81"/>
      <c r="ISQ1" s="81"/>
      <c r="ISR1" s="81"/>
      <c r="ISS1" s="81"/>
      <c r="IST1" s="81"/>
      <c r="ISU1" s="81"/>
      <c r="ISV1" s="81"/>
      <c r="ISW1" s="81"/>
      <c r="ISX1" s="81"/>
      <c r="ISY1" s="81"/>
      <c r="ISZ1" s="81"/>
      <c r="ITA1" s="81"/>
      <c r="ITB1" s="81"/>
      <c r="ITC1" s="81"/>
      <c r="ITD1" s="81"/>
      <c r="ITE1" s="81"/>
      <c r="ITF1" s="81"/>
      <c r="ITG1" s="81"/>
      <c r="ITH1" s="81"/>
      <c r="ITI1" s="81"/>
      <c r="ITJ1" s="81"/>
      <c r="ITK1" s="81"/>
      <c r="ITL1" s="81"/>
      <c r="ITM1" s="81"/>
      <c r="ITN1" s="81"/>
      <c r="ITO1" s="81"/>
      <c r="ITP1" s="81"/>
      <c r="ITQ1" s="81"/>
      <c r="ITR1" s="81"/>
      <c r="ITS1" s="81"/>
      <c r="ITT1" s="81"/>
      <c r="ITU1" s="81"/>
      <c r="ITV1" s="81"/>
      <c r="ITW1" s="81"/>
      <c r="ITX1" s="81"/>
      <c r="ITY1" s="81"/>
      <c r="ITZ1" s="81"/>
      <c r="IUA1" s="81"/>
      <c r="IUB1" s="81"/>
      <c r="IUC1" s="81"/>
      <c r="IUD1" s="81"/>
      <c r="IUE1" s="81"/>
      <c r="IUF1" s="81"/>
      <c r="IUG1" s="81"/>
      <c r="IUH1" s="81"/>
      <c r="IUI1" s="81"/>
      <c r="IUJ1" s="81"/>
      <c r="IUK1" s="81"/>
      <c r="IUL1" s="81"/>
      <c r="IUM1" s="81"/>
      <c r="IUN1" s="81"/>
      <c r="IUO1" s="81"/>
      <c r="IUP1" s="81"/>
      <c r="IUQ1" s="81"/>
      <c r="IUR1" s="81"/>
      <c r="IUS1" s="81"/>
      <c r="IUT1" s="81"/>
      <c r="IUU1" s="81"/>
      <c r="IUV1" s="81"/>
      <c r="IUW1" s="81"/>
      <c r="IUX1" s="81"/>
      <c r="IUY1" s="81"/>
      <c r="IUZ1" s="81"/>
      <c r="IVA1" s="81"/>
      <c r="IVB1" s="81"/>
      <c r="IVC1" s="81"/>
      <c r="IVD1" s="81"/>
      <c r="IVE1" s="81"/>
      <c r="IVF1" s="81"/>
      <c r="IVG1" s="81"/>
      <c r="IVH1" s="81"/>
      <c r="IVI1" s="81"/>
      <c r="IVJ1" s="81"/>
      <c r="IVK1" s="81"/>
      <c r="IVL1" s="81"/>
      <c r="IVM1" s="81"/>
      <c r="IVN1" s="81"/>
      <c r="IVO1" s="81"/>
      <c r="IVP1" s="81"/>
      <c r="IVQ1" s="81"/>
      <c r="IVR1" s="81"/>
      <c r="IVS1" s="81"/>
      <c r="IVT1" s="81"/>
      <c r="IVU1" s="81"/>
      <c r="IVV1" s="81"/>
      <c r="IVW1" s="81"/>
      <c r="IVX1" s="81"/>
      <c r="IVY1" s="81"/>
      <c r="IVZ1" s="81"/>
      <c r="IWA1" s="81"/>
      <c r="IWB1" s="81"/>
      <c r="IWC1" s="81"/>
      <c r="IWD1" s="81"/>
      <c r="IWE1" s="81"/>
      <c r="IWF1" s="81"/>
      <c r="IWG1" s="81"/>
      <c r="IWH1" s="81"/>
      <c r="IWI1" s="81"/>
      <c r="IWJ1" s="81"/>
      <c r="IWK1" s="81"/>
      <c r="IWL1" s="81"/>
      <c r="IWM1" s="81"/>
      <c r="IWN1" s="81"/>
      <c r="IWO1" s="81"/>
      <c r="IWP1" s="81"/>
      <c r="IWQ1" s="81"/>
      <c r="IWR1" s="81"/>
      <c r="IWS1" s="81"/>
      <c r="IWT1" s="81"/>
      <c r="IWU1" s="81"/>
      <c r="IWV1" s="81"/>
      <c r="IWW1" s="81"/>
      <c r="IWX1" s="81"/>
      <c r="IWY1" s="81"/>
      <c r="IWZ1" s="81"/>
      <c r="IXA1" s="81"/>
      <c r="IXB1" s="81"/>
      <c r="IXC1" s="81"/>
      <c r="IXD1" s="81"/>
      <c r="IXE1" s="81"/>
      <c r="IXF1" s="81"/>
      <c r="IXG1" s="81"/>
      <c r="IXH1" s="81"/>
      <c r="IXI1" s="81"/>
      <c r="IXJ1" s="81"/>
      <c r="IXK1" s="81"/>
      <c r="IXL1" s="81"/>
      <c r="IXM1" s="81"/>
      <c r="IXN1" s="81"/>
      <c r="IXO1" s="81"/>
      <c r="IXP1" s="81"/>
      <c r="IXQ1" s="81"/>
      <c r="IXR1" s="81"/>
      <c r="IXS1" s="81"/>
      <c r="IXT1" s="81"/>
      <c r="IXU1" s="81"/>
      <c r="IXV1" s="81"/>
      <c r="IXW1" s="81"/>
      <c r="IXX1" s="81"/>
      <c r="IXY1" s="81"/>
      <c r="IXZ1" s="81"/>
      <c r="IYA1" s="81"/>
      <c r="IYB1" s="81"/>
      <c r="IYC1" s="81"/>
      <c r="IYD1" s="81"/>
      <c r="IYE1" s="81"/>
      <c r="IYF1" s="81"/>
      <c r="IYG1" s="81"/>
      <c r="IYH1" s="81"/>
      <c r="IYI1" s="81"/>
      <c r="IYJ1" s="81"/>
      <c r="IYK1" s="81"/>
      <c r="IYL1" s="81"/>
      <c r="IYM1" s="81"/>
      <c r="IYN1" s="81"/>
      <c r="IYO1" s="81"/>
      <c r="IYP1" s="81"/>
      <c r="IYQ1" s="81"/>
      <c r="IYR1" s="81"/>
      <c r="IYS1" s="81"/>
      <c r="IYT1" s="81"/>
      <c r="IYU1" s="81"/>
      <c r="IYV1" s="81"/>
      <c r="IYW1" s="81"/>
      <c r="IYX1" s="81"/>
      <c r="IYY1" s="81"/>
      <c r="IYZ1" s="81"/>
      <c r="IZA1" s="81"/>
      <c r="IZB1" s="81"/>
      <c r="IZC1" s="81"/>
      <c r="IZD1" s="81"/>
      <c r="IZE1" s="81"/>
      <c r="IZF1" s="81"/>
      <c r="IZG1" s="81"/>
      <c r="IZH1" s="81"/>
      <c r="IZI1" s="81"/>
      <c r="IZJ1" s="81"/>
      <c r="IZK1" s="81"/>
      <c r="IZL1" s="81"/>
      <c r="IZM1" s="81"/>
      <c r="IZN1" s="81"/>
      <c r="IZO1" s="81"/>
      <c r="IZP1" s="81"/>
      <c r="IZQ1" s="81"/>
      <c r="IZR1" s="81"/>
      <c r="IZS1" s="81"/>
      <c r="IZT1" s="81"/>
      <c r="IZU1" s="81"/>
      <c r="IZV1" s="81"/>
      <c r="IZW1" s="81"/>
      <c r="IZX1" s="81"/>
      <c r="IZY1" s="81"/>
      <c r="IZZ1" s="81"/>
      <c r="JAA1" s="81"/>
      <c r="JAB1" s="81"/>
      <c r="JAC1" s="81"/>
      <c r="JAD1" s="81"/>
      <c r="JAE1" s="81"/>
      <c r="JAF1" s="81"/>
      <c r="JAG1" s="81"/>
      <c r="JAH1" s="81"/>
      <c r="JAI1" s="81"/>
      <c r="JAJ1" s="81"/>
      <c r="JAK1" s="81"/>
      <c r="JAL1" s="81"/>
      <c r="JAM1" s="81"/>
      <c r="JAN1" s="81"/>
      <c r="JAO1" s="81"/>
      <c r="JAP1" s="81"/>
      <c r="JAQ1" s="81"/>
      <c r="JAR1" s="81"/>
      <c r="JAS1" s="81"/>
      <c r="JAT1" s="81"/>
      <c r="JAU1" s="81"/>
      <c r="JAV1" s="81"/>
      <c r="JAW1" s="81"/>
      <c r="JAX1" s="81"/>
      <c r="JAY1" s="81"/>
      <c r="JAZ1" s="81"/>
      <c r="JBA1" s="81"/>
      <c r="JBB1" s="81"/>
      <c r="JBC1" s="81"/>
      <c r="JBD1" s="81"/>
      <c r="JBE1" s="81"/>
      <c r="JBF1" s="81"/>
      <c r="JBG1" s="81"/>
      <c r="JBH1" s="81"/>
      <c r="JBI1" s="81"/>
      <c r="JBJ1" s="81"/>
      <c r="JBK1" s="81"/>
      <c r="JBL1" s="81"/>
      <c r="JBM1" s="81"/>
      <c r="JBN1" s="81"/>
      <c r="JBO1" s="81"/>
      <c r="JBP1" s="81"/>
      <c r="JBQ1" s="81"/>
      <c r="JBR1" s="81"/>
      <c r="JBS1" s="81"/>
      <c r="JBT1" s="81"/>
      <c r="JBU1" s="81"/>
      <c r="JBV1" s="81"/>
      <c r="JBW1" s="81"/>
      <c r="JBX1" s="81"/>
      <c r="JBY1" s="81"/>
      <c r="JBZ1" s="81"/>
      <c r="JCA1" s="81"/>
      <c r="JCB1" s="81"/>
      <c r="JCC1" s="81"/>
      <c r="JCD1" s="81"/>
      <c r="JCE1" s="81"/>
      <c r="JCF1" s="81"/>
      <c r="JCG1" s="81"/>
      <c r="JCH1" s="81"/>
      <c r="JCI1" s="81"/>
      <c r="JCJ1" s="81"/>
      <c r="JCK1" s="81"/>
      <c r="JCL1" s="81"/>
      <c r="JCM1" s="81"/>
      <c r="JCN1" s="81"/>
      <c r="JCO1" s="81"/>
      <c r="JCP1" s="81"/>
      <c r="JCQ1" s="81"/>
      <c r="JCR1" s="81"/>
      <c r="JCS1" s="81"/>
      <c r="JCT1" s="81"/>
      <c r="JCU1" s="81"/>
      <c r="JCV1" s="81"/>
      <c r="JCW1" s="81"/>
      <c r="JCX1" s="81"/>
      <c r="JCY1" s="81"/>
      <c r="JCZ1" s="81"/>
      <c r="JDA1" s="81"/>
      <c r="JDB1" s="81"/>
      <c r="JDC1" s="81"/>
      <c r="JDD1" s="81"/>
      <c r="JDE1" s="81"/>
      <c r="JDF1" s="81"/>
      <c r="JDG1" s="81"/>
      <c r="JDH1" s="81"/>
      <c r="JDI1" s="81"/>
      <c r="JDJ1" s="81"/>
      <c r="JDK1" s="81"/>
      <c r="JDL1" s="81"/>
      <c r="JDM1" s="81"/>
      <c r="JDN1" s="81"/>
      <c r="JDO1" s="81"/>
      <c r="JDP1" s="81"/>
      <c r="JDQ1" s="81"/>
      <c r="JDR1" s="81"/>
      <c r="JDS1" s="81"/>
      <c r="JDT1" s="81"/>
      <c r="JDU1" s="81"/>
      <c r="JDV1" s="81"/>
      <c r="JDW1" s="81"/>
      <c r="JDX1" s="81"/>
      <c r="JDY1" s="81"/>
      <c r="JDZ1" s="81"/>
      <c r="JEA1" s="81"/>
      <c r="JEB1" s="81"/>
      <c r="JEC1" s="81"/>
      <c r="JED1" s="81"/>
      <c r="JEE1" s="81"/>
      <c r="JEF1" s="81"/>
      <c r="JEG1" s="81"/>
      <c r="JEH1" s="81"/>
      <c r="JEI1" s="81"/>
      <c r="JEJ1" s="81"/>
      <c r="JEK1" s="81"/>
      <c r="JEL1" s="81"/>
      <c r="JEM1" s="81"/>
      <c r="JEN1" s="81"/>
      <c r="JEO1" s="81"/>
      <c r="JEP1" s="81"/>
      <c r="JEQ1" s="81"/>
      <c r="JER1" s="81"/>
      <c r="JES1" s="81"/>
      <c r="JET1" s="81"/>
      <c r="JEU1" s="81"/>
      <c r="JEV1" s="81"/>
      <c r="JEW1" s="81"/>
      <c r="JEX1" s="81"/>
      <c r="JEY1" s="81"/>
      <c r="JEZ1" s="81"/>
      <c r="JFA1" s="81"/>
      <c r="JFB1" s="81"/>
      <c r="JFC1" s="81"/>
      <c r="JFD1" s="81"/>
      <c r="JFE1" s="81"/>
      <c r="JFF1" s="81"/>
      <c r="JFG1" s="81"/>
      <c r="JFH1" s="81"/>
      <c r="JFI1" s="81"/>
      <c r="JFJ1" s="81"/>
      <c r="JFK1" s="81"/>
      <c r="JFL1" s="81"/>
      <c r="JFM1" s="81"/>
      <c r="JFN1" s="81"/>
      <c r="JFO1" s="81"/>
      <c r="JFP1" s="81"/>
      <c r="JFQ1" s="81"/>
      <c r="JFR1" s="81"/>
      <c r="JFS1" s="81"/>
      <c r="JFT1" s="81"/>
      <c r="JFU1" s="81"/>
      <c r="JFV1" s="81"/>
      <c r="JFW1" s="81"/>
      <c r="JFX1" s="81"/>
      <c r="JFY1" s="81"/>
      <c r="JFZ1" s="81"/>
      <c r="JGA1" s="81"/>
      <c r="JGB1" s="81"/>
      <c r="JGC1" s="81"/>
      <c r="JGD1" s="81"/>
      <c r="JGE1" s="81"/>
      <c r="JGF1" s="81"/>
      <c r="JGG1" s="81"/>
      <c r="JGH1" s="81"/>
      <c r="JGI1" s="81"/>
      <c r="JGJ1" s="81"/>
      <c r="JGK1" s="81"/>
      <c r="JGL1" s="81"/>
      <c r="JGM1" s="81"/>
      <c r="JGN1" s="81"/>
      <c r="JGO1" s="81"/>
      <c r="JGP1" s="81"/>
      <c r="JGQ1" s="81"/>
      <c r="JGR1" s="81"/>
      <c r="JGS1" s="81"/>
      <c r="JGT1" s="81"/>
      <c r="JGU1" s="81"/>
      <c r="JGV1" s="81"/>
      <c r="JGW1" s="81"/>
      <c r="JGX1" s="81"/>
      <c r="JGY1" s="81"/>
      <c r="JGZ1" s="81"/>
      <c r="JHA1" s="81"/>
      <c r="JHB1" s="81"/>
      <c r="JHC1" s="81"/>
      <c r="JHD1" s="81"/>
      <c r="JHE1" s="81"/>
      <c r="JHF1" s="81"/>
      <c r="JHG1" s="81"/>
      <c r="JHH1" s="81"/>
      <c r="JHI1" s="81"/>
      <c r="JHJ1" s="81"/>
      <c r="JHK1" s="81"/>
      <c r="JHL1" s="81"/>
      <c r="JHM1" s="81"/>
      <c r="JHN1" s="81"/>
      <c r="JHO1" s="81"/>
      <c r="JHP1" s="81"/>
      <c r="JHQ1" s="81"/>
      <c r="JHR1" s="81"/>
      <c r="JHS1" s="81"/>
      <c r="JHT1" s="81"/>
      <c r="JHU1" s="81"/>
      <c r="JHV1" s="81"/>
      <c r="JHW1" s="81"/>
      <c r="JHX1" s="81"/>
      <c r="JHY1" s="81"/>
      <c r="JHZ1" s="81"/>
      <c r="JIA1" s="81"/>
      <c r="JIB1" s="81"/>
      <c r="JIC1" s="81"/>
      <c r="JID1" s="81"/>
      <c r="JIE1" s="81"/>
      <c r="JIF1" s="81"/>
      <c r="JIG1" s="81"/>
      <c r="JIH1" s="81"/>
      <c r="JII1" s="81"/>
      <c r="JIJ1" s="81"/>
      <c r="JIK1" s="81"/>
      <c r="JIL1" s="81"/>
      <c r="JIM1" s="81"/>
      <c r="JIN1" s="81"/>
      <c r="JIO1" s="81"/>
      <c r="JIP1" s="81"/>
      <c r="JIQ1" s="81"/>
      <c r="JIR1" s="81"/>
      <c r="JIS1" s="81"/>
      <c r="JIT1" s="81"/>
      <c r="JIU1" s="81"/>
      <c r="JIV1" s="81"/>
      <c r="JIW1" s="81"/>
      <c r="JIX1" s="81"/>
      <c r="JIY1" s="81"/>
      <c r="JIZ1" s="81"/>
      <c r="JJA1" s="81"/>
      <c r="JJB1" s="81"/>
      <c r="JJC1" s="81"/>
      <c r="JJD1" s="81"/>
      <c r="JJE1" s="81"/>
      <c r="JJF1" s="81"/>
      <c r="JJG1" s="81"/>
      <c r="JJH1" s="81"/>
      <c r="JJI1" s="81"/>
      <c r="JJJ1" s="81"/>
      <c r="JJK1" s="81"/>
      <c r="JJL1" s="81"/>
      <c r="JJM1" s="81"/>
      <c r="JJN1" s="81"/>
      <c r="JJO1" s="81"/>
      <c r="JJP1" s="81"/>
      <c r="JJQ1" s="81"/>
      <c r="JJR1" s="81"/>
      <c r="JJS1" s="81"/>
      <c r="JJT1" s="81"/>
      <c r="JJU1" s="81"/>
      <c r="JJV1" s="81"/>
      <c r="JJW1" s="81"/>
      <c r="JJX1" s="81"/>
      <c r="JJY1" s="81"/>
      <c r="JJZ1" s="81"/>
      <c r="JKA1" s="81"/>
      <c r="JKB1" s="81"/>
      <c r="JKC1" s="81"/>
      <c r="JKD1" s="81"/>
      <c r="JKE1" s="81"/>
      <c r="JKF1" s="81"/>
      <c r="JKG1" s="81"/>
      <c r="JKH1" s="81"/>
      <c r="JKI1" s="81"/>
      <c r="JKJ1" s="81"/>
      <c r="JKK1" s="81"/>
      <c r="JKL1" s="81"/>
      <c r="JKM1" s="81"/>
      <c r="JKN1" s="81"/>
      <c r="JKO1" s="81"/>
      <c r="JKP1" s="81"/>
      <c r="JKQ1" s="81"/>
      <c r="JKR1" s="81"/>
      <c r="JKS1" s="81"/>
      <c r="JKT1" s="81"/>
      <c r="JKU1" s="81"/>
      <c r="JKV1" s="81"/>
      <c r="JKW1" s="81"/>
      <c r="JKX1" s="81"/>
      <c r="JKY1" s="81"/>
      <c r="JKZ1" s="81"/>
      <c r="JLA1" s="81"/>
      <c r="JLB1" s="81"/>
      <c r="JLC1" s="81"/>
      <c r="JLD1" s="81"/>
      <c r="JLE1" s="81"/>
      <c r="JLF1" s="81"/>
      <c r="JLG1" s="81"/>
      <c r="JLH1" s="81"/>
      <c r="JLI1" s="81"/>
      <c r="JLJ1" s="81"/>
      <c r="JLK1" s="81"/>
      <c r="JLL1" s="81"/>
      <c r="JLM1" s="81"/>
      <c r="JLN1" s="81"/>
      <c r="JLO1" s="81"/>
      <c r="JLP1" s="81"/>
      <c r="JLQ1" s="81"/>
      <c r="JLR1" s="81"/>
      <c r="JLS1" s="81"/>
      <c r="JLT1" s="81"/>
      <c r="JLU1" s="81"/>
      <c r="JLV1" s="81"/>
      <c r="JLW1" s="81"/>
      <c r="JLX1" s="81"/>
      <c r="JLY1" s="81"/>
      <c r="JLZ1" s="81"/>
      <c r="JMA1" s="81"/>
      <c r="JMB1" s="81"/>
      <c r="JMC1" s="81"/>
      <c r="JMD1" s="81"/>
      <c r="JME1" s="81"/>
      <c r="JMF1" s="81"/>
      <c r="JMG1" s="81"/>
      <c r="JMH1" s="81"/>
      <c r="JMI1" s="81"/>
      <c r="JMJ1" s="81"/>
      <c r="JMK1" s="81"/>
      <c r="JML1" s="81"/>
      <c r="JMM1" s="81"/>
      <c r="JMN1" s="81"/>
      <c r="JMO1" s="81"/>
      <c r="JMP1" s="81"/>
      <c r="JMQ1" s="81"/>
      <c r="JMR1" s="81"/>
      <c r="JMS1" s="81"/>
      <c r="JMT1" s="81"/>
      <c r="JMU1" s="81"/>
      <c r="JMV1" s="81"/>
      <c r="JMW1" s="81"/>
      <c r="JMX1" s="81"/>
      <c r="JMY1" s="81"/>
      <c r="JMZ1" s="81"/>
      <c r="JNA1" s="81"/>
      <c r="JNB1" s="81"/>
      <c r="JNC1" s="81"/>
      <c r="JND1" s="81"/>
      <c r="JNE1" s="81"/>
      <c r="JNF1" s="81"/>
      <c r="JNG1" s="81"/>
      <c r="JNH1" s="81"/>
      <c r="JNI1" s="81"/>
      <c r="JNJ1" s="81"/>
      <c r="JNK1" s="81"/>
      <c r="JNL1" s="81"/>
      <c r="JNM1" s="81"/>
      <c r="JNN1" s="81"/>
      <c r="JNO1" s="81"/>
      <c r="JNP1" s="81"/>
      <c r="JNQ1" s="81"/>
      <c r="JNR1" s="81"/>
      <c r="JNS1" s="81"/>
      <c r="JNT1" s="81"/>
      <c r="JNU1" s="81"/>
      <c r="JNV1" s="81"/>
      <c r="JNW1" s="81"/>
      <c r="JNX1" s="81"/>
      <c r="JNY1" s="81"/>
      <c r="JNZ1" s="81"/>
      <c r="JOA1" s="81"/>
      <c r="JOB1" s="81"/>
      <c r="JOC1" s="81"/>
      <c r="JOD1" s="81"/>
      <c r="JOE1" s="81"/>
      <c r="JOF1" s="81"/>
      <c r="JOG1" s="81"/>
      <c r="JOH1" s="81"/>
      <c r="JOI1" s="81"/>
      <c r="JOJ1" s="81"/>
      <c r="JOK1" s="81"/>
      <c r="JOL1" s="81"/>
      <c r="JOM1" s="81"/>
      <c r="JON1" s="81"/>
      <c r="JOO1" s="81"/>
      <c r="JOP1" s="81"/>
      <c r="JOQ1" s="81"/>
      <c r="JOR1" s="81"/>
      <c r="JOS1" s="81"/>
      <c r="JOT1" s="81"/>
      <c r="JOU1" s="81"/>
      <c r="JOV1" s="81"/>
      <c r="JOW1" s="81"/>
      <c r="JOX1" s="81"/>
      <c r="JOY1" s="81"/>
      <c r="JOZ1" s="81"/>
      <c r="JPA1" s="81"/>
      <c r="JPB1" s="81"/>
      <c r="JPC1" s="81"/>
      <c r="JPD1" s="81"/>
      <c r="JPE1" s="81"/>
      <c r="JPF1" s="81"/>
      <c r="JPG1" s="81"/>
      <c r="JPH1" s="81"/>
      <c r="JPI1" s="81"/>
      <c r="JPJ1" s="81"/>
      <c r="JPK1" s="81"/>
      <c r="JPL1" s="81"/>
      <c r="JPM1" s="81"/>
      <c r="JPN1" s="81"/>
      <c r="JPO1" s="81"/>
      <c r="JPP1" s="81"/>
      <c r="JPQ1" s="81"/>
      <c r="JPR1" s="81"/>
      <c r="JPS1" s="81"/>
      <c r="JPT1" s="81"/>
      <c r="JPU1" s="81"/>
      <c r="JPV1" s="81"/>
      <c r="JPW1" s="81"/>
      <c r="JPX1" s="81"/>
      <c r="JPY1" s="81"/>
      <c r="JPZ1" s="81"/>
      <c r="JQA1" s="81"/>
      <c r="JQB1" s="81"/>
      <c r="JQC1" s="81"/>
      <c r="JQD1" s="81"/>
      <c r="JQE1" s="81"/>
      <c r="JQF1" s="81"/>
      <c r="JQG1" s="81"/>
      <c r="JQH1" s="81"/>
      <c r="JQI1" s="81"/>
      <c r="JQJ1" s="81"/>
      <c r="JQK1" s="81"/>
      <c r="JQL1" s="81"/>
      <c r="JQM1" s="81"/>
      <c r="JQN1" s="81"/>
      <c r="JQO1" s="81"/>
      <c r="JQP1" s="81"/>
      <c r="JQQ1" s="81"/>
      <c r="JQR1" s="81"/>
      <c r="JQS1" s="81"/>
      <c r="JQT1" s="81"/>
      <c r="JQU1" s="81"/>
      <c r="JQV1" s="81"/>
      <c r="JQW1" s="81"/>
      <c r="JQX1" s="81"/>
      <c r="JQY1" s="81"/>
      <c r="JQZ1" s="81"/>
      <c r="JRA1" s="81"/>
      <c r="JRB1" s="81"/>
      <c r="JRC1" s="81"/>
      <c r="JRD1" s="81"/>
      <c r="JRE1" s="81"/>
      <c r="JRF1" s="81"/>
      <c r="JRG1" s="81"/>
      <c r="JRH1" s="81"/>
      <c r="JRI1" s="81"/>
      <c r="JRJ1" s="81"/>
      <c r="JRK1" s="81"/>
      <c r="JRL1" s="81"/>
      <c r="JRM1" s="81"/>
      <c r="JRN1" s="81"/>
      <c r="JRO1" s="81"/>
      <c r="JRP1" s="81"/>
      <c r="JRQ1" s="81"/>
      <c r="JRR1" s="81"/>
      <c r="JRS1" s="81"/>
      <c r="JRT1" s="81"/>
      <c r="JRU1" s="81"/>
      <c r="JRV1" s="81"/>
      <c r="JRW1" s="81"/>
      <c r="JRX1" s="81"/>
      <c r="JRY1" s="81"/>
      <c r="JRZ1" s="81"/>
      <c r="JSA1" s="81"/>
      <c r="JSB1" s="81"/>
      <c r="JSC1" s="81"/>
      <c r="JSD1" s="81"/>
      <c r="JSE1" s="81"/>
      <c r="JSF1" s="81"/>
      <c r="JSG1" s="81"/>
      <c r="JSH1" s="81"/>
      <c r="JSI1" s="81"/>
      <c r="JSJ1" s="81"/>
      <c r="JSK1" s="81"/>
      <c r="JSL1" s="81"/>
      <c r="JSM1" s="81"/>
      <c r="JSN1" s="81"/>
      <c r="JSO1" s="81"/>
      <c r="JSP1" s="81"/>
      <c r="JSQ1" s="81"/>
      <c r="JSR1" s="81"/>
      <c r="JSS1" s="81"/>
      <c r="JST1" s="81"/>
      <c r="JSU1" s="81"/>
      <c r="JSV1" s="81"/>
      <c r="JSW1" s="81"/>
      <c r="JSX1" s="81"/>
      <c r="JSY1" s="81"/>
      <c r="JSZ1" s="81"/>
      <c r="JTA1" s="81"/>
      <c r="JTB1" s="81"/>
      <c r="JTC1" s="81"/>
      <c r="JTD1" s="81"/>
      <c r="JTE1" s="81"/>
      <c r="JTF1" s="81"/>
      <c r="JTG1" s="81"/>
      <c r="JTH1" s="81"/>
      <c r="JTI1" s="81"/>
      <c r="JTJ1" s="81"/>
      <c r="JTK1" s="81"/>
      <c r="JTL1" s="81"/>
      <c r="JTM1" s="81"/>
      <c r="JTN1" s="81"/>
      <c r="JTO1" s="81"/>
      <c r="JTP1" s="81"/>
      <c r="JTQ1" s="81"/>
      <c r="JTR1" s="81"/>
      <c r="JTS1" s="81"/>
      <c r="JTT1" s="81"/>
      <c r="JTU1" s="81"/>
      <c r="JTV1" s="81"/>
      <c r="JTW1" s="81"/>
      <c r="JTX1" s="81"/>
      <c r="JTY1" s="81"/>
      <c r="JTZ1" s="81"/>
      <c r="JUA1" s="81"/>
      <c r="JUB1" s="81"/>
      <c r="JUC1" s="81"/>
      <c r="JUD1" s="81"/>
      <c r="JUE1" s="81"/>
      <c r="JUF1" s="81"/>
      <c r="JUG1" s="81"/>
      <c r="JUH1" s="81"/>
      <c r="JUI1" s="81"/>
      <c r="JUJ1" s="81"/>
      <c r="JUK1" s="81"/>
      <c r="JUL1" s="81"/>
      <c r="JUM1" s="81"/>
      <c r="JUN1" s="81"/>
      <c r="JUO1" s="81"/>
      <c r="JUP1" s="81"/>
      <c r="JUQ1" s="81"/>
      <c r="JUR1" s="81"/>
      <c r="JUS1" s="81"/>
      <c r="JUT1" s="81"/>
      <c r="JUU1" s="81"/>
      <c r="JUV1" s="81"/>
      <c r="JUW1" s="81"/>
      <c r="JUX1" s="81"/>
      <c r="JUY1" s="81"/>
      <c r="JUZ1" s="81"/>
      <c r="JVA1" s="81"/>
      <c r="JVB1" s="81"/>
      <c r="JVC1" s="81"/>
      <c r="JVD1" s="81"/>
      <c r="JVE1" s="81"/>
      <c r="JVF1" s="81"/>
      <c r="JVG1" s="81"/>
      <c r="JVH1" s="81"/>
      <c r="JVI1" s="81"/>
      <c r="JVJ1" s="81"/>
      <c r="JVK1" s="81"/>
      <c r="JVL1" s="81"/>
      <c r="JVM1" s="81"/>
      <c r="JVN1" s="81"/>
      <c r="JVO1" s="81"/>
      <c r="JVP1" s="81"/>
      <c r="JVQ1" s="81"/>
      <c r="JVR1" s="81"/>
      <c r="JVS1" s="81"/>
      <c r="JVT1" s="81"/>
      <c r="JVU1" s="81"/>
      <c r="JVV1" s="81"/>
      <c r="JVW1" s="81"/>
      <c r="JVX1" s="81"/>
      <c r="JVY1" s="81"/>
      <c r="JVZ1" s="81"/>
      <c r="JWA1" s="81"/>
      <c r="JWB1" s="81"/>
      <c r="JWC1" s="81"/>
      <c r="JWD1" s="81"/>
      <c r="JWE1" s="81"/>
      <c r="JWF1" s="81"/>
      <c r="JWG1" s="81"/>
      <c r="JWH1" s="81"/>
      <c r="JWI1" s="81"/>
      <c r="JWJ1" s="81"/>
      <c r="JWK1" s="81"/>
      <c r="JWL1" s="81"/>
      <c r="JWM1" s="81"/>
      <c r="JWN1" s="81"/>
      <c r="JWO1" s="81"/>
      <c r="JWP1" s="81"/>
      <c r="JWQ1" s="81"/>
      <c r="JWR1" s="81"/>
      <c r="JWS1" s="81"/>
      <c r="JWT1" s="81"/>
      <c r="JWU1" s="81"/>
      <c r="JWV1" s="81"/>
      <c r="JWW1" s="81"/>
      <c r="JWX1" s="81"/>
      <c r="JWY1" s="81"/>
      <c r="JWZ1" s="81"/>
      <c r="JXA1" s="81"/>
      <c r="JXB1" s="81"/>
      <c r="JXC1" s="81"/>
      <c r="JXD1" s="81"/>
      <c r="JXE1" s="81"/>
      <c r="JXF1" s="81"/>
      <c r="JXG1" s="81"/>
      <c r="JXH1" s="81"/>
      <c r="JXI1" s="81"/>
      <c r="JXJ1" s="81"/>
      <c r="JXK1" s="81"/>
      <c r="JXL1" s="81"/>
      <c r="JXM1" s="81"/>
      <c r="JXN1" s="81"/>
      <c r="JXO1" s="81"/>
      <c r="JXP1" s="81"/>
      <c r="JXQ1" s="81"/>
      <c r="JXR1" s="81"/>
      <c r="JXS1" s="81"/>
      <c r="JXT1" s="81"/>
      <c r="JXU1" s="81"/>
      <c r="JXV1" s="81"/>
      <c r="JXW1" s="81"/>
      <c r="JXX1" s="81"/>
      <c r="JXY1" s="81"/>
      <c r="JXZ1" s="81"/>
      <c r="JYA1" s="81"/>
      <c r="JYB1" s="81"/>
      <c r="JYC1" s="81"/>
      <c r="JYD1" s="81"/>
      <c r="JYE1" s="81"/>
      <c r="JYF1" s="81"/>
      <c r="JYG1" s="81"/>
      <c r="JYH1" s="81"/>
      <c r="JYI1" s="81"/>
      <c r="JYJ1" s="81"/>
      <c r="JYK1" s="81"/>
      <c r="JYL1" s="81"/>
      <c r="JYM1" s="81"/>
      <c r="JYN1" s="81"/>
      <c r="JYO1" s="81"/>
      <c r="JYP1" s="81"/>
      <c r="JYQ1" s="81"/>
      <c r="JYR1" s="81"/>
      <c r="JYS1" s="81"/>
      <c r="JYT1" s="81"/>
      <c r="JYU1" s="81"/>
      <c r="JYV1" s="81"/>
      <c r="JYW1" s="81"/>
      <c r="JYX1" s="81"/>
      <c r="JYY1" s="81"/>
      <c r="JYZ1" s="81"/>
      <c r="JZA1" s="81"/>
      <c r="JZB1" s="81"/>
      <c r="JZC1" s="81"/>
      <c r="JZD1" s="81"/>
      <c r="JZE1" s="81"/>
      <c r="JZF1" s="81"/>
      <c r="JZG1" s="81"/>
      <c r="JZH1" s="81"/>
      <c r="JZI1" s="81"/>
      <c r="JZJ1" s="81"/>
      <c r="JZK1" s="81"/>
      <c r="JZL1" s="81"/>
      <c r="JZM1" s="81"/>
      <c r="JZN1" s="81"/>
      <c r="JZO1" s="81"/>
      <c r="JZP1" s="81"/>
      <c r="JZQ1" s="81"/>
      <c r="JZR1" s="81"/>
      <c r="JZS1" s="81"/>
      <c r="JZT1" s="81"/>
      <c r="JZU1" s="81"/>
      <c r="JZV1" s="81"/>
      <c r="JZW1" s="81"/>
      <c r="JZX1" s="81"/>
      <c r="JZY1" s="81"/>
      <c r="JZZ1" s="81"/>
      <c r="KAA1" s="81"/>
      <c r="KAB1" s="81"/>
      <c r="KAC1" s="81"/>
      <c r="KAD1" s="81"/>
      <c r="KAE1" s="81"/>
      <c r="KAF1" s="81"/>
      <c r="KAG1" s="81"/>
      <c r="KAH1" s="81"/>
      <c r="KAI1" s="81"/>
      <c r="KAJ1" s="81"/>
      <c r="KAK1" s="81"/>
      <c r="KAL1" s="81"/>
      <c r="KAM1" s="81"/>
      <c r="KAN1" s="81"/>
      <c r="KAO1" s="81"/>
      <c r="KAP1" s="81"/>
      <c r="KAQ1" s="81"/>
      <c r="KAR1" s="81"/>
      <c r="KAS1" s="81"/>
      <c r="KAT1" s="81"/>
      <c r="KAU1" s="81"/>
      <c r="KAV1" s="81"/>
      <c r="KAW1" s="81"/>
      <c r="KAX1" s="81"/>
      <c r="KAY1" s="81"/>
      <c r="KAZ1" s="81"/>
      <c r="KBA1" s="81"/>
      <c r="KBB1" s="81"/>
      <c r="KBC1" s="81"/>
      <c r="KBD1" s="81"/>
      <c r="KBE1" s="81"/>
      <c r="KBF1" s="81"/>
      <c r="KBG1" s="81"/>
      <c r="KBH1" s="81"/>
      <c r="KBI1" s="81"/>
      <c r="KBJ1" s="81"/>
      <c r="KBK1" s="81"/>
      <c r="KBL1" s="81"/>
      <c r="KBM1" s="81"/>
      <c r="KBN1" s="81"/>
      <c r="KBO1" s="81"/>
      <c r="KBP1" s="81"/>
      <c r="KBQ1" s="81"/>
      <c r="KBR1" s="81"/>
      <c r="KBS1" s="81"/>
      <c r="KBT1" s="81"/>
      <c r="KBU1" s="81"/>
      <c r="KBV1" s="81"/>
      <c r="KBW1" s="81"/>
      <c r="KBX1" s="81"/>
      <c r="KBY1" s="81"/>
      <c r="KBZ1" s="81"/>
      <c r="KCA1" s="81"/>
      <c r="KCB1" s="81"/>
      <c r="KCC1" s="81"/>
      <c r="KCD1" s="81"/>
      <c r="KCE1" s="81"/>
      <c r="KCF1" s="81"/>
      <c r="KCG1" s="81"/>
      <c r="KCH1" s="81"/>
      <c r="KCI1" s="81"/>
      <c r="KCJ1" s="81"/>
      <c r="KCK1" s="81"/>
      <c r="KCL1" s="81"/>
      <c r="KCM1" s="81"/>
      <c r="KCN1" s="81"/>
      <c r="KCO1" s="81"/>
      <c r="KCP1" s="81"/>
      <c r="KCQ1" s="81"/>
      <c r="KCR1" s="81"/>
      <c r="KCS1" s="81"/>
      <c r="KCT1" s="81"/>
      <c r="KCU1" s="81"/>
      <c r="KCV1" s="81"/>
      <c r="KCW1" s="81"/>
      <c r="KCX1" s="81"/>
      <c r="KCY1" s="81"/>
      <c r="KCZ1" s="81"/>
      <c r="KDA1" s="81"/>
      <c r="KDB1" s="81"/>
      <c r="KDC1" s="81"/>
      <c r="KDD1" s="81"/>
      <c r="KDE1" s="81"/>
      <c r="KDF1" s="81"/>
      <c r="KDG1" s="81"/>
      <c r="KDH1" s="81"/>
      <c r="KDI1" s="81"/>
      <c r="KDJ1" s="81"/>
      <c r="KDK1" s="81"/>
      <c r="KDL1" s="81"/>
      <c r="KDM1" s="81"/>
      <c r="KDN1" s="81"/>
      <c r="KDO1" s="81"/>
      <c r="KDP1" s="81"/>
      <c r="KDQ1" s="81"/>
      <c r="KDR1" s="81"/>
      <c r="KDS1" s="81"/>
      <c r="KDT1" s="81"/>
      <c r="KDU1" s="81"/>
      <c r="KDV1" s="81"/>
      <c r="KDW1" s="81"/>
      <c r="KDX1" s="81"/>
      <c r="KDY1" s="81"/>
      <c r="KDZ1" s="81"/>
      <c r="KEA1" s="81"/>
      <c r="KEB1" s="81"/>
      <c r="KEC1" s="81"/>
      <c r="KED1" s="81"/>
      <c r="KEE1" s="81"/>
      <c r="KEF1" s="81"/>
      <c r="KEG1" s="81"/>
      <c r="KEH1" s="81"/>
      <c r="KEI1" s="81"/>
      <c r="KEJ1" s="81"/>
      <c r="KEK1" s="81"/>
      <c r="KEL1" s="81"/>
      <c r="KEM1" s="81"/>
      <c r="KEN1" s="81"/>
      <c r="KEO1" s="81"/>
      <c r="KEP1" s="81"/>
      <c r="KEQ1" s="81"/>
      <c r="KER1" s="81"/>
      <c r="KES1" s="81"/>
      <c r="KET1" s="81"/>
      <c r="KEU1" s="81"/>
      <c r="KEV1" s="81"/>
      <c r="KEW1" s="81"/>
      <c r="KEX1" s="81"/>
      <c r="KEY1" s="81"/>
      <c r="KEZ1" s="81"/>
      <c r="KFA1" s="81"/>
      <c r="KFB1" s="81"/>
      <c r="KFC1" s="81"/>
      <c r="KFD1" s="81"/>
      <c r="KFE1" s="81"/>
      <c r="KFF1" s="81"/>
      <c r="KFG1" s="81"/>
      <c r="KFH1" s="81"/>
      <c r="KFI1" s="81"/>
      <c r="KFJ1" s="81"/>
      <c r="KFK1" s="81"/>
      <c r="KFL1" s="81"/>
      <c r="KFM1" s="81"/>
      <c r="KFN1" s="81"/>
      <c r="KFO1" s="81"/>
      <c r="KFP1" s="81"/>
      <c r="KFQ1" s="81"/>
      <c r="KFR1" s="81"/>
      <c r="KFS1" s="81"/>
      <c r="KFT1" s="81"/>
      <c r="KFU1" s="81"/>
      <c r="KFV1" s="81"/>
      <c r="KFW1" s="81"/>
      <c r="KFX1" s="81"/>
      <c r="KFY1" s="81"/>
      <c r="KFZ1" s="81"/>
      <c r="KGA1" s="81"/>
      <c r="KGB1" s="81"/>
      <c r="KGC1" s="81"/>
      <c r="KGD1" s="81"/>
      <c r="KGE1" s="81"/>
      <c r="KGF1" s="81"/>
      <c r="KGG1" s="81"/>
      <c r="KGH1" s="81"/>
      <c r="KGI1" s="81"/>
      <c r="KGJ1" s="81"/>
      <c r="KGK1" s="81"/>
      <c r="KGL1" s="81"/>
      <c r="KGM1" s="81"/>
      <c r="KGN1" s="81"/>
      <c r="KGO1" s="81"/>
      <c r="KGP1" s="81"/>
      <c r="KGQ1" s="81"/>
      <c r="KGR1" s="81"/>
      <c r="KGS1" s="81"/>
      <c r="KGT1" s="81"/>
      <c r="KGU1" s="81"/>
      <c r="KGV1" s="81"/>
      <c r="KGW1" s="81"/>
      <c r="KGX1" s="81"/>
      <c r="KGY1" s="81"/>
      <c r="KGZ1" s="81"/>
      <c r="KHA1" s="81"/>
      <c r="KHB1" s="81"/>
      <c r="KHC1" s="81"/>
      <c r="KHD1" s="81"/>
      <c r="KHE1" s="81"/>
      <c r="KHF1" s="81"/>
      <c r="KHG1" s="81"/>
      <c r="KHH1" s="81"/>
      <c r="KHI1" s="81"/>
      <c r="KHJ1" s="81"/>
      <c r="KHK1" s="81"/>
      <c r="KHL1" s="81"/>
      <c r="KHM1" s="81"/>
      <c r="KHN1" s="81"/>
      <c r="KHO1" s="81"/>
      <c r="KHP1" s="81"/>
      <c r="KHQ1" s="81"/>
      <c r="KHR1" s="81"/>
      <c r="KHS1" s="81"/>
      <c r="KHT1" s="81"/>
      <c r="KHU1" s="81"/>
      <c r="KHV1" s="81"/>
      <c r="KHW1" s="81"/>
      <c r="KHX1" s="81"/>
      <c r="KHY1" s="81"/>
      <c r="KHZ1" s="81"/>
      <c r="KIA1" s="81"/>
      <c r="KIB1" s="81"/>
      <c r="KIC1" s="81"/>
      <c r="KID1" s="81"/>
      <c r="KIE1" s="81"/>
      <c r="KIF1" s="81"/>
      <c r="KIG1" s="81"/>
      <c r="KIH1" s="81"/>
      <c r="KII1" s="81"/>
      <c r="KIJ1" s="81"/>
      <c r="KIK1" s="81"/>
      <c r="KIL1" s="81"/>
      <c r="KIM1" s="81"/>
      <c r="KIN1" s="81"/>
      <c r="KIO1" s="81"/>
      <c r="KIP1" s="81"/>
      <c r="KIQ1" s="81"/>
      <c r="KIR1" s="81"/>
      <c r="KIS1" s="81"/>
      <c r="KIT1" s="81"/>
      <c r="KIU1" s="81"/>
      <c r="KIV1" s="81"/>
      <c r="KIW1" s="81"/>
      <c r="KIX1" s="81"/>
      <c r="KIY1" s="81"/>
      <c r="KIZ1" s="81"/>
      <c r="KJA1" s="81"/>
      <c r="KJB1" s="81"/>
      <c r="KJC1" s="81"/>
      <c r="KJD1" s="81"/>
      <c r="KJE1" s="81"/>
      <c r="KJF1" s="81"/>
      <c r="KJG1" s="81"/>
      <c r="KJH1" s="81"/>
      <c r="KJI1" s="81"/>
      <c r="KJJ1" s="81"/>
      <c r="KJK1" s="81"/>
      <c r="KJL1" s="81"/>
      <c r="KJM1" s="81"/>
      <c r="KJN1" s="81"/>
      <c r="KJO1" s="81"/>
      <c r="KJP1" s="81"/>
      <c r="KJQ1" s="81"/>
      <c r="KJR1" s="81"/>
      <c r="KJS1" s="81"/>
      <c r="KJT1" s="81"/>
      <c r="KJU1" s="81"/>
      <c r="KJV1" s="81"/>
      <c r="KJW1" s="81"/>
      <c r="KJX1" s="81"/>
      <c r="KJY1" s="81"/>
      <c r="KJZ1" s="81"/>
      <c r="KKA1" s="81"/>
      <c r="KKB1" s="81"/>
      <c r="KKC1" s="81"/>
      <c r="KKD1" s="81"/>
      <c r="KKE1" s="81"/>
      <c r="KKF1" s="81"/>
      <c r="KKG1" s="81"/>
      <c r="KKH1" s="81"/>
      <c r="KKI1" s="81"/>
      <c r="KKJ1" s="81"/>
      <c r="KKK1" s="81"/>
      <c r="KKL1" s="81"/>
      <c r="KKM1" s="81"/>
      <c r="KKN1" s="81"/>
      <c r="KKO1" s="81"/>
      <c r="KKP1" s="81"/>
      <c r="KKQ1" s="81"/>
      <c r="KKR1" s="81"/>
      <c r="KKS1" s="81"/>
      <c r="KKT1" s="81"/>
      <c r="KKU1" s="81"/>
      <c r="KKV1" s="81"/>
      <c r="KKW1" s="81"/>
      <c r="KKX1" s="81"/>
      <c r="KKY1" s="81"/>
      <c r="KKZ1" s="81"/>
      <c r="KLA1" s="81"/>
      <c r="KLB1" s="81"/>
      <c r="KLC1" s="81"/>
      <c r="KLD1" s="81"/>
      <c r="KLE1" s="81"/>
      <c r="KLF1" s="81"/>
      <c r="KLG1" s="81"/>
      <c r="KLH1" s="81"/>
      <c r="KLI1" s="81"/>
      <c r="KLJ1" s="81"/>
      <c r="KLK1" s="81"/>
      <c r="KLL1" s="81"/>
      <c r="KLM1" s="81"/>
      <c r="KLN1" s="81"/>
      <c r="KLO1" s="81"/>
      <c r="KLP1" s="81"/>
      <c r="KLQ1" s="81"/>
      <c r="KLR1" s="81"/>
      <c r="KLS1" s="81"/>
      <c r="KLT1" s="81"/>
      <c r="KLU1" s="81"/>
      <c r="KLV1" s="81"/>
      <c r="KLW1" s="81"/>
      <c r="KLX1" s="81"/>
      <c r="KLY1" s="81"/>
      <c r="KLZ1" s="81"/>
      <c r="KMA1" s="81"/>
      <c r="KMB1" s="81"/>
      <c r="KMC1" s="81"/>
      <c r="KMD1" s="81"/>
      <c r="KME1" s="81"/>
      <c r="KMF1" s="81"/>
      <c r="KMG1" s="81"/>
      <c r="KMH1" s="81"/>
      <c r="KMI1" s="81"/>
      <c r="KMJ1" s="81"/>
      <c r="KMK1" s="81"/>
      <c r="KML1" s="81"/>
      <c r="KMM1" s="81"/>
      <c r="KMN1" s="81"/>
      <c r="KMO1" s="81"/>
      <c r="KMP1" s="81"/>
      <c r="KMQ1" s="81"/>
      <c r="KMR1" s="81"/>
      <c r="KMS1" s="81"/>
      <c r="KMT1" s="81"/>
      <c r="KMU1" s="81"/>
      <c r="KMV1" s="81"/>
      <c r="KMW1" s="81"/>
      <c r="KMX1" s="81"/>
      <c r="KMY1" s="81"/>
      <c r="KMZ1" s="81"/>
      <c r="KNA1" s="81"/>
      <c r="KNB1" s="81"/>
      <c r="KNC1" s="81"/>
      <c r="KND1" s="81"/>
      <c r="KNE1" s="81"/>
      <c r="KNF1" s="81"/>
      <c r="KNG1" s="81"/>
      <c r="KNH1" s="81"/>
      <c r="KNI1" s="81"/>
      <c r="KNJ1" s="81"/>
      <c r="KNK1" s="81"/>
      <c r="KNL1" s="81"/>
      <c r="KNM1" s="81"/>
      <c r="KNN1" s="81"/>
      <c r="KNO1" s="81"/>
      <c r="KNP1" s="81"/>
      <c r="KNQ1" s="81"/>
      <c r="KNR1" s="81"/>
      <c r="KNS1" s="81"/>
      <c r="KNT1" s="81"/>
      <c r="KNU1" s="81"/>
      <c r="KNV1" s="81"/>
      <c r="KNW1" s="81"/>
      <c r="KNX1" s="81"/>
      <c r="KNY1" s="81"/>
      <c r="KNZ1" s="81"/>
      <c r="KOA1" s="81"/>
      <c r="KOB1" s="81"/>
      <c r="KOC1" s="81"/>
      <c r="KOD1" s="81"/>
      <c r="KOE1" s="81"/>
      <c r="KOF1" s="81"/>
      <c r="KOG1" s="81"/>
      <c r="KOH1" s="81"/>
      <c r="KOI1" s="81"/>
      <c r="KOJ1" s="81"/>
      <c r="KOK1" s="81"/>
      <c r="KOL1" s="81"/>
      <c r="KOM1" s="81"/>
      <c r="KON1" s="81"/>
      <c r="KOO1" s="81"/>
      <c r="KOP1" s="81"/>
      <c r="KOQ1" s="81"/>
      <c r="KOR1" s="81"/>
      <c r="KOS1" s="81"/>
      <c r="KOT1" s="81"/>
      <c r="KOU1" s="81"/>
      <c r="KOV1" s="81"/>
      <c r="KOW1" s="81"/>
      <c r="KOX1" s="81"/>
      <c r="KOY1" s="81"/>
      <c r="KOZ1" s="81"/>
      <c r="KPA1" s="81"/>
      <c r="KPB1" s="81"/>
      <c r="KPC1" s="81"/>
      <c r="KPD1" s="81"/>
      <c r="KPE1" s="81"/>
      <c r="KPF1" s="81"/>
      <c r="KPG1" s="81"/>
      <c r="KPH1" s="81"/>
      <c r="KPI1" s="81"/>
      <c r="KPJ1" s="81"/>
      <c r="KPK1" s="81"/>
      <c r="KPL1" s="81"/>
      <c r="KPM1" s="81"/>
      <c r="KPN1" s="81"/>
      <c r="KPO1" s="81"/>
      <c r="KPP1" s="81"/>
      <c r="KPQ1" s="81"/>
      <c r="KPR1" s="81"/>
      <c r="KPS1" s="81"/>
      <c r="KPT1" s="81"/>
      <c r="KPU1" s="81"/>
      <c r="KPV1" s="81"/>
      <c r="KPW1" s="81"/>
      <c r="KPX1" s="81"/>
      <c r="KPY1" s="81"/>
      <c r="KPZ1" s="81"/>
      <c r="KQA1" s="81"/>
      <c r="KQB1" s="81"/>
      <c r="KQC1" s="81"/>
      <c r="KQD1" s="81"/>
      <c r="KQE1" s="81"/>
      <c r="KQF1" s="81"/>
      <c r="KQG1" s="81"/>
      <c r="KQH1" s="81"/>
      <c r="KQI1" s="81"/>
      <c r="KQJ1" s="81"/>
      <c r="KQK1" s="81"/>
      <c r="KQL1" s="81"/>
      <c r="KQM1" s="81"/>
      <c r="KQN1" s="81"/>
      <c r="KQO1" s="81"/>
      <c r="KQP1" s="81"/>
      <c r="KQQ1" s="81"/>
      <c r="KQR1" s="81"/>
      <c r="KQS1" s="81"/>
      <c r="KQT1" s="81"/>
      <c r="KQU1" s="81"/>
      <c r="KQV1" s="81"/>
      <c r="KQW1" s="81"/>
      <c r="KQX1" s="81"/>
      <c r="KQY1" s="81"/>
      <c r="KQZ1" s="81"/>
      <c r="KRA1" s="81"/>
      <c r="KRB1" s="81"/>
      <c r="KRC1" s="81"/>
      <c r="KRD1" s="81"/>
      <c r="KRE1" s="81"/>
      <c r="KRF1" s="81"/>
      <c r="KRG1" s="81"/>
      <c r="KRH1" s="81"/>
      <c r="KRI1" s="81"/>
      <c r="KRJ1" s="81"/>
      <c r="KRK1" s="81"/>
      <c r="KRL1" s="81"/>
      <c r="KRM1" s="81"/>
      <c r="KRN1" s="81"/>
      <c r="KRO1" s="81"/>
      <c r="KRP1" s="81"/>
      <c r="KRQ1" s="81"/>
      <c r="KRR1" s="81"/>
      <c r="KRS1" s="81"/>
      <c r="KRT1" s="81"/>
      <c r="KRU1" s="81"/>
      <c r="KRV1" s="81"/>
      <c r="KRW1" s="81"/>
      <c r="KRX1" s="81"/>
      <c r="KRY1" s="81"/>
      <c r="KRZ1" s="81"/>
      <c r="KSA1" s="81"/>
      <c r="KSB1" s="81"/>
      <c r="KSC1" s="81"/>
      <c r="KSD1" s="81"/>
      <c r="KSE1" s="81"/>
      <c r="KSF1" s="81"/>
      <c r="KSG1" s="81"/>
      <c r="KSH1" s="81"/>
      <c r="KSI1" s="81"/>
      <c r="KSJ1" s="81"/>
      <c r="KSK1" s="81"/>
      <c r="KSL1" s="81"/>
      <c r="KSM1" s="81"/>
      <c r="KSN1" s="81"/>
      <c r="KSO1" s="81"/>
      <c r="KSP1" s="81"/>
      <c r="KSQ1" s="81"/>
      <c r="KSR1" s="81"/>
      <c r="KSS1" s="81"/>
      <c r="KST1" s="81"/>
      <c r="KSU1" s="81"/>
      <c r="KSV1" s="81"/>
      <c r="KSW1" s="81"/>
      <c r="KSX1" s="81"/>
      <c r="KSY1" s="81"/>
      <c r="KSZ1" s="81"/>
      <c r="KTA1" s="81"/>
      <c r="KTB1" s="81"/>
      <c r="KTC1" s="81"/>
      <c r="KTD1" s="81"/>
      <c r="KTE1" s="81"/>
      <c r="KTF1" s="81"/>
      <c r="KTG1" s="81"/>
      <c r="KTH1" s="81"/>
      <c r="KTI1" s="81"/>
      <c r="KTJ1" s="81"/>
      <c r="KTK1" s="81"/>
      <c r="KTL1" s="81"/>
      <c r="KTM1" s="81"/>
      <c r="KTN1" s="81"/>
      <c r="KTO1" s="81"/>
      <c r="KTP1" s="81"/>
      <c r="KTQ1" s="81"/>
      <c r="KTR1" s="81"/>
      <c r="KTS1" s="81"/>
      <c r="KTT1" s="81"/>
      <c r="KTU1" s="81"/>
      <c r="KTV1" s="81"/>
      <c r="KTW1" s="81"/>
      <c r="KTX1" s="81"/>
      <c r="KTY1" s="81"/>
      <c r="KTZ1" s="81"/>
      <c r="KUA1" s="81"/>
      <c r="KUB1" s="81"/>
      <c r="KUC1" s="81"/>
      <c r="KUD1" s="81"/>
      <c r="KUE1" s="81"/>
      <c r="KUF1" s="81"/>
      <c r="KUG1" s="81"/>
      <c r="KUH1" s="81"/>
      <c r="KUI1" s="81"/>
      <c r="KUJ1" s="81"/>
      <c r="KUK1" s="81"/>
      <c r="KUL1" s="81"/>
      <c r="KUM1" s="81"/>
      <c r="KUN1" s="81"/>
      <c r="KUO1" s="81"/>
      <c r="KUP1" s="81"/>
      <c r="KUQ1" s="81"/>
      <c r="KUR1" s="81"/>
      <c r="KUS1" s="81"/>
      <c r="KUT1" s="81"/>
      <c r="KUU1" s="81"/>
      <c r="KUV1" s="81"/>
      <c r="KUW1" s="81"/>
      <c r="KUX1" s="81"/>
      <c r="KUY1" s="81"/>
      <c r="KUZ1" s="81"/>
      <c r="KVA1" s="81"/>
      <c r="KVB1" s="81"/>
      <c r="KVC1" s="81"/>
      <c r="KVD1" s="81"/>
      <c r="KVE1" s="81"/>
      <c r="KVF1" s="81"/>
      <c r="KVG1" s="81"/>
      <c r="KVH1" s="81"/>
      <c r="KVI1" s="81"/>
      <c r="KVJ1" s="81"/>
      <c r="KVK1" s="81"/>
      <c r="KVL1" s="81"/>
      <c r="KVM1" s="81"/>
      <c r="KVN1" s="81"/>
      <c r="KVO1" s="81"/>
      <c r="KVP1" s="81"/>
      <c r="KVQ1" s="81"/>
      <c r="KVR1" s="81"/>
      <c r="KVS1" s="81"/>
      <c r="KVT1" s="81"/>
      <c r="KVU1" s="81"/>
      <c r="KVV1" s="81"/>
      <c r="KVW1" s="81"/>
      <c r="KVX1" s="81"/>
      <c r="KVY1" s="81"/>
      <c r="KVZ1" s="81"/>
      <c r="KWA1" s="81"/>
      <c r="KWB1" s="81"/>
      <c r="KWC1" s="81"/>
      <c r="KWD1" s="81"/>
      <c r="KWE1" s="81"/>
      <c r="KWF1" s="81"/>
      <c r="KWG1" s="81"/>
      <c r="KWH1" s="81"/>
      <c r="KWI1" s="81"/>
      <c r="KWJ1" s="81"/>
      <c r="KWK1" s="81"/>
      <c r="KWL1" s="81"/>
      <c r="KWM1" s="81"/>
      <c r="KWN1" s="81"/>
      <c r="KWO1" s="81"/>
      <c r="KWP1" s="81"/>
      <c r="KWQ1" s="81"/>
      <c r="KWR1" s="81"/>
      <c r="KWS1" s="81"/>
      <c r="KWT1" s="81"/>
      <c r="KWU1" s="81"/>
      <c r="KWV1" s="81"/>
      <c r="KWW1" s="81"/>
      <c r="KWX1" s="81"/>
      <c r="KWY1" s="81"/>
      <c r="KWZ1" s="81"/>
      <c r="KXA1" s="81"/>
      <c r="KXB1" s="81"/>
      <c r="KXC1" s="81"/>
      <c r="KXD1" s="81"/>
      <c r="KXE1" s="81"/>
      <c r="KXF1" s="81"/>
      <c r="KXG1" s="81"/>
      <c r="KXH1" s="81"/>
      <c r="KXI1" s="81"/>
      <c r="KXJ1" s="81"/>
      <c r="KXK1" s="81"/>
      <c r="KXL1" s="81"/>
      <c r="KXM1" s="81"/>
      <c r="KXN1" s="81"/>
      <c r="KXO1" s="81"/>
      <c r="KXP1" s="81"/>
      <c r="KXQ1" s="81"/>
      <c r="KXR1" s="81"/>
      <c r="KXS1" s="81"/>
      <c r="KXT1" s="81"/>
      <c r="KXU1" s="81"/>
      <c r="KXV1" s="81"/>
      <c r="KXW1" s="81"/>
      <c r="KXX1" s="81"/>
      <c r="KXY1" s="81"/>
      <c r="KXZ1" s="81"/>
      <c r="KYA1" s="81"/>
      <c r="KYB1" s="81"/>
      <c r="KYC1" s="81"/>
      <c r="KYD1" s="81"/>
      <c r="KYE1" s="81"/>
      <c r="KYF1" s="81"/>
      <c r="KYG1" s="81"/>
      <c r="KYH1" s="81"/>
      <c r="KYI1" s="81"/>
      <c r="KYJ1" s="81"/>
      <c r="KYK1" s="81"/>
      <c r="KYL1" s="81"/>
      <c r="KYM1" s="81"/>
      <c r="KYN1" s="81"/>
      <c r="KYO1" s="81"/>
      <c r="KYP1" s="81"/>
      <c r="KYQ1" s="81"/>
      <c r="KYR1" s="81"/>
      <c r="KYS1" s="81"/>
      <c r="KYT1" s="81"/>
      <c r="KYU1" s="81"/>
      <c r="KYV1" s="81"/>
      <c r="KYW1" s="81"/>
      <c r="KYX1" s="81"/>
      <c r="KYY1" s="81"/>
      <c r="KYZ1" s="81"/>
      <c r="KZA1" s="81"/>
      <c r="KZB1" s="81"/>
      <c r="KZC1" s="81"/>
      <c r="KZD1" s="81"/>
      <c r="KZE1" s="81"/>
      <c r="KZF1" s="81"/>
      <c r="KZG1" s="81"/>
      <c r="KZH1" s="81"/>
      <c r="KZI1" s="81"/>
      <c r="KZJ1" s="81"/>
      <c r="KZK1" s="81"/>
      <c r="KZL1" s="81"/>
      <c r="KZM1" s="81"/>
      <c r="KZN1" s="81"/>
      <c r="KZO1" s="81"/>
      <c r="KZP1" s="81"/>
      <c r="KZQ1" s="81"/>
      <c r="KZR1" s="81"/>
      <c r="KZS1" s="81"/>
      <c r="KZT1" s="81"/>
      <c r="KZU1" s="81"/>
      <c r="KZV1" s="81"/>
      <c r="KZW1" s="81"/>
      <c r="KZX1" s="81"/>
      <c r="KZY1" s="81"/>
      <c r="KZZ1" s="81"/>
      <c r="LAA1" s="81"/>
      <c r="LAB1" s="81"/>
      <c r="LAC1" s="81"/>
      <c r="LAD1" s="81"/>
      <c r="LAE1" s="81"/>
      <c r="LAF1" s="81"/>
      <c r="LAG1" s="81"/>
      <c r="LAH1" s="81"/>
      <c r="LAI1" s="81"/>
      <c r="LAJ1" s="81"/>
      <c r="LAK1" s="81"/>
      <c r="LAL1" s="81"/>
      <c r="LAM1" s="81"/>
      <c r="LAN1" s="81"/>
      <c r="LAO1" s="81"/>
      <c r="LAP1" s="81"/>
      <c r="LAQ1" s="81"/>
      <c r="LAR1" s="81"/>
      <c r="LAS1" s="81"/>
      <c r="LAT1" s="81"/>
      <c r="LAU1" s="81"/>
      <c r="LAV1" s="81"/>
      <c r="LAW1" s="81"/>
      <c r="LAX1" s="81"/>
      <c r="LAY1" s="81"/>
      <c r="LAZ1" s="81"/>
      <c r="LBA1" s="81"/>
      <c r="LBB1" s="81"/>
      <c r="LBC1" s="81"/>
      <c r="LBD1" s="81"/>
      <c r="LBE1" s="81"/>
      <c r="LBF1" s="81"/>
      <c r="LBG1" s="81"/>
      <c r="LBH1" s="81"/>
      <c r="LBI1" s="81"/>
      <c r="LBJ1" s="81"/>
      <c r="LBK1" s="81"/>
      <c r="LBL1" s="81"/>
      <c r="LBM1" s="81"/>
      <c r="LBN1" s="81"/>
      <c r="LBO1" s="81"/>
      <c r="LBP1" s="81"/>
      <c r="LBQ1" s="81"/>
      <c r="LBR1" s="81"/>
      <c r="LBS1" s="81"/>
      <c r="LBT1" s="81"/>
      <c r="LBU1" s="81"/>
      <c r="LBV1" s="81"/>
      <c r="LBW1" s="81"/>
      <c r="LBX1" s="81"/>
      <c r="LBY1" s="81"/>
      <c r="LBZ1" s="81"/>
      <c r="LCA1" s="81"/>
      <c r="LCB1" s="81"/>
      <c r="LCC1" s="81"/>
      <c r="LCD1" s="81"/>
      <c r="LCE1" s="81"/>
      <c r="LCF1" s="81"/>
      <c r="LCG1" s="81"/>
      <c r="LCH1" s="81"/>
      <c r="LCI1" s="81"/>
      <c r="LCJ1" s="81"/>
      <c r="LCK1" s="81"/>
      <c r="LCL1" s="81"/>
      <c r="LCM1" s="81"/>
      <c r="LCN1" s="81"/>
      <c r="LCO1" s="81"/>
      <c r="LCP1" s="81"/>
      <c r="LCQ1" s="81"/>
      <c r="LCR1" s="81"/>
      <c r="LCS1" s="81"/>
      <c r="LCT1" s="81"/>
      <c r="LCU1" s="81"/>
      <c r="LCV1" s="81"/>
      <c r="LCW1" s="81"/>
      <c r="LCX1" s="81"/>
      <c r="LCY1" s="81"/>
      <c r="LCZ1" s="81"/>
      <c r="LDA1" s="81"/>
      <c r="LDB1" s="81"/>
      <c r="LDC1" s="81"/>
      <c r="LDD1" s="81"/>
      <c r="LDE1" s="81"/>
      <c r="LDF1" s="81"/>
      <c r="LDG1" s="81"/>
      <c r="LDH1" s="81"/>
      <c r="LDI1" s="81"/>
      <c r="LDJ1" s="81"/>
      <c r="LDK1" s="81"/>
      <c r="LDL1" s="81"/>
      <c r="LDM1" s="81"/>
      <c r="LDN1" s="81"/>
      <c r="LDO1" s="81"/>
      <c r="LDP1" s="81"/>
      <c r="LDQ1" s="81"/>
      <c r="LDR1" s="81"/>
      <c r="LDS1" s="81"/>
      <c r="LDT1" s="81"/>
      <c r="LDU1" s="81"/>
      <c r="LDV1" s="81"/>
      <c r="LDW1" s="81"/>
      <c r="LDX1" s="81"/>
      <c r="LDY1" s="81"/>
      <c r="LDZ1" s="81"/>
      <c r="LEA1" s="81"/>
      <c r="LEB1" s="81"/>
      <c r="LEC1" s="81"/>
      <c r="LED1" s="81"/>
      <c r="LEE1" s="81"/>
      <c r="LEF1" s="81"/>
      <c r="LEG1" s="81"/>
      <c r="LEH1" s="81"/>
      <c r="LEI1" s="81"/>
      <c r="LEJ1" s="81"/>
      <c r="LEK1" s="81"/>
      <c r="LEL1" s="81"/>
      <c r="LEM1" s="81"/>
      <c r="LEN1" s="81"/>
      <c r="LEO1" s="81"/>
      <c r="LEP1" s="81"/>
      <c r="LEQ1" s="81"/>
      <c r="LER1" s="81"/>
      <c r="LES1" s="81"/>
      <c r="LET1" s="81"/>
      <c r="LEU1" s="81"/>
      <c r="LEV1" s="81"/>
      <c r="LEW1" s="81"/>
      <c r="LEX1" s="81"/>
      <c r="LEY1" s="81"/>
      <c r="LEZ1" s="81"/>
      <c r="LFA1" s="81"/>
      <c r="LFB1" s="81"/>
      <c r="LFC1" s="81"/>
      <c r="LFD1" s="81"/>
      <c r="LFE1" s="81"/>
      <c r="LFF1" s="81"/>
      <c r="LFG1" s="81"/>
      <c r="LFH1" s="81"/>
      <c r="LFI1" s="81"/>
      <c r="LFJ1" s="81"/>
      <c r="LFK1" s="81"/>
      <c r="LFL1" s="81"/>
      <c r="LFM1" s="81"/>
      <c r="LFN1" s="81"/>
      <c r="LFO1" s="81"/>
      <c r="LFP1" s="81"/>
      <c r="LFQ1" s="81"/>
      <c r="LFR1" s="81"/>
      <c r="LFS1" s="81"/>
      <c r="LFT1" s="81"/>
      <c r="LFU1" s="81"/>
      <c r="LFV1" s="81"/>
      <c r="LFW1" s="81"/>
      <c r="LFX1" s="81"/>
      <c r="LFY1" s="81"/>
      <c r="LFZ1" s="81"/>
      <c r="LGA1" s="81"/>
      <c r="LGB1" s="81"/>
      <c r="LGC1" s="81"/>
      <c r="LGD1" s="81"/>
      <c r="LGE1" s="81"/>
      <c r="LGF1" s="81"/>
      <c r="LGG1" s="81"/>
      <c r="LGH1" s="81"/>
      <c r="LGI1" s="81"/>
      <c r="LGJ1" s="81"/>
      <c r="LGK1" s="81"/>
      <c r="LGL1" s="81"/>
      <c r="LGM1" s="81"/>
      <c r="LGN1" s="81"/>
      <c r="LGO1" s="81"/>
      <c r="LGP1" s="81"/>
      <c r="LGQ1" s="81"/>
      <c r="LGR1" s="81"/>
      <c r="LGS1" s="81"/>
      <c r="LGT1" s="81"/>
      <c r="LGU1" s="81"/>
      <c r="LGV1" s="81"/>
      <c r="LGW1" s="81"/>
      <c r="LGX1" s="81"/>
      <c r="LGY1" s="81"/>
      <c r="LGZ1" s="81"/>
      <c r="LHA1" s="81"/>
      <c r="LHB1" s="81"/>
      <c r="LHC1" s="81"/>
      <c r="LHD1" s="81"/>
      <c r="LHE1" s="81"/>
      <c r="LHF1" s="81"/>
      <c r="LHG1" s="81"/>
      <c r="LHH1" s="81"/>
      <c r="LHI1" s="81"/>
      <c r="LHJ1" s="81"/>
      <c r="LHK1" s="81"/>
      <c r="LHL1" s="81"/>
      <c r="LHM1" s="81"/>
      <c r="LHN1" s="81"/>
      <c r="LHO1" s="81"/>
      <c r="LHP1" s="81"/>
      <c r="LHQ1" s="81"/>
      <c r="LHR1" s="81"/>
      <c r="LHS1" s="81"/>
      <c r="LHT1" s="81"/>
      <c r="LHU1" s="81"/>
      <c r="LHV1" s="81"/>
      <c r="LHW1" s="81"/>
      <c r="LHX1" s="81"/>
      <c r="LHY1" s="81"/>
      <c r="LHZ1" s="81"/>
      <c r="LIA1" s="81"/>
      <c r="LIB1" s="81"/>
      <c r="LIC1" s="81"/>
      <c r="LID1" s="81"/>
      <c r="LIE1" s="81"/>
      <c r="LIF1" s="81"/>
      <c r="LIG1" s="81"/>
      <c r="LIH1" s="81"/>
      <c r="LII1" s="81"/>
      <c r="LIJ1" s="81"/>
      <c r="LIK1" s="81"/>
      <c r="LIL1" s="81"/>
      <c r="LIM1" s="81"/>
      <c r="LIN1" s="81"/>
      <c r="LIO1" s="81"/>
      <c r="LIP1" s="81"/>
      <c r="LIQ1" s="81"/>
      <c r="LIR1" s="81"/>
      <c r="LIS1" s="81"/>
      <c r="LIT1" s="81"/>
      <c r="LIU1" s="81"/>
      <c r="LIV1" s="81"/>
      <c r="LIW1" s="81"/>
      <c r="LIX1" s="81"/>
      <c r="LIY1" s="81"/>
      <c r="LIZ1" s="81"/>
      <c r="LJA1" s="81"/>
      <c r="LJB1" s="81"/>
      <c r="LJC1" s="81"/>
      <c r="LJD1" s="81"/>
      <c r="LJE1" s="81"/>
      <c r="LJF1" s="81"/>
      <c r="LJG1" s="81"/>
      <c r="LJH1" s="81"/>
      <c r="LJI1" s="81"/>
      <c r="LJJ1" s="81"/>
      <c r="LJK1" s="81"/>
      <c r="LJL1" s="81"/>
      <c r="LJM1" s="81"/>
      <c r="LJN1" s="81"/>
      <c r="LJO1" s="81"/>
      <c r="LJP1" s="81"/>
      <c r="LJQ1" s="81"/>
      <c r="LJR1" s="81"/>
      <c r="LJS1" s="81"/>
      <c r="LJT1" s="81"/>
      <c r="LJU1" s="81"/>
      <c r="LJV1" s="81"/>
      <c r="LJW1" s="81"/>
      <c r="LJX1" s="81"/>
      <c r="LJY1" s="81"/>
      <c r="LJZ1" s="81"/>
      <c r="LKA1" s="81"/>
      <c r="LKB1" s="81"/>
      <c r="LKC1" s="81"/>
      <c r="LKD1" s="81"/>
      <c r="LKE1" s="81"/>
      <c r="LKF1" s="81"/>
      <c r="LKG1" s="81"/>
      <c r="LKH1" s="81"/>
      <c r="LKI1" s="81"/>
      <c r="LKJ1" s="81"/>
      <c r="LKK1" s="81"/>
      <c r="LKL1" s="81"/>
      <c r="LKM1" s="81"/>
      <c r="LKN1" s="81"/>
      <c r="LKO1" s="81"/>
      <c r="LKP1" s="81"/>
      <c r="LKQ1" s="81"/>
      <c r="LKR1" s="81"/>
      <c r="LKS1" s="81"/>
      <c r="LKT1" s="81"/>
      <c r="LKU1" s="81"/>
      <c r="LKV1" s="81"/>
      <c r="LKW1" s="81"/>
      <c r="LKX1" s="81"/>
      <c r="LKY1" s="81"/>
      <c r="LKZ1" s="81"/>
      <c r="LLA1" s="81"/>
      <c r="LLB1" s="81"/>
      <c r="LLC1" s="81"/>
      <c r="LLD1" s="81"/>
      <c r="LLE1" s="81"/>
      <c r="LLF1" s="81"/>
      <c r="LLG1" s="81"/>
      <c r="LLH1" s="81"/>
      <c r="LLI1" s="81"/>
      <c r="LLJ1" s="81"/>
      <c r="LLK1" s="81"/>
      <c r="LLL1" s="81"/>
      <c r="LLM1" s="81"/>
      <c r="LLN1" s="81"/>
      <c r="LLO1" s="81"/>
      <c r="LLP1" s="81"/>
      <c r="LLQ1" s="81"/>
      <c r="LLR1" s="81"/>
      <c r="LLS1" s="81"/>
      <c r="LLT1" s="81"/>
      <c r="LLU1" s="81"/>
      <c r="LLV1" s="81"/>
      <c r="LLW1" s="81"/>
      <c r="LLX1" s="81"/>
      <c r="LLY1" s="81"/>
      <c r="LLZ1" s="81"/>
      <c r="LMA1" s="81"/>
      <c r="LMB1" s="81"/>
      <c r="LMC1" s="81"/>
      <c r="LMD1" s="81"/>
      <c r="LME1" s="81"/>
      <c r="LMF1" s="81"/>
      <c r="LMG1" s="81"/>
      <c r="LMH1" s="81"/>
      <c r="LMI1" s="81"/>
      <c r="LMJ1" s="81"/>
      <c r="LMK1" s="81"/>
      <c r="LML1" s="81"/>
      <c r="LMM1" s="81"/>
      <c r="LMN1" s="81"/>
      <c r="LMO1" s="81"/>
      <c r="LMP1" s="81"/>
      <c r="LMQ1" s="81"/>
      <c r="LMR1" s="81"/>
      <c r="LMS1" s="81"/>
      <c r="LMT1" s="81"/>
      <c r="LMU1" s="81"/>
      <c r="LMV1" s="81"/>
      <c r="LMW1" s="81"/>
      <c r="LMX1" s="81"/>
      <c r="LMY1" s="81"/>
      <c r="LMZ1" s="81"/>
      <c r="LNA1" s="81"/>
      <c r="LNB1" s="81"/>
      <c r="LNC1" s="81"/>
      <c r="LND1" s="81"/>
      <c r="LNE1" s="81"/>
      <c r="LNF1" s="81"/>
      <c r="LNG1" s="81"/>
      <c r="LNH1" s="81"/>
      <c r="LNI1" s="81"/>
      <c r="LNJ1" s="81"/>
      <c r="LNK1" s="81"/>
      <c r="LNL1" s="81"/>
      <c r="LNM1" s="81"/>
      <c r="LNN1" s="81"/>
      <c r="LNO1" s="81"/>
      <c r="LNP1" s="81"/>
      <c r="LNQ1" s="81"/>
      <c r="LNR1" s="81"/>
      <c r="LNS1" s="81"/>
      <c r="LNT1" s="81"/>
      <c r="LNU1" s="81"/>
      <c r="LNV1" s="81"/>
      <c r="LNW1" s="81"/>
      <c r="LNX1" s="81"/>
      <c r="LNY1" s="81"/>
      <c r="LNZ1" s="81"/>
      <c r="LOA1" s="81"/>
      <c r="LOB1" s="81"/>
      <c r="LOC1" s="81"/>
      <c r="LOD1" s="81"/>
      <c r="LOE1" s="81"/>
      <c r="LOF1" s="81"/>
      <c r="LOG1" s="81"/>
      <c r="LOH1" s="81"/>
      <c r="LOI1" s="81"/>
      <c r="LOJ1" s="81"/>
      <c r="LOK1" s="81"/>
      <c r="LOL1" s="81"/>
      <c r="LOM1" s="81"/>
      <c r="LON1" s="81"/>
      <c r="LOO1" s="81"/>
      <c r="LOP1" s="81"/>
      <c r="LOQ1" s="81"/>
      <c r="LOR1" s="81"/>
      <c r="LOS1" s="81"/>
      <c r="LOT1" s="81"/>
      <c r="LOU1" s="81"/>
      <c r="LOV1" s="81"/>
      <c r="LOW1" s="81"/>
      <c r="LOX1" s="81"/>
      <c r="LOY1" s="81"/>
      <c r="LOZ1" s="81"/>
      <c r="LPA1" s="81"/>
      <c r="LPB1" s="81"/>
      <c r="LPC1" s="81"/>
      <c r="LPD1" s="81"/>
      <c r="LPE1" s="81"/>
      <c r="LPF1" s="81"/>
      <c r="LPG1" s="81"/>
      <c r="LPH1" s="81"/>
      <c r="LPI1" s="81"/>
      <c r="LPJ1" s="81"/>
      <c r="LPK1" s="81"/>
      <c r="LPL1" s="81"/>
      <c r="LPM1" s="81"/>
      <c r="LPN1" s="81"/>
      <c r="LPO1" s="81"/>
      <c r="LPP1" s="81"/>
      <c r="LPQ1" s="81"/>
      <c r="LPR1" s="81"/>
      <c r="LPS1" s="81"/>
      <c r="LPT1" s="81"/>
      <c r="LPU1" s="81"/>
      <c r="LPV1" s="81"/>
      <c r="LPW1" s="81"/>
      <c r="LPX1" s="81"/>
      <c r="LPY1" s="81"/>
      <c r="LPZ1" s="81"/>
      <c r="LQA1" s="81"/>
      <c r="LQB1" s="81"/>
      <c r="LQC1" s="81"/>
      <c r="LQD1" s="81"/>
      <c r="LQE1" s="81"/>
      <c r="LQF1" s="81"/>
      <c r="LQG1" s="81"/>
      <c r="LQH1" s="81"/>
      <c r="LQI1" s="81"/>
      <c r="LQJ1" s="81"/>
      <c r="LQK1" s="81"/>
      <c r="LQL1" s="81"/>
      <c r="LQM1" s="81"/>
      <c r="LQN1" s="81"/>
      <c r="LQO1" s="81"/>
      <c r="LQP1" s="81"/>
      <c r="LQQ1" s="81"/>
      <c r="LQR1" s="81"/>
      <c r="LQS1" s="81"/>
      <c r="LQT1" s="81"/>
      <c r="LQU1" s="81"/>
      <c r="LQV1" s="81"/>
      <c r="LQW1" s="81"/>
      <c r="LQX1" s="81"/>
      <c r="LQY1" s="81"/>
      <c r="LQZ1" s="81"/>
      <c r="LRA1" s="81"/>
      <c r="LRB1" s="81"/>
      <c r="LRC1" s="81"/>
      <c r="LRD1" s="81"/>
      <c r="LRE1" s="81"/>
      <c r="LRF1" s="81"/>
      <c r="LRG1" s="81"/>
      <c r="LRH1" s="81"/>
      <c r="LRI1" s="81"/>
      <c r="LRJ1" s="81"/>
      <c r="LRK1" s="81"/>
      <c r="LRL1" s="81"/>
      <c r="LRM1" s="81"/>
      <c r="LRN1" s="81"/>
      <c r="LRO1" s="81"/>
      <c r="LRP1" s="81"/>
      <c r="LRQ1" s="81"/>
      <c r="LRR1" s="81"/>
      <c r="LRS1" s="81"/>
      <c r="LRT1" s="81"/>
      <c r="LRU1" s="81"/>
      <c r="LRV1" s="81"/>
      <c r="LRW1" s="81"/>
      <c r="LRX1" s="81"/>
      <c r="LRY1" s="81"/>
      <c r="LRZ1" s="81"/>
      <c r="LSA1" s="81"/>
      <c r="LSB1" s="81"/>
      <c r="LSC1" s="81"/>
      <c r="LSD1" s="81"/>
      <c r="LSE1" s="81"/>
      <c r="LSF1" s="81"/>
      <c r="LSG1" s="81"/>
      <c r="LSH1" s="81"/>
      <c r="LSI1" s="81"/>
      <c r="LSJ1" s="81"/>
      <c r="LSK1" s="81"/>
      <c r="LSL1" s="81"/>
      <c r="LSM1" s="81"/>
      <c r="LSN1" s="81"/>
      <c r="LSO1" s="81"/>
      <c r="LSP1" s="81"/>
      <c r="LSQ1" s="81"/>
      <c r="LSR1" s="81"/>
      <c r="LSS1" s="81"/>
      <c r="LST1" s="81"/>
      <c r="LSU1" s="81"/>
      <c r="LSV1" s="81"/>
      <c r="LSW1" s="81"/>
      <c r="LSX1" s="81"/>
      <c r="LSY1" s="81"/>
      <c r="LSZ1" s="81"/>
      <c r="LTA1" s="81"/>
      <c r="LTB1" s="81"/>
      <c r="LTC1" s="81"/>
      <c r="LTD1" s="81"/>
      <c r="LTE1" s="81"/>
      <c r="LTF1" s="81"/>
      <c r="LTG1" s="81"/>
      <c r="LTH1" s="81"/>
      <c r="LTI1" s="81"/>
      <c r="LTJ1" s="81"/>
      <c r="LTK1" s="81"/>
      <c r="LTL1" s="81"/>
      <c r="LTM1" s="81"/>
      <c r="LTN1" s="81"/>
      <c r="LTO1" s="81"/>
      <c r="LTP1" s="81"/>
      <c r="LTQ1" s="81"/>
      <c r="LTR1" s="81"/>
      <c r="LTS1" s="81"/>
      <c r="LTT1" s="81"/>
      <c r="LTU1" s="81"/>
      <c r="LTV1" s="81"/>
      <c r="LTW1" s="81"/>
      <c r="LTX1" s="81"/>
      <c r="LTY1" s="81"/>
      <c r="LTZ1" s="81"/>
      <c r="LUA1" s="81"/>
      <c r="LUB1" s="81"/>
      <c r="LUC1" s="81"/>
      <c r="LUD1" s="81"/>
      <c r="LUE1" s="81"/>
      <c r="LUF1" s="81"/>
      <c r="LUG1" s="81"/>
      <c r="LUH1" s="81"/>
      <c r="LUI1" s="81"/>
      <c r="LUJ1" s="81"/>
      <c r="LUK1" s="81"/>
      <c r="LUL1" s="81"/>
      <c r="LUM1" s="81"/>
      <c r="LUN1" s="81"/>
      <c r="LUO1" s="81"/>
      <c r="LUP1" s="81"/>
      <c r="LUQ1" s="81"/>
      <c r="LUR1" s="81"/>
      <c r="LUS1" s="81"/>
      <c r="LUT1" s="81"/>
      <c r="LUU1" s="81"/>
      <c r="LUV1" s="81"/>
      <c r="LUW1" s="81"/>
      <c r="LUX1" s="81"/>
      <c r="LUY1" s="81"/>
      <c r="LUZ1" s="81"/>
      <c r="LVA1" s="81"/>
      <c r="LVB1" s="81"/>
      <c r="LVC1" s="81"/>
      <c r="LVD1" s="81"/>
      <c r="LVE1" s="81"/>
      <c r="LVF1" s="81"/>
      <c r="LVG1" s="81"/>
      <c r="LVH1" s="81"/>
      <c r="LVI1" s="81"/>
      <c r="LVJ1" s="81"/>
      <c r="LVK1" s="81"/>
      <c r="LVL1" s="81"/>
      <c r="LVM1" s="81"/>
      <c r="LVN1" s="81"/>
      <c r="LVO1" s="81"/>
      <c r="LVP1" s="81"/>
      <c r="LVQ1" s="81"/>
      <c r="LVR1" s="81"/>
      <c r="LVS1" s="81"/>
      <c r="LVT1" s="81"/>
      <c r="LVU1" s="81"/>
      <c r="LVV1" s="81"/>
      <c r="LVW1" s="81"/>
      <c r="LVX1" s="81"/>
      <c r="LVY1" s="81"/>
      <c r="LVZ1" s="81"/>
      <c r="LWA1" s="81"/>
      <c r="LWB1" s="81"/>
      <c r="LWC1" s="81"/>
      <c r="LWD1" s="81"/>
      <c r="LWE1" s="81"/>
      <c r="LWF1" s="81"/>
      <c r="LWG1" s="81"/>
      <c r="LWH1" s="81"/>
      <c r="LWI1" s="81"/>
      <c r="LWJ1" s="81"/>
      <c r="LWK1" s="81"/>
      <c r="LWL1" s="81"/>
      <c r="LWM1" s="81"/>
      <c r="LWN1" s="81"/>
      <c r="LWO1" s="81"/>
      <c r="LWP1" s="81"/>
      <c r="LWQ1" s="81"/>
      <c r="LWR1" s="81"/>
      <c r="LWS1" s="81"/>
      <c r="LWT1" s="81"/>
      <c r="LWU1" s="81"/>
      <c r="LWV1" s="81"/>
      <c r="LWW1" s="81"/>
      <c r="LWX1" s="81"/>
      <c r="LWY1" s="81"/>
      <c r="LWZ1" s="81"/>
      <c r="LXA1" s="81"/>
      <c r="LXB1" s="81"/>
      <c r="LXC1" s="81"/>
      <c r="LXD1" s="81"/>
      <c r="LXE1" s="81"/>
      <c r="LXF1" s="81"/>
      <c r="LXG1" s="81"/>
      <c r="LXH1" s="81"/>
      <c r="LXI1" s="81"/>
      <c r="LXJ1" s="81"/>
      <c r="LXK1" s="81"/>
      <c r="LXL1" s="81"/>
      <c r="LXM1" s="81"/>
      <c r="LXN1" s="81"/>
      <c r="LXO1" s="81"/>
      <c r="LXP1" s="81"/>
      <c r="LXQ1" s="81"/>
      <c r="LXR1" s="81"/>
      <c r="LXS1" s="81"/>
      <c r="LXT1" s="81"/>
      <c r="LXU1" s="81"/>
      <c r="LXV1" s="81"/>
      <c r="LXW1" s="81"/>
      <c r="LXX1" s="81"/>
      <c r="LXY1" s="81"/>
      <c r="LXZ1" s="81"/>
      <c r="LYA1" s="81"/>
      <c r="LYB1" s="81"/>
      <c r="LYC1" s="81"/>
      <c r="LYD1" s="81"/>
      <c r="LYE1" s="81"/>
      <c r="LYF1" s="81"/>
      <c r="LYG1" s="81"/>
      <c r="LYH1" s="81"/>
      <c r="LYI1" s="81"/>
      <c r="LYJ1" s="81"/>
      <c r="LYK1" s="81"/>
      <c r="LYL1" s="81"/>
      <c r="LYM1" s="81"/>
      <c r="LYN1" s="81"/>
      <c r="LYO1" s="81"/>
      <c r="LYP1" s="81"/>
      <c r="LYQ1" s="81"/>
      <c r="LYR1" s="81"/>
      <c r="LYS1" s="81"/>
      <c r="LYT1" s="81"/>
      <c r="LYU1" s="81"/>
      <c r="LYV1" s="81"/>
      <c r="LYW1" s="81"/>
      <c r="LYX1" s="81"/>
      <c r="LYY1" s="81"/>
      <c r="LYZ1" s="81"/>
      <c r="LZA1" s="81"/>
      <c r="LZB1" s="81"/>
      <c r="LZC1" s="81"/>
      <c r="LZD1" s="81"/>
      <c r="LZE1" s="81"/>
      <c r="LZF1" s="81"/>
      <c r="LZG1" s="81"/>
      <c r="LZH1" s="81"/>
      <c r="LZI1" s="81"/>
      <c r="LZJ1" s="81"/>
      <c r="LZK1" s="81"/>
      <c r="LZL1" s="81"/>
      <c r="LZM1" s="81"/>
      <c r="LZN1" s="81"/>
      <c r="LZO1" s="81"/>
      <c r="LZP1" s="81"/>
      <c r="LZQ1" s="81"/>
      <c r="LZR1" s="81"/>
      <c r="LZS1" s="81"/>
      <c r="LZT1" s="81"/>
      <c r="LZU1" s="81"/>
      <c r="LZV1" s="81"/>
      <c r="LZW1" s="81"/>
      <c r="LZX1" s="81"/>
      <c r="LZY1" s="81"/>
      <c r="LZZ1" s="81"/>
      <c r="MAA1" s="81"/>
      <c r="MAB1" s="81"/>
      <c r="MAC1" s="81"/>
      <c r="MAD1" s="81"/>
      <c r="MAE1" s="81"/>
      <c r="MAF1" s="81"/>
      <c r="MAG1" s="81"/>
      <c r="MAH1" s="81"/>
      <c r="MAI1" s="81"/>
      <c r="MAJ1" s="81"/>
      <c r="MAK1" s="81"/>
      <c r="MAL1" s="81"/>
      <c r="MAM1" s="81"/>
      <c r="MAN1" s="81"/>
      <c r="MAO1" s="81"/>
      <c r="MAP1" s="81"/>
      <c r="MAQ1" s="81"/>
      <c r="MAR1" s="81"/>
      <c r="MAS1" s="81"/>
      <c r="MAT1" s="81"/>
      <c r="MAU1" s="81"/>
      <c r="MAV1" s="81"/>
      <c r="MAW1" s="81"/>
      <c r="MAX1" s="81"/>
      <c r="MAY1" s="81"/>
      <c r="MAZ1" s="81"/>
      <c r="MBA1" s="81"/>
      <c r="MBB1" s="81"/>
      <c r="MBC1" s="81"/>
      <c r="MBD1" s="81"/>
      <c r="MBE1" s="81"/>
      <c r="MBF1" s="81"/>
      <c r="MBG1" s="81"/>
      <c r="MBH1" s="81"/>
      <c r="MBI1" s="81"/>
      <c r="MBJ1" s="81"/>
      <c r="MBK1" s="81"/>
      <c r="MBL1" s="81"/>
      <c r="MBM1" s="81"/>
      <c r="MBN1" s="81"/>
      <c r="MBO1" s="81"/>
      <c r="MBP1" s="81"/>
      <c r="MBQ1" s="81"/>
      <c r="MBR1" s="81"/>
      <c r="MBS1" s="81"/>
      <c r="MBT1" s="81"/>
      <c r="MBU1" s="81"/>
      <c r="MBV1" s="81"/>
      <c r="MBW1" s="81"/>
      <c r="MBX1" s="81"/>
      <c r="MBY1" s="81"/>
      <c r="MBZ1" s="81"/>
      <c r="MCA1" s="81"/>
      <c r="MCB1" s="81"/>
      <c r="MCC1" s="81"/>
      <c r="MCD1" s="81"/>
      <c r="MCE1" s="81"/>
      <c r="MCF1" s="81"/>
      <c r="MCG1" s="81"/>
      <c r="MCH1" s="81"/>
      <c r="MCI1" s="81"/>
      <c r="MCJ1" s="81"/>
      <c r="MCK1" s="81"/>
      <c r="MCL1" s="81"/>
      <c r="MCM1" s="81"/>
      <c r="MCN1" s="81"/>
      <c r="MCO1" s="81"/>
      <c r="MCP1" s="81"/>
      <c r="MCQ1" s="81"/>
      <c r="MCR1" s="81"/>
      <c r="MCS1" s="81"/>
      <c r="MCT1" s="81"/>
      <c r="MCU1" s="81"/>
      <c r="MCV1" s="81"/>
      <c r="MCW1" s="81"/>
      <c r="MCX1" s="81"/>
      <c r="MCY1" s="81"/>
      <c r="MCZ1" s="81"/>
      <c r="MDA1" s="81"/>
      <c r="MDB1" s="81"/>
      <c r="MDC1" s="81"/>
      <c r="MDD1" s="81"/>
      <c r="MDE1" s="81"/>
      <c r="MDF1" s="81"/>
      <c r="MDG1" s="81"/>
      <c r="MDH1" s="81"/>
      <c r="MDI1" s="81"/>
      <c r="MDJ1" s="81"/>
      <c r="MDK1" s="81"/>
      <c r="MDL1" s="81"/>
      <c r="MDM1" s="81"/>
      <c r="MDN1" s="81"/>
      <c r="MDO1" s="81"/>
      <c r="MDP1" s="81"/>
      <c r="MDQ1" s="81"/>
      <c r="MDR1" s="81"/>
      <c r="MDS1" s="81"/>
      <c r="MDT1" s="81"/>
      <c r="MDU1" s="81"/>
      <c r="MDV1" s="81"/>
      <c r="MDW1" s="81"/>
      <c r="MDX1" s="81"/>
      <c r="MDY1" s="81"/>
      <c r="MDZ1" s="81"/>
      <c r="MEA1" s="81"/>
      <c r="MEB1" s="81"/>
      <c r="MEC1" s="81"/>
      <c r="MED1" s="81"/>
      <c r="MEE1" s="81"/>
      <c r="MEF1" s="81"/>
      <c r="MEG1" s="81"/>
      <c r="MEH1" s="81"/>
      <c r="MEI1" s="81"/>
      <c r="MEJ1" s="81"/>
      <c r="MEK1" s="81"/>
      <c r="MEL1" s="81"/>
      <c r="MEM1" s="81"/>
      <c r="MEN1" s="81"/>
      <c r="MEO1" s="81"/>
      <c r="MEP1" s="81"/>
      <c r="MEQ1" s="81"/>
      <c r="MER1" s="81"/>
      <c r="MES1" s="81"/>
      <c r="MET1" s="81"/>
      <c r="MEU1" s="81"/>
      <c r="MEV1" s="81"/>
      <c r="MEW1" s="81"/>
      <c r="MEX1" s="81"/>
      <c r="MEY1" s="81"/>
      <c r="MEZ1" s="81"/>
      <c r="MFA1" s="81"/>
      <c r="MFB1" s="81"/>
      <c r="MFC1" s="81"/>
      <c r="MFD1" s="81"/>
      <c r="MFE1" s="81"/>
      <c r="MFF1" s="81"/>
      <c r="MFG1" s="81"/>
      <c r="MFH1" s="81"/>
      <c r="MFI1" s="81"/>
      <c r="MFJ1" s="81"/>
      <c r="MFK1" s="81"/>
      <c r="MFL1" s="81"/>
      <c r="MFM1" s="81"/>
      <c r="MFN1" s="81"/>
      <c r="MFO1" s="81"/>
      <c r="MFP1" s="81"/>
      <c r="MFQ1" s="81"/>
      <c r="MFR1" s="81"/>
      <c r="MFS1" s="81"/>
      <c r="MFT1" s="81"/>
      <c r="MFU1" s="81"/>
      <c r="MFV1" s="81"/>
      <c r="MFW1" s="81"/>
      <c r="MFX1" s="81"/>
      <c r="MFY1" s="81"/>
      <c r="MFZ1" s="81"/>
      <c r="MGA1" s="81"/>
      <c r="MGB1" s="81"/>
      <c r="MGC1" s="81"/>
      <c r="MGD1" s="81"/>
      <c r="MGE1" s="81"/>
      <c r="MGF1" s="81"/>
      <c r="MGG1" s="81"/>
      <c r="MGH1" s="81"/>
      <c r="MGI1" s="81"/>
      <c r="MGJ1" s="81"/>
      <c r="MGK1" s="81"/>
      <c r="MGL1" s="81"/>
      <c r="MGM1" s="81"/>
      <c r="MGN1" s="81"/>
      <c r="MGO1" s="81"/>
      <c r="MGP1" s="81"/>
      <c r="MGQ1" s="81"/>
      <c r="MGR1" s="81"/>
      <c r="MGS1" s="81"/>
      <c r="MGT1" s="81"/>
      <c r="MGU1" s="81"/>
      <c r="MGV1" s="81"/>
      <c r="MGW1" s="81"/>
      <c r="MGX1" s="81"/>
      <c r="MGY1" s="81"/>
      <c r="MGZ1" s="81"/>
      <c r="MHA1" s="81"/>
      <c r="MHB1" s="81"/>
      <c r="MHC1" s="81"/>
      <c r="MHD1" s="81"/>
      <c r="MHE1" s="81"/>
      <c r="MHF1" s="81"/>
      <c r="MHG1" s="81"/>
      <c r="MHH1" s="81"/>
      <c r="MHI1" s="81"/>
      <c r="MHJ1" s="81"/>
      <c r="MHK1" s="81"/>
      <c r="MHL1" s="81"/>
      <c r="MHM1" s="81"/>
      <c r="MHN1" s="81"/>
      <c r="MHO1" s="81"/>
      <c r="MHP1" s="81"/>
      <c r="MHQ1" s="81"/>
      <c r="MHR1" s="81"/>
      <c r="MHS1" s="81"/>
      <c r="MHT1" s="81"/>
      <c r="MHU1" s="81"/>
      <c r="MHV1" s="81"/>
      <c r="MHW1" s="81"/>
      <c r="MHX1" s="81"/>
      <c r="MHY1" s="81"/>
      <c r="MHZ1" s="81"/>
      <c r="MIA1" s="81"/>
      <c r="MIB1" s="81"/>
      <c r="MIC1" s="81"/>
      <c r="MID1" s="81"/>
      <c r="MIE1" s="81"/>
      <c r="MIF1" s="81"/>
      <c r="MIG1" s="81"/>
      <c r="MIH1" s="81"/>
      <c r="MII1" s="81"/>
      <c r="MIJ1" s="81"/>
      <c r="MIK1" s="81"/>
      <c r="MIL1" s="81"/>
      <c r="MIM1" s="81"/>
      <c r="MIN1" s="81"/>
      <c r="MIO1" s="81"/>
      <c r="MIP1" s="81"/>
      <c r="MIQ1" s="81"/>
      <c r="MIR1" s="81"/>
      <c r="MIS1" s="81"/>
      <c r="MIT1" s="81"/>
      <c r="MIU1" s="81"/>
      <c r="MIV1" s="81"/>
      <c r="MIW1" s="81"/>
      <c r="MIX1" s="81"/>
      <c r="MIY1" s="81"/>
      <c r="MIZ1" s="81"/>
      <c r="MJA1" s="81"/>
      <c r="MJB1" s="81"/>
      <c r="MJC1" s="81"/>
      <c r="MJD1" s="81"/>
      <c r="MJE1" s="81"/>
      <c r="MJF1" s="81"/>
      <c r="MJG1" s="81"/>
      <c r="MJH1" s="81"/>
      <c r="MJI1" s="81"/>
      <c r="MJJ1" s="81"/>
      <c r="MJK1" s="81"/>
      <c r="MJL1" s="81"/>
      <c r="MJM1" s="81"/>
      <c r="MJN1" s="81"/>
      <c r="MJO1" s="81"/>
      <c r="MJP1" s="81"/>
      <c r="MJQ1" s="81"/>
      <c r="MJR1" s="81"/>
      <c r="MJS1" s="81"/>
      <c r="MJT1" s="81"/>
      <c r="MJU1" s="81"/>
      <c r="MJV1" s="81"/>
      <c r="MJW1" s="81"/>
      <c r="MJX1" s="81"/>
      <c r="MJY1" s="81"/>
      <c r="MJZ1" s="81"/>
      <c r="MKA1" s="81"/>
      <c r="MKB1" s="81"/>
      <c r="MKC1" s="81"/>
      <c r="MKD1" s="81"/>
      <c r="MKE1" s="81"/>
      <c r="MKF1" s="81"/>
      <c r="MKG1" s="81"/>
      <c r="MKH1" s="81"/>
      <c r="MKI1" s="81"/>
      <c r="MKJ1" s="81"/>
      <c r="MKK1" s="81"/>
      <c r="MKL1" s="81"/>
      <c r="MKM1" s="81"/>
      <c r="MKN1" s="81"/>
      <c r="MKO1" s="81"/>
      <c r="MKP1" s="81"/>
      <c r="MKQ1" s="81"/>
      <c r="MKR1" s="81"/>
      <c r="MKS1" s="81"/>
      <c r="MKT1" s="81"/>
      <c r="MKU1" s="81"/>
      <c r="MKV1" s="81"/>
      <c r="MKW1" s="81"/>
      <c r="MKX1" s="81"/>
      <c r="MKY1" s="81"/>
      <c r="MKZ1" s="81"/>
      <c r="MLA1" s="81"/>
      <c r="MLB1" s="81"/>
      <c r="MLC1" s="81"/>
      <c r="MLD1" s="81"/>
      <c r="MLE1" s="81"/>
      <c r="MLF1" s="81"/>
      <c r="MLG1" s="81"/>
      <c r="MLH1" s="81"/>
      <c r="MLI1" s="81"/>
      <c r="MLJ1" s="81"/>
      <c r="MLK1" s="81"/>
      <c r="MLL1" s="81"/>
      <c r="MLM1" s="81"/>
      <c r="MLN1" s="81"/>
      <c r="MLO1" s="81"/>
      <c r="MLP1" s="81"/>
      <c r="MLQ1" s="81"/>
      <c r="MLR1" s="81"/>
      <c r="MLS1" s="81"/>
      <c r="MLT1" s="81"/>
      <c r="MLU1" s="81"/>
      <c r="MLV1" s="81"/>
      <c r="MLW1" s="81"/>
      <c r="MLX1" s="81"/>
      <c r="MLY1" s="81"/>
      <c r="MLZ1" s="81"/>
      <c r="MMA1" s="81"/>
      <c r="MMB1" s="81"/>
      <c r="MMC1" s="81"/>
      <c r="MMD1" s="81"/>
      <c r="MME1" s="81"/>
      <c r="MMF1" s="81"/>
      <c r="MMG1" s="81"/>
      <c r="MMH1" s="81"/>
      <c r="MMI1" s="81"/>
      <c r="MMJ1" s="81"/>
      <c r="MMK1" s="81"/>
      <c r="MML1" s="81"/>
      <c r="MMM1" s="81"/>
      <c r="MMN1" s="81"/>
      <c r="MMO1" s="81"/>
      <c r="MMP1" s="81"/>
      <c r="MMQ1" s="81"/>
      <c r="MMR1" s="81"/>
      <c r="MMS1" s="81"/>
      <c r="MMT1" s="81"/>
      <c r="MMU1" s="81"/>
      <c r="MMV1" s="81"/>
      <c r="MMW1" s="81"/>
      <c r="MMX1" s="81"/>
      <c r="MMY1" s="81"/>
      <c r="MMZ1" s="81"/>
      <c r="MNA1" s="81"/>
      <c r="MNB1" s="81"/>
      <c r="MNC1" s="81"/>
      <c r="MND1" s="81"/>
      <c r="MNE1" s="81"/>
      <c r="MNF1" s="81"/>
      <c r="MNG1" s="81"/>
      <c r="MNH1" s="81"/>
      <c r="MNI1" s="81"/>
      <c r="MNJ1" s="81"/>
      <c r="MNK1" s="81"/>
      <c r="MNL1" s="81"/>
      <c r="MNM1" s="81"/>
      <c r="MNN1" s="81"/>
      <c r="MNO1" s="81"/>
      <c r="MNP1" s="81"/>
      <c r="MNQ1" s="81"/>
      <c r="MNR1" s="81"/>
      <c r="MNS1" s="81"/>
      <c r="MNT1" s="81"/>
      <c r="MNU1" s="81"/>
      <c r="MNV1" s="81"/>
      <c r="MNW1" s="81"/>
      <c r="MNX1" s="81"/>
      <c r="MNY1" s="81"/>
      <c r="MNZ1" s="81"/>
      <c r="MOA1" s="81"/>
      <c r="MOB1" s="81"/>
      <c r="MOC1" s="81"/>
      <c r="MOD1" s="81"/>
      <c r="MOE1" s="81"/>
      <c r="MOF1" s="81"/>
      <c r="MOG1" s="81"/>
      <c r="MOH1" s="81"/>
      <c r="MOI1" s="81"/>
      <c r="MOJ1" s="81"/>
      <c r="MOK1" s="81"/>
      <c r="MOL1" s="81"/>
      <c r="MOM1" s="81"/>
      <c r="MON1" s="81"/>
      <c r="MOO1" s="81"/>
      <c r="MOP1" s="81"/>
      <c r="MOQ1" s="81"/>
      <c r="MOR1" s="81"/>
      <c r="MOS1" s="81"/>
      <c r="MOT1" s="81"/>
      <c r="MOU1" s="81"/>
      <c r="MOV1" s="81"/>
      <c r="MOW1" s="81"/>
      <c r="MOX1" s="81"/>
      <c r="MOY1" s="81"/>
      <c r="MOZ1" s="81"/>
      <c r="MPA1" s="81"/>
      <c r="MPB1" s="81"/>
      <c r="MPC1" s="81"/>
      <c r="MPD1" s="81"/>
      <c r="MPE1" s="81"/>
      <c r="MPF1" s="81"/>
      <c r="MPG1" s="81"/>
      <c r="MPH1" s="81"/>
      <c r="MPI1" s="81"/>
      <c r="MPJ1" s="81"/>
      <c r="MPK1" s="81"/>
      <c r="MPL1" s="81"/>
      <c r="MPM1" s="81"/>
      <c r="MPN1" s="81"/>
      <c r="MPO1" s="81"/>
      <c r="MPP1" s="81"/>
      <c r="MPQ1" s="81"/>
      <c r="MPR1" s="81"/>
      <c r="MPS1" s="81"/>
      <c r="MPT1" s="81"/>
      <c r="MPU1" s="81"/>
      <c r="MPV1" s="81"/>
      <c r="MPW1" s="81"/>
      <c r="MPX1" s="81"/>
      <c r="MPY1" s="81"/>
      <c r="MPZ1" s="81"/>
      <c r="MQA1" s="81"/>
      <c r="MQB1" s="81"/>
      <c r="MQC1" s="81"/>
      <c r="MQD1" s="81"/>
      <c r="MQE1" s="81"/>
      <c r="MQF1" s="81"/>
      <c r="MQG1" s="81"/>
      <c r="MQH1" s="81"/>
      <c r="MQI1" s="81"/>
      <c r="MQJ1" s="81"/>
      <c r="MQK1" s="81"/>
      <c r="MQL1" s="81"/>
      <c r="MQM1" s="81"/>
      <c r="MQN1" s="81"/>
      <c r="MQO1" s="81"/>
      <c r="MQP1" s="81"/>
      <c r="MQQ1" s="81"/>
      <c r="MQR1" s="81"/>
      <c r="MQS1" s="81"/>
      <c r="MQT1" s="81"/>
      <c r="MQU1" s="81"/>
      <c r="MQV1" s="81"/>
      <c r="MQW1" s="81"/>
      <c r="MQX1" s="81"/>
      <c r="MQY1" s="81"/>
      <c r="MQZ1" s="81"/>
      <c r="MRA1" s="81"/>
      <c r="MRB1" s="81"/>
      <c r="MRC1" s="81"/>
      <c r="MRD1" s="81"/>
      <c r="MRE1" s="81"/>
      <c r="MRF1" s="81"/>
      <c r="MRG1" s="81"/>
      <c r="MRH1" s="81"/>
      <c r="MRI1" s="81"/>
      <c r="MRJ1" s="81"/>
      <c r="MRK1" s="81"/>
      <c r="MRL1" s="81"/>
      <c r="MRM1" s="81"/>
      <c r="MRN1" s="81"/>
      <c r="MRO1" s="81"/>
      <c r="MRP1" s="81"/>
      <c r="MRQ1" s="81"/>
      <c r="MRR1" s="81"/>
      <c r="MRS1" s="81"/>
      <c r="MRT1" s="81"/>
      <c r="MRU1" s="81"/>
      <c r="MRV1" s="81"/>
      <c r="MRW1" s="81"/>
      <c r="MRX1" s="81"/>
      <c r="MRY1" s="81"/>
      <c r="MRZ1" s="81"/>
      <c r="MSA1" s="81"/>
      <c r="MSB1" s="81"/>
      <c r="MSC1" s="81"/>
      <c r="MSD1" s="81"/>
      <c r="MSE1" s="81"/>
      <c r="MSF1" s="81"/>
      <c r="MSG1" s="81"/>
      <c r="MSH1" s="81"/>
      <c r="MSI1" s="81"/>
      <c r="MSJ1" s="81"/>
      <c r="MSK1" s="81"/>
      <c r="MSL1" s="81"/>
      <c r="MSM1" s="81"/>
      <c r="MSN1" s="81"/>
      <c r="MSO1" s="81"/>
      <c r="MSP1" s="81"/>
      <c r="MSQ1" s="81"/>
      <c r="MSR1" s="81"/>
      <c r="MSS1" s="81"/>
      <c r="MST1" s="81"/>
      <c r="MSU1" s="81"/>
      <c r="MSV1" s="81"/>
      <c r="MSW1" s="81"/>
      <c r="MSX1" s="81"/>
      <c r="MSY1" s="81"/>
      <c r="MSZ1" s="81"/>
      <c r="MTA1" s="81"/>
      <c r="MTB1" s="81"/>
      <c r="MTC1" s="81"/>
      <c r="MTD1" s="81"/>
      <c r="MTE1" s="81"/>
      <c r="MTF1" s="81"/>
      <c r="MTG1" s="81"/>
      <c r="MTH1" s="81"/>
      <c r="MTI1" s="81"/>
      <c r="MTJ1" s="81"/>
      <c r="MTK1" s="81"/>
      <c r="MTL1" s="81"/>
      <c r="MTM1" s="81"/>
      <c r="MTN1" s="81"/>
      <c r="MTO1" s="81"/>
      <c r="MTP1" s="81"/>
      <c r="MTQ1" s="81"/>
      <c r="MTR1" s="81"/>
      <c r="MTS1" s="81"/>
      <c r="MTT1" s="81"/>
      <c r="MTU1" s="81"/>
      <c r="MTV1" s="81"/>
      <c r="MTW1" s="81"/>
      <c r="MTX1" s="81"/>
      <c r="MTY1" s="81"/>
      <c r="MTZ1" s="81"/>
      <c r="MUA1" s="81"/>
      <c r="MUB1" s="81"/>
      <c r="MUC1" s="81"/>
      <c r="MUD1" s="81"/>
      <c r="MUE1" s="81"/>
      <c r="MUF1" s="81"/>
      <c r="MUG1" s="81"/>
      <c r="MUH1" s="81"/>
      <c r="MUI1" s="81"/>
      <c r="MUJ1" s="81"/>
      <c r="MUK1" s="81"/>
      <c r="MUL1" s="81"/>
      <c r="MUM1" s="81"/>
      <c r="MUN1" s="81"/>
      <c r="MUO1" s="81"/>
      <c r="MUP1" s="81"/>
      <c r="MUQ1" s="81"/>
      <c r="MUR1" s="81"/>
      <c r="MUS1" s="81"/>
      <c r="MUT1" s="81"/>
      <c r="MUU1" s="81"/>
      <c r="MUV1" s="81"/>
      <c r="MUW1" s="81"/>
      <c r="MUX1" s="81"/>
      <c r="MUY1" s="81"/>
      <c r="MUZ1" s="81"/>
      <c r="MVA1" s="81"/>
      <c r="MVB1" s="81"/>
      <c r="MVC1" s="81"/>
      <c r="MVD1" s="81"/>
      <c r="MVE1" s="81"/>
      <c r="MVF1" s="81"/>
      <c r="MVG1" s="81"/>
      <c r="MVH1" s="81"/>
      <c r="MVI1" s="81"/>
      <c r="MVJ1" s="81"/>
      <c r="MVK1" s="81"/>
      <c r="MVL1" s="81"/>
      <c r="MVM1" s="81"/>
      <c r="MVN1" s="81"/>
      <c r="MVO1" s="81"/>
      <c r="MVP1" s="81"/>
      <c r="MVQ1" s="81"/>
      <c r="MVR1" s="81"/>
      <c r="MVS1" s="81"/>
      <c r="MVT1" s="81"/>
      <c r="MVU1" s="81"/>
      <c r="MVV1" s="81"/>
      <c r="MVW1" s="81"/>
      <c r="MVX1" s="81"/>
      <c r="MVY1" s="81"/>
      <c r="MVZ1" s="81"/>
      <c r="MWA1" s="81"/>
      <c r="MWB1" s="81"/>
      <c r="MWC1" s="81"/>
      <c r="MWD1" s="81"/>
      <c r="MWE1" s="81"/>
      <c r="MWF1" s="81"/>
      <c r="MWG1" s="81"/>
      <c r="MWH1" s="81"/>
      <c r="MWI1" s="81"/>
      <c r="MWJ1" s="81"/>
      <c r="MWK1" s="81"/>
      <c r="MWL1" s="81"/>
      <c r="MWM1" s="81"/>
      <c r="MWN1" s="81"/>
      <c r="MWO1" s="81"/>
      <c r="MWP1" s="81"/>
      <c r="MWQ1" s="81"/>
      <c r="MWR1" s="81"/>
      <c r="MWS1" s="81"/>
      <c r="MWT1" s="81"/>
      <c r="MWU1" s="81"/>
      <c r="MWV1" s="81"/>
      <c r="MWW1" s="81"/>
      <c r="MWX1" s="81"/>
      <c r="MWY1" s="81"/>
      <c r="MWZ1" s="81"/>
      <c r="MXA1" s="81"/>
      <c r="MXB1" s="81"/>
      <c r="MXC1" s="81"/>
      <c r="MXD1" s="81"/>
      <c r="MXE1" s="81"/>
      <c r="MXF1" s="81"/>
      <c r="MXG1" s="81"/>
      <c r="MXH1" s="81"/>
      <c r="MXI1" s="81"/>
      <c r="MXJ1" s="81"/>
      <c r="MXK1" s="81"/>
      <c r="MXL1" s="81"/>
      <c r="MXM1" s="81"/>
      <c r="MXN1" s="81"/>
      <c r="MXO1" s="81"/>
      <c r="MXP1" s="81"/>
      <c r="MXQ1" s="81"/>
      <c r="MXR1" s="81"/>
      <c r="MXS1" s="81"/>
      <c r="MXT1" s="81"/>
      <c r="MXU1" s="81"/>
      <c r="MXV1" s="81"/>
      <c r="MXW1" s="81"/>
      <c r="MXX1" s="81"/>
      <c r="MXY1" s="81"/>
      <c r="MXZ1" s="81"/>
      <c r="MYA1" s="81"/>
      <c r="MYB1" s="81"/>
      <c r="MYC1" s="81"/>
      <c r="MYD1" s="81"/>
      <c r="MYE1" s="81"/>
      <c r="MYF1" s="81"/>
      <c r="MYG1" s="81"/>
      <c r="MYH1" s="81"/>
      <c r="MYI1" s="81"/>
      <c r="MYJ1" s="81"/>
      <c r="MYK1" s="81"/>
      <c r="MYL1" s="81"/>
      <c r="MYM1" s="81"/>
      <c r="MYN1" s="81"/>
      <c r="MYO1" s="81"/>
      <c r="MYP1" s="81"/>
      <c r="MYQ1" s="81"/>
      <c r="MYR1" s="81"/>
      <c r="MYS1" s="81"/>
      <c r="MYT1" s="81"/>
      <c r="MYU1" s="81"/>
      <c r="MYV1" s="81"/>
      <c r="MYW1" s="81"/>
      <c r="MYX1" s="81"/>
      <c r="MYY1" s="81"/>
      <c r="MYZ1" s="81"/>
      <c r="MZA1" s="81"/>
      <c r="MZB1" s="81"/>
      <c r="MZC1" s="81"/>
      <c r="MZD1" s="81"/>
      <c r="MZE1" s="81"/>
      <c r="MZF1" s="81"/>
      <c r="MZG1" s="81"/>
      <c r="MZH1" s="81"/>
      <c r="MZI1" s="81"/>
      <c r="MZJ1" s="81"/>
      <c r="MZK1" s="81"/>
      <c r="MZL1" s="81"/>
      <c r="MZM1" s="81"/>
      <c r="MZN1" s="81"/>
      <c r="MZO1" s="81"/>
      <c r="MZP1" s="81"/>
      <c r="MZQ1" s="81"/>
      <c r="MZR1" s="81"/>
      <c r="MZS1" s="81"/>
      <c r="MZT1" s="81"/>
      <c r="MZU1" s="81"/>
      <c r="MZV1" s="81"/>
      <c r="MZW1" s="81"/>
      <c r="MZX1" s="81"/>
      <c r="MZY1" s="81"/>
      <c r="MZZ1" s="81"/>
      <c r="NAA1" s="81"/>
      <c r="NAB1" s="81"/>
      <c r="NAC1" s="81"/>
      <c r="NAD1" s="81"/>
      <c r="NAE1" s="81"/>
      <c r="NAF1" s="81"/>
      <c r="NAG1" s="81"/>
      <c r="NAH1" s="81"/>
      <c r="NAI1" s="81"/>
      <c r="NAJ1" s="81"/>
      <c r="NAK1" s="81"/>
      <c r="NAL1" s="81"/>
      <c r="NAM1" s="81"/>
      <c r="NAN1" s="81"/>
      <c r="NAO1" s="81"/>
      <c r="NAP1" s="81"/>
      <c r="NAQ1" s="81"/>
      <c r="NAR1" s="81"/>
      <c r="NAS1" s="81"/>
      <c r="NAT1" s="81"/>
      <c r="NAU1" s="81"/>
      <c r="NAV1" s="81"/>
      <c r="NAW1" s="81"/>
      <c r="NAX1" s="81"/>
      <c r="NAY1" s="81"/>
      <c r="NAZ1" s="81"/>
      <c r="NBA1" s="81"/>
      <c r="NBB1" s="81"/>
      <c r="NBC1" s="81"/>
      <c r="NBD1" s="81"/>
      <c r="NBE1" s="81"/>
      <c r="NBF1" s="81"/>
      <c r="NBG1" s="81"/>
      <c r="NBH1" s="81"/>
      <c r="NBI1" s="81"/>
      <c r="NBJ1" s="81"/>
      <c r="NBK1" s="81"/>
      <c r="NBL1" s="81"/>
      <c r="NBM1" s="81"/>
      <c r="NBN1" s="81"/>
      <c r="NBO1" s="81"/>
      <c r="NBP1" s="81"/>
      <c r="NBQ1" s="81"/>
      <c r="NBR1" s="81"/>
      <c r="NBS1" s="81"/>
      <c r="NBT1" s="81"/>
      <c r="NBU1" s="81"/>
      <c r="NBV1" s="81"/>
      <c r="NBW1" s="81"/>
      <c r="NBX1" s="81"/>
      <c r="NBY1" s="81"/>
      <c r="NBZ1" s="81"/>
      <c r="NCA1" s="81"/>
      <c r="NCB1" s="81"/>
      <c r="NCC1" s="81"/>
      <c r="NCD1" s="81"/>
      <c r="NCE1" s="81"/>
      <c r="NCF1" s="81"/>
      <c r="NCG1" s="81"/>
      <c r="NCH1" s="81"/>
      <c r="NCI1" s="81"/>
      <c r="NCJ1" s="81"/>
      <c r="NCK1" s="81"/>
      <c r="NCL1" s="81"/>
      <c r="NCM1" s="81"/>
      <c r="NCN1" s="81"/>
      <c r="NCO1" s="81"/>
      <c r="NCP1" s="81"/>
      <c r="NCQ1" s="81"/>
      <c r="NCR1" s="81"/>
      <c r="NCS1" s="81"/>
      <c r="NCT1" s="81"/>
      <c r="NCU1" s="81"/>
      <c r="NCV1" s="81"/>
      <c r="NCW1" s="81"/>
      <c r="NCX1" s="81"/>
      <c r="NCY1" s="81"/>
      <c r="NCZ1" s="81"/>
      <c r="NDA1" s="81"/>
      <c r="NDB1" s="81"/>
      <c r="NDC1" s="81"/>
      <c r="NDD1" s="81"/>
      <c r="NDE1" s="81"/>
      <c r="NDF1" s="81"/>
      <c r="NDG1" s="81"/>
      <c r="NDH1" s="81"/>
      <c r="NDI1" s="81"/>
      <c r="NDJ1" s="81"/>
      <c r="NDK1" s="81"/>
      <c r="NDL1" s="81"/>
      <c r="NDM1" s="81"/>
      <c r="NDN1" s="81"/>
      <c r="NDO1" s="81"/>
      <c r="NDP1" s="81"/>
      <c r="NDQ1" s="81"/>
      <c r="NDR1" s="81"/>
      <c r="NDS1" s="81"/>
      <c r="NDT1" s="81"/>
      <c r="NDU1" s="81"/>
      <c r="NDV1" s="81"/>
      <c r="NDW1" s="81"/>
      <c r="NDX1" s="81"/>
      <c r="NDY1" s="81"/>
      <c r="NDZ1" s="81"/>
      <c r="NEA1" s="81"/>
      <c r="NEB1" s="81"/>
      <c r="NEC1" s="81"/>
      <c r="NED1" s="81"/>
      <c r="NEE1" s="81"/>
      <c r="NEF1" s="81"/>
      <c r="NEG1" s="81"/>
      <c r="NEH1" s="81"/>
      <c r="NEI1" s="81"/>
      <c r="NEJ1" s="81"/>
      <c r="NEK1" s="81"/>
      <c r="NEL1" s="81"/>
      <c r="NEM1" s="81"/>
      <c r="NEN1" s="81"/>
      <c r="NEO1" s="81"/>
      <c r="NEP1" s="81"/>
      <c r="NEQ1" s="81"/>
      <c r="NER1" s="81"/>
      <c r="NES1" s="81"/>
      <c r="NET1" s="81"/>
      <c r="NEU1" s="81"/>
      <c r="NEV1" s="81"/>
      <c r="NEW1" s="81"/>
      <c r="NEX1" s="81"/>
      <c r="NEY1" s="81"/>
      <c r="NEZ1" s="81"/>
      <c r="NFA1" s="81"/>
      <c r="NFB1" s="81"/>
      <c r="NFC1" s="81"/>
      <c r="NFD1" s="81"/>
      <c r="NFE1" s="81"/>
      <c r="NFF1" s="81"/>
      <c r="NFG1" s="81"/>
      <c r="NFH1" s="81"/>
      <c r="NFI1" s="81"/>
      <c r="NFJ1" s="81"/>
      <c r="NFK1" s="81"/>
      <c r="NFL1" s="81"/>
      <c r="NFM1" s="81"/>
      <c r="NFN1" s="81"/>
      <c r="NFO1" s="81"/>
      <c r="NFP1" s="81"/>
      <c r="NFQ1" s="81"/>
      <c r="NFR1" s="81"/>
      <c r="NFS1" s="81"/>
      <c r="NFT1" s="81"/>
      <c r="NFU1" s="81"/>
      <c r="NFV1" s="81"/>
      <c r="NFW1" s="81"/>
      <c r="NFX1" s="81"/>
      <c r="NFY1" s="81"/>
      <c r="NFZ1" s="81"/>
      <c r="NGA1" s="81"/>
      <c r="NGB1" s="81"/>
      <c r="NGC1" s="81"/>
      <c r="NGD1" s="81"/>
      <c r="NGE1" s="81"/>
      <c r="NGF1" s="81"/>
      <c r="NGG1" s="81"/>
      <c r="NGH1" s="81"/>
      <c r="NGI1" s="81"/>
      <c r="NGJ1" s="81"/>
      <c r="NGK1" s="81"/>
      <c r="NGL1" s="81"/>
      <c r="NGM1" s="81"/>
      <c r="NGN1" s="81"/>
      <c r="NGO1" s="81"/>
      <c r="NGP1" s="81"/>
      <c r="NGQ1" s="81"/>
      <c r="NGR1" s="81"/>
      <c r="NGS1" s="81"/>
      <c r="NGT1" s="81"/>
      <c r="NGU1" s="81"/>
      <c r="NGV1" s="81"/>
      <c r="NGW1" s="81"/>
      <c r="NGX1" s="81"/>
      <c r="NGY1" s="81"/>
      <c r="NGZ1" s="81"/>
      <c r="NHA1" s="81"/>
      <c r="NHB1" s="81"/>
      <c r="NHC1" s="81"/>
      <c r="NHD1" s="81"/>
      <c r="NHE1" s="81"/>
      <c r="NHF1" s="81"/>
      <c r="NHG1" s="81"/>
      <c r="NHH1" s="81"/>
      <c r="NHI1" s="81"/>
      <c r="NHJ1" s="81"/>
      <c r="NHK1" s="81"/>
      <c r="NHL1" s="81"/>
      <c r="NHM1" s="81"/>
      <c r="NHN1" s="81"/>
      <c r="NHO1" s="81"/>
      <c r="NHP1" s="81"/>
      <c r="NHQ1" s="81"/>
      <c r="NHR1" s="81"/>
      <c r="NHS1" s="81"/>
      <c r="NHT1" s="81"/>
      <c r="NHU1" s="81"/>
      <c r="NHV1" s="81"/>
      <c r="NHW1" s="81"/>
      <c r="NHX1" s="81"/>
      <c r="NHY1" s="81"/>
      <c r="NHZ1" s="81"/>
      <c r="NIA1" s="81"/>
      <c r="NIB1" s="81"/>
      <c r="NIC1" s="81"/>
      <c r="NID1" s="81"/>
      <c r="NIE1" s="81"/>
      <c r="NIF1" s="81"/>
      <c r="NIG1" s="81"/>
      <c r="NIH1" s="81"/>
      <c r="NII1" s="81"/>
      <c r="NIJ1" s="81"/>
      <c r="NIK1" s="81"/>
      <c r="NIL1" s="81"/>
      <c r="NIM1" s="81"/>
      <c r="NIN1" s="81"/>
      <c r="NIO1" s="81"/>
      <c r="NIP1" s="81"/>
      <c r="NIQ1" s="81"/>
      <c r="NIR1" s="81"/>
      <c r="NIS1" s="81"/>
      <c r="NIT1" s="81"/>
      <c r="NIU1" s="81"/>
      <c r="NIV1" s="81"/>
      <c r="NIW1" s="81"/>
      <c r="NIX1" s="81"/>
      <c r="NIY1" s="81"/>
      <c r="NIZ1" s="81"/>
      <c r="NJA1" s="81"/>
      <c r="NJB1" s="81"/>
      <c r="NJC1" s="81"/>
      <c r="NJD1" s="81"/>
      <c r="NJE1" s="81"/>
      <c r="NJF1" s="81"/>
      <c r="NJG1" s="81"/>
      <c r="NJH1" s="81"/>
      <c r="NJI1" s="81"/>
      <c r="NJJ1" s="81"/>
      <c r="NJK1" s="81"/>
      <c r="NJL1" s="81"/>
      <c r="NJM1" s="81"/>
      <c r="NJN1" s="81"/>
      <c r="NJO1" s="81"/>
      <c r="NJP1" s="81"/>
      <c r="NJQ1" s="81"/>
      <c r="NJR1" s="81"/>
      <c r="NJS1" s="81"/>
      <c r="NJT1" s="81"/>
      <c r="NJU1" s="81"/>
      <c r="NJV1" s="81"/>
      <c r="NJW1" s="81"/>
      <c r="NJX1" s="81"/>
      <c r="NJY1" s="81"/>
      <c r="NJZ1" s="81"/>
      <c r="NKA1" s="81"/>
      <c r="NKB1" s="81"/>
      <c r="NKC1" s="81"/>
      <c r="NKD1" s="81"/>
      <c r="NKE1" s="81"/>
      <c r="NKF1" s="81"/>
      <c r="NKG1" s="81"/>
      <c r="NKH1" s="81"/>
      <c r="NKI1" s="81"/>
      <c r="NKJ1" s="81"/>
      <c r="NKK1" s="81"/>
      <c r="NKL1" s="81"/>
      <c r="NKM1" s="81"/>
      <c r="NKN1" s="81"/>
      <c r="NKO1" s="81"/>
      <c r="NKP1" s="81"/>
      <c r="NKQ1" s="81"/>
      <c r="NKR1" s="81"/>
      <c r="NKS1" s="81"/>
      <c r="NKT1" s="81"/>
      <c r="NKU1" s="81"/>
      <c r="NKV1" s="81"/>
      <c r="NKW1" s="81"/>
      <c r="NKX1" s="81"/>
      <c r="NKY1" s="81"/>
      <c r="NKZ1" s="81"/>
      <c r="NLA1" s="81"/>
      <c r="NLB1" s="81"/>
      <c r="NLC1" s="81"/>
      <c r="NLD1" s="81"/>
      <c r="NLE1" s="81"/>
      <c r="NLF1" s="81"/>
      <c r="NLG1" s="81"/>
      <c r="NLH1" s="81"/>
      <c r="NLI1" s="81"/>
      <c r="NLJ1" s="81"/>
      <c r="NLK1" s="81"/>
      <c r="NLL1" s="81"/>
      <c r="NLM1" s="81"/>
      <c r="NLN1" s="81"/>
      <c r="NLO1" s="81"/>
      <c r="NLP1" s="81"/>
      <c r="NLQ1" s="81"/>
      <c r="NLR1" s="81"/>
      <c r="NLS1" s="81"/>
      <c r="NLT1" s="81"/>
      <c r="NLU1" s="81"/>
      <c r="NLV1" s="81"/>
      <c r="NLW1" s="81"/>
      <c r="NLX1" s="81"/>
      <c r="NLY1" s="81"/>
      <c r="NLZ1" s="81"/>
      <c r="NMA1" s="81"/>
      <c r="NMB1" s="81"/>
      <c r="NMC1" s="81"/>
      <c r="NMD1" s="81"/>
      <c r="NME1" s="81"/>
      <c r="NMF1" s="81"/>
      <c r="NMG1" s="81"/>
      <c r="NMH1" s="81"/>
      <c r="NMI1" s="81"/>
      <c r="NMJ1" s="81"/>
      <c r="NMK1" s="81"/>
      <c r="NML1" s="81"/>
      <c r="NMM1" s="81"/>
      <c r="NMN1" s="81"/>
      <c r="NMO1" s="81"/>
      <c r="NMP1" s="81"/>
      <c r="NMQ1" s="81"/>
      <c r="NMR1" s="81"/>
      <c r="NMS1" s="81"/>
      <c r="NMT1" s="81"/>
      <c r="NMU1" s="81"/>
      <c r="NMV1" s="81"/>
      <c r="NMW1" s="81"/>
      <c r="NMX1" s="81"/>
      <c r="NMY1" s="81"/>
      <c r="NMZ1" s="81"/>
      <c r="NNA1" s="81"/>
      <c r="NNB1" s="81"/>
      <c r="NNC1" s="81"/>
      <c r="NND1" s="81"/>
      <c r="NNE1" s="81"/>
      <c r="NNF1" s="81"/>
      <c r="NNG1" s="81"/>
      <c r="NNH1" s="81"/>
      <c r="NNI1" s="81"/>
      <c r="NNJ1" s="81"/>
      <c r="NNK1" s="81"/>
      <c r="NNL1" s="81"/>
      <c r="NNM1" s="81"/>
      <c r="NNN1" s="81"/>
      <c r="NNO1" s="81"/>
      <c r="NNP1" s="81"/>
      <c r="NNQ1" s="81"/>
      <c r="NNR1" s="81"/>
      <c r="NNS1" s="81"/>
      <c r="NNT1" s="81"/>
      <c r="NNU1" s="81"/>
      <c r="NNV1" s="81"/>
      <c r="NNW1" s="81"/>
      <c r="NNX1" s="81"/>
      <c r="NNY1" s="81"/>
      <c r="NNZ1" s="81"/>
      <c r="NOA1" s="81"/>
      <c r="NOB1" s="81"/>
      <c r="NOC1" s="81"/>
      <c r="NOD1" s="81"/>
      <c r="NOE1" s="81"/>
      <c r="NOF1" s="81"/>
      <c r="NOG1" s="81"/>
      <c r="NOH1" s="81"/>
      <c r="NOI1" s="81"/>
      <c r="NOJ1" s="81"/>
      <c r="NOK1" s="81"/>
      <c r="NOL1" s="81"/>
      <c r="NOM1" s="81"/>
      <c r="NON1" s="81"/>
      <c r="NOO1" s="81"/>
      <c r="NOP1" s="81"/>
      <c r="NOQ1" s="81"/>
      <c r="NOR1" s="81"/>
      <c r="NOS1" s="81"/>
      <c r="NOT1" s="81"/>
      <c r="NOU1" s="81"/>
      <c r="NOV1" s="81"/>
      <c r="NOW1" s="81"/>
      <c r="NOX1" s="81"/>
      <c r="NOY1" s="81"/>
      <c r="NOZ1" s="81"/>
      <c r="NPA1" s="81"/>
      <c r="NPB1" s="81"/>
      <c r="NPC1" s="81"/>
      <c r="NPD1" s="81"/>
      <c r="NPE1" s="81"/>
      <c r="NPF1" s="81"/>
      <c r="NPG1" s="81"/>
      <c r="NPH1" s="81"/>
      <c r="NPI1" s="81"/>
      <c r="NPJ1" s="81"/>
      <c r="NPK1" s="81"/>
      <c r="NPL1" s="81"/>
      <c r="NPM1" s="81"/>
      <c r="NPN1" s="81"/>
      <c r="NPO1" s="81"/>
      <c r="NPP1" s="81"/>
      <c r="NPQ1" s="81"/>
      <c r="NPR1" s="81"/>
      <c r="NPS1" s="81"/>
      <c r="NPT1" s="81"/>
      <c r="NPU1" s="81"/>
      <c r="NPV1" s="81"/>
      <c r="NPW1" s="81"/>
      <c r="NPX1" s="81"/>
      <c r="NPY1" s="81"/>
      <c r="NPZ1" s="81"/>
      <c r="NQA1" s="81"/>
      <c r="NQB1" s="81"/>
      <c r="NQC1" s="81"/>
      <c r="NQD1" s="81"/>
      <c r="NQE1" s="81"/>
      <c r="NQF1" s="81"/>
      <c r="NQG1" s="81"/>
      <c r="NQH1" s="81"/>
      <c r="NQI1" s="81"/>
      <c r="NQJ1" s="81"/>
      <c r="NQK1" s="81"/>
      <c r="NQL1" s="81"/>
      <c r="NQM1" s="81"/>
      <c r="NQN1" s="81"/>
      <c r="NQO1" s="81"/>
      <c r="NQP1" s="81"/>
      <c r="NQQ1" s="81"/>
      <c r="NQR1" s="81"/>
      <c r="NQS1" s="81"/>
      <c r="NQT1" s="81"/>
      <c r="NQU1" s="81"/>
      <c r="NQV1" s="81"/>
      <c r="NQW1" s="81"/>
      <c r="NQX1" s="81"/>
      <c r="NQY1" s="81"/>
      <c r="NQZ1" s="81"/>
      <c r="NRA1" s="81"/>
      <c r="NRB1" s="81"/>
      <c r="NRC1" s="81"/>
      <c r="NRD1" s="81"/>
      <c r="NRE1" s="81"/>
      <c r="NRF1" s="81"/>
      <c r="NRG1" s="81"/>
      <c r="NRH1" s="81"/>
      <c r="NRI1" s="81"/>
      <c r="NRJ1" s="81"/>
      <c r="NRK1" s="81"/>
      <c r="NRL1" s="81"/>
      <c r="NRM1" s="81"/>
      <c r="NRN1" s="81"/>
      <c r="NRO1" s="81"/>
      <c r="NRP1" s="81"/>
      <c r="NRQ1" s="81"/>
      <c r="NRR1" s="81"/>
      <c r="NRS1" s="81"/>
      <c r="NRT1" s="81"/>
      <c r="NRU1" s="81"/>
      <c r="NRV1" s="81"/>
      <c r="NRW1" s="81"/>
      <c r="NRX1" s="81"/>
      <c r="NRY1" s="81"/>
      <c r="NRZ1" s="81"/>
      <c r="NSA1" s="81"/>
      <c r="NSB1" s="81"/>
      <c r="NSC1" s="81"/>
      <c r="NSD1" s="81"/>
      <c r="NSE1" s="81"/>
      <c r="NSF1" s="81"/>
      <c r="NSG1" s="81"/>
      <c r="NSH1" s="81"/>
      <c r="NSI1" s="81"/>
      <c r="NSJ1" s="81"/>
      <c r="NSK1" s="81"/>
      <c r="NSL1" s="81"/>
      <c r="NSM1" s="81"/>
      <c r="NSN1" s="81"/>
      <c r="NSO1" s="81"/>
      <c r="NSP1" s="81"/>
      <c r="NSQ1" s="81"/>
      <c r="NSR1" s="81"/>
      <c r="NSS1" s="81"/>
      <c r="NST1" s="81"/>
      <c r="NSU1" s="81"/>
      <c r="NSV1" s="81"/>
      <c r="NSW1" s="81"/>
      <c r="NSX1" s="81"/>
      <c r="NSY1" s="81"/>
      <c r="NSZ1" s="81"/>
      <c r="NTA1" s="81"/>
      <c r="NTB1" s="81"/>
      <c r="NTC1" s="81"/>
      <c r="NTD1" s="81"/>
      <c r="NTE1" s="81"/>
      <c r="NTF1" s="81"/>
      <c r="NTG1" s="81"/>
      <c r="NTH1" s="81"/>
      <c r="NTI1" s="81"/>
      <c r="NTJ1" s="81"/>
      <c r="NTK1" s="81"/>
      <c r="NTL1" s="81"/>
      <c r="NTM1" s="81"/>
      <c r="NTN1" s="81"/>
      <c r="NTO1" s="81"/>
      <c r="NTP1" s="81"/>
      <c r="NTQ1" s="81"/>
      <c r="NTR1" s="81"/>
      <c r="NTS1" s="81"/>
      <c r="NTT1" s="81"/>
      <c r="NTU1" s="81"/>
      <c r="NTV1" s="81"/>
      <c r="NTW1" s="81"/>
      <c r="NTX1" s="81"/>
      <c r="NTY1" s="81"/>
      <c r="NTZ1" s="81"/>
      <c r="NUA1" s="81"/>
      <c r="NUB1" s="81"/>
      <c r="NUC1" s="81"/>
      <c r="NUD1" s="81"/>
      <c r="NUE1" s="81"/>
      <c r="NUF1" s="81"/>
      <c r="NUG1" s="81"/>
      <c r="NUH1" s="81"/>
      <c r="NUI1" s="81"/>
      <c r="NUJ1" s="81"/>
      <c r="NUK1" s="81"/>
      <c r="NUL1" s="81"/>
      <c r="NUM1" s="81"/>
      <c r="NUN1" s="81"/>
      <c r="NUO1" s="81"/>
      <c r="NUP1" s="81"/>
      <c r="NUQ1" s="81"/>
      <c r="NUR1" s="81"/>
      <c r="NUS1" s="81"/>
      <c r="NUT1" s="81"/>
      <c r="NUU1" s="81"/>
      <c r="NUV1" s="81"/>
      <c r="NUW1" s="81"/>
      <c r="NUX1" s="81"/>
      <c r="NUY1" s="81"/>
      <c r="NUZ1" s="81"/>
      <c r="NVA1" s="81"/>
      <c r="NVB1" s="81"/>
      <c r="NVC1" s="81"/>
      <c r="NVD1" s="81"/>
      <c r="NVE1" s="81"/>
      <c r="NVF1" s="81"/>
      <c r="NVG1" s="81"/>
      <c r="NVH1" s="81"/>
      <c r="NVI1" s="81"/>
      <c r="NVJ1" s="81"/>
      <c r="NVK1" s="81"/>
      <c r="NVL1" s="81"/>
      <c r="NVM1" s="81"/>
      <c r="NVN1" s="81"/>
      <c r="NVO1" s="81"/>
      <c r="NVP1" s="81"/>
      <c r="NVQ1" s="81"/>
      <c r="NVR1" s="81"/>
      <c r="NVS1" s="81"/>
      <c r="NVT1" s="81"/>
      <c r="NVU1" s="81"/>
      <c r="NVV1" s="81"/>
      <c r="NVW1" s="81"/>
      <c r="NVX1" s="81"/>
      <c r="NVY1" s="81"/>
      <c r="NVZ1" s="81"/>
      <c r="NWA1" s="81"/>
      <c r="NWB1" s="81"/>
      <c r="NWC1" s="81"/>
      <c r="NWD1" s="81"/>
      <c r="NWE1" s="81"/>
      <c r="NWF1" s="81"/>
      <c r="NWG1" s="81"/>
      <c r="NWH1" s="81"/>
      <c r="NWI1" s="81"/>
      <c r="NWJ1" s="81"/>
      <c r="NWK1" s="81"/>
      <c r="NWL1" s="81"/>
      <c r="NWM1" s="81"/>
      <c r="NWN1" s="81"/>
      <c r="NWO1" s="81"/>
      <c r="NWP1" s="81"/>
      <c r="NWQ1" s="81"/>
      <c r="NWR1" s="81"/>
      <c r="NWS1" s="81"/>
      <c r="NWT1" s="81"/>
      <c r="NWU1" s="81"/>
      <c r="NWV1" s="81"/>
      <c r="NWW1" s="81"/>
      <c r="NWX1" s="81"/>
      <c r="NWY1" s="81"/>
      <c r="NWZ1" s="81"/>
      <c r="NXA1" s="81"/>
      <c r="NXB1" s="81"/>
      <c r="NXC1" s="81"/>
      <c r="NXD1" s="81"/>
      <c r="NXE1" s="81"/>
      <c r="NXF1" s="81"/>
      <c r="NXG1" s="81"/>
      <c r="NXH1" s="81"/>
      <c r="NXI1" s="81"/>
      <c r="NXJ1" s="81"/>
      <c r="NXK1" s="81"/>
      <c r="NXL1" s="81"/>
      <c r="NXM1" s="81"/>
      <c r="NXN1" s="81"/>
      <c r="NXO1" s="81"/>
      <c r="NXP1" s="81"/>
      <c r="NXQ1" s="81"/>
      <c r="NXR1" s="81"/>
      <c r="NXS1" s="81"/>
      <c r="NXT1" s="81"/>
      <c r="NXU1" s="81"/>
      <c r="NXV1" s="81"/>
      <c r="NXW1" s="81"/>
      <c r="NXX1" s="81"/>
      <c r="NXY1" s="81"/>
      <c r="NXZ1" s="81"/>
      <c r="NYA1" s="81"/>
      <c r="NYB1" s="81"/>
      <c r="NYC1" s="81"/>
      <c r="NYD1" s="81"/>
      <c r="NYE1" s="81"/>
      <c r="NYF1" s="81"/>
      <c r="NYG1" s="81"/>
      <c r="NYH1" s="81"/>
      <c r="NYI1" s="81"/>
      <c r="NYJ1" s="81"/>
      <c r="NYK1" s="81"/>
      <c r="NYL1" s="81"/>
      <c r="NYM1" s="81"/>
      <c r="NYN1" s="81"/>
      <c r="NYO1" s="81"/>
      <c r="NYP1" s="81"/>
      <c r="NYQ1" s="81"/>
      <c r="NYR1" s="81"/>
      <c r="NYS1" s="81"/>
      <c r="NYT1" s="81"/>
      <c r="NYU1" s="81"/>
      <c r="NYV1" s="81"/>
      <c r="NYW1" s="81"/>
      <c r="NYX1" s="81"/>
      <c r="NYY1" s="81"/>
      <c r="NYZ1" s="81"/>
      <c r="NZA1" s="81"/>
      <c r="NZB1" s="81"/>
      <c r="NZC1" s="81"/>
      <c r="NZD1" s="81"/>
      <c r="NZE1" s="81"/>
      <c r="NZF1" s="81"/>
      <c r="NZG1" s="81"/>
      <c r="NZH1" s="81"/>
      <c r="NZI1" s="81"/>
      <c r="NZJ1" s="81"/>
      <c r="NZK1" s="81"/>
      <c r="NZL1" s="81"/>
      <c r="NZM1" s="81"/>
      <c r="NZN1" s="81"/>
      <c r="NZO1" s="81"/>
      <c r="NZP1" s="81"/>
      <c r="NZQ1" s="81"/>
      <c r="NZR1" s="81"/>
      <c r="NZS1" s="81"/>
      <c r="NZT1" s="81"/>
      <c r="NZU1" s="81"/>
      <c r="NZV1" s="81"/>
      <c r="NZW1" s="81"/>
      <c r="NZX1" s="81"/>
      <c r="NZY1" s="81"/>
      <c r="NZZ1" s="81"/>
      <c r="OAA1" s="81"/>
      <c r="OAB1" s="81"/>
      <c r="OAC1" s="81"/>
      <c r="OAD1" s="81"/>
      <c r="OAE1" s="81"/>
      <c r="OAF1" s="81"/>
      <c r="OAG1" s="81"/>
      <c r="OAH1" s="81"/>
      <c r="OAI1" s="81"/>
      <c r="OAJ1" s="81"/>
      <c r="OAK1" s="81"/>
      <c r="OAL1" s="81"/>
      <c r="OAM1" s="81"/>
      <c r="OAN1" s="81"/>
      <c r="OAO1" s="81"/>
      <c r="OAP1" s="81"/>
      <c r="OAQ1" s="81"/>
      <c r="OAR1" s="81"/>
      <c r="OAS1" s="81"/>
      <c r="OAT1" s="81"/>
      <c r="OAU1" s="81"/>
      <c r="OAV1" s="81"/>
      <c r="OAW1" s="81"/>
      <c r="OAX1" s="81"/>
      <c r="OAY1" s="81"/>
      <c r="OAZ1" s="81"/>
      <c r="OBA1" s="81"/>
      <c r="OBB1" s="81"/>
      <c r="OBC1" s="81"/>
      <c r="OBD1" s="81"/>
      <c r="OBE1" s="81"/>
      <c r="OBF1" s="81"/>
      <c r="OBG1" s="81"/>
      <c r="OBH1" s="81"/>
      <c r="OBI1" s="81"/>
      <c r="OBJ1" s="81"/>
      <c r="OBK1" s="81"/>
      <c r="OBL1" s="81"/>
      <c r="OBM1" s="81"/>
      <c r="OBN1" s="81"/>
      <c r="OBO1" s="81"/>
      <c r="OBP1" s="81"/>
      <c r="OBQ1" s="81"/>
      <c r="OBR1" s="81"/>
      <c r="OBS1" s="81"/>
      <c r="OBT1" s="81"/>
      <c r="OBU1" s="81"/>
      <c r="OBV1" s="81"/>
      <c r="OBW1" s="81"/>
      <c r="OBX1" s="81"/>
      <c r="OBY1" s="81"/>
      <c r="OBZ1" s="81"/>
      <c r="OCA1" s="81"/>
      <c r="OCB1" s="81"/>
      <c r="OCC1" s="81"/>
      <c r="OCD1" s="81"/>
      <c r="OCE1" s="81"/>
      <c r="OCF1" s="81"/>
      <c r="OCG1" s="81"/>
      <c r="OCH1" s="81"/>
      <c r="OCI1" s="81"/>
      <c r="OCJ1" s="81"/>
      <c r="OCK1" s="81"/>
      <c r="OCL1" s="81"/>
      <c r="OCM1" s="81"/>
      <c r="OCN1" s="81"/>
      <c r="OCO1" s="81"/>
      <c r="OCP1" s="81"/>
      <c r="OCQ1" s="81"/>
      <c r="OCR1" s="81"/>
      <c r="OCS1" s="81"/>
      <c r="OCT1" s="81"/>
      <c r="OCU1" s="81"/>
      <c r="OCV1" s="81"/>
      <c r="OCW1" s="81"/>
      <c r="OCX1" s="81"/>
      <c r="OCY1" s="81"/>
      <c r="OCZ1" s="81"/>
      <c r="ODA1" s="81"/>
      <c r="ODB1" s="81"/>
      <c r="ODC1" s="81"/>
      <c r="ODD1" s="81"/>
      <c r="ODE1" s="81"/>
      <c r="ODF1" s="81"/>
      <c r="ODG1" s="81"/>
      <c r="ODH1" s="81"/>
      <c r="ODI1" s="81"/>
      <c r="ODJ1" s="81"/>
      <c r="ODK1" s="81"/>
      <c r="ODL1" s="81"/>
      <c r="ODM1" s="81"/>
      <c r="ODN1" s="81"/>
      <c r="ODO1" s="81"/>
      <c r="ODP1" s="81"/>
      <c r="ODQ1" s="81"/>
      <c r="ODR1" s="81"/>
      <c r="ODS1" s="81"/>
      <c r="ODT1" s="81"/>
      <c r="ODU1" s="81"/>
      <c r="ODV1" s="81"/>
      <c r="ODW1" s="81"/>
      <c r="ODX1" s="81"/>
      <c r="ODY1" s="81"/>
      <c r="ODZ1" s="81"/>
      <c r="OEA1" s="81"/>
      <c r="OEB1" s="81"/>
      <c r="OEC1" s="81"/>
      <c r="OED1" s="81"/>
      <c r="OEE1" s="81"/>
      <c r="OEF1" s="81"/>
      <c r="OEG1" s="81"/>
      <c r="OEH1" s="81"/>
      <c r="OEI1" s="81"/>
      <c r="OEJ1" s="81"/>
      <c r="OEK1" s="81"/>
      <c r="OEL1" s="81"/>
      <c r="OEM1" s="81"/>
      <c r="OEN1" s="81"/>
      <c r="OEO1" s="81"/>
      <c r="OEP1" s="81"/>
      <c r="OEQ1" s="81"/>
      <c r="OER1" s="81"/>
      <c r="OES1" s="81"/>
      <c r="OET1" s="81"/>
      <c r="OEU1" s="81"/>
      <c r="OEV1" s="81"/>
      <c r="OEW1" s="81"/>
      <c r="OEX1" s="81"/>
      <c r="OEY1" s="81"/>
      <c r="OEZ1" s="81"/>
      <c r="OFA1" s="81"/>
      <c r="OFB1" s="81"/>
      <c r="OFC1" s="81"/>
      <c r="OFD1" s="81"/>
      <c r="OFE1" s="81"/>
      <c r="OFF1" s="81"/>
      <c r="OFG1" s="81"/>
      <c r="OFH1" s="81"/>
      <c r="OFI1" s="81"/>
      <c r="OFJ1" s="81"/>
      <c r="OFK1" s="81"/>
      <c r="OFL1" s="81"/>
      <c r="OFM1" s="81"/>
      <c r="OFN1" s="81"/>
      <c r="OFO1" s="81"/>
      <c r="OFP1" s="81"/>
      <c r="OFQ1" s="81"/>
      <c r="OFR1" s="81"/>
      <c r="OFS1" s="81"/>
      <c r="OFT1" s="81"/>
      <c r="OFU1" s="81"/>
      <c r="OFV1" s="81"/>
      <c r="OFW1" s="81"/>
      <c r="OFX1" s="81"/>
      <c r="OFY1" s="81"/>
      <c r="OFZ1" s="81"/>
      <c r="OGA1" s="81"/>
      <c r="OGB1" s="81"/>
      <c r="OGC1" s="81"/>
      <c r="OGD1" s="81"/>
      <c r="OGE1" s="81"/>
      <c r="OGF1" s="81"/>
      <c r="OGG1" s="81"/>
      <c r="OGH1" s="81"/>
      <c r="OGI1" s="81"/>
      <c r="OGJ1" s="81"/>
      <c r="OGK1" s="81"/>
      <c r="OGL1" s="81"/>
      <c r="OGM1" s="81"/>
      <c r="OGN1" s="81"/>
      <c r="OGO1" s="81"/>
      <c r="OGP1" s="81"/>
      <c r="OGQ1" s="81"/>
      <c r="OGR1" s="81"/>
      <c r="OGS1" s="81"/>
      <c r="OGT1" s="81"/>
      <c r="OGU1" s="81"/>
      <c r="OGV1" s="81"/>
      <c r="OGW1" s="81"/>
      <c r="OGX1" s="81"/>
      <c r="OGY1" s="81"/>
      <c r="OGZ1" s="81"/>
      <c r="OHA1" s="81"/>
      <c r="OHB1" s="81"/>
      <c r="OHC1" s="81"/>
      <c r="OHD1" s="81"/>
      <c r="OHE1" s="81"/>
      <c r="OHF1" s="81"/>
      <c r="OHG1" s="81"/>
      <c r="OHH1" s="81"/>
      <c r="OHI1" s="81"/>
      <c r="OHJ1" s="81"/>
      <c r="OHK1" s="81"/>
      <c r="OHL1" s="81"/>
      <c r="OHM1" s="81"/>
      <c r="OHN1" s="81"/>
      <c r="OHO1" s="81"/>
      <c r="OHP1" s="81"/>
      <c r="OHQ1" s="81"/>
      <c r="OHR1" s="81"/>
      <c r="OHS1" s="81"/>
      <c r="OHT1" s="81"/>
      <c r="OHU1" s="81"/>
      <c r="OHV1" s="81"/>
      <c r="OHW1" s="81"/>
      <c r="OHX1" s="81"/>
      <c r="OHY1" s="81"/>
      <c r="OHZ1" s="81"/>
      <c r="OIA1" s="81"/>
      <c r="OIB1" s="81"/>
      <c r="OIC1" s="81"/>
      <c r="OID1" s="81"/>
      <c r="OIE1" s="81"/>
      <c r="OIF1" s="81"/>
      <c r="OIG1" s="81"/>
      <c r="OIH1" s="81"/>
      <c r="OII1" s="81"/>
      <c r="OIJ1" s="81"/>
      <c r="OIK1" s="81"/>
      <c r="OIL1" s="81"/>
      <c r="OIM1" s="81"/>
      <c r="OIN1" s="81"/>
      <c r="OIO1" s="81"/>
      <c r="OIP1" s="81"/>
      <c r="OIQ1" s="81"/>
      <c r="OIR1" s="81"/>
      <c r="OIS1" s="81"/>
      <c r="OIT1" s="81"/>
      <c r="OIU1" s="81"/>
      <c r="OIV1" s="81"/>
      <c r="OIW1" s="81"/>
      <c r="OIX1" s="81"/>
      <c r="OIY1" s="81"/>
      <c r="OIZ1" s="81"/>
      <c r="OJA1" s="81"/>
      <c r="OJB1" s="81"/>
      <c r="OJC1" s="81"/>
      <c r="OJD1" s="81"/>
      <c r="OJE1" s="81"/>
      <c r="OJF1" s="81"/>
      <c r="OJG1" s="81"/>
      <c r="OJH1" s="81"/>
      <c r="OJI1" s="81"/>
      <c r="OJJ1" s="81"/>
      <c r="OJK1" s="81"/>
      <c r="OJL1" s="81"/>
      <c r="OJM1" s="81"/>
      <c r="OJN1" s="81"/>
      <c r="OJO1" s="81"/>
      <c r="OJP1" s="81"/>
      <c r="OJQ1" s="81"/>
      <c r="OJR1" s="81"/>
      <c r="OJS1" s="81"/>
      <c r="OJT1" s="81"/>
      <c r="OJU1" s="81"/>
      <c r="OJV1" s="81"/>
      <c r="OJW1" s="81"/>
      <c r="OJX1" s="81"/>
      <c r="OJY1" s="81"/>
      <c r="OJZ1" s="81"/>
      <c r="OKA1" s="81"/>
      <c r="OKB1" s="81"/>
      <c r="OKC1" s="81"/>
      <c r="OKD1" s="81"/>
      <c r="OKE1" s="81"/>
      <c r="OKF1" s="81"/>
      <c r="OKG1" s="81"/>
      <c r="OKH1" s="81"/>
      <c r="OKI1" s="81"/>
      <c r="OKJ1" s="81"/>
      <c r="OKK1" s="81"/>
      <c r="OKL1" s="81"/>
      <c r="OKM1" s="81"/>
      <c r="OKN1" s="81"/>
      <c r="OKO1" s="81"/>
      <c r="OKP1" s="81"/>
      <c r="OKQ1" s="81"/>
      <c r="OKR1" s="81"/>
      <c r="OKS1" s="81"/>
      <c r="OKT1" s="81"/>
      <c r="OKU1" s="81"/>
      <c r="OKV1" s="81"/>
      <c r="OKW1" s="81"/>
      <c r="OKX1" s="81"/>
      <c r="OKY1" s="81"/>
      <c r="OKZ1" s="81"/>
      <c r="OLA1" s="81"/>
      <c r="OLB1" s="81"/>
      <c r="OLC1" s="81"/>
      <c r="OLD1" s="81"/>
      <c r="OLE1" s="81"/>
      <c r="OLF1" s="81"/>
      <c r="OLG1" s="81"/>
      <c r="OLH1" s="81"/>
      <c r="OLI1" s="81"/>
      <c r="OLJ1" s="81"/>
      <c r="OLK1" s="81"/>
      <c r="OLL1" s="81"/>
      <c r="OLM1" s="81"/>
      <c r="OLN1" s="81"/>
      <c r="OLO1" s="81"/>
      <c r="OLP1" s="81"/>
      <c r="OLQ1" s="81"/>
      <c r="OLR1" s="81"/>
      <c r="OLS1" s="81"/>
      <c r="OLT1" s="81"/>
      <c r="OLU1" s="81"/>
      <c r="OLV1" s="81"/>
      <c r="OLW1" s="81"/>
      <c r="OLX1" s="81"/>
      <c r="OLY1" s="81"/>
      <c r="OLZ1" s="81"/>
      <c r="OMA1" s="81"/>
      <c r="OMB1" s="81"/>
      <c r="OMC1" s="81"/>
      <c r="OMD1" s="81"/>
      <c r="OME1" s="81"/>
      <c r="OMF1" s="81"/>
      <c r="OMG1" s="81"/>
      <c r="OMH1" s="81"/>
      <c r="OMI1" s="81"/>
      <c r="OMJ1" s="81"/>
      <c r="OMK1" s="81"/>
      <c r="OML1" s="81"/>
      <c r="OMM1" s="81"/>
      <c r="OMN1" s="81"/>
      <c r="OMO1" s="81"/>
      <c r="OMP1" s="81"/>
      <c r="OMQ1" s="81"/>
      <c r="OMR1" s="81"/>
      <c r="OMS1" s="81"/>
      <c r="OMT1" s="81"/>
      <c r="OMU1" s="81"/>
      <c r="OMV1" s="81"/>
      <c r="OMW1" s="81"/>
      <c r="OMX1" s="81"/>
      <c r="OMY1" s="81"/>
      <c r="OMZ1" s="81"/>
      <c r="ONA1" s="81"/>
      <c r="ONB1" s="81"/>
      <c r="ONC1" s="81"/>
      <c r="OND1" s="81"/>
      <c r="ONE1" s="81"/>
      <c r="ONF1" s="81"/>
      <c r="ONG1" s="81"/>
      <c r="ONH1" s="81"/>
      <c r="ONI1" s="81"/>
      <c r="ONJ1" s="81"/>
      <c r="ONK1" s="81"/>
      <c r="ONL1" s="81"/>
      <c r="ONM1" s="81"/>
      <c r="ONN1" s="81"/>
      <c r="ONO1" s="81"/>
      <c r="ONP1" s="81"/>
      <c r="ONQ1" s="81"/>
      <c r="ONR1" s="81"/>
      <c r="ONS1" s="81"/>
      <c r="ONT1" s="81"/>
      <c r="ONU1" s="81"/>
      <c r="ONV1" s="81"/>
      <c r="ONW1" s="81"/>
      <c r="ONX1" s="81"/>
      <c r="ONY1" s="81"/>
      <c r="ONZ1" s="81"/>
      <c r="OOA1" s="81"/>
      <c r="OOB1" s="81"/>
      <c r="OOC1" s="81"/>
      <c r="OOD1" s="81"/>
      <c r="OOE1" s="81"/>
      <c r="OOF1" s="81"/>
      <c r="OOG1" s="81"/>
      <c r="OOH1" s="81"/>
      <c r="OOI1" s="81"/>
      <c r="OOJ1" s="81"/>
      <c r="OOK1" s="81"/>
      <c r="OOL1" s="81"/>
      <c r="OOM1" s="81"/>
      <c r="OON1" s="81"/>
      <c r="OOO1" s="81"/>
      <c r="OOP1" s="81"/>
      <c r="OOQ1" s="81"/>
      <c r="OOR1" s="81"/>
      <c r="OOS1" s="81"/>
      <c r="OOT1" s="81"/>
      <c r="OOU1" s="81"/>
      <c r="OOV1" s="81"/>
      <c r="OOW1" s="81"/>
      <c r="OOX1" s="81"/>
      <c r="OOY1" s="81"/>
      <c r="OOZ1" s="81"/>
      <c r="OPA1" s="81"/>
      <c r="OPB1" s="81"/>
      <c r="OPC1" s="81"/>
      <c r="OPD1" s="81"/>
      <c r="OPE1" s="81"/>
      <c r="OPF1" s="81"/>
      <c r="OPG1" s="81"/>
      <c r="OPH1" s="81"/>
      <c r="OPI1" s="81"/>
      <c r="OPJ1" s="81"/>
      <c r="OPK1" s="81"/>
      <c r="OPL1" s="81"/>
      <c r="OPM1" s="81"/>
      <c r="OPN1" s="81"/>
      <c r="OPO1" s="81"/>
      <c r="OPP1" s="81"/>
      <c r="OPQ1" s="81"/>
      <c r="OPR1" s="81"/>
      <c r="OPS1" s="81"/>
      <c r="OPT1" s="81"/>
      <c r="OPU1" s="81"/>
      <c r="OPV1" s="81"/>
      <c r="OPW1" s="81"/>
      <c r="OPX1" s="81"/>
      <c r="OPY1" s="81"/>
      <c r="OPZ1" s="81"/>
      <c r="OQA1" s="81"/>
      <c r="OQB1" s="81"/>
      <c r="OQC1" s="81"/>
      <c r="OQD1" s="81"/>
      <c r="OQE1" s="81"/>
      <c r="OQF1" s="81"/>
      <c r="OQG1" s="81"/>
      <c r="OQH1" s="81"/>
      <c r="OQI1" s="81"/>
      <c r="OQJ1" s="81"/>
      <c r="OQK1" s="81"/>
      <c r="OQL1" s="81"/>
      <c r="OQM1" s="81"/>
      <c r="OQN1" s="81"/>
      <c r="OQO1" s="81"/>
      <c r="OQP1" s="81"/>
      <c r="OQQ1" s="81"/>
      <c r="OQR1" s="81"/>
      <c r="OQS1" s="81"/>
      <c r="OQT1" s="81"/>
      <c r="OQU1" s="81"/>
      <c r="OQV1" s="81"/>
      <c r="OQW1" s="81"/>
      <c r="OQX1" s="81"/>
      <c r="OQY1" s="81"/>
      <c r="OQZ1" s="81"/>
      <c r="ORA1" s="81"/>
      <c r="ORB1" s="81"/>
      <c r="ORC1" s="81"/>
      <c r="ORD1" s="81"/>
      <c r="ORE1" s="81"/>
      <c r="ORF1" s="81"/>
      <c r="ORG1" s="81"/>
      <c r="ORH1" s="81"/>
      <c r="ORI1" s="81"/>
      <c r="ORJ1" s="81"/>
      <c r="ORK1" s="81"/>
      <c r="ORL1" s="81"/>
      <c r="ORM1" s="81"/>
      <c r="ORN1" s="81"/>
      <c r="ORO1" s="81"/>
      <c r="ORP1" s="81"/>
      <c r="ORQ1" s="81"/>
      <c r="ORR1" s="81"/>
      <c r="ORS1" s="81"/>
      <c r="ORT1" s="81"/>
      <c r="ORU1" s="81"/>
      <c r="ORV1" s="81"/>
      <c r="ORW1" s="81"/>
      <c r="ORX1" s="81"/>
      <c r="ORY1" s="81"/>
      <c r="ORZ1" s="81"/>
      <c r="OSA1" s="81"/>
      <c r="OSB1" s="81"/>
      <c r="OSC1" s="81"/>
      <c r="OSD1" s="81"/>
      <c r="OSE1" s="81"/>
      <c r="OSF1" s="81"/>
      <c r="OSG1" s="81"/>
      <c r="OSH1" s="81"/>
      <c r="OSI1" s="81"/>
      <c r="OSJ1" s="81"/>
      <c r="OSK1" s="81"/>
      <c r="OSL1" s="81"/>
      <c r="OSM1" s="81"/>
      <c r="OSN1" s="81"/>
      <c r="OSO1" s="81"/>
      <c r="OSP1" s="81"/>
      <c r="OSQ1" s="81"/>
      <c r="OSR1" s="81"/>
      <c r="OSS1" s="81"/>
      <c r="OST1" s="81"/>
      <c r="OSU1" s="81"/>
      <c r="OSV1" s="81"/>
      <c r="OSW1" s="81"/>
      <c r="OSX1" s="81"/>
      <c r="OSY1" s="81"/>
      <c r="OSZ1" s="81"/>
      <c r="OTA1" s="81"/>
      <c r="OTB1" s="81"/>
      <c r="OTC1" s="81"/>
      <c r="OTD1" s="81"/>
      <c r="OTE1" s="81"/>
      <c r="OTF1" s="81"/>
      <c r="OTG1" s="81"/>
      <c r="OTH1" s="81"/>
      <c r="OTI1" s="81"/>
      <c r="OTJ1" s="81"/>
      <c r="OTK1" s="81"/>
      <c r="OTL1" s="81"/>
      <c r="OTM1" s="81"/>
      <c r="OTN1" s="81"/>
      <c r="OTO1" s="81"/>
      <c r="OTP1" s="81"/>
      <c r="OTQ1" s="81"/>
      <c r="OTR1" s="81"/>
      <c r="OTS1" s="81"/>
      <c r="OTT1" s="81"/>
      <c r="OTU1" s="81"/>
      <c r="OTV1" s="81"/>
      <c r="OTW1" s="81"/>
      <c r="OTX1" s="81"/>
      <c r="OTY1" s="81"/>
      <c r="OTZ1" s="81"/>
      <c r="OUA1" s="81"/>
      <c r="OUB1" s="81"/>
      <c r="OUC1" s="81"/>
      <c r="OUD1" s="81"/>
      <c r="OUE1" s="81"/>
      <c r="OUF1" s="81"/>
      <c r="OUG1" s="81"/>
      <c r="OUH1" s="81"/>
      <c r="OUI1" s="81"/>
      <c r="OUJ1" s="81"/>
      <c r="OUK1" s="81"/>
      <c r="OUL1" s="81"/>
      <c r="OUM1" s="81"/>
      <c r="OUN1" s="81"/>
      <c r="OUO1" s="81"/>
      <c r="OUP1" s="81"/>
      <c r="OUQ1" s="81"/>
      <c r="OUR1" s="81"/>
      <c r="OUS1" s="81"/>
      <c r="OUT1" s="81"/>
      <c r="OUU1" s="81"/>
      <c r="OUV1" s="81"/>
      <c r="OUW1" s="81"/>
      <c r="OUX1" s="81"/>
      <c r="OUY1" s="81"/>
      <c r="OUZ1" s="81"/>
      <c r="OVA1" s="81"/>
      <c r="OVB1" s="81"/>
      <c r="OVC1" s="81"/>
      <c r="OVD1" s="81"/>
      <c r="OVE1" s="81"/>
      <c r="OVF1" s="81"/>
      <c r="OVG1" s="81"/>
      <c r="OVH1" s="81"/>
      <c r="OVI1" s="81"/>
      <c r="OVJ1" s="81"/>
      <c r="OVK1" s="81"/>
      <c r="OVL1" s="81"/>
      <c r="OVM1" s="81"/>
      <c r="OVN1" s="81"/>
      <c r="OVO1" s="81"/>
      <c r="OVP1" s="81"/>
      <c r="OVQ1" s="81"/>
      <c r="OVR1" s="81"/>
      <c r="OVS1" s="81"/>
      <c r="OVT1" s="81"/>
      <c r="OVU1" s="81"/>
      <c r="OVV1" s="81"/>
      <c r="OVW1" s="81"/>
      <c r="OVX1" s="81"/>
      <c r="OVY1" s="81"/>
      <c r="OVZ1" s="81"/>
      <c r="OWA1" s="81"/>
      <c r="OWB1" s="81"/>
      <c r="OWC1" s="81"/>
      <c r="OWD1" s="81"/>
      <c r="OWE1" s="81"/>
      <c r="OWF1" s="81"/>
      <c r="OWG1" s="81"/>
      <c r="OWH1" s="81"/>
      <c r="OWI1" s="81"/>
      <c r="OWJ1" s="81"/>
      <c r="OWK1" s="81"/>
      <c r="OWL1" s="81"/>
      <c r="OWM1" s="81"/>
      <c r="OWN1" s="81"/>
      <c r="OWO1" s="81"/>
      <c r="OWP1" s="81"/>
      <c r="OWQ1" s="81"/>
      <c r="OWR1" s="81"/>
      <c r="OWS1" s="81"/>
      <c r="OWT1" s="81"/>
      <c r="OWU1" s="81"/>
      <c r="OWV1" s="81"/>
      <c r="OWW1" s="81"/>
      <c r="OWX1" s="81"/>
      <c r="OWY1" s="81"/>
      <c r="OWZ1" s="81"/>
      <c r="OXA1" s="81"/>
      <c r="OXB1" s="81"/>
      <c r="OXC1" s="81"/>
      <c r="OXD1" s="81"/>
      <c r="OXE1" s="81"/>
      <c r="OXF1" s="81"/>
      <c r="OXG1" s="81"/>
      <c r="OXH1" s="81"/>
      <c r="OXI1" s="81"/>
      <c r="OXJ1" s="81"/>
      <c r="OXK1" s="81"/>
      <c r="OXL1" s="81"/>
      <c r="OXM1" s="81"/>
      <c r="OXN1" s="81"/>
      <c r="OXO1" s="81"/>
      <c r="OXP1" s="81"/>
      <c r="OXQ1" s="81"/>
      <c r="OXR1" s="81"/>
      <c r="OXS1" s="81"/>
      <c r="OXT1" s="81"/>
      <c r="OXU1" s="81"/>
      <c r="OXV1" s="81"/>
      <c r="OXW1" s="81"/>
      <c r="OXX1" s="81"/>
      <c r="OXY1" s="81"/>
      <c r="OXZ1" s="81"/>
      <c r="OYA1" s="81"/>
      <c r="OYB1" s="81"/>
      <c r="OYC1" s="81"/>
      <c r="OYD1" s="81"/>
      <c r="OYE1" s="81"/>
      <c r="OYF1" s="81"/>
      <c r="OYG1" s="81"/>
      <c r="OYH1" s="81"/>
      <c r="OYI1" s="81"/>
      <c r="OYJ1" s="81"/>
      <c r="OYK1" s="81"/>
      <c r="OYL1" s="81"/>
      <c r="OYM1" s="81"/>
      <c r="OYN1" s="81"/>
      <c r="OYO1" s="81"/>
      <c r="OYP1" s="81"/>
      <c r="OYQ1" s="81"/>
      <c r="OYR1" s="81"/>
      <c r="OYS1" s="81"/>
      <c r="OYT1" s="81"/>
      <c r="OYU1" s="81"/>
      <c r="OYV1" s="81"/>
      <c r="OYW1" s="81"/>
      <c r="OYX1" s="81"/>
      <c r="OYY1" s="81"/>
      <c r="OYZ1" s="81"/>
      <c r="OZA1" s="81"/>
      <c r="OZB1" s="81"/>
      <c r="OZC1" s="81"/>
      <c r="OZD1" s="81"/>
      <c r="OZE1" s="81"/>
      <c r="OZF1" s="81"/>
      <c r="OZG1" s="81"/>
      <c r="OZH1" s="81"/>
      <c r="OZI1" s="81"/>
      <c r="OZJ1" s="81"/>
      <c r="OZK1" s="81"/>
      <c r="OZL1" s="81"/>
      <c r="OZM1" s="81"/>
      <c r="OZN1" s="81"/>
      <c r="OZO1" s="81"/>
      <c r="OZP1" s="81"/>
      <c r="OZQ1" s="81"/>
      <c r="OZR1" s="81"/>
      <c r="OZS1" s="81"/>
      <c r="OZT1" s="81"/>
      <c r="OZU1" s="81"/>
      <c r="OZV1" s="81"/>
      <c r="OZW1" s="81"/>
      <c r="OZX1" s="81"/>
      <c r="OZY1" s="81"/>
      <c r="OZZ1" s="81"/>
      <c r="PAA1" s="81"/>
      <c r="PAB1" s="81"/>
      <c r="PAC1" s="81"/>
      <c r="PAD1" s="81"/>
      <c r="PAE1" s="81"/>
      <c r="PAF1" s="81"/>
      <c r="PAG1" s="81"/>
      <c r="PAH1" s="81"/>
      <c r="PAI1" s="81"/>
      <c r="PAJ1" s="81"/>
      <c r="PAK1" s="81"/>
      <c r="PAL1" s="81"/>
      <c r="PAM1" s="81"/>
      <c r="PAN1" s="81"/>
      <c r="PAO1" s="81"/>
      <c r="PAP1" s="81"/>
      <c r="PAQ1" s="81"/>
      <c r="PAR1" s="81"/>
      <c r="PAS1" s="81"/>
      <c r="PAT1" s="81"/>
      <c r="PAU1" s="81"/>
      <c r="PAV1" s="81"/>
      <c r="PAW1" s="81"/>
      <c r="PAX1" s="81"/>
      <c r="PAY1" s="81"/>
      <c r="PAZ1" s="81"/>
      <c r="PBA1" s="81"/>
      <c r="PBB1" s="81"/>
      <c r="PBC1" s="81"/>
      <c r="PBD1" s="81"/>
      <c r="PBE1" s="81"/>
      <c r="PBF1" s="81"/>
      <c r="PBG1" s="81"/>
      <c r="PBH1" s="81"/>
      <c r="PBI1" s="81"/>
      <c r="PBJ1" s="81"/>
      <c r="PBK1" s="81"/>
      <c r="PBL1" s="81"/>
      <c r="PBM1" s="81"/>
      <c r="PBN1" s="81"/>
      <c r="PBO1" s="81"/>
      <c r="PBP1" s="81"/>
      <c r="PBQ1" s="81"/>
      <c r="PBR1" s="81"/>
      <c r="PBS1" s="81"/>
      <c r="PBT1" s="81"/>
      <c r="PBU1" s="81"/>
      <c r="PBV1" s="81"/>
      <c r="PBW1" s="81"/>
      <c r="PBX1" s="81"/>
      <c r="PBY1" s="81"/>
      <c r="PBZ1" s="81"/>
      <c r="PCA1" s="81"/>
      <c r="PCB1" s="81"/>
      <c r="PCC1" s="81"/>
      <c r="PCD1" s="81"/>
      <c r="PCE1" s="81"/>
      <c r="PCF1" s="81"/>
      <c r="PCG1" s="81"/>
      <c r="PCH1" s="81"/>
      <c r="PCI1" s="81"/>
      <c r="PCJ1" s="81"/>
      <c r="PCK1" s="81"/>
      <c r="PCL1" s="81"/>
      <c r="PCM1" s="81"/>
      <c r="PCN1" s="81"/>
      <c r="PCO1" s="81"/>
      <c r="PCP1" s="81"/>
      <c r="PCQ1" s="81"/>
      <c r="PCR1" s="81"/>
      <c r="PCS1" s="81"/>
      <c r="PCT1" s="81"/>
      <c r="PCU1" s="81"/>
      <c r="PCV1" s="81"/>
      <c r="PCW1" s="81"/>
      <c r="PCX1" s="81"/>
      <c r="PCY1" s="81"/>
      <c r="PCZ1" s="81"/>
      <c r="PDA1" s="81"/>
      <c r="PDB1" s="81"/>
      <c r="PDC1" s="81"/>
      <c r="PDD1" s="81"/>
      <c r="PDE1" s="81"/>
      <c r="PDF1" s="81"/>
      <c r="PDG1" s="81"/>
      <c r="PDH1" s="81"/>
      <c r="PDI1" s="81"/>
      <c r="PDJ1" s="81"/>
      <c r="PDK1" s="81"/>
      <c r="PDL1" s="81"/>
      <c r="PDM1" s="81"/>
      <c r="PDN1" s="81"/>
      <c r="PDO1" s="81"/>
      <c r="PDP1" s="81"/>
      <c r="PDQ1" s="81"/>
      <c r="PDR1" s="81"/>
      <c r="PDS1" s="81"/>
      <c r="PDT1" s="81"/>
      <c r="PDU1" s="81"/>
      <c r="PDV1" s="81"/>
      <c r="PDW1" s="81"/>
      <c r="PDX1" s="81"/>
      <c r="PDY1" s="81"/>
      <c r="PDZ1" s="81"/>
      <c r="PEA1" s="81"/>
      <c r="PEB1" s="81"/>
      <c r="PEC1" s="81"/>
      <c r="PED1" s="81"/>
      <c r="PEE1" s="81"/>
      <c r="PEF1" s="81"/>
      <c r="PEG1" s="81"/>
      <c r="PEH1" s="81"/>
      <c r="PEI1" s="81"/>
      <c r="PEJ1" s="81"/>
      <c r="PEK1" s="81"/>
      <c r="PEL1" s="81"/>
      <c r="PEM1" s="81"/>
      <c r="PEN1" s="81"/>
      <c r="PEO1" s="81"/>
      <c r="PEP1" s="81"/>
      <c r="PEQ1" s="81"/>
      <c r="PER1" s="81"/>
      <c r="PES1" s="81"/>
      <c r="PET1" s="81"/>
      <c r="PEU1" s="81"/>
      <c r="PEV1" s="81"/>
      <c r="PEW1" s="81"/>
      <c r="PEX1" s="81"/>
      <c r="PEY1" s="81"/>
      <c r="PEZ1" s="81"/>
      <c r="PFA1" s="81"/>
      <c r="PFB1" s="81"/>
      <c r="PFC1" s="81"/>
      <c r="PFD1" s="81"/>
      <c r="PFE1" s="81"/>
      <c r="PFF1" s="81"/>
      <c r="PFG1" s="81"/>
      <c r="PFH1" s="81"/>
      <c r="PFI1" s="81"/>
      <c r="PFJ1" s="81"/>
      <c r="PFK1" s="81"/>
      <c r="PFL1" s="81"/>
      <c r="PFM1" s="81"/>
      <c r="PFN1" s="81"/>
      <c r="PFO1" s="81"/>
      <c r="PFP1" s="81"/>
      <c r="PFQ1" s="81"/>
      <c r="PFR1" s="81"/>
      <c r="PFS1" s="81"/>
      <c r="PFT1" s="81"/>
      <c r="PFU1" s="81"/>
      <c r="PFV1" s="81"/>
      <c r="PFW1" s="81"/>
      <c r="PFX1" s="81"/>
      <c r="PFY1" s="81"/>
      <c r="PFZ1" s="81"/>
      <c r="PGA1" s="81"/>
      <c r="PGB1" s="81"/>
      <c r="PGC1" s="81"/>
      <c r="PGD1" s="81"/>
      <c r="PGE1" s="81"/>
      <c r="PGF1" s="81"/>
      <c r="PGG1" s="81"/>
      <c r="PGH1" s="81"/>
      <c r="PGI1" s="81"/>
      <c r="PGJ1" s="81"/>
      <c r="PGK1" s="81"/>
      <c r="PGL1" s="81"/>
      <c r="PGM1" s="81"/>
      <c r="PGN1" s="81"/>
      <c r="PGO1" s="81"/>
      <c r="PGP1" s="81"/>
      <c r="PGQ1" s="81"/>
      <c r="PGR1" s="81"/>
      <c r="PGS1" s="81"/>
      <c r="PGT1" s="81"/>
      <c r="PGU1" s="81"/>
      <c r="PGV1" s="81"/>
      <c r="PGW1" s="81"/>
      <c r="PGX1" s="81"/>
      <c r="PGY1" s="81"/>
      <c r="PGZ1" s="81"/>
      <c r="PHA1" s="81"/>
      <c r="PHB1" s="81"/>
      <c r="PHC1" s="81"/>
      <c r="PHD1" s="81"/>
      <c r="PHE1" s="81"/>
      <c r="PHF1" s="81"/>
      <c r="PHG1" s="81"/>
      <c r="PHH1" s="81"/>
      <c r="PHI1" s="81"/>
      <c r="PHJ1" s="81"/>
      <c r="PHK1" s="81"/>
      <c r="PHL1" s="81"/>
      <c r="PHM1" s="81"/>
      <c r="PHN1" s="81"/>
      <c r="PHO1" s="81"/>
      <c r="PHP1" s="81"/>
      <c r="PHQ1" s="81"/>
      <c r="PHR1" s="81"/>
      <c r="PHS1" s="81"/>
      <c r="PHT1" s="81"/>
      <c r="PHU1" s="81"/>
      <c r="PHV1" s="81"/>
      <c r="PHW1" s="81"/>
      <c r="PHX1" s="81"/>
      <c r="PHY1" s="81"/>
      <c r="PHZ1" s="81"/>
      <c r="PIA1" s="81"/>
      <c r="PIB1" s="81"/>
      <c r="PIC1" s="81"/>
      <c r="PID1" s="81"/>
      <c r="PIE1" s="81"/>
      <c r="PIF1" s="81"/>
      <c r="PIG1" s="81"/>
      <c r="PIH1" s="81"/>
      <c r="PII1" s="81"/>
      <c r="PIJ1" s="81"/>
      <c r="PIK1" s="81"/>
      <c r="PIL1" s="81"/>
      <c r="PIM1" s="81"/>
      <c r="PIN1" s="81"/>
      <c r="PIO1" s="81"/>
      <c r="PIP1" s="81"/>
      <c r="PIQ1" s="81"/>
      <c r="PIR1" s="81"/>
      <c r="PIS1" s="81"/>
      <c r="PIT1" s="81"/>
      <c r="PIU1" s="81"/>
      <c r="PIV1" s="81"/>
      <c r="PIW1" s="81"/>
      <c r="PIX1" s="81"/>
      <c r="PIY1" s="81"/>
      <c r="PIZ1" s="81"/>
      <c r="PJA1" s="81"/>
      <c r="PJB1" s="81"/>
      <c r="PJC1" s="81"/>
      <c r="PJD1" s="81"/>
      <c r="PJE1" s="81"/>
      <c r="PJF1" s="81"/>
      <c r="PJG1" s="81"/>
      <c r="PJH1" s="81"/>
      <c r="PJI1" s="81"/>
      <c r="PJJ1" s="81"/>
      <c r="PJK1" s="81"/>
      <c r="PJL1" s="81"/>
      <c r="PJM1" s="81"/>
      <c r="PJN1" s="81"/>
      <c r="PJO1" s="81"/>
      <c r="PJP1" s="81"/>
      <c r="PJQ1" s="81"/>
      <c r="PJR1" s="81"/>
      <c r="PJS1" s="81"/>
      <c r="PJT1" s="81"/>
      <c r="PJU1" s="81"/>
      <c r="PJV1" s="81"/>
      <c r="PJW1" s="81"/>
      <c r="PJX1" s="81"/>
      <c r="PJY1" s="81"/>
      <c r="PJZ1" s="81"/>
      <c r="PKA1" s="81"/>
      <c r="PKB1" s="81"/>
      <c r="PKC1" s="81"/>
      <c r="PKD1" s="81"/>
      <c r="PKE1" s="81"/>
      <c r="PKF1" s="81"/>
      <c r="PKG1" s="81"/>
      <c r="PKH1" s="81"/>
      <c r="PKI1" s="81"/>
      <c r="PKJ1" s="81"/>
      <c r="PKK1" s="81"/>
      <c r="PKL1" s="81"/>
      <c r="PKM1" s="81"/>
      <c r="PKN1" s="81"/>
      <c r="PKO1" s="81"/>
      <c r="PKP1" s="81"/>
      <c r="PKQ1" s="81"/>
      <c r="PKR1" s="81"/>
      <c r="PKS1" s="81"/>
      <c r="PKT1" s="81"/>
      <c r="PKU1" s="81"/>
      <c r="PKV1" s="81"/>
      <c r="PKW1" s="81"/>
      <c r="PKX1" s="81"/>
      <c r="PKY1" s="81"/>
      <c r="PKZ1" s="81"/>
      <c r="PLA1" s="81"/>
      <c r="PLB1" s="81"/>
      <c r="PLC1" s="81"/>
      <c r="PLD1" s="81"/>
      <c r="PLE1" s="81"/>
      <c r="PLF1" s="81"/>
      <c r="PLG1" s="81"/>
      <c r="PLH1" s="81"/>
      <c r="PLI1" s="81"/>
      <c r="PLJ1" s="81"/>
      <c r="PLK1" s="81"/>
      <c r="PLL1" s="81"/>
      <c r="PLM1" s="81"/>
      <c r="PLN1" s="81"/>
      <c r="PLO1" s="81"/>
      <c r="PLP1" s="81"/>
      <c r="PLQ1" s="81"/>
      <c r="PLR1" s="81"/>
      <c r="PLS1" s="81"/>
      <c r="PLT1" s="81"/>
      <c r="PLU1" s="81"/>
      <c r="PLV1" s="81"/>
      <c r="PLW1" s="81"/>
      <c r="PLX1" s="81"/>
      <c r="PLY1" s="81"/>
      <c r="PLZ1" s="81"/>
      <c r="PMA1" s="81"/>
      <c r="PMB1" s="81"/>
      <c r="PMC1" s="81"/>
      <c r="PMD1" s="81"/>
      <c r="PME1" s="81"/>
      <c r="PMF1" s="81"/>
      <c r="PMG1" s="81"/>
      <c r="PMH1" s="81"/>
      <c r="PMI1" s="81"/>
      <c r="PMJ1" s="81"/>
      <c r="PMK1" s="81"/>
      <c r="PML1" s="81"/>
      <c r="PMM1" s="81"/>
      <c r="PMN1" s="81"/>
      <c r="PMO1" s="81"/>
      <c r="PMP1" s="81"/>
      <c r="PMQ1" s="81"/>
      <c r="PMR1" s="81"/>
      <c r="PMS1" s="81"/>
      <c r="PMT1" s="81"/>
      <c r="PMU1" s="81"/>
      <c r="PMV1" s="81"/>
      <c r="PMW1" s="81"/>
      <c r="PMX1" s="81"/>
      <c r="PMY1" s="81"/>
      <c r="PMZ1" s="81"/>
      <c r="PNA1" s="81"/>
      <c r="PNB1" s="81"/>
      <c r="PNC1" s="81"/>
      <c r="PND1" s="81"/>
      <c r="PNE1" s="81"/>
      <c r="PNF1" s="81"/>
      <c r="PNG1" s="81"/>
      <c r="PNH1" s="81"/>
      <c r="PNI1" s="81"/>
      <c r="PNJ1" s="81"/>
      <c r="PNK1" s="81"/>
      <c r="PNL1" s="81"/>
      <c r="PNM1" s="81"/>
      <c r="PNN1" s="81"/>
      <c r="PNO1" s="81"/>
      <c r="PNP1" s="81"/>
      <c r="PNQ1" s="81"/>
      <c r="PNR1" s="81"/>
      <c r="PNS1" s="81"/>
      <c r="PNT1" s="81"/>
      <c r="PNU1" s="81"/>
      <c r="PNV1" s="81"/>
      <c r="PNW1" s="81"/>
      <c r="PNX1" s="81"/>
      <c r="PNY1" s="81"/>
      <c r="PNZ1" s="81"/>
      <c r="POA1" s="81"/>
      <c r="POB1" s="81"/>
      <c r="POC1" s="81"/>
      <c r="POD1" s="81"/>
      <c r="POE1" s="81"/>
      <c r="POF1" s="81"/>
      <c r="POG1" s="81"/>
      <c r="POH1" s="81"/>
      <c r="POI1" s="81"/>
      <c r="POJ1" s="81"/>
      <c r="POK1" s="81"/>
      <c r="POL1" s="81"/>
      <c r="POM1" s="81"/>
      <c r="PON1" s="81"/>
      <c r="POO1" s="81"/>
      <c r="POP1" s="81"/>
      <c r="POQ1" s="81"/>
      <c r="POR1" s="81"/>
      <c r="POS1" s="81"/>
      <c r="POT1" s="81"/>
      <c r="POU1" s="81"/>
      <c r="POV1" s="81"/>
      <c r="POW1" s="81"/>
      <c r="POX1" s="81"/>
      <c r="POY1" s="81"/>
      <c r="POZ1" s="81"/>
      <c r="PPA1" s="81"/>
      <c r="PPB1" s="81"/>
      <c r="PPC1" s="81"/>
      <c r="PPD1" s="81"/>
      <c r="PPE1" s="81"/>
      <c r="PPF1" s="81"/>
      <c r="PPG1" s="81"/>
      <c r="PPH1" s="81"/>
      <c r="PPI1" s="81"/>
      <c r="PPJ1" s="81"/>
      <c r="PPK1" s="81"/>
      <c r="PPL1" s="81"/>
      <c r="PPM1" s="81"/>
      <c r="PPN1" s="81"/>
      <c r="PPO1" s="81"/>
      <c r="PPP1" s="81"/>
      <c r="PPQ1" s="81"/>
      <c r="PPR1" s="81"/>
      <c r="PPS1" s="81"/>
      <c r="PPT1" s="81"/>
      <c r="PPU1" s="81"/>
      <c r="PPV1" s="81"/>
      <c r="PPW1" s="81"/>
      <c r="PPX1" s="81"/>
      <c r="PPY1" s="81"/>
      <c r="PPZ1" s="81"/>
      <c r="PQA1" s="81"/>
      <c r="PQB1" s="81"/>
      <c r="PQC1" s="81"/>
      <c r="PQD1" s="81"/>
      <c r="PQE1" s="81"/>
      <c r="PQF1" s="81"/>
      <c r="PQG1" s="81"/>
      <c r="PQH1" s="81"/>
      <c r="PQI1" s="81"/>
      <c r="PQJ1" s="81"/>
      <c r="PQK1" s="81"/>
      <c r="PQL1" s="81"/>
      <c r="PQM1" s="81"/>
      <c r="PQN1" s="81"/>
      <c r="PQO1" s="81"/>
      <c r="PQP1" s="81"/>
      <c r="PQQ1" s="81"/>
      <c r="PQR1" s="81"/>
      <c r="PQS1" s="81"/>
      <c r="PQT1" s="81"/>
      <c r="PQU1" s="81"/>
      <c r="PQV1" s="81"/>
      <c r="PQW1" s="81"/>
      <c r="PQX1" s="81"/>
      <c r="PQY1" s="81"/>
      <c r="PQZ1" s="81"/>
      <c r="PRA1" s="81"/>
      <c r="PRB1" s="81"/>
      <c r="PRC1" s="81"/>
      <c r="PRD1" s="81"/>
      <c r="PRE1" s="81"/>
      <c r="PRF1" s="81"/>
      <c r="PRG1" s="81"/>
      <c r="PRH1" s="81"/>
      <c r="PRI1" s="81"/>
      <c r="PRJ1" s="81"/>
      <c r="PRK1" s="81"/>
      <c r="PRL1" s="81"/>
      <c r="PRM1" s="81"/>
      <c r="PRN1" s="81"/>
      <c r="PRO1" s="81"/>
      <c r="PRP1" s="81"/>
      <c r="PRQ1" s="81"/>
      <c r="PRR1" s="81"/>
      <c r="PRS1" s="81"/>
      <c r="PRT1" s="81"/>
      <c r="PRU1" s="81"/>
      <c r="PRV1" s="81"/>
      <c r="PRW1" s="81"/>
      <c r="PRX1" s="81"/>
      <c r="PRY1" s="81"/>
      <c r="PRZ1" s="81"/>
      <c r="PSA1" s="81"/>
      <c r="PSB1" s="81"/>
      <c r="PSC1" s="81"/>
      <c r="PSD1" s="81"/>
      <c r="PSE1" s="81"/>
      <c r="PSF1" s="81"/>
      <c r="PSG1" s="81"/>
      <c r="PSH1" s="81"/>
      <c r="PSI1" s="81"/>
      <c r="PSJ1" s="81"/>
      <c r="PSK1" s="81"/>
      <c r="PSL1" s="81"/>
      <c r="PSM1" s="81"/>
      <c r="PSN1" s="81"/>
      <c r="PSO1" s="81"/>
      <c r="PSP1" s="81"/>
      <c r="PSQ1" s="81"/>
      <c r="PSR1" s="81"/>
      <c r="PSS1" s="81"/>
      <c r="PST1" s="81"/>
      <c r="PSU1" s="81"/>
      <c r="PSV1" s="81"/>
      <c r="PSW1" s="81"/>
      <c r="PSX1" s="81"/>
      <c r="PSY1" s="81"/>
      <c r="PSZ1" s="81"/>
      <c r="PTA1" s="81"/>
      <c r="PTB1" s="81"/>
      <c r="PTC1" s="81"/>
      <c r="PTD1" s="81"/>
      <c r="PTE1" s="81"/>
      <c r="PTF1" s="81"/>
      <c r="PTG1" s="81"/>
      <c r="PTH1" s="81"/>
      <c r="PTI1" s="81"/>
      <c r="PTJ1" s="81"/>
      <c r="PTK1" s="81"/>
      <c r="PTL1" s="81"/>
      <c r="PTM1" s="81"/>
      <c r="PTN1" s="81"/>
      <c r="PTO1" s="81"/>
      <c r="PTP1" s="81"/>
      <c r="PTQ1" s="81"/>
      <c r="PTR1" s="81"/>
      <c r="PTS1" s="81"/>
      <c r="PTT1" s="81"/>
      <c r="PTU1" s="81"/>
      <c r="PTV1" s="81"/>
      <c r="PTW1" s="81"/>
      <c r="PTX1" s="81"/>
      <c r="PTY1" s="81"/>
      <c r="PTZ1" s="81"/>
      <c r="PUA1" s="81"/>
      <c r="PUB1" s="81"/>
      <c r="PUC1" s="81"/>
      <c r="PUD1" s="81"/>
      <c r="PUE1" s="81"/>
      <c r="PUF1" s="81"/>
      <c r="PUG1" s="81"/>
      <c r="PUH1" s="81"/>
      <c r="PUI1" s="81"/>
      <c r="PUJ1" s="81"/>
      <c r="PUK1" s="81"/>
      <c r="PUL1" s="81"/>
      <c r="PUM1" s="81"/>
      <c r="PUN1" s="81"/>
      <c r="PUO1" s="81"/>
      <c r="PUP1" s="81"/>
      <c r="PUQ1" s="81"/>
      <c r="PUR1" s="81"/>
      <c r="PUS1" s="81"/>
      <c r="PUT1" s="81"/>
      <c r="PUU1" s="81"/>
      <c r="PUV1" s="81"/>
      <c r="PUW1" s="81"/>
      <c r="PUX1" s="81"/>
      <c r="PUY1" s="81"/>
      <c r="PUZ1" s="81"/>
      <c r="PVA1" s="81"/>
      <c r="PVB1" s="81"/>
      <c r="PVC1" s="81"/>
      <c r="PVD1" s="81"/>
      <c r="PVE1" s="81"/>
      <c r="PVF1" s="81"/>
      <c r="PVG1" s="81"/>
      <c r="PVH1" s="81"/>
      <c r="PVI1" s="81"/>
      <c r="PVJ1" s="81"/>
      <c r="PVK1" s="81"/>
      <c r="PVL1" s="81"/>
      <c r="PVM1" s="81"/>
      <c r="PVN1" s="81"/>
      <c r="PVO1" s="81"/>
      <c r="PVP1" s="81"/>
      <c r="PVQ1" s="81"/>
      <c r="PVR1" s="81"/>
      <c r="PVS1" s="81"/>
      <c r="PVT1" s="81"/>
      <c r="PVU1" s="81"/>
      <c r="PVV1" s="81"/>
      <c r="PVW1" s="81"/>
      <c r="PVX1" s="81"/>
      <c r="PVY1" s="81"/>
      <c r="PVZ1" s="81"/>
      <c r="PWA1" s="81"/>
      <c r="PWB1" s="81"/>
      <c r="PWC1" s="81"/>
      <c r="PWD1" s="81"/>
      <c r="PWE1" s="81"/>
      <c r="PWF1" s="81"/>
      <c r="PWG1" s="81"/>
      <c r="PWH1" s="81"/>
      <c r="PWI1" s="81"/>
      <c r="PWJ1" s="81"/>
      <c r="PWK1" s="81"/>
      <c r="PWL1" s="81"/>
      <c r="PWM1" s="81"/>
      <c r="PWN1" s="81"/>
      <c r="PWO1" s="81"/>
      <c r="PWP1" s="81"/>
      <c r="PWQ1" s="81"/>
      <c r="PWR1" s="81"/>
      <c r="PWS1" s="81"/>
      <c r="PWT1" s="81"/>
      <c r="PWU1" s="81"/>
      <c r="PWV1" s="81"/>
      <c r="PWW1" s="81"/>
      <c r="PWX1" s="81"/>
      <c r="PWY1" s="81"/>
      <c r="PWZ1" s="81"/>
      <c r="PXA1" s="81"/>
      <c r="PXB1" s="81"/>
      <c r="PXC1" s="81"/>
      <c r="PXD1" s="81"/>
      <c r="PXE1" s="81"/>
      <c r="PXF1" s="81"/>
      <c r="PXG1" s="81"/>
      <c r="PXH1" s="81"/>
      <c r="PXI1" s="81"/>
      <c r="PXJ1" s="81"/>
      <c r="PXK1" s="81"/>
      <c r="PXL1" s="81"/>
      <c r="PXM1" s="81"/>
      <c r="PXN1" s="81"/>
      <c r="PXO1" s="81"/>
      <c r="PXP1" s="81"/>
      <c r="PXQ1" s="81"/>
      <c r="PXR1" s="81"/>
      <c r="PXS1" s="81"/>
      <c r="PXT1" s="81"/>
      <c r="PXU1" s="81"/>
      <c r="PXV1" s="81"/>
      <c r="PXW1" s="81"/>
      <c r="PXX1" s="81"/>
      <c r="PXY1" s="81"/>
      <c r="PXZ1" s="81"/>
      <c r="PYA1" s="81"/>
      <c r="PYB1" s="81"/>
      <c r="PYC1" s="81"/>
      <c r="PYD1" s="81"/>
      <c r="PYE1" s="81"/>
      <c r="PYF1" s="81"/>
      <c r="PYG1" s="81"/>
      <c r="PYH1" s="81"/>
      <c r="PYI1" s="81"/>
      <c r="PYJ1" s="81"/>
      <c r="PYK1" s="81"/>
      <c r="PYL1" s="81"/>
      <c r="PYM1" s="81"/>
      <c r="PYN1" s="81"/>
      <c r="PYO1" s="81"/>
      <c r="PYP1" s="81"/>
      <c r="PYQ1" s="81"/>
      <c r="PYR1" s="81"/>
      <c r="PYS1" s="81"/>
      <c r="PYT1" s="81"/>
      <c r="PYU1" s="81"/>
      <c r="PYV1" s="81"/>
      <c r="PYW1" s="81"/>
      <c r="PYX1" s="81"/>
      <c r="PYY1" s="81"/>
      <c r="PYZ1" s="81"/>
      <c r="PZA1" s="81"/>
      <c r="PZB1" s="81"/>
      <c r="PZC1" s="81"/>
      <c r="PZD1" s="81"/>
      <c r="PZE1" s="81"/>
      <c r="PZF1" s="81"/>
      <c r="PZG1" s="81"/>
      <c r="PZH1" s="81"/>
      <c r="PZI1" s="81"/>
      <c r="PZJ1" s="81"/>
      <c r="PZK1" s="81"/>
      <c r="PZL1" s="81"/>
      <c r="PZM1" s="81"/>
      <c r="PZN1" s="81"/>
      <c r="PZO1" s="81"/>
      <c r="PZP1" s="81"/>
      <c r="PZQ1" s="81"/>
      <c r="PZR1" s="81"/>
      <c r="PZS1" s="81"/>
      <c r="PZT1" s="81"/>
      <c r="PZU1" s="81"/>
      <c r="PZV1" s="81"/>
      <c r="PZW1" s="81"/>
      <c r="PZX1" s="81"/>
      <c r="PZY1" s="81"/>
      <c r="PZZ1" s="81"/>
      <c r="QAA1" s="81"/>
      <c r="QAB1" s="81"/>
      <c r="QAC1" s="81"/>
      <c r="QAD1" s="81"/>
      <c r="QAE1" s="81"/>
      <c r="QAF1" s="81"/>
      <c r="QAG1" s="81"/>
      <c r="QAH1" s="81"/>
      <c r="QAI1" s="81"/>
      <c r="QAJ1" s="81"/>
      <c r="QAK1" s="81"/>
      <c r="QAL1" s="81"/>
      <c r="QAM1" s="81"/>
      <c r="QAN1" s="81"/>
      <c r="QAO1" s="81"/>
      <c r="QAP1" s="81"/>
      <c r="QAQ1" s="81"/>
      <c r="QAR1" s="81"/>
      <c r="QAS1" s="81"/>
      <c r="QAT1" s="81"/>
      <c r="QAU1" s="81"/>
      <c r="QAV1" s="81"/>
      <c r="QAW1" s="81"/>
      <c r="QAX1" s="81"/>
      <c r="QAY1" s="81"/>
      <c r="QAZ1" s="81"/>
      <c r="QBA1" s="81"/>
      <c r="QBB1" s="81"/>
      <c r="QBC1" s="81"/>
      <c r="QBD1" s="81"/>
      <c r="QBE1" s="81"/>
      <c r="QBF1" s="81"/>
      <c r="QBG1" s="81"/>
      <c r="QBH1" s="81"/>
      <c r="QBI1" s="81"/>
      <c r="QBJ1" s="81"/>
      <c r="QBK1" s="81"/>
      <c r="QBL1" s="81"/>
      <c r="QBM1" s="81"/>
      <c r="QBN1" s="81"/>
      <c r="QBO1" s="81"/>
      <c r="QBP1" s="81"/>
      <c r="QBQ1" s="81"/>
      <c r="QBR1" s="81"/>
      <c r="QBS1" s="81"/>
      <c r="QBT1" s="81"/>
      <c r="QBU1" s="81"/>
      <c r="QBV1" s="81"/>
      <c r="QBW1" s="81"/>
      <c r="QBX1" s="81"/>
      <c r="QBY1" s="81"/>
      <c r="QBZ1" s="81"/>
      <c r="QCA1" s="81"/>
      <c r="QCB1" s="81"/>
      <c r="QCC1" s="81"/>
      <c r="QCD1" s="81"/>
      <c r="QCE1" s="81"/>
      <c r="QCF1" s="81"/>
      <c r="QCG1" s="81"/>
      <c r="QCH1" s="81"/>
      <c r="QCI1" s="81"/>
      <c r="QCJ1" s="81"/>
      <c r="QCK1" s="81"/>
      <c r="QCL1" s="81"/>
      <c r="QCM1" s="81"/>
      <c r="QCN1" s="81"/>
      <c r="QCO1" s="81"/>
      <c r="QCP1" s="81"/>
      <c r="QCQ1" s="81"/>
      <c r="QCR1" s="81"/>
      <c r="QCS1" s="81"/>
      <c r="QCT1" s="81"/>
      <c r="QCU1" s="81"/>
      <c r="QCV1" s="81"/>
      <c r="QCW1" s="81"/>
      <c r="QCX1" s="81"/>
      <c r="QCY1" s="81"/>
      <c r="QCZ1" s="81"/>
      <c r="QDA1" s="81"/>
      <c r="QDB1" s="81"/>
      <c r="QDC1" s="81"/>
      <c r="QDD1" s="81"/>
      <c r="QDE1" s="81"/>
      <c r="QDF1" s="81"/>
      <c r="QDG1" s="81"/>
      <c r="QDH1" s="81"/>
      <c r="QDI1" s="81"/>
      <c r="QDJ1" s="81"/>
      <c r="QDK1" s="81"/>
      <c r="QDL1" s="81"/>
      <c r="QDM1" s="81"/>
      <c r="QDN1" s="81"/>
      <c r="QDO1" s="81"/>
      <c r="QDP1" s="81"/>
      <c r="QDQ1" s="81"/>
      <c r="QDR1" s="81"/>
      <c r="QDS1" s="81"/>
      <c r="QDT1" s="81"/>
      <c r="QDU1" s="81"/>
      <c r="QDV1" s="81"/>
      <c r="QDW1" s="81"/>
      <c r="QDX1" s="81"/>
      <c r="QDY1" s="81"/>
      <c r="QDZ1" s="81"/>
      <c r="QEA1" s="81"/>
      <c r="QEB1" s="81"/>
      <c r="QEC1" s="81"/>
      <c r="QED1" s="81"/>
      <c r="QEE1" s="81"/>
      <c r="QEF1" s="81"/>
      <c r="QEG1" s="81"/>
      <c r="QEH1" s="81"/>
      <c r="QEI1" s="81"/>
      <c r="QEJ1" s="81"/>
      <c r="QEK1" s="81"/>
      <c r="QEL1" s="81"/>
      <c r="QEM1" s="81"/>
      <c r="QEN1" s="81"/>
      <c r="QEO1" s="81"/>
      <c r="QEP1" s="81"/>
      <c r="QEQ1" s="81"/>
      <c r="QER1" s="81"/>
      <c r="QES1" s="81"/>
      <c r="QET1" s="81"/>
      <c r="QEU1" s="81"/>
      <c r="QEV1" s="81"/>
      <c r="QEW1" s="81"/>
      <c r="QEX1" s="81"/>
      <c r="QEY1" s="81"/>
      <c r="QEZ1" s="81"/>
      <c r="QFA1" s="81"/>
      <c r="QFB1" s="81"/>
      <c r="QFC1" s="81"/>
      <c r="QFD1" s="81"/>
      <c r="QFE1" s="81"/>
      <c r="QFF1" s="81"/>
      <c r="QFG1" s="81"/>
      <c r="QFH1" s="81"/>
      <c r="QFI1" s="81"/>
      <c r="QFJ1" s="81"/>
      <c r="QFK1" s="81"/>
      <c r="QFL1" s="81"/>
      <c r="QFM1" s="81"/>
      <c r="QFN1" s="81"/>
      <c r="QFO1" s="81"/>
      <c r="QFP1" s="81"/>
      <c r="QFQ1" s="81"/>
      <c r="QFR1" s="81"/>
      <c r="QFS1" s="81"/>
      <c r="QFT1" s="81"/>
      <c r="QFU1" s="81"/>
      <c r="QFV1" s="81"/>
      <c r="QFW1" s="81"/>
      <c r="QFX1" s="81"/>
      <c r="QFY1" s="81"/>
      <c r="QFZ1" s="81"/>
      <c r="QGA1" s="81"/>
      <c r="QGB1" s="81"/>
      <c r="QGC1" s="81"/>
      <c r="QGD1" s="81"/>
      <c r="QGE1" s="81"/>
      <c r="QGF1" s="81"/>
      <c r="QGG1" s="81"/>
      <c r="QGH1" s="81"/>
      <c r="QGI1" s="81"/>
      <c r="QGJ1" s="81"/>
      <c r="QGK1" s="81"/>
      <c r="QGL1" s="81"/>
      <c r="QGM1" s="81"/>
      <c r="QGN1" s="81"/>
      <c r="QGO1" s="81"/>
      <c r="QGP1" s="81"/>
      <c r="QGQ1" s="81"/>
      <c r="QGR1" s="81"/>
      <c r="QGS1" s="81"/>
      <c r="QGT1" s="81"/>
      <c r="QGU1" s="81"/>
      <c r="QGV1" s="81"/>
      <c r="QGW1" s="81"/>
      <c r="QGX1" s="81"/>
      <c r="QGY1" s="81"/>
      <c r="QGZ1" s="81"/>
      <c r="QHA1" s="81"/>
      <c r="QHB1" s="81"/>
      <c r="QHC1" s="81"/>
      <c r="QHD1" s="81"/>
      <c r="QHE1" s="81"/>
      <c r="QHF1" s="81"/>
      <c r="QHG1" s="81"/>
      <c r="QHH1" s="81"/>
      <c r="QHI1" s="81"/>
      <c r="QHJ1" s="81"/>
      <c r="QHK1" s="81"/>
      <c r="QHL1" s="81"/>
      <c r="QHM1" s="81"/>
      <c r="QHN1" s="81"/>
      <c r="QHO1" s="81"/>
      <c r="QHP1" s="81"/>
      <c r="QHQ1" s="81"/>
      <c r="QHR1" s="81"/>
      <c r="QHS1" s="81"/>
      <c r="QHT1" s="81"/>
      <c r="QHU1" s="81"/>
      <c r="QHV1" s="81"/>
      <c r="QHW1" s="81"/>
      <c r="QHX1" s="81"/>
      <c r="QHY1" s="81"/>
      <c r="QHZ1" s="81"/>
      <c r="QIA1" s="81"/>
      <c r="QIB1" s="81"/>
      <c r="QIC1" s="81"/>
      <c r="QID1" s="81"/>
      <c r="QIE1" s="81"/>
      <c r="QIF1" s="81"/>
      <c r="QIG1" s="81"/>
      <c r="QIH1" s="81"/>
      <c r="QII1" s="81"/>
      <c r="QIJ1" s="81"/>
      <c r="QIK1" s="81"/>
      <c r="QIL1" s="81"/>
      <c r="QIM1" s="81"/>
      <c r="QIN1" s="81"/>
      <c r="QIO1" s="81"/>
      <c r="QIP1" s="81"/>
      <c r="QIQ1" s="81"/>
      <c r="QIR1" s="81"/>
      <c r="QIS1" s="81"/>
      <c r="QIT1" s="81"/>
      <c r="QIU1" s="81"/>
      <c r="QIV1" s="81"/>
      <c r="QIW1" s="81"/>
      <c r="QIX1" s="81"/>
      <c r="QIY1" s="81"/>
      <c r="QIZ1" s="81"/>
      <c r="QJA1" s="81"/>
      <c r="QJB1" s="81"/>
      <c r="QJC1" s="81"/>
      <c r="QJD1" s="81"/>
      <c r="QJE1" s="81"/>
      <c r="QJF1" s="81"/>
      <c r="QJG1" s="81"/>
      <c r="QJH1" s="81"/>
      <c r="QJI1" s="81"/>
      <c r="QJJ1" s="81"/>
      <c r="QJK1" s="81"/>
      <c r="QJL1" s="81"/>
      <c r="QJM1" s="81"/>
      <c r="QJN1" s="81"/>
      <c r="QJO1" s="81"/>
      <c r="QJP1" s="81"/>
      <c r="QJQ1" s="81"/>
      <c r="QJR1" s="81"/>
      <c r="QJS1" s="81"/>
      <c r="QJT1" s="81"/>
      <c r="QJU1" s="81"/>
      <c r="QJV1" s="81"/>
      <c r="QJW1" s="81"/>
      <c r="QJX1" s="81"/>
      <c r="QJY1" s="81"/>
      <c r="QJZ1" s="81"/>
      <c r="QKA1" s="81"/>
      <c r="QKB1" s="81"/>
      <c r="QKC1" s="81"/>
      <c r="QKD1" s="81"/>
      <c r="QKE1" s="81"/>
      <c r="QKF1" s="81"/>
      <c r="QKG1" s="81"/>
      <c r="QKH1" s="81"/>
      <c r="QKI1" s="81"/>
      <c r="QKJ1" s="81"/>
      <c r="QKK1" s="81"/>
      <c r="QKL1" s="81"/>
      <c r="QKM1" s="81"/>
      <c r="QKN1" s="81"/>
      <c r="QKO1" s="81"/>
      <c r="QKP1" s="81"/>
      <c r="QKQ1" s="81"/>
      <c r="QKR1" s="81"/>
      <c r="QKS1" s="81"/>
      <c r="QKT1" s="81"/>
      <c r="QKU1" s="81"/>
      <c r="QKV1" s="81"/>
      <c r="QKW1" s="81"/>
      <c r="QKX1" s="81"/>
      <c r="QKY1" s="81"/>
      <c r="QKZ1" s="81"/>
      <c r="QLA1" s="81"/>
      <c r="QLB1" s="81"/>
      <c r="QLC1" s="81"/>
      <c r="QLD1" s="81"/>
      <c r="QLE1" s="81"/>
      <c r="QLF1" s="81"/>
      <c r="QLG1" s="81"/>
      <c r="QLH1" s="81"/>
      <c r="QLI1" s="81"/>
      <c r="QLJ1" s="81"/>
      <c r="QLK1" s="81"/>
      <c r="QLL1" s="81"/>
      <c r="QLM1" s="81"/>
      <c r="QLN1" s="81"/>
      <c r="QLO1" s="81"/>
      <c r="QLP1" s="81"/>
      <c r="QLQ1" s="81"/>
      <c r="QLR1" s="81"/>
      <c r="QLS1" s="81"/>
      <c r="QLT1" s="81"/>
      <c r="QLU1" s="81"/>
      <c r="QLV1" s="81"/>
      <c r="QLW1" s="81"/>
      <c r="QLX1" s="81"/>
      <c r="QLY1" s="81"/>
      <c r="QLZ1" s="81"/>
      <c r="QMA1" s="81"/>
      <c r="QMB1" s="81"/>
      <c r="QMC1" s="81"/>
      <c r="QMD1" s="81"/>
      <c r="QME1" s="81"/>
      <c r="QMF1" s="81"/>
      <c r="QMG1" s="81"/>
      <c r="QMH1" s="81"/>
      <c r="QMI1" s="81"/>
      <c r="QMJ1" s="81"/>
      <c r="QMK1" s="81"/>
      <c r="QML1" s="81"/>
      <c r="QMM1" s="81"/>
      <c r="QMN1" s="81"/>
      <c r="QMO1" s="81"/>
      <c r="QMP1" s="81"/>
      <c r="QMQ1" s="81"/>
      <c r="QMR1" s="81"/>
      <c r="QMS1" s="81"/>
      <c r="QMT1" s="81"/>
      <c r="QMU1" s="81"/>
      <c r="QMV1" s="81"/>
      <c r="QMW1" s="81"/>
      <c r="QMX1" s="81"/>
      <c r="QMY1" s="81"/>
      <c r="QMZ1" s="81"/>
      <c r="QNA1" s="81"/>
      <c r="QNB1" s="81"/>
      <c r="QNC1" s="81"/>
      <c r="QND1" s="81"/>
      <c r="QNE1" s="81"/>
      <c r="QNF1" s="81"/>
      <c r="QNG1" s="81"/>
      <c r="QNH1" s="81"/>
      <c r="QNI1" s="81"/>
      <c r="QNJ1" s="81"/>
      <c r="QNK1" s="81"/>
      <c r="QNL1" s="81"/>
      <c r="QNM1" s="81"/>
      <c r="QNN1" s="81"/>
      <c r="QNO1" s="81"/>
      <c r="QNP1" s="81"/>
      <c r="QNQ1" s="81"/>
      <c r="QNR1" s="81"/>
      <c r="QNS1" s="81"/>
      <c r="QNT1" s="81"/>
      <c r="QNU1" s="81"/>
      <c r="QNV1" s="81"/>
      <c r="QNW1" s="81"/>
      <c r="QNX1" s="81"/>
      <c r="QNY1" s="81"/>
      <c r="QNZ1" s="81"/>
      <c r="QOA1" s="81"/>
      <c r="QOB1" s="81"/>
      <c r="QOC1" s="81"/>
      <c r="QOD1" s="81"/>
      <c r="QOE1" s="81"/>
      <c r="QOF1" s="81"/>
      <c r="QOG1" s="81"/>
      <c r="QOH1" s="81"/>
      <c r="QOI1" s="81"/>
      <c r="QOJ1" s="81"/>
      <c r="QOK1" s="81"/>
      <c r="QOL1" s="81"/>
      <c r="QOM1" s="81"/>
      <c r="QON1" s="81"/>
      <c r="QOO1" s="81"/>
      <c r="QOP1" s="81"/>
      <c r="QOQ1" s="81"/>
      <c r="QOR1" s="81"/>
      <c r="QOS1" s="81"/>
      <c r="QOT1" s="81"/>
      <c r="QOU1" s="81"/>
      <c r="QOV1" s="81"/>
      <c r="QOW1" s="81"/>
      <c r="QOX1" s="81"/>
      <c r="QOY1" s="81"/>
      <c r="QOZ1" s="81"/>
      <c r="QPA1" s="81"/>
      <c r="QPB1" s="81"/>
      <c r="QPC1" s="81"/>
      <c r="QPD1" s="81"/>
      <c r="QPE1" s="81"/>
      <c r="QPF1" s="81"/>
      <c r="QPG1" s="81"/>
      <c r="QPH1" s="81"/>
      <c r="QPI1" s="81"/>
      <c r="QPJ1" s="81"/>
      <c r="QPK1" s="81"/>
      <c r="QPL1" s="81"/>
      <c r="QPM1" s="81"/>
      <c r="QPN1" s="81"/>
      <c r="QPO1" s="81"/>
      <c r="QPP1" s="81"/>
      <c r="QPQ1" s="81"/>
      <c r="QPR1" s="81"/>
      <c r="QPS1" s="81"/>
      <c r="QPT1" s="81"/>
      <c r="QPU1" s="81"/>
      <c r="QPV1" s="81"/>
      <c r="QPW1" s="81"/>
      <c r="QPX1" s="81"/>
      <c r="QPY1" s="81"/>
      <c r="QPZ1" s="81"/>
      <c r="QQA1" s="81"/>
      <c r="QQB1" s="81"/>
      <c r="QQC1" s="81"/>
      <c r="QQD1" s="81"/>
      <c r="QQE1" s="81"/>
      <c r="QQF1" s="81"/>
      <c r="QQG1" s="81"/>
      <c r="QQH1" s="81"/>
      <c r="QQI1" s="81"/>
      <c r="QQJ1" s="81"/>
      <c r="QQK1" s="81"/>
      <c r="QQL1" s="81"/>
      <c r="QQM1" s="81"/>
      <c r="QQN1" s="81"/>
      <c r="QQO1" s="81"/>
      <c r="QQP1" s="81"/>
      <c r="QQQ1" s="81"/>
      <c r="QQR1" s="81"/>
      <c r="QQS1" s="81"/>
      <c r="QQT1" s="81"/>
      <c r="QQU1" s="81"/>
      <c r="QQV1" s="81"/>
      <c r="QQW1" s="81"/>
      <c r="QQX1" s="81"/>
      <c r="QQY1" s="81"/>
      <c r="QQZ1" s="81"/>
      <c r="QRA1" s="81"/>
      <c r="QRB1" s="81"/>
      <c r="QRC1" s="81"/>
      <c r="QRD1" s="81"/>
      <c r="QRE1" s="81"/>
      <c r="QRF1" s="81"/>
      <c r="QRG1" s="81"/>
      <c r="QRH1" s="81"/>
      <c r="QRI1" s="81"/>
      <c r="QRJ1" s="81"/>
      <c r="QRK1" s="81"/>
      <c r="QRL1" s="81"/>
      <c r="QRM1" s="81"/>
      <c r="QRN1" s="81"/>
      <c r="QRO1" s="81"/>
      <c r="QRP1" s="81"/>
      <c r="QRQ1" s="81"/>
      <c r="QRR1" s="81"/>
      <c r="QRS1" s="81"/>
      <c r="QRT1" s="81"/>
      <c r="QRU1" s="81"/>
      <c r="QRV1" s="81"/>
      <c r="QRW1" s="81"/>
      <c r="QRX1" s="81"/>
      <c r="QRY1" s="81"/>
      <c r="QRZ1" s="81"/>
      <c r="QSA1" s="81"/>
      <c r="QSB1" s="81"/>
      <c r="QSC1" s="81"/>
      <c r="QSD1" s="81"/>
      <c r="QSE1" s="81"/>
      <c r="QSF1" s="81"/>
      <c r="QSG1" s="81"/>
      <c r="QSH1" s="81"/>
      <c r="QSI1" s="81"/>
      <c r="QSJ1" s="81"/>
      <c r="QSK1" s="81"/>
      <c r="QSL1" s="81"/>
      <c r="QSM1" s="81"/>
      <c r="QSN1" s="81"/>
      <c r="QSO1" s="81"/>
      <c r="QSP1" s="81"/>
      <c r="QSQ1" s="81"/>
      <c r="QSR1" s="81"/>
      <c r="QSS1" s="81"/>
      <c r="QST1" s="81"/>
      <c r="QSU1" s="81"/>
      <c r="QSV1" s="81"/>
      <c r="QSW1" s="81"/>
      <c r="QSX1" s="81"/>
      <c r="QSY1" s="81"/>
      <c r="QSZ1" s="81"/>
      <c r="QTA1" s="81"/>
      <c r="QTB1" s="81"/>
      <c r="QTC1" s="81"/>
      <c r="QTD1" s="81"/>
      <c r="QTE1" s="81"/>
      <c r="QTF1" s="81"/>
      <c r="QTG1" s="81"/>
      <c r="QTH1" s="81"/>
      <c r="QTI1" s="81"/>
      <c r="QTJ1" s="81"/>
      <c r="QTK1" s="81"/>
      <c r="QTL1" s="81"/>
      <c r="QTM1" s="81"/>
      <c r="QTN1" s="81"/>
      <c r="QTO1" s="81"/>
      <c r="QTP1" s="81"/>
      <c r="QTQ1" s="81"/>
      <c r="QTR1" s="81"/>
      <c r="QTS1" s="81"/>
      <c r="QTT1" s="81"/>
      <c r="QTU1" s="81"/>
      <c r="QTV1" s="81"/>
      <c r="QTW1" s="81"/>
      <c r="QTX1" s="81"/>
      <c r="QTY1" s="81"/>
      <c r="QTZ1" s="81"/>
      <c r="QUA1" s="81"/>
      <c r="QUB1" s="81"/>
      <c r="QUC1" s="81"/>
      <c r="QUD1" s="81"/>
      <c r="QUE1" s="81"/>
      <c r="QUF1" s="81"/>
      <c r="QUG1" s="81"/>
      <c r="QUH1" s="81"/>
      <c r="QUI1" s="81"/>
      <c r="QUJ1" s="81"/>
      <c r="QUK1" s="81"/>
      <c r="QUL1" s="81"/>
      <c r="QUM1" s="81"/>
      <c r="QUN1" s="81"/>
      <c r="QUO1" s="81"/>
      <c r="QUP1" s="81"/>
      <c r="QUQ1" s="81"/>
      <c r="QUR1" s="81"/>
      <c r="QUS1" s="81"/>
      <c r="QUT1" s="81"/>
      <c r="QUU1" s="81"/>
      <c r="QUV1" s="81"/>
      <c r="QUW1" s="81"/>
      <c r="QUX1" s="81"/>
      <c r="QUY1" s="81"/>
      <c r="QUZ1" s="81"/>
      <c r="QVA1" s="81"/>
      <c r="QVB1" s="81"/>
      <c r="QVC1" s="81"/>
      <c r="QVD1" s="81"/>
      <c r="QVE1" s="81"/>
      <c r="QVF1" s="81"/>
      <c r="QVG1" s="81"/>
      <c r="QVH1" s="81"/>
      <c r="QVI1" s="81"/>
      <c r="QVJ1" s="81"/>
      <c r="QVK1" s="81"/>
      <c r="QVL1" s="81"/>
      <c r="QVM1" s="81"/>
      <c r="QVN1" s="81"/>
      <c r="QVO1" s="81"/>
      <c r="QVP1" s="81"/>
      <c r="QVQ1" s="81"/>
      <c r="QVR1" s="81"/>
      <c r="QVS1" s="81"/>
      <c r="QVT1" s="81"/>
      <c r="QVU1" s="81"/>
      <c r="QVV1" s="81"/>
      <c r="QVW1" s="81"/>
      <c r="QVX1" s="81"/>
      <c r="QVY1" s="81"/>
      <c r="QVZ1" s="81"/>
      <c r="QWA1" s="81"/>
      <c r="QWB1" s="81"/>
      <c r="QWC1" s="81"/>
      <c r="QWD1" s="81"/>
      <c r="QWE1" s="81"/>
      <c r="QWF1" s="81"/>
      <c r="QWG1" s="81"/>
      <c r="QWH1" s="81"/>
      <c r="QWI1" s="81"/>
      <c r="QWJ1" s="81"/>
      <c r="QWK1" s="81"/>
      <c r="QWL1" s="81"/>
      <c r="QWM1" s="81"/>
      <c r="QWN1" s="81"/>
      <c r="QWO1" s="81"/>
      <c r="QWP1" s="81"/>
      <c r="QWQ1" s="81"/>
      <c r="QWR1" s="81"/>
      <c r="QWS1" s="81"/>
      <c r="QWT1" s="81"/>
      <c r="QWU1" s="81"/>
      <c r="QWV1" s="81"/>
      <c r="QWW1" s="81"/>
      <c r="QWX1" s="81"/>
      <c r="QWY1" s="81"/>
      <c r="QWZ1" s="81"/>
      <c r="QXA1" s="81"/>
      <c r="QXB1" s="81"/>
      <c r="QXC1" s="81"/>
      <c r="QXD1" s="81"/>
      <c r="QXE1" s="81"/>
      <c r="QXF1" s="81"/>
      <c r="QXG1" s="81"/>
      <c r="QXH1" s="81"/>
      <c r="QXI1" s="81"/>
      <c r="QXJ1" s="81"/>
      <c r="QXK1" s="81"/>
      <c r="QXL1" s="81"/>
      <c r="QXM1" s="81"/>
      <c r="QXN1" s="81"/>
      <c r="QXO1" s="81"/>
      <c r="QXP1" s="81"/>
      <c r="QXQ1" s="81"/>
      <c r="QXR1" s="81"/>
      <c r="QXS1" s="81"/>
      <c r="QXT1" s="81"/>
      <c r="QXU1" s="81"/>
      <c r="QXV1" s="81"/>
      <c r="QXW1" s="81"/>
      <c r="QXX1" s="81"/>
      <c r="QXY1" s="81"/>
      <c r="QXZ1" s="81"/>
      <c r="QYA1" s="81"/>
      <c r="QYB1" s="81"/>
      <c r="QYC1" s="81"/>
      <c r="QYD1" s="81"/>
      <c r="QYE1" s="81"/>
      <c r="QYF1" s="81"/>
      <c r="QYG1" s="81"/>
      <c r="QYH1" s="81"/>
      <c r="QYI1" s="81"/>
      <c r="QYJ1" s="81"/>
      <c r="QYK1" s="81"/>
      <c r="QYL1" s="81"/>
      <c r="QYM1" s="81"/>
      <c r="QYN1" s="81"/>
      <c r="QYO1" s="81"/>
      <c r="QYP1" s="81"/>
      <c r="QYQ1" s="81"/>
      <c r="QYR1" s="81"/>
      <c r="QYS1" s="81"/>
      <c r="QYT1" s="81"/>
      <c r="QYU1" s="81"/>
      <c r="QYV1" s="81"/>
      <c r="QYW1" s="81"/>
      <c r="QYX1" s="81"/>
      <c r="QYY1" s="81"/>
      <c r="QYZ1" s="81"/>
      <c r="QZA1" s="81"/>
      <c r="QZB1" s="81"/>
      <c r="QZC1" s="81"/>
      <c r="QZD1" s="81"/>
      <c r="QZE1" s="81"/>
      <c r="QZF1" s="81"/>
      <c r="QZG1" s="81"/>
      <c r="QZH1" s="81"/>
      <c r="QZI1" s="81"/>
      <c r="QZJ1" s="81"/>
      <c r="QZK1" s="81"/>
      <c r="QZL1" s="81"/>
      <c r="QZM1" s="81"/>
      <c r="QZN1" s="81"/>
      <c r="QZO1" s="81"/>
      <c r="QZP1" s="81"/>
      <c r="QZQ1" s="81"/>
      <c r="QZR1" s="81"/>
      <c r="QZS1" s="81"/>
      <c r="QZT1" s="81"/>
      <c r="QZU1" s="81"/>
      <c r="QZV1" s="81"/>
      <c r="QZW1" s="81"/>
      <c r="QZX1" s="81"/>
      <c r="QZY1" s="81"/>
      <c r="QZZ1" s="81"/>
      <c r="RAA1" s="81"/>
      <c r="RAB1" s="81"/>
      <c r="RAC1" s="81"/>
      <c r="RAD1" s="81"/>
      <c r="RAE1" s="81"/>
      <c r="RAF1" s="81"/>
      <c r="RAG1" s="81"/>
      <c r="RAH1" s="81"/>
      <c r="RAI1" s="81"/>
      <c r="RAJ1" s="81"/>
      <c r="RAK1" s="81"/>
      <c r="RAL1" s="81"/>
      <c r="RAM1" s="81"/>
      <c r="RAN1" s="81"/>
      <c r="RAO1" s="81"/>
      <c r="RAP1" s="81"/>
      <c r="RAQ1" s="81"/>
      <c r="RAR1" s="81"/>
      <c r="RAS1" s="81"/>
      <c r="RAT1" s="81"/>
      <c r="RAU1" s="81"/>
      <c r="RAV1" s="81"/>
      <c r="RAW1" s="81"/>
      <c r="RAX1" s="81"/>
      <c r="RAY1" s="81"/>
      <c r="RAZ1" s="81"/>
      <c r="RBA1" s="81"/>
      <c r="RBB1" s="81"/>
      <c r="RBC1" s="81"/>
      <c r="RBD1" s="81"/>
      <c r="RBE1" s="81"/>
      <c r="RBF1" s="81"/>
      <c r="RBG1" s="81"/>
      <c r="RBH1" s="81"/>
      <c r="RBI1" s="81"/>
      <c r="RBJ1" s="81"/>
      <c r="RBK1" s="81"/>
      <c r="RBL1" s="81"/>
      <c r="RBM1" s="81"/>
      <c r="RBN1" s="81"/>
      <c r="RBO1" s="81"/>
      <c r="RBP1" s="81"/>
      <c r="RBQ1" s="81"/>
      <c r="RBR1" s="81"/>
      <c r="RBS1" s="81"/>
      <c r="RBT1" s="81"/>
      <c r="RBU1" s="81"/>
      <c r="RBV1" s="81"/>
      <c r="RBW1" s="81"/>
      <c r="RBX1" s="81"/>
      <c r="RBY1" s="81"/>
      <c r="RBZ1" s="81"/>
      <c r="RCA1" s="81"/>
      <c r="RCB1" s="81"/>
      <c r="RCC1" s="81"/>
      <c r="RCD1" s="81"/>
      <c r="RCE1" s="81"/>
      <c r="RCF1" s="81"/>
      <c r="RCG1" s="81"/>
      <c r="RCH1" s="81"/>
      <c r="RCI1" s="81"/>
      <c r="RCJ1" s="81"/>
      <c r="RCK1" s="81"/>
      <c r="RCL1" s="81"/>
      <c r="RCM1" s="81"/>
      <c r="RCN1" s="81"/>
      <c r="RCO1" s="81"/>
      <c r="RCP1" s="81"/>
      <c r="RCQ1" s="81"/>
      <c r="RCR1" s="81"/>
      <c r="RCS1" s="81"/>
      <c r="RCT1" s="81"/>
      <c r="RCU1" s="81"/>
      <c r="RCV1" s="81"/>
      <c r="RCW1" s="81"/>
      <c r="RCX1" s="81"/>
      <c r="RCY1" s="81"/>
      <c r="RCZ1" s="81"/>
      <c r="RDA1" s="81"/>
      <c r="RDB1" s="81"/>
      <c r="RDC1" s="81"/>
      <c r="RDD1" s="81"/>
      <c r="RDE1" s="81"/>
      <c r="RDF1" s="81"/>
      <c r="RDG1" s="81"/>
      <c r="RDH1" s="81"/>
      <c r="RDI1" s="81"/>
      <c r="RDJ1" s="81"/>
      <c r="RDK1" s="81"/>
      <c r="RDL1" s="81"/>
      <c r="RDM1" s="81"/>
      <c r="RDN1" s="81"/>
      <c r="RDO1" s="81"/>
      <c r="RDP1" s="81"/>
      <c r="RDQ1" s="81"/>
      <c r="RDR1" s="81"/>
      <c r="RDS1" s="81"/>
      <c r="RDT1" s="81"/>
      <c r="RDU1" s="81"/>
      <c r="RDV1" s="81"/>
      <c r="RDW1" s="81"/>
      <c r="RDX1" s="81"/>
      <c r="RDY1" s="81"/>
      <c r="RDZ1" s="81"/>
      <c r="REA1" s="81"/>
      <c r="REB1" s="81"/>
      <c r="REC1" s="81"/>
      <c r="RED1" s="81"/>
      <c r="REE1" s="81"/>
      <c r="REF1" s="81"/>
      <c r="REG1" s="81"/>
      <c r="REH1" s="81"/>
      <c r="REI1" s="81"/>
      <c r="REJ1" s="81"/>
      <c r="REK1" s="81"/>
      <c r="REL1" s="81"/>
      <c r="REM1" s="81"/>
      <c r="REN1" s="81"/>
      <c r="REO1" s="81"/>
      <c r="REP1" s="81"/>
      <c r="REQ1" s="81"/>
      <c r="RER1" s="81"/>
      <c r="RES1" s="81"/>
      <c r="RET1" s="81"/>
      <c r="REU1" s="81"/>
      <c r="REV1" s="81"/>
      <c r="REW1" s="81"/>
      <c r="REX1" s="81"/>
      <c r="REY1" s="81"/>
      <c r="REZ1" s="81"/>
      <c r="RFA1" s="81"/>
      <c r="RFB1" s="81"/>
      <c r="RFC1" s="81"/>
      <c r="RFD1" s="81"/>
      <c r="RFE1" s="81"/>
      <c r="RFF1" s="81"/>
      <c r="RFG1" s="81"/>
      <c r="RFH1" s="81"/>
      <c r="RFI1" s="81"/>
      <c r="RFJ1" s="81"/>
      <c r="RFK1" s="81"/>
      <c r="RFL1" s="81"/>
      <c r="RFM1" s="81"/>
      <c r="RFN1" s="81"/>
      <c r="RFO1" s="81"/>
      <c r="RFP1" s="81"/>
      <c r="RFQ1" s="81"/>
      <c r="RFR1" s="81"/>
      <c r="RFS1" s="81"/>
      <c r="RFT1" s="81"/>
      <c r="RFU1" s="81"/>
      <c r="RFV1" s="81"/>
      <c r="RFW1" s="81"/>
      <c r="RFX1" s="81"/>
      <c r="RFY1" s="81"/>
      <c r="RFZ1" s="81"/>
      <c r="RGA1" s="81"/>
      <c r="RGB1" s="81"/>
      <c r="RGC1" s="81"/>
      <c r="RGD1" s="81"/>
      <c r="RGE1" s="81"/>
      <c r="RGF1" s="81"/>
      <c r="RGG1" s="81"/>
      <c r="RGH1" s="81"/>
      <c r="RGI1" s="81"/>
      <c r="RGJ1" s="81"/>
      <c r="RGK1" s="81"/>
      <c r="RGL1" s="81"/>
      <c r="RGM1" s="81"/>
      <c r="RGN1" s="81"/>
      <c r="RGO1" s="81"/>
      <c r="RGP1" s="81"/>
      <c r="RGQ1" s="81"/>
      <c r="RGR1" s="81"/>
      <c r="RGS1" s="81"/>
      <c r="RGT1" s="81"/>
      <c r="RGU1" s="81"/>
      <c r="RGV1" s="81"/>
      <c r="RGW1" s="81"/>
      <c r="RGX1" s="81"/>
      <c r="RGY1" s="81"/>
      <c r="RGZ1" s="81"/>
      <c r="RHA1" s="81"/>
      <c r="RHB1" s="81"/>
      <c r="RHC1" s="81"/>
      <c r="RHD1" s="81"/>
      <c r="RHE1" s="81"/>
      <c r="RHF1" s="81"/>
      <c r="RHG1" s="81"/>
      <c r="RHH1" s="81"/>
      <c r="RHI1" s="81"/>
      <c r="RHJ1" s="81"/>
      <c r="RHK1" s="81"/>
      <c r="RHL1" s="81"/>
      <c r="RHM1" s="81"/>
      <c r="RHN1" s="81"/>
      <c r="RHO1" s="81"/>
      <c r="RHP1" s="81"/>
      <c r="RHQ1" s="81"/>
      <c r="RHR1" s="81"/>
      <c r="RHS1" s="81"/>
      <c r="RHT1" s="81"/>
      <c r="RHU1" s="81"/>
      <c r="RHV1" s="81"/>
      <c r="RHW1" s="81"/>
      <c r="RHX1" s="81"/>
      <c r="RHY1" s="81"/>
      <c r="RHZ1" s="81"/>
      <c r="RIA1" s="81"/>
      <c r="RIB1" s="81"/>
      <c r="RIC1" s="81"/>
      <c r="RID1" s="81"/>
      <c r="RIE1" s="81"/>
      <c r="RIF1" s="81"/>
      <c r="RIG1" s="81"/>
      <c r="RIH1" s="81"/>
      <c r="RII1" s="81"/>
      <c r="RIJ1" s="81"/>
      <c r="RIK1" s="81"/>
      <c r="RIL1" s="81"/>
      <c r="RIM1" s="81"/>
      <c r="RIN1" s="81"/>
      <c r="RIO1" s="81"/>
      <c r="RIP1" s="81"/>
      <c r="RIQ1" s="81"/>
      <c r="RIR1" s="81"/>
      <c r="RIS1" s="81"/>
      <c r="RIT1" s="81"/>
      <c r="RIU1" s="81"/>
      <c r="RIV1" s="81"/>
      <c r="RIW1" s="81"/>
      <c r="RIX1" s="81"/>
      <c r="RIY1" s="81"/>
      <c r="RIZ1" s="81"/>
      <c r="RJA1" s="81"/>
      <c r="RJB1" s="81"/>
      <c r="RJC1" s="81"/>
      <c r="RJD1" s="81"/>
      <c r="RJE1" s="81"/>
      <c r="RJF1" s="81"/>
      <c r="RJG1" s="81"/>
      <c r="RJH1" s="81"/>
      <c r="RJI1" s="81"/>
      <c r="RJJ1" s="81"/>
      <c r="RJK1" s="81"/>
      <c r="RJL1" s="81"/>
      <c r="RJM1" s="81"/>
      <c r="RJN1" s="81"/>
      <c r="RJO1" s="81"/>
      <c r="RJP1" s="81"/>
      <c r="RJQ1" s="81"/>
      <c r="RJR1" s="81"/>
      <c r="RJS1" s="81"/>
      <c r="RJT1" s="81"/>
      <c r="RJU1" s="81"/>
      <c r="RJV1" s="81"/>
      <c r="RJW1" s="81"/>
      <c r="RJX1" s="81"/>
      <c r="RJY1" s="81"/>
      <c r="RJZ1" s="81"/>
      <c r="RKA1" s="81"/>
      <c r="RKB1" s="81"/>
      <c r="RKC1" s="81"/>
      <c r="RKD1" s="81"/>
      <c r="RKE1" s="81"/>
      <c r="RKF1" s="81"/>
      <c r="RKG1" s="81"/>
      <c r="RKH1" s="81"/>
      <c r="RKI1" s="81"/>
      <c r="RKJ1" s="81"/>
      <c r="RKK1" s="81"/>
      <c r="RKL1" s="81"/>
      <c r="RKM1" s="81"/>
      <c r="RKN1" s="81"/>
      <c r="RKO1" s="81"/>
      <c r="RKP1" s="81"/>
      <c r="RKQ1" s="81"/>
      <c r="RKR1" s="81"/>
      <c r="RKS1" s="81"/>
      <c r="RKT1" s="81"/>
      <c r="RKU1" s="81"/>
      <c r="RKV1" s="81"/>
      <c r="RKW1" s="81"/>
      <c r="RKX1" s="81"/>
      <c r="RKY1" s="81"/>
      <c r="RKZ1" s="81"/>
      <c r="RLA1" s="81"/>
      <c r="RLB1" s="81"/>
      <c r="RLC1" s="81"/>
      <c r="RLD1" s="81"/>
      <c r="RLE1" s="81"/>
      <c r="RLF1" s="81"/>
      <c r="RLG1" s="81"/>
      <c r="RLH1" s="81"/>
      <c r="RLI1" s="81"/>
      <c r="RLJ1" s="81"/>
      <c r="RLK1" s="81"/>
      <c r="RLL1" s="81"/>
      <c r="RLM1" s="81"/>
      <c r="RLN1" s="81"/>
      <c r="RLO1" s="81"/>
      <c r="RLP1" s="81"/>
      <c r="RLQ1" s="81"/>
      <c r="RLR1" s="81"/>
      <c r="RLS1" s="81"/>
      <c r="RLT1" s="81"/>
      <c r="RLU1" s="81"/>
      <c r="RLV1" s="81"/>
      <c r="RLW1" s="81"/>
      <c r="RLX1" s="81"/>
      <c r="RLY1" s="81"/>
      <c r="RLZ1" s="81"/>
      <c r="RMA1" s="81"/>
      <c r="RMB1" s="81"/>
      <c r="RMC1" s="81"/>
      <c r="RMD1" s="81"/>
      <c r="RME1" s="81"/>
      <c r="RMF1" s="81"/>
      <c r="RMG1" s="81"/>
      <c r="RMH1" s="81"/>
      <c r="RMI1" s="81"/>
      <c r="RMJ1" s="81"/>
      <c r="RMK1" s="81"/>
      <c r="RML1" s="81"/>
      <c r="RMM1" s="81"/>
      <c r="RMN1" s="81"/>
      <c r="RMO1" s="81"/>
      <c r="RMP1" s="81"/>
      <c r="RMQ1" s="81"/>
      <c r="RMR1" s="81"/>
      <c r="RMS1" s="81"/>
      <c r="RMT1" s="81"/>
      <c r="RMU1" s="81"/>
      <c r="RMV1" s="81"/>
      <c r="RMW1" s="81"/>
      <c r="RMX1" s="81"/>
      <c r="RMY1" s="81"/>
      <c r="RMZ1" s="81"/>
      <c r="RNA1" s="81"/>
      <c r="RNB1" s="81"/>
      <c r="RNC1" s="81"/>
      <c r="RND1" s="81"/>
      <c r="RNE1" s="81"/>
      <c r="RNF1" s="81"/>
      <c r="RNG1" s="81"/>
      <c r="RNH1" s="81"/>
      <c r="RNI1" s="81"/>
      <c r="RNJ1" s="81"/>
      <c r="RNK1" s="81"/>
      <c r="RNL1" s="81"/>
      <c r="RNM1" s="81"/>
      <c r="RNN1" s="81"/>
      <c r="RNO1" s="81"/>
      <c r="RNP1" s="81"/>
      <c r="RNQ1" s="81"/>
      <c r="RNR1" s="81"/>
      <c r="RNS1" s="81"/>
      <c r="RNT1" s="81"/>
      <c r="RNU1" s="81"/>
      <c r="RNV1" s="81"/>
      <c r="RNW1" s="81"/>
      <c r="RNX1" s="81"/>
      <c r="RNY1" s="81"/>
      <c r="RNZ1" s="81"/>
      <c r="ROA1" s="81"/>
      <c r="ROB1" s="81"/>
      <c r="ROC1" s="81"/>
      <c r="ROD1" s="81"/>
      <c r="ROE1" s="81"/>
      <c r="ROF1" s="81"/>
      <c r="ROG1" s="81"/>
      <c r="ROH1" s="81"/>
      <c r="ROI1" s="81"/>
      <c r="ROJ1" s="81"/>
      <c r="ROK1" s="81"/>
      <c r="ROL1" s="81"/>
      <c r="ROM1" s="81"/>
      <c r="RON1" s="81"/>
      <c r="ROO1" s="81"/>
      <c r="ROP1" s="81"/>
      <c r="ROQ1" s="81"/>
      <c r="ROR1" s="81"/>
      <c r="ROS1" s="81"/>
      <c r="ROT1" s="81"/>
      <c r="ROU1" s="81"/>
      <c r="ROV1" s="81"/>
      <c r="ROW1" s="81"/>
      <c r="ROX1" s="81"/>
      <c r="ROY1" s="81"/>
      <c r="ROZ1" s="81"/>
      <c r="RPA1" s="81"/>
      <c r="RPB1" s="81"/>
      <c r="RPC1" s="81"/>
      <c r="RPD1" s="81"/>
      <c r="RPE1" s="81"/>
      <c r="RPF1" s="81"/>
      <c r="RPG1" s="81"/>
      <c r="RPH1" s="81"/>
      <c r="RPI1" s="81"/>
      <c r="RPJ1" s="81"/>
      <c r="RPK1" s="81"/>
      <c r="RPL1" s="81"/>
      <c r="RPM1" s="81"/>
      <c r="RPN1" s="81"/>
      <c r="RPO1" s="81"/>
      <c r="RPP1" s="81"/>
      <c r="RPQ1" s="81"/>
      <c r="RPR1" s="81"/>
      <c r="RPS1" s="81"/>
      <c r="RPT1" s="81"/>
      <c r="RPU1" s="81"/>
      <c r="RPV1" s="81"/>
      <c r="RPW1" s="81"/>
      <c r="RPX1" s="81"/>
      <c r="RPY1" s="81"/>
      <c r="RPZ1" s="81"/>
      <c r="RQA1" s="81"/>
      <c r="RQB1" s="81"/>
      <c r="RQC1" s="81"/>
      <c r="RQD1" s="81"/>
      <c r="RQE1" s="81"/>
      <c r="RQF1" s="81"/>
      <c r="RQG1" s="81"/>
      <c r="RQH1" s="81"/>
      <c r="RQI1" s="81"/>
      <c r="RQJ1" s="81"/>
      <c r="RQK1" s="81"/>
      <c r="RQL1" s="81"/>
      <c r="RQM1" s="81"/>
      <c r="RQN1" s="81"/>
      <c r="RQO1" s="81"/>
      <c r="RQP1" s="81"/>
      <c r="RQQ1" s="81"/>
      <c r="RQR1" s="81"/>
      <c r="RQS1" s="81"/>
      <c r="RQT1" s="81"/>
      <c r="RQU1" s="81"/>
      <c r="RQV1" s="81"/>
      <c r="RQW1" s="81"/>
      <c r="RQX1" s="81"/>
      <c r="RQY1" s="81"/>
      <c r="RQZ1" s="81"/>
      <c r="RRA1" s="81"/>
      <c r="RRB1" s="81"/>
      <c r="RRC1" s="81"/>
      <c r="RRD1" s="81"/>
      <c r="RRE1" s="81"/>
      <c r="RRF1" s="81"/>
      <c r="RRG1" s="81"/>
      <c r="RRH1" s="81"/>
      <c r="RRI1" s="81"/>
      <c r="RRJ1" s="81"/>
      <c r="RRK1" s="81"/>
      <c r="RRL1" s="81"/>
      <c r="RRM1" s="81"/>
      <c r="RRN1" s="81"/>
      <c r="RRO1" s="81"/>
      <c r="RRP1" s="81"/>
      <c r="RRQ1" s="81"/>
      <c r="RRR1" s="81"/>
      <c r="RRS1" s="81"/>
      <c r="RRT1" s="81"/>
      <c r="RRU1" s="81"/>
      <c r="RRV1" s="81"/>
      <c r="RRW1" s="81"/>
      <c r="RRX1" s="81"/>
      <c r="RRY1" s="81"/>
      <c r="RRZ1" s="81"/>
      <c r="RSA1" s="81"/>
      <c r="RSB1" s="81"/>
      <c r="RSC1" s="81"/>
      <c r="RSD1" s="81"/>
      <c r="RSE1" s="81"/>
      <c r="RSF1" s="81"/>
      <c r="RSG1" s="81"/>
      <c r="RSH1" s="81"/>
      <c r="RSI1" s="81"/>
      <c r="RSJ1" s="81"/>
      <c r="RSK1" s="81"/>
      <c r="RSL1" s="81"/>
      <c r="RSM1" s="81"/>
      <c r="RSN1" s="81"/>
      <c r="RSO1" s="81"/>
      <c r="RSP1" s="81"/>
      <c r="RSQ1" s="81"/>
      <c r="RSR1" s="81"/>
      <c r="RSS1" s="81"/>
      <c r="RST1" s="81"/>
      <c r="RSU1" s="81"/>
      <c r="RSV1" s="81"/>
      <c r="RSW1" s="81"/>
      <c r="RSX1" s="81"/>
      <c r="RSY1" s="81"/>
      <c r="RSZ1" s="81"/>
      <c r="RTA1" s="81"/>
      <c r="RTB1" s="81"/>
      <c r="RTC1" s="81"/>
      <c r="RTD1" s="81"/>
      <c r="RTE1" s="81"/>
      <c r="RTF1" s="81"/>
      <c r="RTG1" s="81"/>
      <c r="RTH1" s="81"/>
      <c r="RTI1" s="81"/>
      <c r="RTJ1" s="81"/>
      <c r="RTK1" s="81"/>
      <c r="RTL1" s="81"/>
      <c r="RTM1" s="81"/>
      <c r="RTN1" s="81"/>
      <c r="RTO1" s="81"/>
      <c r="RTP1" s="81"/>
      <c r="RTQ1" s="81"/>
      <c r="RTR1" s="81"/>
      <c r="RTS1" s="81"/>
      <c r="RTT1" s="81"/>
      <c r="RTU1" s="81"/>
      <c r="RTV1" s="81"/>
      <c r="RTW1" s="81"/>
      <c r="RTX1" s="81"/>
      <c r="RTY1" s="81"/>
      <c r="RTZ1" s="81"/>
      <c r="RUA1" s="81"/>
      <c r="RUB1" s="81"/>
      <c r="RUC1" s="81"/>
      <c r="RUD1" s="81"/>
      <c r="RUE1" s="81"/>
      <c r="RUF1" s="81"/>
      <c r="RUG1" s="81"/>
      <c r="RUH1" s="81"/>
      <c r="RUI1" s="81"/>
      <c r="RUJ1" s="81"/>
      <c r="RUK1" s="81"/>
      <c r="RUL1" s="81"/>
      <c r="RUM1" s="81"/>
      <c r="RUN1" s="81"/>
      <c r="RUO1" s="81"/>
      <c r="RUP1" s="81"/>
      <c r="RUQ1" s="81"/>
      <c r="RUR1" s="81"/>
      <c r="RUS1" s="81"/>
      <c r="RUT1" s="81"/>
      <c r="RUU1" s="81"/>
      <c r="RUV1" s="81"/>
      <c r="RUW1" s="81"/>
      <c r="RUX1" s="81"/>
      <c r="RUY1" s="81"/>
      <c r="RUZ1" s="81"/>
      <c r="RVA1" s="81"/>
      <c r="RVB1" s="81"/>
      <c r="RVC1" s="81"/>
      <c r="RVD1" s="81"/>
      <c r="RVE1" s="81"/>
      <c r="RVF1" s="81"/>
      <c r="RVG1" s="81"/>
      <c r="RVH1" s="81"/>
      <c r="RVI1" s="81"/>
      <c r="RVJ1" s="81"/>
      <c r="RVK1" s="81"/>
      <c r="RVL1" s="81"/>
      <c r="RVM1" s="81"/>
      <c r="RVN1" s="81"/>
      <c r="RVO1" s="81"/>
      <c r="RVP1" s="81"/>
      <c r="RVQ1" s="81"/>
      <c r="RVR1" s="81"/>
      <c r="RVS1" s="81"/>
      <c r="RVT1" s="81"/>
      <c r="RVU1" s="81"/>
      <c r="RVV1" s="81"/>
      <c r="RVW1" s="81"/>
      <c r="RVX1" s="81"/>
      <c r="RVY1" s="81"/>
      <c r="RVZ1" s="81"/>
      <c r="RWA1" s="81"/>
      <c r="RWB1" s="81"/>
      <c r="RWC1" s="81"/>
      <c r="RWD1" s="81"/>
      <c r="RWE1" s="81"/>
      <c r="RWF1" s="81"/>
      <c r="RWG1" s="81"/>
      <c r="RWH1" s="81"/>
      <c r="RWI1" s="81"/>
      <c r="RWJ1" s="81"/>
      <c r="RWK1" s="81"/>
      <c r="RWL1" s="81"/>
      <c r="RWM1" s="81"/>
      <c r="RWN1" s="81"/>
      <c r="RWO1" s="81"/>
      <c r="RWP1" s="81"/>
      <c r="RWQ1" s="81"/>
      <c r="RWR1" s="81"/>
      <c r="RWS1" s="81"/>
      <c r="RWT1" s="81"/>
      <c r="RWU1" s="81"/>
      <c r="RWV1" s="81"/>
      <c r="RWW1" s="81"/>
      <c r="RWX1" s="81"/>
      <c r="RWY1" s="81"/>
      <c r="RWZ1" s="81"/>
      <c r="RXA1" s="81"/>
      <c r="RXB1" s="81"/>
      <c r="RXC1" s="81"/>
      <c r="RXD1" s="81"/>
      <c r="RXE1" s="81"/>
      <c r="RXF1" s="81"/>
      <c r="RXG1" s="81"/>
      <c r="RXH1" s="81"/>
      <c r="RXI1" s="81"/>
      <c r="RXJ1" s="81"/>
      <c r="RXK1" s="81"/>
      <c r="RXL1" s="81"/>
      <c r="RXM1" s="81"/>
      <c r="RXN1" s="81"/>
      <c r="RXO1" s="81"/>
      <c r="RXP1" s="81"/>
      <c r="RXQ1" s="81"/>
      <c r="RXR1" s="81"/>
      <c r="RXS1" s="81"/>
      <c r="RXT1" s="81"/>
      <c r="RXU1" s="81"/>
      <c r="RXV1" s="81"/>
      <c r="RXW1" s="81"/>
      <c r="RXX1" s="81"/>
      <c r="RXY1" s="81"/>
      <c r="RXZ1" s="81"/>
      <c r="RYA1" s="81"/>
      <c r="RYB1" s="81"/>
      <c r="RYC1" s="81"/>
      <c r="RYD1" s="81"/>
      <c r="RYE1" s="81"/>
      <c r="RYF1" s="81"/>
      <c r="RYG1" s="81"/>
      <c r="RYH1" s="81"/>
      <c r="RYI1" s="81"/>
      <c r="RYJ1" s="81"/>
      <c r="RYK1" s="81"/>
      <c r="RYL1" s="81"/>
      <c r="RYM1" s="81"/>
      <c r="RYN1" s="81"/>
      <c r="RYO1" s="81"/>
      <c r="RYP1" s="81"/>
      <c r="RYQ1" s="81"/>
      <c r="RYR1" s="81"/>
      <c r="RYS1" s="81"/>
      <c r="RYT1" s="81"/>
      <c r="RYU1" s="81"/>
      <c r="RYV1" s="81"/>
      <c r="RYW1" s="81"/>
      <c r="RYX1" s="81"/>
      <c r="RYY1" s="81"/>
      <c r="RYZ1" s="81"/>
      <c r="RZA1" s="81"/>
      <c r="RZB1" s="81"/>
      <c r="RZC1" s="81"/>
      <c r="RZD1" s="81"/>
      <c r="RZE1" s="81"/>
      <c r="RZF1" s="81"/>
      <c r="RZG1" s="81"/>
      <c r="RZH1" s="81"/>
      <c r="RZI1" s="81"/>
      <c r="RZJ1" s="81"/>
      <c r="RZK1" s="81"/>
      <c r="RZL1" s="81"/>
      <c r="RZM1" s="81"/>
      <c r="RZN1" s="81"/>
      <c r="RZO1" s="81"/>
      <c r="RZP1" s="81"/>
      <c r="RZQ1" s="81"/>
      <c r="RZR1" s="81"/>
      <c r="RZS1" s="81"/>
      <c r="RZT1" s="81"/>
      <c r="RZU1" s="81"/>
      <c r="RZV1" s="81"/>
      <c r="RZW1" s="81"/>
      <c r="RZX1" s="81"/>
      <c r="RZY1" s="81"/>
      <c r="RZZ1" s="81"/>
      <c r="SAA1" s="81"/>
      <c r="SAB1" s="81"/>
      <c r="SAC1" s="81"/>
      <c r="SAD1" s="81"/>
      <c r="SAE1" s="81"/>
      <c r="SAF1" s="81"/>
      <c r="SAG1" s="81"/>
      <c r="SAH1" s="81"/>
      <c r="SAI1" s="81"/>
      <c r="SAJ1" s="81"/>
      <c r="SAK1" s="81"/>
      <c r="SAL1" s="81"/>
      <c r="SAM1" s="81"/>
      <c r="SAN1" s="81"/>
      <c r="SAO1" s="81"/>
      <c r="SAP1" s="81"/>
      <c r="SAQ1" s="81"/>
      <c r="SAR1" s="81"/>
      <c r="SAS1" s="81"/>
      <c r="SAT1" s="81"/>
      <c r="SAU1" s="81"/>
      <c r="SAV1" s="81"/>
      <c r="SAW1" s="81"/>
      <c r="SAX1" s="81"/>
      <c r="SAY1" s="81"/>
      <c r="SAZ1" s="81"/>
      <c r="SBA1" s="81"/>
      <c r="SBB1" s="81"/>
      <c r="SBC1" s="81"/>
      <c r="SBD1" s="81"/>
      <c r="SBE1" s="81"/>
      <c r="SBF1" s="81"/>
      <c r="SBG1" s="81"/>
      <c r="SBH1" s="81"/>
      <c r="SBI1" s="81"/>
      <c r="SBJ1" s="81"/>
      <c r="SBK1" s="81"/>
      <c r="SBL1" s="81"/>
      <c r="SBM1" s="81"/>
      <c r="SBN1" s="81"/>
      <c r="SBO1" s="81"/>
      <c r="SBP1" s="81"/>
      <c r="SBQ1" s="81"/>
      <c r="SBR1" s="81"/>
      <c r="SBS1" s="81"/>
      <c r="SBT1" s="81"/>
      <c r="SBU1" s="81"/>
      <c r="SBV1" s="81"/>
      <c r="SBW1" s="81"/>
      <c r="SBX1" s="81"/>
      <c r="SBY1" s="81"/>
      <c r="SBZ1" s="81"/>
      <c r="SCA1" s="81"/>
      <c r="SCB1" s="81"/>
      <c r="SCC1" s="81"/>
      <c r="SCD1" s="81"/>
      <c r="SCE1" s="81"/>
      <c r="SCF1" s="81"/>
      <c r="SCG1" s="81"/>
      <c r="SCH1" s="81"/>
      <c r="SCI1" s="81"/>
      <c r="SCJ1" s="81"/>
      <c r="SCK1" s="81"/>
      <c r="SCL1" s="81"/>
      <c r="SCM1" s="81"/>
      <c r="SCN1" s="81"/>
      <c r="SCO1" s="81"/>
      <c r="SCP1" s="81"/>
      <c r="SCQ1" s="81"/>
      <c r="SCR1" s="81"/>
      <c r="SCS1" s="81"/>
      <c r="SCT1" s="81"/>
      <c r="SCU1" s="81"/>
      <c r="SCV1" s="81"/>
      <c r="SCW1" s="81"/>
      <c r="SCX1" s="81"/>
      <c r="SCY1" s="81"/>
      <c r="SCZ1" s="81"/>
      <c r="SDA1" s="81"/>
      <c r="SDB1" s="81"/>
      <c r="SDC1" s="81"/>
      <c r="SDD1" s="81"/>
      <c r="SDE1" s="81"/>
      <c r="SDF1" s="81"/>
      <c r="SDG1" s="81"/>
      <c r="SDH1" s="81"/>
      <c r="SDI1" s="81"/>
      <c r="SDJ1" s="81"/>
      <c r="SDK1" s="81"/>
      <c r="SDL1" s="81"/>
      <c r="SDM1" s="81"/>
      <c r="SDN1" s="81"/>
      <c r="SDO1" s="81"/>
      <c r="SDP1" s="81"/>
      <c r="SDQ1" s="81"/>
      <c r="SDR1" s="81"/>
      <c r="SDS1" s="81"/>
      <c r="SDT1" s="81"/>
      <c r="SDU1" s="81"/>
      <c r="SDV1" s="81"/>
      <c r="SDW1" s="81"/>
      <c r="SDX1" s="81"/>
      <c r="SDY1" s="81"/>
      <c r="SDZ1" s="81"/>
      <c r="SEA1" s="81"/>
      <c r="SEB1" s="81"/>
      <c r="SEC1" s="81"/>
      <c r="SED1" s="81"/>
      <c r="SEE1" s="81"/>
      <c r="SEF1" s="81"/>
      <c r="SEG1" s="81"/>
      <c r="SEH1" s="81"/>
      <c r="SEI1" s="81"/>
      <c r="SEJ1" s="81"/>
      <c r="SEK1" s="81"/>
      <c r="SEL1" s="81"/>
      <c r="SEM1" s="81"/>
      <c r="SEN1" s="81"/>
      <c r="SEO1" s="81"/>
      <c r="SEP1" s="81"/>
      <c r="SEQ1" s="81"/>
      <c r="SER1" s="81"/>
      <c r="SES1" s="81"/>
      <c r="SET1" s="81"/>
      <c r="SEU1" s="81"/>
      <c r="SEV1" s="81"/>
      <c r="SEW1" s="81"/>
      <c r="SEX1" s="81"/>
      <c r="SEY1" s="81"/>
      <c r="SEZ1" s="81"/>
      <c r="SFA1" s="81"/>
      <c r="SFB1" s="81"/>
      <c r="SFC1" s="81"/>
      <c r="SFD1" s="81"/>
      <c r="SFE1" s="81"/>
      <c r="SFF1" s="81"/>
      <c r="SFG1" s="81"/>
      <c r="SFH1" s="81"/>
      <c r="SFI1" s="81"/>
      <c r="SFJ1" s="81"/>
      <c r="SFK1" s="81"/>
      <c r="SFL1" s="81"/>
      <c r="SFM1" s="81"/>
      <c r="SFN1" s="81"/>
      <c r="SFO1" s="81"/>
      <c r="SFP1" s="81"/>
      <c r="SFQ1" s="81"/>
      <c r="SFR1" s="81"/>
      <c r="SFS1" s="81"/>
      <c r="SFT1" s="81"/>
      <c r="SFU1" s="81"/>
      <c r="SFV1" s="81"/>
      <c r="SFW1" s="81"/>
      <c r="SFX1" s="81"/>
      <c r="SFY1" s="81"/>
      <c r="SFZ1" s="81"/>
      <c r="SGA1" s="81"/>
      <c r="SGB1" s="81"/>
      <c r="SGC1" s="81"/>
      <c r="SGD1" s="81"/>
      <c r="SGE1" s="81"/>
      <c r="SGF1" s="81"/>
      <c r="SGG1" s="81"/>
      <c r="SGH1" s="81"/>
      <c r="SGI1" s="81"/>
      <c r="SGJ1" s="81"/>
      <c r="SGK1" s="81"/>
      <c r="SGL1" s="81"/>
      <c r="SGM1" s="81"/>
      <c r="SGN1" s="81"/>
      <c r="SGO1" s="81"/>
      <c r="SGP1" s="81"/>
      <c r="SGQ1" s="81"/>
      <c r="SGR1" s="81"/>
      <c r="SGS1" s="81"/>
      <c r="SGT1" s="81"/>
      <c r="SGU1" s="81"/>
      <c r="SGV1" s="81"/>
      <c r="SGW1" s="81"/>
      <c r="SGX1" s="81"/>
      <c r="SGY1" s="81"/>
      <c r="SGZ1" s="81"/>
      <c r="SHA1" s="81"/>
      <c r="SHB1" s="81"/>
      <c r="SHC1" s="81"/>
      <c r="SHD1" s="81"/>
      <c r="SHE1" s="81"/>
      <c r="SHF1" s="81"/>
      <c r="SHG1" s="81"/>
      <c r="SHH1" s="81"/>
      <c r="SHI1" s="81"/>
      <c r="SHJ1" s="81"/>
      <c r="SHK1" s="81"/>
      <c r="SHL1" s="81"/>
      <c r="SHM1" s="81"/>
      <c r="SHN1" s="81"/>
      <c r="SHO1" s="81"/>
      <c r="SHP1" s="81"/>
      <c r="SHQ1" s="81"/>
      <c r="SHR1" s="81"/>
      <c r="SHS1" s="81"/>
      <c r="SHT1" s="81"/>
      <c r="SHU1" s="81"/>
      <c r="SHV1" s="81"/>
      <c r="SHW1" s="81"/>
      <c r="SHX1" s="81"/>
      <c r="SHY1" s="81"/>
      <c r="SHZ1" s="81"/>
      <c r="SIA1" s="81"/>
      <c r="SIB1" s="81"/>
      <c r="SIC1" s="81"/>
      <c r="SID1" s="81"/>
      <c r="SIE1" s="81"/>
      <c r="SIF1" s="81"/>
      <c r="SIG1" s="81"/>
      <c r="SIH1" s="81"/>
      <c r="SII1" s="81"/>
      <c r="SIJ1" s="81"/>
      <c r="SIK1" s="81"/>
      <c r="SIL1" s="81"/>
      <c r="SIM1" s="81"/>
      <c r="SIN1" s="81"/>
      <c r="SIO1" s="81"/>
      <c r="SIP1" s="81"/>
      <c r="SIQ1" s="81"/>
      <c r="SIR1" s="81"/>
      <c r="SIS1" s="81"/>
      <c r="SIT1" s="81"/>
      <c r="SIU1" s="81"/>
      <c r="SIV1" s="81"/>
      <c r="SIW1" s="81"/>
      <c r="SIX1" s="81"/>
      <c r="SIY1" s="81"/>
      <c r="SIZ1" s="81"/>
      <c r="SJA1" s="81"/>
      <c r="SJB1" s="81"/>
      <c r="SJC1" s="81"/>
      <c r="SJD1" s="81"/>
      <c r="SJE1" s="81"/>
      <c r="SJF1" s="81"/>
      <c r="SJG1" s="81"/>
      <c r="SJH1" s="81"/>
      <c r="SJI1" s="81"/>
      <c r="SJJ1" s="81"/>
      <c r="SJK1" s="81"/>
      <c r="SJL1" s="81"/>
      <c r="SJM1" s="81"/>
      <c r="SJN1" s="81"/>
      <c r="SJO1" s="81"/>
      <c r="SJP1" s="81"/>
      <c r="SJQ1" s="81"/>
      <c r="SJR1" s="81"/>
      <c r="SJS1" s="81"/>
      <c r="SJT1" s="81"/>
      <c r="SJU1" s="81"/>
      <c r="SJV1" s="81"/>
      <c r="SJW1" s="81"/>
      <c r="SJX1" s="81"/>
      <c r="SJY1" s="81"/>
      <c r="SJZ1" s="81"/>
      <c r="SKA1" s="81"/>
      <c r="SKB1" s="81"/>
      <c r="SKC1" s="81"/>
      <c r="SKD1" s="81"/>
      <c r="SKE1" s="81"/>
      <c r="SKF1" s="81"/>
      <c r="SKG1" s="81"/>
      <c r="SKH1" s="81"/>
      <c r="SKI1" s="81"/>
      <c r="SKJ1" s="81"/>
      <c r="SKK1" s="81"/>
      <c r="SKL1" s="81"/>
      <c r="SKM1" s="81"/>
      <c r="SKN1" s="81"/>
      <c r="SKO1" s="81"/>
      <c r="SKP1" s="81"/>
      <c r="SKQ1" s="81"/>
      <c r="SKR1" s="81"/>
      <c r="SKS1" s="81"/>
      <c r="SKT1" s="81"/>
      <c r="SKU1" s="81"/>
      <c r="SKV1" s="81"/>
      <c r="SKW1" s="81"/>
      <c r="SKX1" s="81"/>
      <c r="SKY1" s="81"/>
      <c r="SKZ1" s="81"/>
      <c r="SLA1" s="81"/>
      <c r="SLB1" s="81"/>
      <c r="SLC1" s="81"/>
      <c r="SLD1" s="81"/>
      <c r="SLE1" s="81"/>
      <c r="SLF1" s="81"/>
      <c r="SLG1" s="81"/>
      <c r="SLH1" s="81"/>
      <c r="SLI1" s="81"/>
      <c r="SLJ1" s="81"/>
      <c r="SLK1" s="81"/>
      <c r="SLL1" s="81"/>
      <c r="SLM1" s="81"/>
      <c r="SLN1" s="81"/>
      <c r="SLO1" s="81"/>
      <c r="SLP1" s="81"/>
      <c r="SLQ1" s="81"/>
      <c r="SLR1" s="81"/>
      <c r="SLS1" s="81"/>
      <c r="SLT1" s="81"/>
      <c r="SLU1" s="81"/>
      <c r="SLV1" s="81"/>
      <c r="SLW1" s="81"/>
      <c r="SLX1" s="81"/>
      <c r="SLY1" s="81"/>
      <c r="SLZ1" s="81"/>
      <c r="SMA1" s="81"/>
      <c r="SMB1" s="81"/>
      <c r="SMC1" s="81"/>
      <c r="SMD1" s="81"/>
      <c r="SME1" s="81"/>
      <c r="SMF1" s="81"/>
      <c r="SMG1" s="81"/>
      <c r="SMH1" s="81"/>
      <c r="SMI1" s="81"/>
      <c r="SMJ1" s="81"/>
      <c r="SMK1" s="81"/>
      <c r="SML1" s="81"/>
      <c r="SMM1" s="81"/>
      <c r="SMN1" s="81"/>
      <c r="SMO1" s="81"/>
      <c r="SMP1" s="81"/>
      <c r="SMQ1" s="81"/>
      <c r="SMR1" s="81"/>
      <c r="SMS1" s="81"/>
      <c r="SMT1" s="81"/>
      <c r="SMU1" s="81"/>
      <c r="SMV1" s="81"/>
      <c r="SMW1" s="81"/>
      <c r="SMX1" s="81"/>
      <c r="SMY1" s="81"/>
      <c r="SMZ1" s="81"/>
      <c r="SNA1" s="81"/>
      <c r="SNB1" s="81"/>
      <c r="SNC1" s="81"/>
      <c r="SND1" s="81"/>
      <c r="SNE1" s="81"/>
      <c r="SNF1" s="81"/>
      <c r="SNG1" s="81"/>
      <c r="SNH1" s="81"/>
      <c r="SNI1" s="81"/>
      <c r="SNJ1" s="81"/>
      <c r="SNK1" s="81"/>
      <c r="SNL1" s="81"/>
      <c r="SNM1" s="81"/>
      <c r="SNN1" s="81"/>
      <c r="SNO1" s="81"/>
      <c r="SNP1" s="81"/>
      <c r="SNQ1" s="81"/>
      <c r="SNR1" s="81"/>
      <c r="SNS1" s="81"/>
      <c r="SNT1" s="81"/>
      <c r="SNU1" s="81"/>
      <c r="SNV1" s="81"/>
      <c r="SNW1" s="81"/>
      <c r="SNX1" s="81"/>
      <c r="SNY1" s="81"/>
      <c r="SNZ1" s="81"/>
      <c r="SOA1" s="81"/>
      <c r="SOB1" s="81"/>
      <c r="SOC1" s="81"/>
      <c r="SOD1" s="81"/>
      <c r="SOE1" s="81"/>
      <c r="SOF1" s="81"/>
      <c r="SOG1" s="81"/>
      <c r="SOH1" s="81"/>
      <c r="SOI1" s="81"/>
      <c r="SOJ1" s="81"/>
      <c r="SOK1" s="81"/>
      <c r="SOL1" s="81"/>
      <c r="SOM1" s="81"/>
      <c r="SON1" s="81"/>
      <c r="SOO1" s="81"/>
      <c r="SOP1" s="81"/>
      <c r="SOQ1" s="81"/>
      <c r="SOR1" s="81"/>
      <c r="SOS1" s="81"/>
      <c r="SOT1" s="81"/>
      <c r="SOU1" s="81"/>
      <c r="SOV1" s="81"/>
      <c r="SOW1" s="81"/>
      <c r="SOX1" s="81"/>
      <c r="SOY1" s="81"/>
      <c r="SOZ1" s="81"/>
      <c r="SPA1" s="81"/>
      <c r="SPB1" s="81"/>
      <c r="SPC1" s="81"/>
      <c r="SPD1" s="81"/>
      <c r="SPE1" s="81"/>
      <c r="SPF1" s="81"/>
      <c r="SPG1" s="81"/>
      <c r="SPH1" s="81"/>
      <c r="SPI1" s="81"/>
      <c r="SPJ1" s="81"/>
      <c r="SPK1" s="81"/>
      <c r="SPL1" s="81"/>
      <c r="SPM1" s="81"/>
      <c r="SPN1" s="81"/>
      <c r="SPO1" s="81"/>
      <c r="SPP1" s="81"/>
      <c r="SPQ1" s="81"/>
      <c r="SPR1" s="81"/>
      <c r="SPS1" s="81"/>
      <c r="SPT1" s="81"/>
      <c r="SPU1" s="81"/>
      <c r="SPV1" s="81"/>
      <c r="SPW1" s="81"/>
      <c r="SPX1" s="81"/>
      <c r="SPY1" s="81"/>
      <c r="SPZ1" s="81"/>
      <c r="SQA1" s="81"/>
      <c r="SQB1" s="81"/>
      <c r="SQC1" s="81"/>
      <c r="SQD1" s="81"/>
      <c r="SQE1" s="81"/>
      <c r="SQF1" s="81"/>
      <c r="SQG1" s="81"/>
      <c r="SQH1" s="81"/>
      <c r="SQI1" s="81"/>
      <c r="SQJ1" s="81"/>
      <c r="SQK1" s="81"/>
      <c r="SQL1" s="81"/>
      <c r="SQM1" s="81"/>
      <c r="SQN1" s="81"/>
      <c r="SQO1" s="81"/>
      <c r="SQP1" s="81"/>
      <c r="SQQ1" s="81"/>
      <c r="SQR1" s="81"/>
      <c r="SQS1" s="81"/>
      <c r="SQT1" s="81"/>
      <c r="SQU1" s="81"/>
      <c r="SQV1" s="81"/>
      <c r="SQW1" s="81"/>
      <c r="SQX1" s="81"/>
      <c r="SQY1" s="81"/>
      <c r="SQZ1" s="81"/>
      <c r="SRA1" s="81"/>
      <c r="SRB1" s="81"/>
      <c r="SRC1" s="81"/>
      <c r="SRD1" s="81"/>
      <c r="SRE1" s="81"/>
      <c r="SRF1" s="81"/>
      <c r="SRG1" s="81"/>
      <c r="SRH1" s="81"/>
      <c r="SRI1" s="81"/>
      <c r="SRJ1" s="81"/>
      <c r="SRK1" s="81"/>
      <c r="SRL1" s="81"/>
      <c r="SRM1" s="81"/>
      <c r="SRN1" s="81"/>
      <c r="SRO1" s="81"/>
      <c r="SRP1" s="81"/>
      <c r="SRQ1" s="81"/>
      <c r="SRR1" s="81"/>
      <c r="SRS1" s="81"/>
      <c r="SRT1" s="81"/>
      <c r="SRU1" s="81"/>
      <c r="SRV1" s="81"/>
      <c r="SRW1" s="81"/>
      <c r="SRX1" s="81"/>
      <c r="SRY1" s="81"/>
      <c r="SRZ1" s="81"/>
      <c r="SSA1" s="81"/>
      <c r="SSB1" s="81"/>
      <c r="SSC1" s="81"/>
      <c r="SSD1" s="81"/>
      <c r="SSE1" s="81"/>
      <c r="SSF1" s="81"/>
      <c r="SSG1" s="81"/>
      <c r="SSH1" s="81"/>
      <c r="SSI1" s="81"/>
      <c r="SSJ1" s="81"/>
      <c r="SSK1" s="81"/>
      <c r="SSL1" s="81"/>
      <c r="SSM1" s="81"/>
      <c r="SSN1" s="81"/>
      <c r="SSO1" s="81"/>
      <c r="SSP1" s="81"/>
      <c r="SSQ1" s="81"/>
      <c r="SSR1" s="81"/>
      <c r="SSS1" s="81"/>
      <c r="SST1" s="81"/>
      <c r="SSU1" s="81"/>
      <c r="SSV1" s="81"/>
      <c r="SSW1" s="81"/>
      <c r="SSX1" s="81"/>
      <c r="SSY1" s="81"/>
      <c r="SSZ1" s="81"/>
      <c r="STA1" s="81"/>
      <c r="STB1" s="81"/>
      <c r="STC1" s="81"/>
      <c r="STD1" s="81"/>
      <c r="STE1" s="81"/>
      <c r="STF1" s="81"/>
      <c r="STG1" s="81"/>
      <c r="STH1" s="81"/>
      <c r="STI1" s="81"/>
      <c r="STJ1" s="81"/>
      <c r="STK1" s="81"/>
      <c r="STL1" s="81"/>
      <c r="STM1" s="81"/>
      <c r="STN1" s="81"/>
      <c r="STO1" s="81"/>
      <c r="STP1" s="81"/>
      <c r="STQ1" s="81"/>
      <c r="STR1" s="81"/>
      <c r="STS1" s="81"/>
      <c r="STT1" s="81"/>
      <c r="STU1" s="81"/>
      <c r="STV1" s="81"/>
      <c r="STW1" s="81"/>
      <c r="STX1" s="81"/>
      <c r="STY1" s="81"/>
      <c r="STZ1" s="81"/>
      <c r="SUA1" s="81"/>
      <c r="SUB1" s="81"/>
      <c r="SUC1" s="81"/>
      <c r="SUD1" s="81"/>
      <c r="SUE1" s="81"/>
      <c r="SUF1" s="81"/>
      <c r="SUG1" s="81"/>
      <c r="SUH1" s="81"/>
      <c r="SUI1" s="81"/>
      <c r="SUJ1" s="81"/>
      <c r="SUK1" s="81"/>
      <c r="SUL1" s="81"/>
      <c r="SUM1" s="81"/>
      <c r="SUN1" s="81"/>
      <c r="SUO1" s="81"/>
      <c r="SUP1" s="81"/>
      <c r="SUQ1" s="81"/>
      <c r="SUR1" s="81"/>
      <c r="SUS1" s="81"/>
      <c r="SUT1" s="81"/>
      <c r="SUU1" s="81"/>
      <c r="SUV1" s="81"/>
      <c r="SUW1" s="81"/>
      <c r="SUX1" s="81"/>
      <c r="SUY1" s="81"/>
      <c r="SUZ1" s="81"/>
      <c r="SVA1" s="81"/>
      <c r="SVB1" s="81"/>
      <c r="SVC1" s="81"/>
      <c r="SVD1" s="81"/>
      <c r="SVE1" s="81"/>
      <c r="SVF1" s="81"/>
      <c r="SVG1" s="81"/>
      <c r="SVH1" s="81"/>
      <c r="SVI1" s="81"/>
      <c r="SVJ1" s="81"/>
      <c r="SVK1" s="81"/>
      <c r="SVL1" s="81"/>
      <c r="SVM1" s="81"/>
      <c r="SVN1" s="81"/>
      <c r="SVO1" s="81"/>
      <c r="SVP1" s="81"/>
      <c r="SVQ1" s="81"/>
      <c r="SVR1" s="81"/>
      <c r="SVS1" s="81"/>
      <c r="SVT1" s="81"/>
      <c r="SVU1" s="81"/>
      <c r="SVV1" s="81"/>
      <c r="SVW1" s="81"/>
      <c r="SVX1" s="81"/>
      <c r="SVY1" s="81"/>
      <c r="SVZ1" s="81"/>
      <c r="SWA1" s="81"/>
      <c r="SWB1" s="81"/>
      <c r="SWC1" s="81"/>
      <c r="SWD1" s="81"/>
      <c r="SWE1" s="81"/>
      <c r="SWF1" s="81"/>
      <c r="SWG1" s="81"/>
      <c r="SWH1" s="81"/>
      <c r="SWI1" s="81"/>
      <c r="SWJ1" s="81"/>
      <c r="SWK1" s="81"/>
      <c r="SWL1" s="81"/>
      <c r="SWM1" s="81"/>
      <c r="SWN1" s="81"/>
      <c r="SWO1" s="81"/>
      <c r="SWP1" s="81"/>
      <c r="SWQ1" s="81"/>
      <c r="SWR1" s="81"/>
      <c r="SWS1" s="81"/>
      <c r="SWT1" s="81"/>
      <c r="SWU1" s="81"/>
      <c r="SWV1" s="81"/>
      <c r="SWW1" s="81"/>
      <c r="SWX1" s="81"/>
      <c r="SWY1" s="81"/>
      <c r="SWZ1" s="81"/>
      <c r="SXA1" s="81"/>
      <c r="SXB1" s="81"/>
      <c r="SXC1" s="81"/>
      <c r="SXD1" s="81"/>
      <c r="SXE1" s="81"/>
      <c r="SXF1" s="81"/>
      <c r="SXG1" s="81"/>
      <c r="SXH1" s="81"/>
      <c r="SXI1" s="81"/>
      <c r="SXJ1" s="81"/>
      <c r="SXK1" s="81"/>
      <c r="SXL1" s="81"/>
      <c r="SXM1" s="81"/>
      <c r="SXN1" s="81"/>
      <c r="SXO1" s="81"/>
      <c r="SXP1" s="81"/>
      <c r="SXQ1" s="81"/>
      <c r="SXR1" s="81"/>
      <c r="SXS1" s="81"/>
      <c r="SXT1" s="81"/>
      <c r="SXU1" s="81"/>
      <c r="SXV1" s="81"/>
      <c r="SXW1" s="81"/>
      <c r="SXX1" s="81"/>
      <c r="SXY1" s="81"/>
      <c r="SXZ1" s="81"/>
      <c r="SYA1" s="81"/>
      <c r="SYB1" s="81"/>
      <c r="SYC1" s="81"/>
      <c r="SYD1" s="81"/>
      <c r="SYE1" s="81"/>
      <c r="SYF1" s="81"/>
      <c r="SYG1" s="81"/>
      <c r="SYH1" s="81"/>
      <c r="SYI1" s="81"/>
      <c r="SYJ1" s="81"/>
      <c r="SYK1" s="81"/>
      <c r="SYL1" s="81"/>
      <c r="SYM1" s="81"/>
      <c r="SYN1" s="81"/>
      <c r="SYO1" s="81"/>
      <c r="SYP1" s="81"/>
      <c r="SYQ1" s="81"/>
      <c r="SYR1" s="81"/>
      <c r="SYS1" s="81"/>
      <c r="SYT1" s="81"/>
      <c r="SYU1" s="81"/>
      <c r="SYV1" s="81"/>
      <c r="SYW1" s="81"/>
      <c r="SYX1" s="81"/>
      <c r="SYY1" s="81"/>
      <c r="SYZ1" s="81"/>
      <c r="SZA1" s="81"/>
      <c r="SZB1" s="81"/>
      <c r="SZC1" s="81"/>
      <c r="SZD1" s="81"/>
      <c r="SZE1" s="81"/>
      <c r="SZF1" s="81"/>
      <c r="SZG1" s="81"/>
      <c r="SZH1" s="81"/>
      <c r="SZI1" s="81"/>
      <c r="SZJ1" s="81"/>
      <c r="SZK1" s="81"/>
      <c r="SZL1" s="81"/>
      <c r="SZM1" s="81"/>
      <c r="SZN1" s="81"/>
      <c r="SZO1" s="81"/>
      <c r="SZP1" s="81"/>
      <c r="SZQ1" s="81"/>
      <c r="SZR1" s="81"/>
      <c r="SZS1" s="81"/>
      <c r="SZT1" s="81"/>
      <c r="SZU1" s="81"/>
      <c r="SZV1" s="81"/>
      <c r="SZW1" s="81"/>
      <c r="SZX1" s="81"/>
      <c r="SZY1" s="81"/>
      <c r="SZZ1" s="81"/>
      <c r="TAA1" s="81"/>
      <c r="TAB1" s="81"/>
      <c r="TAC1" s="81"/>
      <c r="TAD1" s="81"/>
      <c r="TAE1" s="81"/>
      <c r="TAF1" s="81"/>
      <c r="TAG1" s="81"/>
      <c r="TAH1" s="81"/>
      <c r="TAI1" s="81"/>
      <c r="TAJ1" s="81"/>
      <c r="TAK1" s="81"/>
      <c r="TAL1" s="81"/>
      <c r="TAM1" s="81"/>
      <c r="TAN1" s="81"/>
      <c r="TAO1" s="81"/>
      <c r="TAP1" s="81"/>
      <c r="TAQ1" s="81"/>
      <c r="TAR1" s="81"/>
      <c r="TAS1" s="81"/>
      <c r="TAT1" s="81"/>
      <c r="TAU1" s="81"/>
      <c r="TAV1" s="81"/>
      <c r="TAW1" s="81"/>
      <c r="TAX1" s="81"/>
      <c r="TAY1" s="81"/>
      <c r="TAZ1" s="81"/>
      <c r="TBA1" s="81"/>
      <c r="TBB1" s="81"/>
      <c r="TBC1" s="81"/>
      <c r="TBD1" s="81"/>
      <c r="TBE1" s="81"/>
      <c r="TBF1" s="81"/>
      <c r="TBG1" s="81"/>
      <c r="TBH1" s="81"/>
      <c r="TBI1" s="81"/>
      <c r="TBJ1" s="81"/>
      <c r="TBK1" s="81"/>
      <c r="TBL1" s="81"/>
      <c r="TBM1" s="81"/>
      <c r="TBN1" s="81"/>
      <c r="TBO1" s="81"/>
      <c r="TBP1" s="81"/>
      <c r="TBQ1" s="81"/>
      <c r="TBR1" s="81"/>
      <c r="TBS1" s="81"/>
      <c r="TBT1" s="81"/>
      <c r="TBU1" s="81"/>
      <c r="TBV1" s="81"/>
      <c r="TBW1" s="81"/>
      <c r="TBX1" s="81"/>
      <c r="TBY1" s="81"/>
      <c r="TBZ1" s="81"/>
      <c r="TCA1" s="81"/>
      <c r="TCB1" s="81"/>
      <c r="TCC1" s="81"/>
      <c r="TCD1" s="81"/>
      <c r="TCE1" s="81"/>
      <c r="TCF1" s="81"/>
      <c r="TCG1" s="81"/>
      <c r="TCH1" s="81"/>
      <c r="TCI1" s="81"/>
      <c r="TCJ1" s="81"/>
      <c r="TCK1" s="81"/>
      <c r="TCL1" s="81"/>
      <c r="TCM1" s="81"/>
      <c r="TCN1" s="81"/>
      <c r="TCO1" s="81"/>
      <c r="TCP1" s="81"/>
      <c r="TCQ1" s="81"/>
      <c r="TCR1" s="81"/>
      <c r="TCS1" s="81"/>
      <c r="TCT1" s="81"/>
      <c r="TCU1" s="81"/>
      <c r="TCV1" s="81"/>
      <c r="TCW1" s="81"/>
      <c r="TCX1" s="81"/>
      <c r="TCY1" s="81"/>
      <c r="TCZ1" s="81"/>
      <c r="TDA1" s="81"/>
      <c r="TDB1" s="81"/>
      <c r="TDC1" s="81"/>
      <c r="TDD1" s="81"/>
      <c r="TDE1" s="81"/>
      <c r="TDF1" s="81"/>
      <c r="TDG1" s="81"/>
      <c r="TDH1" s="81"/>
      <c r="TDI1" s="81"/>
      <c r="TDJ1" s="81"/>
      <c r="TDK1" s="81"/>
      <c r="TDL1" s="81"/>
      <c r="TDM1" s="81"/>
      <c r="TDN1" s="81"/>
      <c r="TDO1" s="81"/>
      <c r="TDP1" s="81"/>
      <c r="TDQ1" s="81"/>
      <c r="TDR1" s="81"/>
      <c r="TDS1" s="81"/>
      <c r="TDT1" s="81"/>
      <c r="TDU1" s="81"/>
      <c r="TDV1" s="81"/>
      <c r="TDW1" s="81"/>
      <c r="TDX1" s="81"/>
      <c r="TDY1" s="81"/>
      <c r="TDZ1" s="81"/>
      <c r="TEA1" s="81"/>
      <c r="TEB1" s="81"/>
      <c r="TEC1" s="81"/>
      <c r="TED1" s="81"/>
      <c r="TEE1" s="81"/>
      <c r="TEF1" s="81"/>
      <c r="TEG1" s="81"/>
      <c r="TEH1" s="81"/>
      <c r="TEI1" s="81"/>
      <c r="TEJ1" s="81"/>
      <c r="TEK1" s="81"/>
      <c r="TEL1" s="81"/>
      <c r="TEM1" s="81"/>
      <c r="TEN1" s="81"/>
      <c r="TEO1" s="81"/>
      <c r="TEP1" s="81"/>
      <c r="TEQ1" s="81"/>
      <c r="TER1" s="81"/>
      <c r="TES1" s="81"/>
      <c r="TET1" s="81"/>
      <c r="TEU1" s="81"/>
      <c r="TEV1" s="81"/>
      <c r="TEW1" s="81"/>
      <c r="TEX1" s="81"/>
      <c r="TEY1" s="81"/>
      <c r="TEZ1" s="81"/>
      <c r="TFA1" s="81"/>
      <c r="TFB1" s="81"/>
      <c r="TFC1" s="81"/>
      <c r="TFD1" s="81"/>
      <c r="TFE1" s="81"/>
      <c r="TFF1" s="81"/>
      <c r="TFG1" s="81"/>
      <c r="TFH1" s="81"/>
      <c r="TFI1" s="81"/>
      <c r="TFJ1" s="81"/>
      <c r="TFK1" s="81"/>
      <c r="TFL1" s="81"/>
      <c r="TFM1" s="81"/>
      <c r="TFN1" s="81"/>
      <c r="TFO1" s="81"/>
      <c r="TFP1" s="81"/>
      <c r="TFQ1" s="81"/>
      <c r="TFR1" s="81"/>
      <c r="TFS1" s="81"/>
      <c r="TFT1" s="81"/>
      <c r="TFU1" s="81"/>
      <c r="TFV1" s="81"/>
      <c r="TFW1" s="81"/>
      <c r="TFX1" s="81"/>
      <c r="TFY1" s="81"/>
      <c r="TFZ1" s="81"/>
      <c r="TGA1" s="81"/>
      <c r="TGB1" s="81"/>
      <c r="TGC1" s="81"/>
      <c r="TGD1" s="81"/>
      <c r="TGE1" s="81"/>
      <c r="TGF1" s="81"/>
      <c r="TGG1" s="81"/>
      <c r="TGH1" s="81"/>
      <c r="TGI1" s="81"/>
      <c r="TGJ1" s="81"/>
      <c r="TGK1" s="81"/>
      <c r="TGL1" s="81"/>
      <c r="TGM1" s="81"/>
      <c r="TGN1" s="81"/>
      <c r="TGO1" s="81"/>
      <c r="TGP1" s="81"/>
      <c r="TGQ1" s="81"/>
      <c r="TGR1" s="81"/>
      <c r="TGS1" s="81"/>
      <c r="TGT1" s="81"/>
      <c r="TGU1" s="81"/>
      <c r="TGV1" s="81"/>
      <c r="TGW1" s="81"/>
      <c r="TGX1" s="81"/>
      <c r="TGY1" s="81"/>
      <c r="TGZ1" s="81"/>
      <c r="THA1" s="81"/>
      <c r="THB1" s="81"/>
      <c r="THC1" s="81"/>
      <c r="THD1" s="81"/>
      <c r="THE1" s="81"/>
      <c r="THF1" s="81"/>
      <c r="THG1" s="81"/>
      <c r="THH1" s="81"/>
      <c r="THI1" s="81"/>
      <c r="THJ1" s="81"/>
      <c r="THK1" s="81"/>
      <c r="THL1" s="81"/>
      <c r="THM1" s="81"/>
      <c r="THN1" s="81"/>
      <c r="THO1" s="81"/>
      <c r="THP1" s="81"/>
      <c r="THQ1" s="81"/>
      <c r="THR1" s="81"/>
      <c r="THS1" s="81"/>
      <c r="THT1" s="81"/>
      <c r="THU1" s="81"/>
      <c r="THV1" s="81"/>
      <c r="THW1" s="81"/>
      <c r="THX1" s="81"/>
      <c r="THY1" s="81"/>
      <c r="THZ1" s="81"/>
      <c r="TIA1" s="81"/>
      <c r="TIB1" s="81"/>
      <c r="TIC1" s="81"/>
      <c r="TID1" s="81"/>
      <c r="TIE1" s="81"/>
      <c r="TIF1" s="81"/>
      <c r="TIG1" s="81"/>
      <c r="TIH1" s="81"/>
      <c r="TII1" s="81"/>
      <c r="TIJ1" s="81"/>
      <c r="TIK1" s="81"/>
      <c r="TIL1" s="81"/>
      <c r="TIM1" s="81"/>
      <c r="TIN1" s="81"/>
      <c r="TIO1" s="81"/>
      <c r="TIP1" s="81"/>
      <c r="TIQ1" s="81"/>
      <c r="TIR1" s="81"/>
      <c r="TIS1" s="81"/>
      <c r="TIT1" s="81"/>
      <c r="TIU1" s="81"/>
      <c r="TIV1" s="81"/>
      <c r="TIW1" s="81"/>
      <c r="TIX1" s="81"/>
      <c r="TIY1" s="81"/>
      <c r="TIZ1" s="81"/>
      <c r="TJA1" s="81"/>
      <c r="TJB1" s="81"/>
      <c r="TJC1" s="81"/>
      <c r="TJD1" s="81"/>
      <c r="TJE1" s="81"/>
      <c r="TJF1" s="81"/>
      <c r="TJG1" s="81"/>
      <c r="TJH1" s="81"/>
      <c r="TJI1" s="81"/>
      <c r="TJJ1" s="81"/>
      <c r="TJK1" s="81"/>
      <c r="TJL1" s="81"/>
      <c r="TJM1" s="81"/>
      <c r="TJN1" s="81"/>
      <c r="TJO1" s="81"/>
      <c r="TJP1" s="81"/>
      <c r="TJQ1" s="81"/>
      <c r="TJR1" s="81"/>
      <c r="TJS1" s="81"/>
      <c r="TJT1" s="81"/>
      <c r="TJU1" s="81"/>
      <c r="TJV1" s="81"/>
      <c r="TJW1" s="81"/>
      <c r="TJX1" s="81"/>
      <c r="TJY1" s="81"/>
      <c r="TJZ1" s="81"/>
      <c r="TKA1" s="81"/>
      <c r="TKB1" s="81"/>
      <c r="TKC1" s="81"/>
      <c r="TKD1" s="81"/>
      <c r="TKE1" s="81"/>
      <c r="TKF1" s="81"/>
      <c r="TKG1" s="81"/>
      <c r="TKH1" s="81"/>
      <c r="TKI1" s="81"/>
      <c r="TKJ1" s="81"/>
      <c r="TKK1" s="81"/>
      <c r="TKL1" s="81"/>
      <c r="TKM1" s="81"/>
      <c r="TKN1" s="81"/>
      <c r="TKO1" s="81"/>
      <c r="TKP1" s="81"/>
      <c r="TKQ1" s="81"/>
      <c r="TKR1" s="81"/>
      <c r="TKS1" s="81"/>
      <c r="TKT1" s="81"/>
      <c r="TKU1" s="81"/>
      <c r="TKV1" s="81"/>
      <c r="TKW1" s="81"/>
      <c r="TKX1" s="81"/>
      <c r="TKY1" s="81"/>
      <c r="TKZ1" s="81"/>
      <c r="TLA1" s="81"/>
      <c r="TLB1" s="81"/>
      <c r="TLC1" s="81"/>
      <c r="TLD1" s="81"/>
      <c r="TLE1" s="81"/>
      <c r="TLF1" s="81"/>
      <c r="TLG1" s="81"/>
      <c r="TLH1" s="81"/>
      <c r="TLI1" s="81"/>
      <c r="TLJ1" s="81"/>
      <c r="TLK1" s="81"/>
      <c r="TLL1" s="81"/>
      <c r="TLM1" s="81"/>
      <c r="TLN1" s="81"/>
      <c r="TLO1" s="81"/>
      <c r="TLP1" s="81"/>
      <c r="TLQ1" s="81"/>
      <c r="TLR1" s="81"/>
      <c r="TLS1" s="81"/>
      <c r="TLT1" s="81"/>
      <c r="TLU1" s="81"/>
      <c r="TLV1" s="81"/>
      <c r="TLW1" s="81"/>
      <c r="TLX1" s="81"/>
      <c r="TLY1" s="81"/>
      <c r="TLZ1" s="81"/>
      <c r="TMA1" s="81"/>
      <c r="TMB1" s="81"/>
      <c r="TMC1" s="81"/>
      <c r="TMD1" s="81"/>
      <c r="TME1" s="81"/>
      <c r="TMF1" s="81"/>
      <c r="TMG1" s="81"/>
      <c r="TMH1" s="81"/>
      <c r="TMI1" s="81"/>
      <c r="TMJ1" s="81"/>
      <c r="TMK1" s="81"/>
      <c r="TML1" s="81"/>
      <c r="TMM1" s="81"/>
      <c r="TMN1" s="81"/>
      <c r="TMO1" s="81"/>
      <c r="TMP1" s="81"/>
      <c r="TMQ1" s="81"/>
      <c r="TMR1" s="81"/>
      <c r="TMS1" s="81"/>
      <c r="TMT1" s="81"/>
      <c r="TMU1" s="81"/>
      <c r="TMV1" s="81"/>
      <c r="TMW1" s="81"/>
      <c r="TMX1" s="81"/>
      <c r="TMY1" s="81"/>
      <c r="TMZ1" s="81"/>
      <c r="TNA1" s="81"/>
      <c r="TNB1" s="81"/>
      <c r="TNC1" s="81"/>
      <c r="TND1" s="81"/>
      <c r="TNE1" s="81"/>
      <c r="TNF1" s="81"/>
      <c r="TNG1" s="81"/>
      <c r="TNH1" s="81"/>
      <c r="TNI1" s="81"/>
      <c r="TNJ1" s="81"/>
      <c r="TNK1" s="81"/>
      <c r="TNL1" s="81"/>
      <c r="TNM1" s="81"/>
      <c r="TNN1" s="81"/>
      <c r="TNO1" s="81"/>
      <c r="TNP1" s="81"/>
      <c r="TNQ1" s="81"/>
      <c r="TNR1" s="81"/>
      <c r="TNS1" s="81"/>
      <c r="TNT1" s="81"/>
      <c r="TNU1" s="81"/>
      <c r="TNV1" s="81"/>
      <c r="TNW1" s="81"/>
      <c r="TNX1" s="81"/>
      <c r="TNY1" s="81"/>
      <c r="TNZ1" s="81"/>
      <c r="TOA1" s="81"/>
      <c r="TOB1" s="81"/>
      <c r="TOC1" s="81"/>
      <c r="TOD1" s="81"/>
      <c r="TOE1" s="81"/>
      <c r="TOF1" s="81"/>
      <c r="TOG1" s="81"/>
      <c r="TOH1" s="81"/>
      <c r="TOI1" s="81"/>
      <c r="TOJ1" s="81"/>
      <c r="TOK1" s="81"/>
      <c r="TOL1" s="81"/>
      <c r="TOM1" s="81"/>
      <c r="TON1" s="81"/>
      <c r="TOO1" s="81"/>
      <c r="TOP1" s="81"/>
      <c r="TOQ1" s="81"/>
      <c r="TOR1" s="81"/>
      <c r="TOS1" s="81"/>
      <c r="TOT1" s="81"/>
      <c r="TOU1" s="81"/>
      <c r="TOV1" s="81"/>
      <c r="TOW1" s="81"/>
      <c r="TOX1" s="81"/>
      <c r="TOY1" s="81"/>
      <c r="TOZ1" s="81"/>
      <c r="TPA1" s="81"/>
      <c r="TPB1" s="81"/>
      <c r="TPC1" s="81"/>
      <c r="TPD1" s="81"/>
      <c r="TPE1" s="81"/>
      <c r="TPF1" s="81"/>
      <c r="TPG1" s="81"/>
      <c r="TPH1" s="81"/>
      <c r="TPI1" s="81"/>
      <c r="TPJ1" s="81"/>
      <c r="TPK1" s="81"/>
      <c r="TPL1" s="81"/>
      <c r="TPM1" s="81"/>
      <c r="TPN1" s="81"/>
      <c r="TPO1" s="81"/>
      <c r="TPP1" s="81"/>
      <c r="TPQ1" s="81"/>
      <c r="TPR1" s="81"/>
      <c r="TPS1" s="81"/>
      <c r="TPT1" s="81"/>
      <c r="TPU1" s="81"/>
      <c r="TPV1" s="81"/>
      <c r="TPW1" s="81"/>
      <c r="TPX1" s="81"/>
      <c r="TPY1" s="81"/>
      <c r="TPZ1" s="81"/>
      <c r="TQA1" s="81"/>
      <c r="TQB1" s="81"/>
      <c r="TQC1" s="81"/>
      <c r="TQD1" s="81"/>
      <c r="TQE1" s="81"/>
      <c r="TQF1" s="81"/>
      <c r="TQG1" s="81"/>
      <c r="TQH1" s="81"/>
      <c r="TQI1" s="81"/>
      <c r="TQJ1" s="81"/>
      <c r="TQK1" s="81"/>
      <c r="TQL1" s="81"/>
      <c r="TQM1" s="81"/>
      <c r="TQN1" s="81"/>
      <c r="TQO1" s="81"/>
      <c r="TQP1" s="81"/>
      <c r="TQQ1" s="81"/>
      <c r="TQR1" s="81"/>
      <c r="TQS1" s="81"/>
      <c r="TQT1" s="81"/>
      <c r="TQU1" s="81"/>
      <c r="TQV1" s="81"/>
      <c r="TQW1" s="81"/>
      <c r="TQX1" s="81"/>
      <c r="TQY1" s="81"/>
      <c r="TQZ1" s="81"/>
      <c r="TRA1" s="81"/>
      <c r="TRB1" s="81"/>
      <c r="TRC1" s="81"/>
      <c r="TRD1" s="81"/>
      <c r="TRE1" s="81"/>
      <c r="TRF1" s="81"/>
      <c r="TRG1" s="81"/>
      <c r="TRH1" s="81"/>
      <c r="TRI1" s="81"/>
      <c r="TRJ1" s="81"/>
      <c r="TRK1" s="81"/>
      <c r="TRL1" s="81"/>
      <c r="TRM1" s="81"/>
      <c r="TRN1" s="81"/>
      <c r="TRO1" s="81"/>
      <c r="TRP1" s="81"/>
      <c r="TRQ1" s="81"/>
      <c r="TRR1" s="81"/>
      <c r="TRS1" s="81"/>
      <c r="TRT1" s="81"/>
      <c r="TRU1" s="81"/>
      <c r="TRV1" s="81"/>
      <c r="TRW1" s="81"/>
      <c r="TRX1" s="81"/>
      <c r="TRY1" s="81"/>
      <c r="TRZ1" s="81"/>
      <c r="TSA1" s="81"/>
      <c r="TSB1" s="81"/>
      <c r="TSC1" s="81"/>
      <c r="TSD1" s="81"/>
      <c r="TSE1" s="81"/>
      <c r="TSF1" s="81"/>
      <c r="TSG1" s="81"/>
      <c r="TSH1" s="81"/>
      <c r="TSI1" s="81"/>
      <c r="TSJ1" s="81"/>
      <c r="TSK1" s="81"/>
      <c r="TSL1" s="81"/>
      <c r="TSM1" s="81"/>
      <c r="TSN1" s="81"/>
      <c r="TSO1" s="81"/>
      <c r="TSP1" s="81"/>
      <c r="TSQ1" s="81"/>
      <c r="TSR1" s="81"/>
      <c r="TSS1" s="81"/>
      <c r="TST1" s="81"/>
      <c r="TSU1" s="81"/>
      <c r="TSV1" s="81"/>
      <c r="TSW1" s="81"/>
      <c r="TSX1" s="81"/>
      <c r="TSY1" s="81"/>
      <c r="TSZ1" s="81"/>
      <c r="TTA1" s="81"/>
      <c r="TTB1" s="81"/>
      <c r="TTC1" s="81"/>
      <c r="TTD1" s="81"/>
      <c r="TTE1" s="81"/>
      <c r="TTF1" s="81"/>
      <c r="TTG1" s="81"/>
      <c r="TTH1" s="81"/>
      <c r="TTI1" s="81"/>
      <c r="TTJ1" s="81"/>
      <c r="TTK1" s="81"/>
      <c r="TTL1" s="81"/>
      <c r="TTM1" s="81"/>
      <c r="TTN1" s="81"/>
      <c r="TTO1" s="81"/>
      <c r="TTP1" s="81"/>
      <c r="TTQ1" s="81"/>
      <c r="TTR1" s="81"/>
      <c r="TTS1" s="81"/>
      <c r="TTT1" s="81"/>
      <c r="TTU1" s="81"/>
      <c r="TTV1" s="81"/>
      <c r="TTW1" s="81"/>
      <c r="TTX1" s="81"/>
      <c r="TTY1" s="81"/>
      <c r="TTZ1" s="81"/>
      <c r="TUA1" s="81"/>
      <c r="TUB1" s="81"/>
      <c r="TUC1" s="81"/>
      <c r="TUD1" s="81"/>
      <c r="TUE1" s="81"/>
      <c r="TUF1" s="81"/>
      <c r="TUG1" s="81"/>
      <c r="TUH1" s="81"/>
      <c r="TUI1" s="81"/>
      <c r="TUJ1" s="81"/>
      <c r="TUK1" s="81"/>
      <c r="TUL1" s="81"/>
      <c r="TUM1" s="81"/>
      <c r="TUN1" s="81"/>
      <c r="TUO1" s="81"/>
      <c r="TUP1" s="81"/>
      <c r="TUQ1" s="81"/>
      <c r="TUR1" s="81"/>
      <c r="TUS1" s="81"/>
      <c r="TUT1" s="81"/>
      <c r="TUU1" s="81"/>
      <c r="TUV1" s="81"/>
      <c r="TUW1" s="81"/>
      <c r="TUX1" s="81"/>
      <c r="TUY1" s="81"/>
      <c r="TUZ1" s="81"/>
      <c r="TVA1" s="81"/>
      <c r="TVB1" s="81"/>
      <c r="TVC1" s="81"/>
      <c r="TVD1" s="81"/>
      <c r="TVE1" s="81"/>
      <c r="TVF1" s="81"/>
      <c r="TVG1" s="81"/>
      <c r="TVH1" s="81"/>
      <c r="TVI1" s="81"/>
      <c r="TVJ1" s="81"/>
      <c r="TVK1" s="81"/>
      <c r="TVL1" s="81"/>
      <c r="TVM1" s="81"/>
      <c r="TVN1" s="81"/>
      <c r="TVO1" s="81"/>
      <c r="TVP1" s="81"/>
      <c r="TVQ1" s="81"/>
      <c r="TVR1" s="81"/>
      <c r="TVS1" s="81"/>
      <c r="TVT1" s="81"/>
      <c r="TVU1" s="81"/>
      <c r="TVV1" s="81"/>
      <c r="TVW1" s="81"/>
      <c r="TVX1" s="81"/>
      <c r="TVY1" s="81"/>
      <c r="TVZ1" s="81"/>
      <c r="TWA1" s="81"/>
      <c r="TWB1" s="81"/>
      <c r="TWC1" s="81"/>
      <c r="TWD1" s="81"/>
      <c r="TWE1" s="81"/>
      <c r="TWF1" s="81"/>
      <c r="TWG1" s="81"/>
      <c r="TWH1" s="81"/>
      <c r="TWI1" s="81"/>
      <c r="TWJ1" s="81"/>
      <c r="TWK1" s="81"/>
      <c r="TWL1" s="81"/>
      <c r="TWM1" s="81"/>
      <c r="TWN1" s="81"/>
      <c r="TWO1" s="81"/>
      <c r="TWP1" s="81"/>
      <c r="TWQ1" s="81"/>
      <c r="TWR1" s="81"/>
      <c r="TWS1" s="81"/>
      <c r="TWT1" s="81"/>
      <c r="TWU1" s="81"/>
      <c r="TWV1" s="81"/>
      <c r="TWW1" s="81"/>
      <c r="TWX1" s="81"/>
      <c r="TWY1" s="81"/>
      <c r="TWZ1" s="81"/>
      <c r="TXA1" s="81"/>
      <c r="TXB1" s="81"/>
      <c r="TXC1" s="81"/>
      <c r="TXD1" s="81"/>
      <c r="TXE1" s="81"/>
      <c r="TXF1" s="81"/>
      <c r="TXG1" s="81"/>
      <c r="TXH1" s="81"/>
      <c r="TXI1" s="81"/>
      <c r="TXJ1" s="81"/>
      <c r="TXK1" s="81"/>
      <c r="TXL1" s="81"/>
      <c r="TXM1" s="81"/>
      <c r="TXN1" s="81"/>
      <c r="TXO1" s="81"/>
      <c r="TXP1" s="81"/>
      <c r="TXQ1" s="81"/>
      <c r="TXR1" s="81"/>
      <c r="TXS1" s="81"/>
      <c r="TXT1" s="81"/>
      <c r="TXU1" s="81"/>
      <c r="TXV1" s="81"/>
      <c r="TXW1" s="81"/>
      <c r="TXX1" s="81"/>
      <c r="TXY1" s="81"/>
      <c r="TXZ1" s="81"/>
      <c r="TYA1" s="81"/>
      <c r="TYB1" s="81"/>
      <c r="TYC1" s="81"/>
      <c r="TYD1" s="81"/>
      <c r="TYE1" s="81"/>
      <c r="TYF1" s="81"/>
      <c r="TYG1" s="81"/>
      <c r="TYH1" s="81"/>
      <c r="TYI1" s="81"/>
      <c r="TYJ1" s="81"/>
      <c r="TYK1" s="81"/>
      <c r="TYL1" s="81"/>
      <c r="TYM1" s="81"/>
      <c r="TYN1" s="81"/>
      <c r="TYO1" s="81"/>
      <c r="TYP1" s="81"/>
      <c r="TYQ1" s="81"/>
      <c r="TYR1" s="81"/>
      <c r="TYS1" s="81"/>
      <c r="TYT1" s="81"/>
      <c r="TYU1" s="81"/>
      <c r="TYV1" s="81"/>
      <c r="TYW1" s="81"/>
      <c r="TYX1" s="81"/>
      <c r="TYY1" s="81"/>
      <c r="TYZ1" s="81"/>
      <c r="TZA1" s="81"/>
      <c r="TZB1" s="81"/>
      <c r="TZC1" s="81"/>
      <c r="TZD1" s="81"/>
      <c r="TZE1" s="81"/>
      <c r="TZF1" s="81"/>
      <c r="TZG1" s="81"/>
      <c r="TZH1" s="81"/>
      <c r="TZI1" s="81"/>
      <c r="TZJ1" s="81"/>
      <c r="TZK1" s="81"/>
      <c r="TZL1" s="81"/>
      <c r="TZM1" s="81"/>
      <c r="TZN1" s="81"/>
      <c r="TZO1" s="81"/>
      <c r="TZP1" s="81"/>
      <c r="TZQ1" s="81"/>
      <c r="TZR1" s="81"/>
      <c r="TZS1" s="81"/>
      <c r="TZT1" s="81"/>
      <c r="TZU1" s="81"/>
      <c r="TZV1" s="81"/>
      <c r="TZW1" s="81"/>
      <c r="TZX1" s="81"/>
      <c r="TZY1" s="81"/>
      <c r="TZZ1" s="81"/>
      <c r="UAA1" s="81"/>
      <c r="UAB1" s="81"/>
      <c r="UAC1" s="81"/>
      <c r="UAD1" s="81"/>
      <c r="UAE1" s="81"/>
      <c r="UAF1" s="81"/>
      <c r="UAG1" s="81"/>
      <c r="UAH1" s="81"/>
      <c r="UAI1" s="81"/>
      <c r="UAJ1" s="81"/>
      <c r="UAK1" s="81"/>
      <c r="UAL1" s="81"/>
      <c r="UAM1" s="81"/>
      <c r="UAN1" s="81"/>
      <c r="UAO1" s="81"/>
      <c r="UAP1" s="81"/>
      <c r="UAQ1" s="81"/>
      <c r="UAR1" s="81"/>
      <c r="UAS1" s="81"/>
      <c r="UAT1" s="81"/>
      <c r="UAU1" s="81"/>
      <c r="UAV1" s="81"/>
      <c r="UAW1" s="81"/>
      <c r="UAX1" s="81"/>
      <c r="UAY1" s="81"/>
      <c r="UAZ1" s="81"/>
      <c r="UBA1" s="81"/>
      <c r="UBB1" s="81"/>
      <c r="UBC1" s="81"/>
      <c r="UBD1" s="81"/>
      <c r="UBE1" s="81"/>
      <c r="UBF1" s="81"/>
      <c r="UBG1" s="81"/>
      <c r="UBH1" s="81"/>
      <c r="UBI1" s="81"/>
      <c r="UBJ1" s="81"/>
      <c r="UBK1" s="81"/>
      <c r="UBL1" s="81"/>
      <c r="UBM1" s="81"/>
      <c r="UBN1" s="81"/>
      <c r="UBO1" s="81"/>
      <c r="UBP1" s="81"/>
      <c r="UBQ1" s="81"/>
      <c r="UBR1" s="81"/>
      <c r="UBS1" s="81"/>
      <c r="UBT1" s="81"/>
      <c r="UBU1" s="81"/>
      <c r="UBV1" s="81"/>
      <c r="UBW1" s="81"/>
      <c r="UBX1" s="81"/>
      <c r="UBY1" s="81"/>
      <c r="UBZ1" s="81"/>
      <c r="UCA1" s="81"/>
      <c r="UCB1" s="81"/>
      <c r="UCC1" s="81"/>
      <c r="UCD1" s="81"/>
      <c r="UCE1" s="81"/>
      <c r="UCF1" s="81"/>
      <c r="UCG1" s="81"/>
      <c r="UCH1" s="81"/>
      <c r="UCI1" s="81"/>
      <c r="UCJ1" s="81"/>
      <c r="UCK1" s="81"/>
      <c r="UCL1" s="81"/>
      <c r="UCM1" s="81"/>
      <c r="UCN1" s="81"/>
      <c r="UCO1" s="81"/>
      <c r="UCP1" s="81"/>
      <c r="UCQ1" s="81"/>
      <c r="UCR1" s="81"/>
      <c r="UCS1" s="81"/>
      <c r="UCT1" s="81"/>
      <c r="UCU1" s="81"/>
      <c r="UCV1" s="81"/>
      <c r="UCW1" s="81"/>
      <c r="UCX1" s="81"/>
      <c r="UCY1" s="81"/>
      <c r="UCZ1" s="81"/>
      <c r="UDA1" s="81"/>
      <c r="UDB1" s="81"/>
      <c r="UDC1" s="81"/>
      <c r="UDD1" s="81"/>
      <c r="UDE1" s="81"/>
      <c r="UDF1" s="81"/>
      <c r="UDG1" s="81"/>
      <c r="UDH1" s="81"/>
      <c r="UDI1" s="81"/>
      <c r="UDJ1" s="81"/>
      <c r="UDK1" s="81"/>
      <c r="UDL1" s="81"/>
      <c r="UDM1" s="81"/>
      <c r="UDN1" s="81"/>
      <c r="UDO1" s="81"/>
      <c r="UDP1" s="81"/>
      <c r="UDQ1" s="81"/>
      <c r="UDR1" s="81"/>
      <c r="UDS1" s="81"/>
      <c r="UDT1" s="81"/>
      <c r="UDU1" s="81"/>
      <c r="UDV1" s="81"/>
      <c r="UDW1" s="81"/>
      <c r="UDX1" s="81"/>
      <c r="UDY1" s="81"/>
      <c r="UDZ1" s="81"/>
      <c r="UEA1" s="81"/>
      <c r="UEB1" s="81"/>
      <c r="UEC1" s="81"/>
      <c r="UED1" s="81"/>
      <c r="UEE1" s="81"/>
      <c r="UEF1" s="81"/>
      <c r="UEG1" s="81"/>
      <c r="UEH1" s="81"/>
      <c r="UEI1" s="81"/>
      <c r="UEJ1" s="81"/>
      <c r="UEK1" s="81"/>
      <c r="UEL1" s="81"/>
      <c r="UEM1" s="81"/>
      <c r="UEN1" s="81"/>
      <c r="UEO1" s="81"/>
      <c r="UEP1" s="81"/>
      <c r="UEQ1" s="81"/>
      <c r="UER1" s="81"/>
      <c r="UES1" s="81"/>
      <c r="UET1" s="81"/>
      <c r="UEU1" s="81"/>
      <c r="UEV1" s="81"/>
      <c r="UEW1" s="81"/>
      <c r="UEX1" s="81"/>
      <c r="UEY1" s="81"/>
      <c r="UEZ1" s="81"/>
      <c r="UFA1" s="81"/>
      <c r="UFB1" s="81"/>
      <c r="UFC1" s="81"/>
      <c r="UFD1" s="81"/>
      <c r="UFE1" s="81"/>
      <c r="UFF1" s="81"/>
      <c r="UFG1" s="81"/>
      <c r="UFH1" s="81"/>
      <c r="UFI1" s="81"/>
      <c r="UFJ1" s="81"/>
      <c r="UFK1" s="81"/>
      <c r="UFL1" s="81"/>
      <c r="UFM1" s="81"/>
      <c r="UFN1" s="81"/>
      <c r="UFO1" s="81"/>
      <c r="UFP1" s="81"/>
      <c r="UFQ1" s="81"/>
      <c r="UFR1" s="81"/>
      <c r="UFS1" s="81"/>
      <c r="UFT1" s="81"/>
      <c r="UFU1" s="81"/>
      <c r="UFV1" s="81"/>
      <c r="UFW1" s="81"/>
      <c r="UFX1" s="81"/>
      <c r="UFY1" s="81"/>
      <c r="UFZ1" s="81"/>
      <c r="UGA1" s="81"/>
      <c r="UGB1" s="81"/>
      <c r="UGC1" s="81"/>
      <c r="UGD1" s="81"/>
      <c r="UGE1" s="81"/>
      <c r="UGF1" s="81"/>
      <c r="UGG1" s="81"/>
      <c r="UGH1" s="81"/>
      <c r="UGI1" s="81"/>
      <c r="UGJ1" s="81"/>
      <c r="UGK1" s="81"/>
      <c r="UGL1" s="81"/>
      <c r="UGM1" s="81"/>
      <c r="UGN1" s="81"/>
      <c r="UGO1" s="81"/>
      <c r="UGP1" s="81"/>
      <c r="UGQ1" s="81"/>
      <c r="UGR1" s="81"/>
      <c r="UGS1" s="81"/>
      <c r="UGT1" s="81"/>
      <c r="UGU1" s="81"/>
      <c r="UGV1" s="81"/>
      <c r="UGW1" s="81"/>
      <c r="UGX1" s="81"/>
      <c r="UGY1" s="81"/>
      <c r="UGZ1" s="81"/>
      <c r="UHA1" s="81"/>
      <c r="UHB1" s="81"/>
      <c r="UHC1" s="81"/>
      <c r="UHD1" s="81"/>
      <c r="UHE1" s="81"/>
      <c r="UHF1" s="81"/>
      <c r="UHG1" s="81"/>
      <c r="UHH1" s="81"/>
      <c r="UHI1" s="81"/>
      <c r="UHJ1" s="81"/>
      <c r="UHK1" s="81"/>
      <c r="UHL1" s="81"/>
      <c r="UHM1" s="81"/>
      <c r="UHN1" s="81"/>
      <c r="UHO1" s="81"/>
      <c r="UHP1" s="81"/>
      <c r="UHQ1" s="81"/>
      <c r="UHR1" s="81"/>
      <c r="UHS1" s="81"/>
      <c r="UHT1" s="81"/>
      <c r="UHU1" s="81"/>
      <c r="UHV1" s="81"/>
      <c r="UHW1" s="81"/>
      <c r="UHX1" s="81"/>
      <c r="UHY1" s="81"/>
      <c r="UHZ1" s="81"/>
      <c r="UIA1" s="81"/>
      <c r="UIB1" s="81"/>
      <c r="UIC1" s="81"/>
      <c r="UID1" s="81"/>
      <c r="UIE1" s="81"/>
      <c r="UIF1" s="81"/>
      <c r="UIG1" s="81"/>
      <c r="UIH1" s="81"/>
      <c r="UII1" s="81"/>
      <c r="UIJ1" s="81"/>
      <c r="UIK1" s="81"/>
      <c r="UIL1" s="81"/>
      <c r="UIM1" s="81"/>
      <c r="UIN1" s="81"/>
      <c r="UIO1" s="81"/>
      <c r="UIP1" s="81"/>
      <c r="UIQ1" s="81"/>
      <c r="UIR1" s="81"/>
      <c r="UIS1" s="81"/>
      <c r="UIT1" s="81"/>
      <c r="UIU1" s="81"/>
      <c r="UIV1" s="81"/>
      <c r="UIW1" s="81"/>
      <c r="UIX1" s="81"/>
      <c r="UIY1" s="81"/>
      <c r="UIZ1" s="81"/>
      <c r="UJA1" s="81"/>
      <c r="UJB1" s="81"/>
      <c r="UJC1" s="81"/>
      <c r="UJD1" s="81"/>
      <c r="UJE1" s="81"/>
      <c r="UJF1" s="81"/>
      <c r="UJG1" s="81"/>
      <c r="UJH1" s="81"/>
      <c r="UJI1" s="81"/>
      <c r="UJJ1" s="81"/>
      <c r="UJK1" s="81"/>
      <c r="UJL1" s="81"/>
      <c r="UJM1" s="81"/>
      <c r="UJN1" s="81"/>
      <c r="UJO1" s="81"/>
      <c r="UJP1" s="81"/>
      <c r="UJQ1" s="81"/>
      <c r="UJR1" s="81"/>
      <c r="UJS1" s="81"/>
      <c r="UJT1" s="81"/>
      <c r="UJU1" s="81"/>
      <c r="UJV1" s="81"/>
      <c r="UJW1" s="81"/>
      <c r="UJX1" s="81"/>
      <c r="UJY1" s="81"/>
      <c r="UJZ1" s="81"/>
      <c r="UKA1" s="81"/>
      <c r="UKB1" s="81"/>
      <c r="UKC1" s="81"/>
      <c r="UKD1" s="81"/>
      <c r="UKE1" s="81"/>
      <c r="UKF1" s="81"/>
      <c r="UKG1" s="81"/>
      <c r="UKH1" s="81"/>
      <c r="UKI1" s="81"/>
      <c r="UKJ1" s="81"/>
      <c r="UKK1" s="81"/>
      <c r="UKL1" s="81"/>
      <c r="UKM1" s="81"/>
      <c r="UKN1" s="81"/>
      <c r="UKO1" s="81"/>
      <c r="UKP1" s="81"/>
      <c r="UKQ1" s="81"/>
      <c r="UKR1" s="81"/>
      <c r="UKS1" s="81"/>
      <c r="UKT1" s="81"/>
      <c r="UKU1" s="81"/>
      <c r="UKV1" s="81"/>
      <c r="UKW1" s="81"/>
      <c r="UKX1" s="81"/>
      <c r="UKY1" s="81"/>
      <c r="UKZ1" s="81"/>
      <c r="ULA1" s="81"/>
      <c r="ULB1" s="81"/>
      <c r="ULC1" s="81"/>
      <c r="ULD1" s="81"/>
      <c r="ULE1" s="81"/>
      <c r="ULF1" s="81"/>
      <c r="ULG1" s="81"/>
      <c r="ULH1" s="81"/>
      <c r="ULI1" s="81"/>
      <c r="ULJ1" s="81"/>
      <c r="ULK1" s="81"/>
      <c r="ULL1" s="81"/>
      <c r="ULM1" s="81"/>
      <c r="ULN1" s="81"/>
      <c r="ULO1" s="81"/>
      <c r="ULP1" s="81"/>
      <c r="ULQ1" s="81"/>
      <c r="ULR1" s="81"/>
      <c r="ULS1" s="81"/>
      <c r="ULT1" s="81"/>
      <c r="ULU1" s="81"/>
      <c r="ULV1" s="81"/>
      <c r="ULW1" s="81"/>
      <c r="ULX1" s="81"/>
      <c r="ULY1" s="81"/>
      <c r="ULZ1" s="81"/>
      <c r="UMA1" s="81"/>
      <c r="UMB1" s="81"/>
      <c r="UMC1" s="81"/>
      <c r="UMD1" s="81"/>
      <c r="UME1" s="81"/>
      <c r="UMF1" s="81"/>
      <c r="UMG1" s="81"/>
      <c r="UMH1" s="81"/>
      <c r="UMI1" s="81"/>
      <c r="UMJ1" s="81"/>
      <c r="UMK1" s="81"/>
      <c r="UML1" s="81"/>
      <c r="UMM1" s="81"/>
      <c r="UMN1" s="81"/>
      <c r="UMO1" s="81"/>
      <c r="UMP1" s="81"/>
      <c r="UMQ1" s="81"/>
      <c r="UMR1" s="81"/>
      <c r="UMS1" s="81"/>
      <c r="UMT1" s="81"/>
      <c r="UMU1" s="81"/>
      <c r="UMV1" s="81"/>
      <c r="UMW1" s="81"/>
      <c r="UMX1" s="81"/>
      <c r="UMY1" s="81"/>
      <c r="UMZ1" s="81"/>
      <c r="UNA1" s="81"/>
      <c r="UNB1" s="81"/>
      <c r="UNC1" s="81"/>
      <c r="UND1" s="81"/>
      <c r="UNE1" s="81"/>
      <c r="UNF1" s="81"/>
      <c r="UNG1" s="81"/>
      <c r="UNH1" s="81"/>
      <c r="UNI1" s="81"/>
      <c r="UNJ1" s="81"/>
      <c r="UNK1" s="81"/>
      <c r="UNL1" s="81"/>
      <c r="UNM1" s="81"/>
      <c r="UNN1" s="81"/>
      <c r="UNO1" s="81"/>
      <c r="UNP1" s="81"/>
      <c r="UNQ1" s="81"/>
      <c r="UNR1" s="81"/>
      <c r="UNS1" s="81"/>
      <c r="UNT1" s="81"/>
      <c r="UNU1" s="81"/>
      <c r="UNV1" s="81"/>
      <c r="UNW1" s="81"/>
      <c r="UNX1" s="81"/>
      <c r="UNY1" s="81"/>
      <c r="UNZ1" s="81"/>
      <c r="UOA1" s="81"/>
      <c r="UOB1" s="81"/>
      <c r="UOC1" s="81"/>
      <c r="UOD1" s="81"/>
      <c r="UOE1" s="81"/>
      <c r="UOF1" s="81"/>
      <c r="UOG1" s="81"/>
      <c r="UOH1" s="81"/>
      <c r="UOI1" s="81"/>
      <c r="UOJ1" s="81"/>
      <c r="UOK1" s="81"/>
      <c r="UOL1" s="81"/>
      <c r="UOM1" s="81"/>
      <c r="UON1" s="81"/>
      <c r="UOO1" s="81"/>
      <c r="UOP1" s="81"/>
      <c r="UOQ1" s="81"/>
      <c r="UOR1" s="81"/>
      <c r="UOS1" s="81"/>
      <c r="UOT1" s="81"/>
      <c r="UOU1" s="81"/>
      <c r="UOV1" s="81"/>
      <c r="UOW1" s="81"/>
      <c r="UOX1" s="81"/>
      <c r="UOY1" s="81"/>
      <c r="UOZ1" s="81"/>
      <c r="UPA1" s="81"/>
      <c r="UPB1" s="81"/>
      <c r="UPC1" s="81"/>
      <c r="UPD1" s="81"/>
      <c r="UPE1" s="81"/>
      <c r="UPF1" s="81"/>
      <c r="UPG1" s="81"/>
      <c r="UPH1" s="81"/>
      <c r="UPI1" s="81"/>
      <c r="UPJ1" s="81"/>
      <c r="UPK1" s="81"/>
      <c r="UPL1" s="81"/>
      <c r="UPM1" s="81"/>
      <c r="UPN1" s="81"/>
      <c r="UPO1" s="81"/>
      <c r="UPP1" s="81"/>
      <c r="UPQ1" s="81"/>
      <c r="UPR1" s="81"/>
      <c r="UPS1" s="81"/>
      <c r="UPT1" s="81"/>
      <c r="UPU1" s="81"/>
      <c r="UPV1" s="81"/>
      <c r="UPW1" s="81"/>
      <c r="UPX1" s="81"/>
      <c r="UPY1" s="81"/>
      <c r="UPZ1" s="81"/>
      <c r="UQA1" s="81"/>
      <c r="UQB1" s="81"/>
      <c r="UQC1" s="81"/>
      <c r="UQD1" s="81"/>
      <c r="UQE1" s="81"/>
      <c r="UQF1" s="81"/>
      <c r="UQG1" s="81"/>
      <c r="UQH1" s="81"/>
      <c r="UQI1" s="81"/>
      <c r="UQJ1" s="81"/>
      <c r="UQK1" s="81"/>
      <c r="UQL1" s="81"/>
      <c r="UQM1" s="81"/>
      <c r="UQN1" s="81"/>
      <c r="UQO1" s="81"/>
      <c r="UQP1" s="81"/>
      <c r="UQQ1" s="81"/>
      <c r="UQR1" s="81"/>
      <c r="UQS1" s="81"/>
      <c r="UQT1" s="81"/>
      <c r="UQU1" s="81"/>
      <c r="UQV1" s="81"/>
      <c r="UQW1" s="81"/>
      <c r="UQX1" s="81"/>
      <c r="UQY1" s="81"/>
      <c r="UQZ1" s="81"/>
      <c r="URA1" s="81"/>
      <c r="URB1" s="81"/>
      <c r="URC1" s="81"/>
      <c r="URD1" s="81"/>
      <c r="URE1" s="81"/>
      <c r="URF1" s="81"/>
      <c r="URG1" s="81"/>
      <c r="URH1" s="81"/>
      <c r="URI1" s="81"/>
      <c r="URJ1" s="81"/>
      <c r="URK1" s="81"/>
      <c r="URL1" s="81"/>
      <c r="URM1" s="81"/>
      <c r="URN1" s="81"/>
      <c r="URO1" s="81"/>
      <c r="URP1" s="81"/>
      <c r="URQ1" s="81"/>
      <c r="URR1" s="81"/>
      <c r="URS1" s="81"/>
      <c r="URT1" s="81"/>
      <c r="URU1" s="81"/>
      <c r="URV1" s="81"/>
      <c r="URW1" s="81"/>
      <c r="URX1" s="81"/>
      <c r="URY1" s="81"/>
      <c r="URZ1" s="81"/>
      <c r="USA1" s="81"/>
      <c r="USB1" s="81"/>
      <c r="USC1" s="81"/>
      <c r="USD1" s="81"/>
      <c r="USE1" s="81"/>
      <c r="USF1" s="81"/>
      <c r="USG1" s="81"/>
      <c r="USH1" s="81"/>
      <c r="USI1" s="81"/>
      <c r="USJ1" s="81"/>
      <c r="USK1" s="81"/>
      <c r="USL1" s="81"/>
      <c r="USM1" s="81"/>
      <c r="USN1" s="81"/>
      <c r="USO1" s="81"/>
      <c r="USP1" s="81"/>
      <c r="USQ1" s="81"/>
      <c r="USR1" s="81"/>
      <c r="USS1" s="81"/>
      <c r="UST1" s="81"/>
      <c r="USU1" s="81"/>
      <c r="USV1" s="81"/>
      <c r="USW1" s="81"/>
      <c r="USX1" s="81"/>
      <c r="USY1" s="81"/>
      <c r="USZ1" s="81"/>
      <c r="UTA1" s="81"/>
      <c r="UTB1" s="81"/>
      <c r="UTC1" s="81"/>
      <c r="UTD1" s="81"/>
      <c r="UTE1" s="81"/>
      <c r="UTF1" s="81"/>
      <c r="UTG1" s="81"/>
      <c r="UTH1" s="81"/>
      <c r="UTI1" s="81"/>
      <c r="UTJ1" s="81"/>
      <c r="UTK1" s="81"/>
      <c r="UTL1" s="81"/>
      <c r="UTM1" s="81"/>
      <c r="UTN1" s="81"/>
      <c r="UTO1" s="81"/>
      <c r="UTP1" s="81"/>
      <c r="UTQ1" s="81"/>
      <c r="UTR1" s="81"/>
      <c r="UTS1" s="81"/>
      <c r="UTT1" s="81"/>
      <c r="UTU1" s="81"/>
      <c r="UTV1" s="81"/>
      <c r="UTW1" s="81"/>
      <c r="UTX1" s="81"/>
      <c r="UTY1" s="81"/>
      <c r="UTZ1" s="81"/>
      <c r="UUA1" s="81"/>
      <c r="UUB1" s="81"/>
      <c r="UUC1" s="81"/>
      <c r="UUD1" s="81"/>
      <c r="UUE1" s="81"/>
      <c r="UUF1" s="81"/>
      <c r="UUG1" s="81"/>
      <c r="UUH1" s="81"/>
      <c r="UUI1" s="81"/>
      <c r="UUJ1" s="81"/>
      <c r="UUK1" s="81"/>
      <c r="UUL1" s="81"/>
      <c r="UUM1" s="81"/>
      <c r="UUN1" s="81"/>
      <c r="UUO1" s="81"/>
      <c r="UUP1" s="81"/>
      <c r="UUQ1" s="81"/>
      <c r="UUR1" s="81"/>
      <c r="UUS1" s="81"/>
      <c r="UUT1" s="81"/>
      <c r="UUU1" s="81"/>
      <c r="UUV1" s="81"/>
      <c r="UUW1" s="81"/>
      <c r="UUX1" s="81"/>
      <c r="UUY1" s="81"/>
      <c r="UUZ1" s="81"/>
      <c r="UVA1" s="81"/>
      <c r="UVB1" s="81"/>
      <c r="UVC1" s="81"/>
      <c r="UVD1" s="81"/>
      <c r="UVE1" s="81"/>
      <c r="UVF1" s="81"/>
      <c r="UVG1" s="81"/>
      <c r="UVH1" s="81"/>
      <c r="UVI1" s="81"/>
      <c r="UVJ1" s="81"/>
      <c r="UVK1" s="81"/>
      <c r="UVL1" s="81"/>
      <c r="UVM1" s="81"/>
      <c r="UVN1" s="81"/>
      <c r="UVO1" s="81"/>
      <c r="UVP1" s="81"/>
      <c r="UVQ1" s="81"/>
      <c r="UVR1" s="81"/>
      <c r="UVS1" s="81"/>
      <c r="UVT1" s="81"/>
      <c r="UVU1" s="81"/>
      <c r="UVV1" s="81"/>
      <c r="UVW1" s="81"/>
      <c r="UVX1" s="81"/>
      <c r="UVY1" s="81"/>
      <c r="UVZ1" s="81"/>
      <c r="UWA1" s="81"/>
      <c r="UWB1" s="81"/>
      <c r="UWC1" s="81"/>
      <c r="UWD1" s="81"/>
      <c r="UWE1" s="81"/>
      <c r="UWF1" s="81"/>
      <c r="UWG1" s="81"/>
      <c r="UWH1" s="81"/>
      <c r="UWI1" s="81"/>
      <c r="UWJ1" s="81"/>
      <c r="UWK1" s="81"/>
      <c r="UWL1" s="81"/>
      <c r="UWM1" s="81"/>
      <c r="UWN1" s="81"/>
      <c r="UWO1" s="81"/>
      <c r="UWP1" s="81"/>
      <c r="UWQ1" s="81"/>
      <c r="UWR1" s="81"/>
      <c r="UWS1" s="81"/>
      <c r="UWT1" s="81"/>
      <c r="UWU1" s="81"/>
      <c r="UWV1" s="81"/>
      <c r="UWW1" s="81"/>
      <c r="UWX1" s="81"/>
      <c r="UWY1" s="81"/>
      <c r="UWZ1" s="81"/>
      <c r="UXA1" s="81"/>
      <c r="UXB1" s="81"/>
      <c r="UXC1" s="81"/>
      <c r="UXD1" s="81"/>
      <c r="UXE1" s="81"/>
      <c r="UXF1" s="81"/>
      <c r="UXG1" s="81"/>
      <c r="UXH1" s="81"/>
      <c r="UXI1" s="81"/>
      <c r="UXJ1" s="81"/>
      <c r="UXK1" s="81"/>
      <c r="UXL1" s="81"/>
      <c r="UXM1" s="81"/>
      <c r="UXN1" s="81"/>
      <c r="UXO1" s="81"/>
      <c r="UXP1" s="81"/>
      <c r="UXQ1" s="81"/>
      <c r="UXR1" s="81"/>
      <c r="UXS1" s="81"/>
      <c r="UXT1" s="81"/>
      <c r="UXU1" s="81"/>
      <c r="UXV1" s="81"/>
      <c r="UXW1" s="81"/>
      <c r="UXX1" s="81"/>
      <c r="UXY1" s="81"/>
      <c r="UXZ1" s="81"/>
      <c r="UYA1" s="81"/>
      <c r="UYB1" s="81"/>
      <c r="UYC1" s="81"/>
      <c r="UYD1" s="81"/>
      <c r="UYE1" s="81"/>
      <c r="UYF1" s="81"/>
      <c r="UYG1" s="81"/>
      <c r="UYH1" s="81"/>
      <c r="UYI1" s="81"/>
      <c r="UYJ1" s="81"/>
      <c r="UYK1" s="81"/>
      <c r="UYL1" s="81"/>
      <c r="UYM1" s="81"/>
      <c r="UYN1" s="81"/>
      <c r="UYO1" s="81"/>
      <c r="UYP1" s="81"/>
      <c r="UYQ1" s="81"/>
      <c r="UYR1" s="81"/>
      <c r="UYS1" s="81"/>
      <c r="UYT1" s="81"/>
      <c r="UYU1" s="81"/>
      <c r="UYV1" s="81"/>
      <c r="UYW1" s="81"/>
      <c r="UYX1" s="81"/>
      <c r="UYY1" s="81"/>
      <c r="UYZ1" s="81"/>
      <c r="UZA1" s="81"/>
      <c r="UZB1" s="81"/>
      <c r="UZC1" s="81"/>
      <c r="UZD1" s="81"/>
      <c r="UZE1" s="81"/>
      <c r="UZF1" s="81"/>
      <c r="UZG1" s="81"/>
      <c r="UZH1" s="81"/>
      <c r="UZI1" s="81"/>
      <c r="UZJ1" s="81"/>
      <c r="UZK1" s="81"/>
      <c r="UZL1" s="81"/>
      <c r="UZM1" s="81"/>
      <c r="UZN1" s="81"/>
      <c r="UZO1" s="81"/>
      <c r="UZP1" s="81"/>
      <c r="UZQ1" s="81"/>
      <c r="UZR1" s="81"/>
      <c r="UZS1" s="81"/>
      <c r="UZT1" s="81"/>
      <c r="UZU1" s="81"/>
      <c r="UZV1" s="81"/>
      <c r="UZW1" s="81"/>
      <c r="UZX1" s="81"/>
      <c r="UZY1" s="81"/>
      <c r="UZZ1" s="81"/>
      <c r="VAA1" s="81"/>
      <c r="VAB1" s="81"/>
      <c r="VAC1" s="81"/>
      <c r="VAD1" s="81"/>
      <c r="VAE1" s="81"/>
      <c r="VAF1" s="81"/>
      <c r="VAG1" s="81"/>
      <c r="VAH1" s="81"/>
      <c r="VAI1" s="81"/>
      <c r="VAJ1" s="81"/>
      <c r="VAK1" s="81"/>
      <c r="VAL1" s="81"/>
      <c r="VAM1" s="81"/>
      <c r="VAN1" s="81"/>
      <c r="VAO1" s="81"/>
      <c r="VAP1" s="81"/>
      <c r="VAQ1" s="81"/>
      <c r="VAR1" s="81"/>
      <c r="VAS1" s="81"/>
      <c r="VAT1" s="81"/>
      <c r="VAU1" s="81"/>
      <c r="VAV1" s="81"/>
      <c r="VAW1" s="81"/>
      <c r="VAX1" s="81"/>
      <c r="VAY1" s="81"/>
      <c r="VAZ1" s="81"/>
      <c r="VBA1" s="81"/>
      <c r="VBB1" s="81"/>
      <c r="VBC1" s="81"/>
      <c r="VBD1" s="81"/>
      <c r="VBE1" s="81"/>
      <c r="VBF1" s="81"/>
      <c r="VBG1" s="81"/>
      <c r="VBH1" s="81"/>
      <c r="VBI1" s="81"/>
      <c r="VBJ1" s="81"/>
      <c r="VBK1" s="81"/>
      <c r="VBL1" s="81"/>
      <c r="VBM1" s="81"/>
      <c r="VBN1" s="81"/>
      <c r="VBO1" s="81"/>
      <c r="VBP1" s="81"/>
      <c r="VBQ1" s="81"/>
      <c r="VBR1" s="81"/>
      <c r="VBS1" s="81"/>
      <c r="VBT1" s="81"/>
      <c r="VBU1" s="81"/>
      <c r="VBV1" s="81"/>
      <c r="VBW1" s="81"/>
      <c r="VBX1" s="81"/>
      <c r="VBY1" s="81"/>
      <c r="VBZ1" s="81"/>
      <c r="VCA1" s="81"/>
      <c r="VCB1" s="81"/>
      <c r="VCC1" s="81"/>
      <c r="VCD1" s="81"/>
      <c r="VCE1" s="81"/>
      <c r="VCF1" s="81"/>
      <c r="VCG1" s="81"/>
      <c r="VCH1" s="81"/>
      <c r="VCI1" s="81"/>
      <c r="VCJ1" s="81"/>
      <c r="VCK1" s="81"/>
      <c r="VCL1" s="81"/>
      <c r="VCM1" s="81"/>
      <c r="VCN1" s="81"/>
      <c r="VCO1" s="81"/>
      <c r="VCP1" s="81"/>
      <c r="VCQ1" s="81"/>
      <c r="VCR1" s="81"/>
      <c r="VCS1" s="81"/>
      <c r="VCT1" s="81"/>
      <c r="VCU1" s="81"/>
      <c r="VCV1" s="81"/>
      <c r="VCW1" s="81"/>
      <c r="VCX1" s="81"/>
      <c r="VCY1" s="81"/>
      <c r="VCZ1" s="81"/>
      <c r="VDA1" s="81"/>
      <c r="VDB1" s="81"/>
      <c r="VDC1" s="81"/>
      <c r="VDD1" s="81"/>
      <c r="VDE1" s="81"/>
      <c r="VDF1" s="81"/>
      <c r="VDG1" s="81"/>
      <c r="VDH1" s="81"/>
      <c r="VDI1" s="81"/>
      <c r="VDJ1" s="81"/>
      <c r="VDK1" s="81"/>
      <c r="VDL1" s="81"/>
      <c r="VDM1" s="81"/>
      <c r="VDN1" s="81"/>
      <c r="VDO1" s="81"/>
      <c r="VDP1" s="81"/>
      <c r="VDQ1" s="81"/>
      <c r="VDR1" s="81"/>
      <c r="VDS1" s="81"/>
      <c r="VDT1" s="81"/>
      <c r="VDU1" s="81"/>
      <c r="VDV1" s="81"/>
      <c r="VDW1" s="81"/>
      <c r="VDX1" s="81"/>
      <c r="VDY1" s="81"/>
      <c r="VDZ1" s="81"/>
      <c r="VEA1" s="81"/>
      <c r="VEB1" s="81"/>
      <c r="VEC1" s="81"/>
      <c r="VED1" s="81"/>
      <c r="VEE1" s="81"/>
      <c r="VEF1" s="81"/>
      <c r="VEG1" s="81"/>
      <c r="VEH1" s="81"/>
      <c r="VEI1" s="81"/>
      <c r="VEJ1" s="81"/>
      <c r="VEK1" s="81"/>
      <c r="VEL1" s="81"/>
      <c r="VEM1" s="81"/>
      <c r="VEN1" s="81"/>
      <c r="VEO1" s="81"/>
      <c r="VEP1" s="81"/>
      <c r="VEQ1" s="81"/>
      <c r="VER1" s="81"/>
      <c r="VES1" s="81"/>
      <c r="VET1" s="81"/>
      <c r="VEU1" s="81"/>
      <c r="VEV1" s="81"/>
      <c r="VEW1" s="81"/>
      <c r="VEX1" s="81"/>
      <c r="VEY1" s="81"/>
      <c r="VEZ1" s="81"/>
      <c r="VFA1" s="81"/>
      <c r="VFB1" s="81"/>
      <c r="VFC1" s="81"/>
      <c r="VFD1" s="81"/>
      <c r="VFE1" s="81"/>
      <c r="VFF1" s="81"/>
      <c r="VFG1" s="81"/>
      <c r="VFH1" s="81"/>
      <c r="VFI1" s="81"/>
      <c r="VFJ1" s="81"/>
      <c r="VFK1" s="81"/>
      <c r="VFL1" s="81"/>
      <c r="VFM1" s="81"/>
      <c r="VFN1" s="81"/>
      <c r="VFO1" s="81"/>
      <c r="VFP1" s="81"/>
      <c r="VFQ1" s="81"/>
      <c r="VFR1" s="81"/>
      <c r="VFS1" s="81"/>
      <c r="VFT1" s="81"/>
      <c r="VFU1" s="81"/>
      <c r="VFV1" s="81"/>
      <c r="VFW1" s="81"/>
      <c r="VFX1" s="81"/>
      <c r="VFY1" s="81"/>
      <c r="VFZ1" s="81"/>
      <c r="VGA1" s="81"/>
      <c r="VGB1" s="81"/>
      <c r="VGC1" s="81"/>
      <c r="VGD1" s="81"/>
      <c r="VGE1" s="81"/>
      <c r="VGF1" s="81"/>
      <c r="VGG1" s="81"/>
      <c r="VGH1" s="81"/>
      <c r="VGI1" s="81"/>
      <c r="VGJ1" s="81"/>
      <c r="VGK1" s="81"/>
      <c r="VGL1" s="81"/>
      <c r="VGM1" s="81"/>
      <c r="VGN1" s="81"/>
      <c r="VGO1" s="81"/>
      <c r="VGP1" s="81"/>
      <c r="VGQ1" s="81"/>
      <c r="VGR1" s="81"/>
      <c r="VGS1" s="81"/>
      <c r="VGT1" s="81"/>
      <c r="VGU1" s="81"/>
      <c r="VGV1" s="81"/>
      <c r="VGW1" s="81"/>
      <c r="VGX1" s="81"/>
      <c r="VGY1" s="81"/>
      <c r="VGZ1" s="81"/>
      <c r="VHA1" s="81"/>
      <c r="VHB1" s="81"/>
      <c r="VHC1" s="81"/>
      <c r="VHD1" s="81"/>
      <c r="VHE1" s="81"/>
      <c r="VHF1" s="81"/>
      <c r="VHG1" s="81"/>
      <c r="VHH1" s="81"/>
      <c r="VHI1" s="81"/>
      <c r="VHJ1" s="81"/>
      <c r="VHK1" s="81"/>
      <c r="VHL1" s="81"/>
      <c r="VHM1" s="81"/>
      <c r="VHN1" s="81"/>
      <c r="VHO1" s="81"/>
      <c r="VHP1" s="81"/>
      <c r="VHQ1" s="81"/>
      <c r="VHR1" s="81"/>
      <c r="VHS1" s="81"/>
      <c r="VHT1" s="81"/>
      <c r="VHU1" s="81"/>
      <c r="VHV1" s="81"/>
      <c r="VHW1" s="81"/>
      <c r="VHX1" s="81"/>
      <c r="VHY1" s="81"/>
      <c r="VHZ1" s="81"/>
      <c r="VIA1" s="81"/>
      <c r="VIB1" s="81"/>
      <c r="VIC1" s="81"/>
      <c r="VID1" s="81"/>
      <c r="VIE1" s="81"/>
      <c r="VIF1" s="81"/>
      <c r="VIG1" s="81"/>
      <c r="VIH1" s="81"/>
      <c r="VII1" s="81"/>
      <c r="VIJ1" s="81"/>
      <c r="VIK1" s="81"/>
      <c r="VIL1" s="81"/>
      <c r="VIM1" s="81"/>
      <c r="VIN1" s="81"/>
      <c r="VIO1" s="81"/>
      <c r="VIP1" s="81"/>
      <c r="VIQ1" s="81"/>
      <c r="VIR1" s="81"/>
      <c r="VIS1" s="81"/>
      <c r="VIT1" s="81"/>
      <c r="VIU1" s="81"/>
      <c r="VIV1" s="81"/>
      <c r="VIW1" s="81"/>
      <c r="VIX1" s="81"/>
      <c r="VIY1" s="81"/>
      <c r="VIZ1" s="81"/>
      <c r="VJA1" s="81"/>
      <c r="VJB1" s="81"/>
      <c r="VJC1" s="81"/>
      <c r="VJD1" s="81"/>
      <c r="VJE1" s="81"/>
      <c r="VJF1" s="81"/>
      <c r="VJG1" s="81"/>
      <c r="VJH1" s="81"/>
      <c r="VJI1" s="81"/>
      <c r="VJJ1" s="81"/>
      <c r="VJK1" s="81"/>
      <c r="VJL1" s="81"/>
      <c r="VJM1" s="81"/>
      <c r="VJN1" s="81"/>
      <c r="VJO1" s="81"/>
      <c r="VJP1" s="81"/>
      <c r="VJQ1" s="81"/>
      <c r="VJR1" s="81"/>
      <c r="VJS1" s="81"/>
      <c r="VJT1" s="81"/>
      <c r="VJU1" s="81"/>
      <c r="VJV1" s="81"/>
      <c r="VJW1" s="81"/>
      <c r="VJX1" s="81"/>
      <c r="VJY1" s="81"/>
      <c r="VJZ1" s="81"/>
      <c r="VKA1" s="81"/>
      <c r="VKB1" s="81"/>
      <c r="VKC1" s="81"/>
      <c r="VKD1" s="81"/>
      <c r="VKE1" s="81"/>
      <c r="VKF1" s="81"/>
      <c r="VKG1" s="81"/>
      <c r="VKH1" s="81"/>
      <c r="VKI1" s="81"/>
      <c r="VKJ1" s="81"/>
      <c r="VKK1" s="81"/>
      <c r="VKL1" s="81"/>
      <c r="VKM1" s="81"/>
      <c r="VKN1" s="81"/>
      <c r="VKO1" s="81"/>
      <c r="VKP1" s="81"/>
      <c r="VKQ1" s="81"/>
      <c r="VKR1" s="81"/>
      <c r="VKS1" s="81"/>
      <c r="VKT1" s="81"/>
      <c r="VKU1" s="81"/>
      <c r="VKV1" s="81"/>
      <c r="VKW1" s="81"/>
      <c r="VKX1" s="81"/>
      <c r="VKY1" s="81"/>
      <c r="VKZ1" s="81"/>
      <c r="VLA1" s="81"/>
      <c r="VLB1" s="81"/>
      <c r="VLC1" s="81"/>
      <c r="VLD1" s="81"/>
      <c r="VLE1" s="81"/>
      <c r="VLF1" s="81"/>
      <c r="VLG1" s="81"/>
      <c r="VLH1" s="81"/>
      <c r="VLI1" s="81"/>
      <c r="VLJ1" s="81"/>
      <c r="VLK1" s="81"/>
      <c r="VLL1" s="81"/>
      <c r="VLM1" s="81"/>
      <c r="VLN1" s="81"/>
      <c r="VLO1" s="81"/>
      <c r="VLP1" s="81"/>
      <c r="VLQ1" s="81"/>
      <c r="VLR1" s="81"/>
      <c r="VLS1" s="81"/>
      <c r="VLT1" s="81"/>
      <c r="VLU1" s="81"/>
      <c r="VLV1" s="81"/>
      <c r="VLW1" s="81"/>
      <c r="VLX1" s="81"/>
      <c r="VLY1" s="81"/>
      <c r="VLZ1" s="81"/>
      <c r="VMA1" s="81"/>
      <c r="VMB1" s="81"/>
      <c r="VMC1" s="81"/>
      <c r="VMD1" s="81"/>
      <c r="VME1" s="81"/>
      <c r="VMF1" s="81"/>
      <c r="VMG1" s="81"/>
      <c r="VMH1" s="81"/>
      <c r="VMI1" s="81"/>
      <c r="VMJ1" s="81"/>
      <c r="VMK1" s="81"/>
      <c r="VML1" s="81"/>
      <c r="VMM1" s="81"/>
      <c r="VMN1" s="81"/>
      <c r="VMO1" s="81"/>
      <c r="VMP1" s="81"/>
      <c r="VMQ1" s="81"/>
      <c r="VMR1" s="81"/>
      <c r="VMS1" s="81"/>
      <c r="VMT1" s="81"/>
      <c r="VMU1" s="81"/>
      <c r="VMV1" s="81"/>
      <c r="VMW1" s="81"/>
      <c r="VMX1" s="81"/>
      <c r="VMY1" s="81"/>
      <c r="VMZ1" s="81"/>
      <c r="VNA1" s="81"/>
      <c r="VNB1" s="81"/>
      <c r="VNC1" s="81"/>
      <c r="VND1" s="81"/>
      <c r="VNE1" s="81"/>
      <c r="VNF1" s="81"/>
      <c r="VNG1" s="81"/>
      <c r="VNH1" s="81"/>
      <c r="VNI1" s="81"/>
      <c r="VNJ1" s="81"/>
      <c r="VNK1" s="81"/>
      <c r="VNL1" s="81"/>
      <c r="VNM1" s="81"/>
      <c r="VNN1" s="81"/>
      <c r="VNO1" s="81"/>
      <c r="VNP1" s="81"/>
      <c r="VNQ1" s="81"/>
      <c r="VNR1" s="81"/>
      <c r="VNS1" s="81"/>
      <c r="VNT1" s="81"/>
      <c r="VNU1" s="81"/>
      <c r="VNV1" s="81"/>
      <c r="VNW1" s="81"/>
      <c r="VNX1" s="81"/>
      <c r="VNY1" s="81"/>
      <c r="VNZ1" s="81"/>
      <c r="VOA1" s="81"/>
      <c r="VOB1" s="81"/>
      <c r="VOC1" s="81"/>
      <c r="VOD1" s="81"/>
      <c r="VOE1" s="81"/>
      <c r="VOF1" s="81"/>
      <c r="VOG1" s="81"/>
      <c r="VOH1" s="81"/>
      <c r="VOI1" s="81"/>
      <c r="VOJ1" s="81"/>
      <c r="VOK1" s="81"/>
      <c r="VOL1" s="81"/>
      <c r="VOM1" s="81"/>
      <c r="VON1" s="81"/>
      <c r="VOO1" s="81"/>
      <c r="VOP1" s="81"/>
      <c r="VOQ1" s="81"/>
      <c r="VOR1" s="81"/>
      <c r="VOS1" s="81"/>
      <c r="VOT1" s="81"/>
      <c r="VOU1" s="81"/>
      <c r="VOV1" s="81"/>
      <c r="VOW1" s="81"/>
      <c r="VOX1" s="81"/>
      <c r="VOY1" s="81"/>
      <c r="VOZ1" s="81"/>
      <c r="VPA1" s="81"/>
      <c r="VPB1" s="81"/>
      <c r="VPC1" s="81"/>
      <c r="VPD1" s="81"/>
      <c r="VPE1" s="81"/>
      <c r="VPF1" s="81"/>
      <c r="VPG1" s="81"/>
      <c r="VPH1" s="81"/>
      <c r="VPI1" s="81"/>
      <c r="VPJ1" s="81"/>
      <c r="VPK1" s="81"/>
      <c r="VPL1" s="81"/>
      <c r="VPM1" s="81"/>
      <c r="VPN1" s="81"/>
      <c r="VPO1" s="81"/>
      <c r="VPP1" s="81"/>
      <c r="VPQ1" s="81"/>
      <c r="VPR1" s="81"/>
      <c r="VPS1" s="81"/>
      <c r="VPT1" s="81"/>
      <c r="VPU1" s="81"/>
      <c r="VPV1" s="81"/>
      <c r="VPW1" s="81"/>
      <c r="VPX1" s="81"/>
      <c r="VPY1" s="81"/>
      <c r="VPZ1" s="81"/>
      <c r="VQA1" s="81"/>
      <c r="VQB1" s="81"/>
      <c r="VQC1" s="81"/>
      <c r="VQD1" s="81"/>
      <c r="VQE1" s="81"/>
      <c r="VQF1" s="81"/>
      <c r="VQG1" s="81"/>
      <c r="VQH1" s="81"/>
      <c r="VQI1" s="81"/>
      <c r="VQJ1" s="81"/>
      <c r="VQK1" s="81"/>
      <c r="VQL1" s="81"/>
      <c r="VQM1" s="81"/>
      <c r="VQN1" s="81"/>
      <c r="VQO1" s="81"/>
      <c r="VQP1" s="81"/>
      <c r="VQQ1" s="81"/>
      <c r="VQR1" s="81"/>
      <c r="VQS1" s="81"/>
      <c r="VQT1" s="81"/>
      <c r="VQU1" s="81"/>
      <c r="VQV1" s="81"/>
      <c r="VQW1" s="81"/>
      <c r="VQX1" s="81"/>
      <c r="VQY1" s="81"/>
      <c r="VQZ1" s="81"/>
      <c r="VRA1" s="81"/>
      <c r="VRB1" s="81"/>
      <c r="VRC1" s="81"/>
      <c r="VRD1" s="81"/>
      <c r="VRE1" s="81"/>
      <c r="VRF1" s="81"/>
      <c r="VRG1" s="81"/>
      <c r="VRH1" s="81"/>
      <c r="VRI1" s="81"/>
      <c r="VRJ1" s="81"/>
      <c r="VRK1" s="81"/>
      <c r="VRL1" s="81"/>
      <c r="VRM1" s="81"/>
      <c r="VRN1" s="81"/>
      <c r="VRO1" s="81"/>
      <c r="VRP1" s="81"/>
      <c r="VRQ1" s="81"/>
      <c r="VRR1" s="81"/>
      <c r="VRS1" s="81"/>
      <c r="VRT1" s="81"/>
      <c r="VRU1" s="81"/>
      <c r="VRV1" s="81"/>
      <c r="VRW1" s="81"/>
      <c r="VRX1" s="81"/>
      <c r="VRY1" s="81"/>
      <c r="VRZ1" s="81"/>
      <c r="VSA1" s="81"/>
      <c r="VSB1" s="81"/>
      <c r="VSC1" s="81"/>
      <c r="VSD1" s="81"/>
      <c r="VSE1" s="81"/>
      <c r="VSF1" s="81"/>
      <c r="VSG1" s="81"/>
      <c r="VSH1" s="81"/>
      <c r="VSI1" s="81"/>
      <c r="VSJ1" s="81"/>
      <c r="VSK1" s="81"/>
      <c r="VSL1" s="81"/>
      <c r="VSM1" s="81"/>
      <c r="VSN1" s="81"/>
      <c r="VSO1" s="81"/>
      <c r="VSP1" s="81"/>
      <c r="VSQ1" s="81"/>
      <c r="VSR1" s="81"/>
      <c r="VSS1" s="81"/>
      <c r="VST1" s="81"/>
      <c r="VSU1" s="81"/>
      <c r="VSV1" s="81"/>
      <c r="VSW1" s="81"/>
      <c r="VSX1" s="81"/>
      <c r="VSY1" s="81"/>
      <c r="VSZ1" s="81"/>
      <c r="VTA1" s="81"/>
      <c r="VTB1" s="81"/>
      <c r="VTC1" s="81"/>
      <c r="VTD1" s="81"/>
      <c r="VTE1" s="81"/>
      <c r="VTF1" s="81"/>
      <c r="VTG1" s="81"/>
      <c r="VTH1" s="81"/>
      <c r="VTI1" s="81"/>
      <c r="VTJ1" s="81"/>
      <c r="VTK1" s="81"/>
      <c r="VTL1" s="81"/>
      <c r="VTM1" s="81"/>
      <c r="VTN1" s="81"/>
      <c r="VTO1" s="81"/>
      <c r="VTP1" s="81"/>
      <c r="VTQ1" s="81"/>
      <c r="VTR1" s="81"/>
      <c r="VTS1" s="81"/>
      <c r="VTT1" s="81"/>
      <c r="VTU1" s="81"/>
      <c r="VTV1" s="81"/>
      <c r="VTW1" s="81"/>
      <c r="VTX1" s="81"/>
      <c r="VTY1" s="81"/>
      <c r="VTZ1" s="81"/>
      <c r="VUA1" s="81"/>
      <c r="VUB1" s="81"/>
      <c r="VUC1" s="81"/>
      <c r="VUD1" s="81"/>
      <c r="VUE1" s="81"/>
      <c r="VUF1" s="81"/>
      <c r="VUG1" s="81"/>
      <c r="VUH1" s="81"/>
      <c r="VUI1" s="81"/>
      <c r="VUJ1" s="81"/>
      <c r="VUK1" s="81"/>
      <c r="VUL1" s="81"/>
      <c r="VUM1" s="81"/>
      <c r="VUN1" s="81"/>
      <c r="VUO1" s="81"/>
      <c r="VUP1" s="81"/>
      <c r="VUQ1" s="81"/>
      <c r="VUR1" s="81"/>
      <c r="VUS1" s="81"/>
      <c r="VUT1" s="81"/>
      <c r="VUU1" s="81"/>
      <c r="VUV1" s="81"/>
      <c r="VUW1" s="81"/>
      <c r="VUX1" s="81"/>
      <c r="VUY1" s="81"/>
      <c r="VUZ1" s="81"/>
      <c r="VVA1" s="81"/>
      <c r="VVB1" s="81"/>
      <c r="VVC1" s="81"/>
      <c r="VVD1" s="81"/>
      <c r="VVE1" s="81"/>
      <c r="VVF1" s="81"/>
      <c r="VVG1" s="81"/>
      <c r="VVH1" s="81"/>
      <c r="VVI1" s="81"/>
      <c r="VVJ1" s="81"/>
      <c r="VVK1" s="81"/>
      <c r="VVL1" s="81"/>
      <c r="VVM1" s="81"/>
      <c r="VVN1" s="81"/>
      <c r="VVO1" s="81"/>
      <c r="VVP1" s="81"/>
      <c r="VVQ1" s="81"/>
      <c r="VVR1" s="81"/>
      <c r="VVS1" s="81"/>
      <c r="VVT1" s="81"/>
      <c r="VVU1" s="81"/>
      <c r="VVV1" s="81"/>
      <c r="VVW1" s="81"/>
      <c r="VVX1" s="81"/>
      <c r="VVY1" s="81"/>
      <c r="VVZ1" s="81"/>
      <c r="VWA1" s="81"/>
      <c r="VWB1" s="81"/>
      <c r="VWC1" s="81"/>
      <c r="VWD1" s="81"/>
      <c r="VWE1" s="81"/>
      <c r="VWF1" s="81"/>
      <c r="VWG1" s="81"/>
      <c r="VWH1" s="81"/>
      <c r="VWI1" s="81"/>
      <c r="VWJ1" s="81"/>
      <c r="VWK1" s="81"/>
      <c r="VWL1" s="81"/>
      <c r="VWM1" s="81"/>
      <c r="VWN1" s="81"/>
      <c r="VWO1" s="81"/>
      <c r="VWP1" s="81"/>
      <c r="VWQ1" s="81"/>
      <c r="VWR1" s="81"/>
      <c r="VWS1" s="81"/>
      <c r="VWT1" s="81"/>
      <c r="VWU1" s="81"/>
      <c r="VWV1" s="81"/>
      <c r="VWW1" s="81"/>
      <c r="VWX1" s="81"/>
      <c r="VWY1" s="81"/>
      <c r="VWZ1" s="81"/>
      <c r="VXA1" s="81"/>
      <c r="VXB1" s="81"/>
      <c r="VXC1" s="81"/>
      <c r="VXD1" s="81"/>
      <c r="VXE1" s="81"/>
      <c r="VXF1" s="81"/>
      <c r="VXG1" s="81"/>
      <c r="VXH1" s="81"/>
      <c r="VXI1" s="81"/>
      <c r="VXJ1" s="81"/>
      <c r="VXK1" s="81"/>
      <c r="VXL1" s="81"/>
      <c r="VXM1" s="81"/>
      <c r="VXN1" s="81"/>
      <c r="VXO1" s="81"/>
      <c r="VXP1" s="81"/>
      <c r="VXQ1" s="81"/>
      <c r="VXR1" s="81"/>
      <c r="VXS1" s="81"/>
      <c r="VXT1" s="81"/>
      <c r="VXU1" s="81"/>
      <c r="VXV1" s="81"/>
      <c r="VXW1" s="81"/>
      <c r="VXX1" s="81"/>
      <c r="VXY1" s="81"/>
      <c r="VXZ1" s="81"/>
      <c r="VYA1" s="81"/>
      <c r="VYB1" s="81"/>
      <c r="VYC1" s="81"/>
      <c r="VYD1" s="81"/>
      <c r="VYE1" s="81"/>
      <c r="VYF1" s="81"/>
      <c r="VYG1" s="81"/>
      <c r="VYH1" s="81"/>
      <c r="VYI1" s="81"/>
      <c r="VYJ1" s="81"/>
      <c r="VYK1" s="81"/>
      <c r="VYL1" s="81"/>
      <c r="VYM1" s="81"/>
      <c r="VYN1" s="81"/>
      <c r="VYO1" s="81"/>
      <c r="VYP1" s="81"/>
      <c r="VYQ1" s="81"/>
      <c r="VYR1" s="81"/>
      <c r="VYS1" s="81"/>
      <c r="VYT1" s="81"/>
      <c r="VYU1" s="81"/>
      <c r="VYV1" s="81"/>
      <c r="VYW1" s="81"/>
      <c r="VYX1" s="81"/>
      <c r="VYY1" s="81"/>
      <c r="VYZ1" s="81"/>
      <c r="VZA1" s="81"/>
      <c r="VZB1" s="81"/>
      <c r="VZC1" s="81"/>
      <c r="VZD1" s="81"/>
      <c r="VZE1" s="81"/>
      <c r="VZF1" s="81"/>
      <c r="VZG1" s="81"/>
      <c r="VZH1" s="81"/>
      <c r="VZI1" s="81"/>
      <c r="VZJ1" s="81"/>
      <c r="VZK1" s="81"/>
      <c r="VZL1" s="81"/>
      <c r="VZM1" s="81"/>
      <c r="VZN1" s="81"/>
      <c r="VZO1" s="81"/>
      <c r="VZP1" s="81"/>
      <c r="VZQ1" s="81"/>
      <c r="VZR1" s="81"/>
      <c r="VZS1" s="81"/>
      <c r="VZT1" s="81"/>
      <c r="VZU1" s="81"/>
      <c r="VZV1" s="81"/>
      <c r="VZW1" s="81"/>
      <c r="VZX1" s="81"/>
      <c r="VZY1" s="81"/>
      <c r="VZZ1" s="81"/>
      <c r="WAA1" s="81"/>
      <c r="WAB1" s="81"/>
      <c r="WAC1" s="81"/>
      <c r="WAD1" s="81"/>
      <c r="WAE1" s="81"/>
      <c r="WAF1" s="81"/>
      <c r="WAG1" s="81"/>
      <c r="WAH1" s="81"/>
      <c r="WAI1" s="81"/>
      <c r="WAJ1" s="81"/>
      <c r="WAK1" s="81"/>
      <c r="WAL1" s="81"/>
      <c r="WAM1" s="81"/>
      <c r="WAN1" s="81"/>
      <c r="WAO1" s="81"/>
      <c r="WAP1" s="81"/>
      <c r="WAQ1" s="81"/>
      <c r="WAR1" s="81"/>
      <c r="WAS1" s="81"/>
      <c r="WAT1" s="81"/>
      <c r="WAU1" s="81"/>
      <c r="WAV1" s="81"/>
      <c r="WAW1" s="81"/>
      <c r="WAX1" s="81"/>
      <c r="WAY1" s="81"/>
      <c r="WAZ1" s="81"/>
      <c r="WBA1" s="81"/>
      <c r="WBB1" s="81"/>
      <c r="WBC1" s="81"/>
      <c r="WBD1" s="81"/>
      <c r="WBE1" s="81"/>
      <c r="WBF1" s="81"/>
      <c r="WBG1" s="81"/>
      <c r="WBH1" s="81"/>
      <c r="WBI1" s="81"/>
      <c r="WBJ1" s="81"/>
      <c r="WBK1" s="81"/>
      <c r="WBL1" s="81"/>
      <c r="WBM1" s="81"/>
      <c r="WBN1" s="81"/>
      <c r="WBO1" s="81"/>
      <c r="WBP1" s="81"/>
      <c r="WBQ1" s="81"/>
      <c r="WBR1" s="81"/>
      <c r="WBS1" s="81"/>
      <c r="WBT1" s="81"/>
      <c r="WBU1" s="81"/>
      <c r="WBV1" s="81"/>
      <c r="WBW1" s="81"/>
      <c r="WBX1" s="81"/>
      <c r="WBY1" s="81"/>
      <c r="WBZ1" s="81"/>
      <c r="WCA1" s="81"/>
      <c r="WCB1" s="81"/>
      <c r="WCC1" s="81"/>
      <c r="WCD1" s="81"/>
      <c r="WCE1" s="81"/>
      <c r="WCF1" s="81"/>
      <c r="WCG1" s="81"/>
      <c r="WCH1" s="81"/>
      <c r="WCI1" s="81"/>
      <c r="WCJ1" s="81"/>
      <c r="WCK1" s="81"/>
      <c r="WCL1" s="81"/>
      <c r="WCM1" s="81"/>
      <c r="WCN1" s="81"/>
      <c r="WCO1" s="81"/>
      <c r="WCP1" s="81"/>
      <c r="WCQ1" s="81"/>
      <c r="WCR1" s="81"/>
      <c r="WCS1" s="81"/>
      <c r="WCT1" s="81"/>
      <c r="WCU1" s="81"/>
      <c r="WCV1" s="81"/>
      <c r="WCW1" s="81"/>
      <c r="WCX1" s="81"/>
      <c r="WCY1" s="81"/>
      <c r="WCZ1" s="81"/>
      <c r="WDA1" s="81"/>
      <c r="WDB1" s="81"/>
      <c r="WDC1" s="81"/>
      <c r="WDD1" s="81"/>
      <c r="WDE1" s="81"/>
      <c r="WDF1" s="81"/>
      <c r="WDG1" s="81"/>
      <c r="WDH1" s="81"/>
      <c r="WDI1" s="81"/>
      <c r="WDJ1" s="81"/>
      <c r="WDK1" s="81"/>
      <c r="WDL1" s="81"/>
      <c r="WDM1" s="81"/>
      <c r="WDN1" s="81"/>
      <c r="WDO1" s="81"/>
      <c r="WDP1" s="81"/>
      <c r="WDQ1" s="81"/>
      <c r="WDR1" s="81"/>
      <c r="WDS1" s="81"/>
      <c r="WDT1" s="81"/>
      <c r="WDU1" s="81"/>
      <c r="WDV1" s="81"/>
      <c r="WDW1" s="81"/>
      <c r="WDX1" s="81"/>
      <c r="WDY1" s="81"/>
      <c r="WDZ1" s="81"/>
      <c r="WEA1" s="81"/>
      <c r="WEB1" s="81"/>
      <c r="WEC1" s="81"/>
      <c r="WED1" s="81"/>
      <c r="WEE1" s="81"/>
      <c r="WEF1" s="81"/>
      <c r="WEG1" s="81"/>
      <c r="WEH1" s="81"/>
      <c r="WEI1" s="81"/>
      <c r="WEJ1" s="81"/>
      <c r="WEK1" s="81"/>
      <c r="WEL1" s="81"/>
      <c r="WEM1" s="81"/>
      <c r="WEN1" s="81"/>
      <c r="WEO1" s="81"/>
      <c r="WEP1" s="81"/>
      <c r="WEQ1" s="81"/>
      <c r="WER1" s="81"/>
      <c r="WES1" s="81"/>
      <c r="WET1" s="81"/>
      <c r="WEU1" s="81"/>
      <c r="WEV1" s="81"/>
      <c r="WEW1" s="81"/>
      <c r="WEX1" s="81"/>
      <c r="WEY1" s="81"/>
      <c r="WEZ1" s="81"/>
      <c r="WFA1" s="81"/>
      <c r="WFB1" s="81"/>
      <c r="WFC1" s="81"/>
      <c r="WFD1" s="81"/>
      <c r="WFE1" s="81"/>
      <c r="WFF1" s="81"/>
      <c r="WFG1" s="81"/>
      <c r="WFH1" s="81"/>
      <c r="WFI1" s="81"/>
      <c r="WFJ1" s="81"/>
      <c r="WFK1" s="81"/>
      <c r="WFL1" s="81"/>
      <c r="WFM1" s="81"/>
      <c r="WFN1" s="81"/>
      <c r="WFO1" s="81"/>
      <c r="WFP1" s="81"/>
      <c r="WFQ1" s="81"/>
      <c r="WFR1" s="81"/>
      <c r="WFS1" s="81"/>
      <c r="WFT1" s="81"/>
      <c r="WFU1" s="81"/>
      <c r="WFV1" s="81"/>
      <c r="WFW1" s="81"/>
      <c r="WFX1" s="81"/>
      <c r="WFY1" s="81"/>
      <c r="WFZ1" s="81"/>
      <c r="WGA1" s="81"/>
      <c r="WGB1" s="81"/>
      <c r="WGC1" s="81"/>
      <c r="WGD1" s="81"/>
      <c r="WGE1" s="81"/>
      <c r="WGF1" s="81"/>
      <c r="WGG1" s="81"/>
      <c r="WGH1" s="81"/>
      <c r="WGI1" s="81"/>
      <c r="WGJ1" s="81"/>
      <c r="WGK1" s="81"/>
      <c r="WGL1" s="81"/>
      <c r="WGM1" s="81"/>
      <c r="WGN1" s="81"/>
      <c r="WGO1" s="81"/>
      <c r="WGP1" s="81"/>
      <c r="WGQ1" s="81"/>
      <c r="WGR1" s="81"/>
      <c r="WGS1" s="81"/>
      <c r="WGT1" s="81"/>
      <c r="WGU1" s="81"/>
      <c r="WGV1" s="81"/>
      <c r="WGW1" s="81"/>
      <c r="WGX1" s="81"/>
      <c r="WGY1" s="81"/>
      <c r="WGZ1" s="81"/>
      <c r="WHA1" s="81"/>
      <c r="WHB1" s="81"/>
      <c r="WHC1" s="81"/>
      <c r="WHD1" s="81"/>
      <c r="WHE1" s="81"/>
      <c r="WHF1" s="81"/>
      <c r="WHG1" s="81"/>
      <c r="WHH1" s="81"/>
      <c r="WHI1" s="81"/>
      <c r="WHJ1" s="81"/>
      <c r="WHK1" s="81"/>
      <c r="WHL1" s="81"/>
      <c r="WHM1" s="81"/>
      <c r="WHN1" s="81"/>
      <c r="WHO1" s="81"/>
      <c r="WHP1" s="81"/>
      <c r="WHQ1" s="81"/>
      <c r="WHR1" s="81"/>
      <c r="WHS1" s="81"/>
      <c r="WHT1" s="81"/>
      <c r="WHU1" s="81"/>
      <c r="WHV1" s="81"/>
      <c r="WHW1" s="81"/>
      <c r="WHX1" s="81"/>
      <c r="WHY1" s="81"/>
      <c r="WHZ1" s="81"/>
      <c r="WIA1" s="81"/>
      <c r="WIB1" s="81"/>
      <c r="WIC1" s="81"/>
      <c r="WID1" s="81"/>
      <c r="WIE1" s="81"/>
      <c r="WIF1" s="81"/>
      <c r="WIG1" s="81"/>
      <c r="WIH1" s="81"/>
      <c r="WII1" s="81"/>
      <c r="WIJ1" s="81"/>
      <c r="WIK1" s="81"/>
      <c r="WIL1" s="81"/>
      <c r="WIM1" s="81"/>
      <c r="WIN1" s="81"/>
      <c r="WIO1" s="81"/>
      <c r="WIP1" s="81"/>
      <c r="WIQ1" s="81"/>
      <c r="WIR1" s="81"/>
      <c r="WIS1" s="81"/>
      <c r="WIT1" s="81"/>
      <c r="WIU1" s="81"/>
      <c r="WIV1" s="81"/>
      <c r="WIW1" s="81"/>
      <c r="WIX1" s="81"/>
      <c r="WIY1" s="81"/>
      <c r="WIZ1" s="81"/>
      <c r="WJA1" s="81"/>
      <c r="WJB1" s="81"/>
      <c r="WJC1" s="81"/>
      <c r="WJD1" s="81"/>
      <c r="WJE1" s="81"/>
      <c r="WJF1" s="81"/>
      <c r="WJG1" s="81"/>
      <c r="WJH1" s="81"/>
      <c r="WJI1" s="81"/>
      <c r="WJJ1" s="81"/>
      <c r="WJK1" s="81"/>
      <c r="WJL1" s="81"/>
      <c r="WJM1" s="81"/>
      <c r="WJN1" s="81"/>
      <c r="WJO1" s="81"/>
      <c r="WJP1" s="81"/>
      <c r="WJQ1" s="81"/>
      <c r="WJR1" s="81"/>
      <c r="WJS1" s="81"/>
      <c r="WJT1" s="81"/>
      <c r="WJU1" s="81"/>
      <c r="WJV1" s="81"/>
      <c r="WJW1" s="81"/>
      <c r="WJX1" s="81"/>
      <c r="WJY1" s="81"/>
      <c r="WJZ1" s="81"/>
      <c r="WKA1" s="81"/>
      <c r="WKB1" s="81"/>
      <c r="WKC1" s="81"/>
      <c r="WKD1" s="81"/>
      <c r="WKE1" s="81"/>
      <c r="WKF1" s="81"/>
      <c r="WKG1" s="81"/>
      <c r="WKH1" s="81"/>
      <c r="WKI1" s="81"/>
      <c r="WKJ1" s="81"/>
      <c r="WKK1" s="81"/>
      <c r="WKL1" s="81"/>
      <c r="WKM1" s="81"/>
      <c r="WKN1" s="81"/>
      <c r="WKO1" s="81"/>
      <c r="WKP1" s="81"/>
      <c r="WKQ1" s="81"/>
      <c r="WKR1" s="81"/>
      <c r="WKS1" s="81"/>
      <c r="WKT1" s="81"/>
      <c r="WKU1" s="81"/>
      <c r="WKV1" s="81"/>
      <c r="WKW1" s="81"/>
      <c r="WKX1" s="81"/>
      <c r="WKY1" s="81"/>
      <c r="WKZ1" s="81"/>
      <c r="WLA1" s="81"/>
      <c r="WLB1" s="81"/>
      <c r="WLC1" s="81"/>
      <c r="WLD1" s="81"/>
      <c r="WLE1" s="81"/>
      <c r="WLF1" s="81"/>
      <c r="WLG1" s="81"/>
      <c r="WLH1" s="81"/>
      <c r="WLI1" s="81"/>
      <c r="WLJ1" s="81"/>
      <c r="WLK1" s="81"/>
      <c r="WLL1" s="81"/>
      <c r="WLM1" s="81"/>
      <c r="WLN1" s="81"/>
      <c r="WLO1" s="81"/>
      <c r="WLP1" s="81"/>
      <c r="WLQ1" s="81"/>
      <c r="WLR1" s="81"/>
      <c r="WLS1" s="81"/>
      <c r="WLT1" s="81"/>
      <c r="WLU1" s="81"/>
      <c r="WLV1" s="81"/>
      <c r="WLW1" s="81"/>
      <c r="WLX1" s="81"/>
      <c r="WLY1" s="81"/>
      <c r="WLZ1" s="81"/>
      <c r="WMA1" s="81"/>
      <c r="WMB1" s="81"/>
      <c r="WMC1" s="81"/>
      <c r="WMD1" s="81"/>
      <c r="WME1" s="81"/>
      <c r="WMF1" s="81"/>
      <c r="WMG1" s="81"/>
      <c r="WMH1" s="81"/>
      <c r="WMI1" s="81"/>
      <c r="WMJ1" s="81"/>
      <c r="WMK1" s="81"/>
      <c r="WML1" s="81"/>
      <c r="WMM1" s="81"/>
      <c r="WMN1" s="81"/>
      <c r="WMO1" s="81"/>
      <c r="WMP1" s="81"/>
      <c r="WMQ1" s="81"/>
      <c r="WMR1" s="81"/>
      <c r="WMS1" s="81"/>
      <c r="WMT1" s="81"/>
      <c r="WMU1" s="81"/>
      <c r="WMV1" s="81"/>
      <c r="WMW1" s="81"/>
      <c r="WMX1" s="81"/>
      <c r="WMY1" s="81"/>
      <c r="WMZ1" s="81"/>
      <c r="WNA1" s="81"/>
      <c r="WNB1" s="81"/>
      <c r="WNC1" s="81"/>
      <c r="WND1" s="81"/>
      <c r="WNE1" s="81"/>
      <c r="WNF1" s="81"/>
      <c r="WNG1" s="81"/>
      <c r="WNH1" s="81"/>
      <c r="WNI1" s="81"/>
      <c r="WNJ1" s="81"/>
      <c r="WNK1" s="81"/>
      <c r="WNL1" s="81"/>
      <c r="WNM1" s="81"/>
      <c r="WNN1" s="81"/>
      <c r="WNO1" s="81"/>
      <c r="WNP1" s="81"/>
      <c r="WNQ1" s="81"/>
      <c r="WNR1" s="81"/>
      <c r="WNS1" s="81"/>
      <c r="WNT1" s="81"/>
      <c r="WNU1" s="81"/>
      <c r="WNV1" s="81"/>
      <c r="WNW1" s="81"/>
      <c r="WNX1" s="81"/>
      <c r="WNY1" s="81"/>
      <c r="WNZ1" s="81"/>
      <c r="WOA1" s="81"/>
      <c r="WOB1" s="81"/>
      <c r="WOC1" s="81"/>
      <c r="WOD1" s="81"/>
      <c r="WOE1" s="81"/>
      <c r="WOF1" s="81"/>
      <c r="WOG1" s="81"/>
      <c r="WOH1" s="81"/>
      <c r="WOI1" s="81"/>
      <c r="WOJ1" s="81"/>
      <c r="WOK1" s="81"/>
      <c r="WOL1" s="81"/>
      <c r="WOM1" s="81"/>
      <c r="WON1" s="81"/>
      <c r="WOO1" s="81"/>
      <c r="WOP1" s="81"/>
      <c r="WOQ1" s="81"/>
      <c r="WOR1" s="81"/>
      <c r="WOS1" s="81"/>
      <c r="WOT1" s="81"/>
      <c r="WOU1" s="81"/>
      <c r="WOV1" s="81"/>
      <c r="WOW1" s="81"/>
      <c r="WOX1" s="81"/>
      <c r="WOY1" s="81"/>
      <c r="WOZ1" s="81"/>
      <c r="WPA1" s="81"/>
      <c r="WPB1" s="81"/>
      <c r="WPC1" s="81"/>
      <c r="WPD1" s="81"/>
      <c r="WPE1" s="81"/>
      <c r="WPF1" s="81"/>
      <c r="WPG1" s="81"/>
      <c r="WPH1" s="81"/>
      <c r="WPI1" s="81"/>
      <c r="WPJ1" s="81"/>
      <c r="WPK1" s="81"/>
      <c r="WPL1" s="81"/>
      <c r="WPM1" s="81"/>
      <c r="WPN1" s="81"/>
      <c r="WPO1" s="81"/>
      <c r="WPP1" s="81"/>
      <c r="WPQ1" s="81"/>
      <c r="WPR1" s="81"/>
      <c r="WPS1" s="81"/>
      <c r="WPT1" s="81"/>
      <c r="WPU1" s="81"/>
      <c r="WPV1" s="81"/>
      <c r="WPW1" s="81"/>
      <c r="WPX1" s="81"/>
      <c r="WPY1" s="81"/>
      <c r="WPZ1" s="81"/>
      <c r="WQA1" s="81"/>
      <c r="WQB1" s="81"/>
      <c r="WQC1" s="81"/>
      <c r="WQD1" s="81"/>
      <c r="WQE1" s="81"/>
      <c r="WQF1" s="81"/>
      <c r="WQG1" s="81"/>
      <c r="WQH1" s="81"/>
      <c r="WQI1" s="81"/>
      <c r="WQJ1" s="81"/>
      <c r="WQK1" s="81"/>
      <c r="WQL1" s="81"/>
      <c r="WQM1" s="81"/>
      <c r="WQN1" s="81"/>
      <c r="WQO1" s="81"/>
      <c r="WQP1" s="81"/>
      <c r="WQQ1" s="81"/>
      <c r="WQR1" s="81"/>
      <c r="WQS1" s="81"/>
      <c r="WQT1" s="81"/>
      <c r="WQU1" s="81"/>
      <c r="WQV1" s="81"/>
      <c r="WQW1" s="81"/>
      <c r="WQX1" s="81"/>
      <c r="WQY1" s="81"/>
      <c r="WQZ1" s="81"/>
      <c r="WRA1" s="81"/>
      <c r="WRB1" s="81"/>
      <c r="WRC1" s="81"/>
      <c r="WRD1" s="81"/>
      <c r="WRE1" s="81"/>
      <c r="WRF1" s="81"/>
      <c r="WRG1" s="81"/>
      <c r="WRH1" s="81"/>
      <c r="WRI1" s="81"/>
      <c r="WRJ1" s="81"/>
      <c r="WRK1" s="81"/>
      <c r="WRL1" s="81"/>
      <c r="WRM1" s="81"/>
      <c r="WRN1" s="81"/>
      <c r="WRO1" s="81"/>
      <c r="WRP1" s="81"/>
      <c r="WRQ1" s="81"/>
      <c r="WRR1" s="81"/>
      <c r="WRS1" s="81"/>
      <c r="WRT1" s="81"/>
      <c r="WRU1" s="81"/>
      <c r="WRV1" s="81"/>
      <c r="WRW1" s="81"/>
      <c r="WRX1" s="81"/>
      <c r="WRY1" s="81"/>
      <c r="WRZ1" s="81"/>
      <c r="WSA1" s="81"/>
      <c r="WSB1" s="81"/>
      <c r="WSC1" s="81"/>
      <c r="WSD1" s="81"/>
      <c r="WSE1" s="81"/>
      <c r="WSF1" s="81"/>
      <c r="WSG1" s="81"/>
      <c r="WSH1" s="81"/>
      <c r="WSI1" s="81"/>
      <c r="WSJ1" s="81"/>
      <c r="WSK1" s="81"/>
      <c r="WSL1" s="81"/>
      <c r="WSM1" s="81"/>
      <c r="WSN1" s="81"/>
      <c r="WSO1" s="81"/>
      <c r="WSP1" s="81"/>
      <c r="WSQ1" s="81"/>
      <c r="WSR1" s="81"/>
      <c r="WSS1" s="81"/>
      <c r="WST1" s="81"/>
      <c r="WSU1" s="81"/>
      <c r="WSV1" s="81"/>
      <c r="WSW1" s="81"/>
      <c r="WSX1" s="81"/>
      <c r="WSY1" s="81"/>
      <c r="WSZ1" s="81"/>
      <c r="WTA1" s="81"/>
      <c r="WTB1" s="81"/>
      <c r="WTC1" s="81"/>
      <c r="WTD1" s="81"/>
      <c r="WTE1" s="81"/>
      <c r="WTF1" s="81"/>
      <c r="WTG1" s="81"/>
      <c r="WTH1" s="81"/>
      <c r="WTI1" s="81"/>
      <c r="WTJ1" s="81"/>
      <c r="WTK1" s="81"/>
      <c r="WTL1" s="81"/>
      <c r="WTM1" s="81"/>
      <c r="WTN1" s="81"/>
      <c r="WTO1" s="81"/>
      <c r="WTP1" s="81"/>
      <c r="WTQ1" s="81"/>
      <c r="WTR1" s="81"/>
      <c r="WTS1" s="81"/>
      <c r="WTT1" s="81"/>
      <c r="WTU1" s="81"/>
      <c r="WTV1" s="81"/>
      <c r="WTW1" s="81"/>
      <c r="WTX1" s="81"/>
      <c r="WTY1" s="81"/>
      <c r="WTZ1" s="81"/>
      <c r="WUA1" s="81"/>
      <c r="WUB1" s="81"/>
      <c r="WUC1" s="81"/>
      <c r="WUD1" s="81"/>
      <c r="WUE1" s="81"/>
      <c r="WUF1" s="81"/>
      <c r="WUG1" s="81"/>
      <c r="WUH1" s="81"/>
      <c r="WUI1" s="81"/>
      <c r="WUJ1" s="81"/>
      <c r="WUK1" s="81"/>
      <c r="WUL1" s="81"/>
      <c r="WUM1" s="81"/>
      <c r="WUN1" s="81"/>
      <c r="WUO1" s="81"/>
      <c r="WUP1" s="81"/>
      <c r="WUQ1" s="81"/>
      <c r="WUR1" s="81"/>
      <c r="WUS1" s="81"/>
      <c r="WUT1" s="81"/>
      <c r="WUU1" s="81"/>
      <c r="WUV1" s="81"/>
      <c r="WUW1" s="81"/>
      <c r="WUX1" s="81"/>
      <c r="WUY1" s="81"/>
      <c r="WUZ1" s="81"/>
      <c r="WVA1" s="81"/>
      <c r="WVB1" s="81"/>
      <c r="WVC1" s="81"/>
      <c r="WVD1" s="81"/>
      <c r="WVE1" s="81"/>
      <c r="WVF1" s="81"/>
      <c r="WVG1" s="81"/>
      <c r="WVH1" s="81"/>
      <c r="WVI1" s="81"/>
      <c r="WVJ1" s="81"/>
      <c r="WVK1" s="81"/>
      <c r="WVL1" s="81"/>
      <c r="WVM1" s="81"/>
      <c r="WVN1" s="81"/>
      <c r="WVO1" s="81"/>
      <c r="WVP1" s="81"/>
      <c r="WVQ1" s="81"/>
      <c r="WVR1" s="81"/>
      <c r="WVS1" s="81"/>
      <c r="WVT1" s="81"/>
      <c r="WVU1" s="81"/>
      <c r="WVV1" s="81"/>
      <c r="WVW1" s="81"/>
      <c r="WVX1" s="81"/>
      <c r="WVY1" s="81"/>
      <c r="WVZ1" s="81"/>
      <c r="WWA1" s="81"/>
      <c r="WWB1" s="81"/>
      <c r="WWC1" s="81"/>
      <c r="WWD1" s="81"/>
      <c r="WWE1" s="81"/>
      <c r="WWF1" s="81"/>
      <c r="WWG1" s="81"/>
      <c r="WWH1" s="81"/>
      <c r="WWI1" s="81"/>
      <c r="WWJ1" s="81"/>
      <c r="WWK1" s="81"/>
      <c r="WWL1" s="81"/>
      <c r="WWM1" s="81"/>
      <c r="WWN1" s="81"/>
      <c r="WWO1" s="81"/>
      <c r="WWP1" s="81"/>
      <c r="WWQ1" s="81"/>
      <c r="WWR1" s="81"/>
      <c r="WWS1" s="81"/>
      <c r="WWT1" s="81"/>
      <c r="WWU1" s="81"/>
      <c r="WWV1" s="81"/>
      <c r="WWW1" s="81"/>
      <c r="WWX1" s="81"/>
      <c r="WWY1" s="81"/>
      <c r="WWZ1" s="81"/>
      <c r="WXA1" s="81"/>
      <c r="WXB1" s="81"/>
      <c r="WXC1" s="81"/>
      <c r="WXD1" s="81"/>
      <c r="WXE1" s="81"/>
      <c r="WXF1" s="81"/>
      <c r="WXG1" s="81"/>
      <c r="WXH1" s="81"/>
      <c r="WXI1" s="81"/>
      <c r="WXJ1" s="81"/>
      <c r="WXK1" s="81"/>
      <c r="WXL1" s="81"/>
      <c r="WXM1" s="81"/>
      <c r="WXN1" s="81"/>
      <c r="WXO1" s="81"/>
      <c r="WXP1" s="81"/>
      <c r="WXQ1" s="81"/>
      <c r="WXR1" s="81"/>
      <c r="WXS1" s="81"/>
      <c r="WXT1" s="81"/>
      <c r="WXU1" s="81"/>
      <c r="WXV1" s="81"/>
      <c r="WXW1" s="81"/>
      <c r="WXX1" s="81"/>
      <c r="WXY1" s="81"/>
      <c r="WXZ1" s="81"/>
      <c r="WYA1" s="81"/>
      <c r="WYB1" s="81"/>
      <c r="WYC1" s="81"/>
      <c r="WYD1" s="81"/>
      <c r="WYE1" s="81"/>
      <c r="WYF1" s="81"/>
      <c r="WYG1" s="81"/>
      <c r="WYH1" s="81"/>
      <c r="WYI1" s="81"/>
      <c r="WYJ1" s="81"/>
      <c r="WYK1" s="81"/>
      <c r="WYL1" s="81"/>
      <c r="WYM1" s="81"/>
      <c r="WYN1" s="81"/>
      <c r="WYO1" s="81"/>
      <c r="WYP1" s="81"/>
      <c r="WYQ1" s="81"/>
      <c r="WYR1" s="81"/>
      <c r="WYS1" s="81"/>
      <c r="WYT1" s="81"/>
      <c r="WYU1" s="81"/>
      <c r="WYV1" s="81"/>
      <c r="WYW1" s="81"/>
      <c r="WYX1" s="81"/>
      <c r="WYY1" s="81"/>
      <c r="WYZ1" s="81"/>
      <c r="WZA1" s="81"/>
      <c r="WZB1" s="81"/>
      <c r="WZC1" s="81"/>
      <c r="WZD1" s="81"/>
      <c r="WZE1" s="81"/>
      <c r="WZF1" s="81"/>
      <c r="WZG1" s="81"/>
      <c r="WZH1" s="81"/>
      <c r="WZI1" s="81"/>
      <c r="WZJ1" s="81"/>
      <c r="WZK1" s="81"/>
      <c r="WZL1" s="81"/>
      <c r="WZM1" s="81"/>
      <c r="WZN1" s="81"/>
      <c r="WZO1" s="81"/>
      <c r="WZP1" s="81"/>
      <c r="WZQ1" s="81"/>
      <c r="WZR1" s="81"/>
      <c r="WZS1" s="81"/>
      <c r="WZT1" s="81"/>
      <c r="WZU1" s="81"/>
      <c r="WZV1" s="81"/>
      <c r="WZW1" s="81"/>
      <c r="WZX1" s="81"/>
      <c r="WZY1" s="81"/>
      <c r="WZZ1" s="81"/>
      <c r="XAA1" s="81"/>
      <c r="XAB1" s="81"/>
      <c r="XAC1" s="81"/>
      <c r="XAD1" s="81"/>
      <c r="XAE1" s="81"/>
      <c r="XAF1" s="81"/>
      <c r="XAG1" s="81"/>
      <c r="XAH1" s="81"/>
      <c r="XAI1" s="81"/>
      <c r="XAJ1" s="81"/>
      <c r="XAK1" s="81"/>
      <c r="XAL1" s="81"/>
      <c r="XAM1" s="81"/>
      <c r="XAN1" s="81"/>
      <c r="XAO1" s="81"/>
      <c r="XAP1" s="81"/>
      <c r="XAQ1" s="81"/>
      <c r="XAR1" s="81"/>
      <c r="XAS1" s="81"/>
      <c r="XAT1" s="81"/>
      <c r="XAU1" s="81"/>
      <c r="XAV1" s="81"/>
      <c r="XAW1" s="81"/>
      <c r="XAX1" s="81"/>
      <c r="XAY1" s="81"/>
      <c r="XAZ1" s="81"/>
      <c r="XBA1" s="81"/>
      <c r="XBB1" s="81"/>
      <c r="XBC1" s="81"/>
      <c r="XBD1" s="81"/>
      <c r="XBE1" s="81"/>
      <c r="XBF1" s="81"/>
      <c r="XBG1" s="81"/>
      <c r="XBH1" s="81"/>
      <c r="XBI1" s="81"/>
      <c r="XBJ1" s="81"/>
      <c r="XBK1" s="81"/>
      <c r="XBL1" s="81"/>
      <c r="XBM1" s="81"/>
      <c r="XBN1" s="81"/>
      <c r="XBO1" s="81"/>
      <c r="XBP1" s="81"/>
      <c r="XBQ1" s="81"/>
      <c r="XBR1" s="81"/>
      <c r="XBS1" s="81"/>
      <c r="XBT1" s="81"/>
      <c r="XBU1" s="81"/>
      <c r="XBV1" s="81"/>
      <c r="XBW1" s="81"/>
      <c r="XBX1" s="81"/>
      <c r="XBY1" s="81"/>
      <c r="XBZ1" s="81"/>
      <c r="XCA1" s="81"/>
      <c r="XCB1" s="81"/>
      <c r="XCC1" s="81"/>
      <c r="XCD1" s="81"/>
      <c r="XCE1" s="81"/>
      <c r="XCF1" s="81"/>
      <c r="XCG1" s="81"/>
      <c r="XCH1" s="81"/>
      <c r="XCI1" s="81"/>
      <c r="XCJ1" s="81"/>
      <c r="XCK1" s="81"/>
      <c r="XCL1" s="81"/>
      <c r="XCM1" s="81"/>
      <c r="XCN1" s="81"/>
      <c r="XCO1" s="81"/>
      <c r="XCP1" s="81"/>
      <c r="XCQ1" s="81"/>
      <c r="XCR1" s="81"/>
      <c r="XCS1" s="81"/>
      <c r="XCT1" s="81"/>
      <c r="XCU1" s="81"/>
      <c r="XCV1" s="81"/>
      <c r="XCW1" s="81"/>
      <c r="XCX1" s="81"/>
      <c r="XCY1" s="81"/>
      <c r="XCZ1" s="81"/>
      <c r="XDA1" s="81"/>
      <c r="XDB1" s="81"/>
      <c r="XDC1" s="81"/>
      <c r="XDD1" s="81"/>
      <c r="XDE1" s="81"/>
      <c r="XDF1" s="81"/>
      <c r="XDG1" s="81"/>
      <c r="XDH1" s="81"/>
      <c r="XDI1" s="81"/>
      <c r="XDJ1" s="81"/>
      <c r="XDK1" s="81"/>
      <c r="XDL1" s="81"/>
      <c r="XDM1" s="81"/>
      <c r="XDN1" s="81"/>
      <c r="XDO1" s="81"/>
      <c r="XDP1" s="81"/>
      <c r="XDQ1" s="81"/>
      <c r="XDR1" s="81"/>
      <c r="XDS1" s="81"/>
      <c r="XDT1" s="81"/>
      <c r="XDU1" s="81"/>
      <c r="XDV1" s="81"/>
      <c r="XDW1" s="81"/>
      <c r="XDX1" s="81"/>
      <c r="XDY1" s="81"/>
      <c r="XDZ1" s="81"/>
      <c r="XEA1" s="81"/>
      <c r="XEB1" s="81"/>
      <c r="XEC1" s="81"/>
      <c r="XED1" s="81"/>
      <c r="XEE1" s="81"/>
      <c r="XEF1" s="81"/>
      <c r="XEG1" s="81"/>
      <c r="XEH1" s="81"/>
      <c r="XEI1" s="81"/>
      <c r="XEJ1" s="81"/>
      <c r="XEK1" s="81"/>
      <c r="XEL1" s="81"/>
      <c r="XEM1" s="81"/>
      <c r="XEN1" s="81"/>
      <c r="XEO1" s="81"/>
      <c r="XEP1" s="81"/>
      <c r="XEQ1" s="81"/>
      <c r="XER1" s="81"/>
      <c r="XES1" s="81"/>
      <c r="XET1" s="81"/>
      <c r="XEU1" s="81"/>
      <c r="XEV1" s="81"/>
      <c r="XEW1" s="81"/>
      <c r="XEX1" s="81"/>
      <c r="XEY1" s="81"/>
      <c r="XEZ1" s="81"/>
      <c r="XFA1" s="81"/>
      <c r="XFB1" s="81"/>
      <c r="XFC1" s="81"/>
      <c r="XFD1" s="81"/>
    </row>
    <row r="2" ht="12.75" customHeight="1" spans="1:57" s="81" customFormat="1" x14ac:dyDescent="0.25">
      <c r="A2" s="83"/>
      <c r="B2" s="83"/>
      <c r="C2" s="83"/>
      <c r="D2" s="83"/>
      <c r="E2" s="83"/>
      <c r="F2" s="83"/>
      <c r="G2" s="84" t="s">
        <v>475</v>
      </c>
      <c r="H2" s="85" t="s">
        <v>476</v>
      </c>
      <c r="I2" s="86" t="s">
        <v>477</v>
      </c>
      <c r="J2" s="86" t="s">
        <v>477</v>
      </c>
      <c r="K2" s="86" t="s">
        <v>477</v>
      </c>
      <c r="L2" s="86" t="s">
        <v>477</v>
      </c>
      <c r="M2" s="86" t="s">
        <v>477</v>
      </c>
      <c r="N2" s="86" t="s">
        <v>477</v>
      </c>
      <c r="O2" s="86" t="s">
        <v>477</v>
      </c>
      <c r="P2" s="86" t="s">
        <v>477</v>
      </c>
      <c r="Q2" s="86" t="s">
        <v>477</v>
      </c>
      <c r="R2" s="86" t="s">
        <v>477</v>
      </c>
      <c r="S2" s="86" t="s">
        <v>477</v>
      </c>
      <c r="T2" s="86" t="s">
        <v>477</v>
      </c>
      <c r="U2" s="86" t="s">
        <v>477</v>
      </c>
      <c r="V2" s="86" t="s">
        <v>477</v>
      </c>
      <c r="W2" s="85" t="s">
        <v>478</v>
      </c>
      <c r="X2" s="87" t="s">
        <v>479</v>
      </c>
      <c r="Y2" s="87" t="s">
        <v>479</v>
      </c>
      <c r="Z2" s="87" t="s">
        <v>479</v>
      </c>
      <c r="AA2" s="87" t="s">
        <v>479</v>
      </c>
      <c r="AB2" s="87" t="s">
        <v>479</v>
      </c>
      <c r="AC2" s="87" t="s">
        <v>479</v>
      </c>
      <c r="AD2" s="87" t="s">
        <v>479</v>
      </c>
      <c r="AE2" s="87" t="s">
        <v>479</v>
      </c>
      <c r="AF2" s="87" t="s">
        <v>479</v>
      </c>
      <c r="AG2" s="85" t="s">
        <v>480</v>
      </c>
      <c r="AH2" s="87" t="s">
        <v>481</v>
      </c>
      <c r="AI2" s="87" t="s">
        <v>481</v>
      </c>
      <c r="AJ2" s="87" t="s">
        <v>481</v>
      </c>
      <c r="AK2" s="87" t="s">
        <v>481</v>
      </c>
      <c r="AL2" s="87" t="s">
        <v>481</v>
      </c>
      <c r="AM2" s="87" t="s">
        <v>481</v>
      </c>
      <c r="AN2" s="87" t="s">
        <v>481</v>
      </c>
      <c r="AO2" s="87" t="s">
        <v>481</v>
      </c>
      <c r="AP2" s="87" t="s">
        <v>481</v>
      </c>
      <c r="AQ2" s="87" t="s">
        <v>481</v>
      </c>
      <c r="AR2" s="87" t="s">
        <v>481</v>
      </c>
      <c r="AS2" s="87" t="s">
        <v>481</v>
      </c>
      <c r="AT2" s="87" t="s">
        <v>481</v>
      </c>
      <c r="AU2" s="85" t="s">
        <v>482</v>
      </c>
      <c r="AV2" s="88" t="s">
        <v>483</v>
      </c>
      <c r="AW2" s="88" t="s">
        <v>483</v>
      </c>
      <c r="AX2" s="88" t="s">
        <v>483</v>
      </c>
      <c r="AY2" s="88" t="s">
        <v>483</v>
      </c>
      <c r="AZ2" s="88" t="s">
        <v>483</v>
      </c>
      <c r="BA2" s="88" t="s">
        <v>483</v>
      </c>
      <c r="BB2" s="88" t="s">
        <v>483</v>
      </c>
      <c r="BC2" s="88" t="s">
        <v>483</v>
      </c>
      <c r="BD2" s="88" t="s">
        <v>483</v>
      </c>
      <c r="BE2" s="85" t="s">
        <v>484</v>
      </c>
    </row>
    <row r="3" ht="26" customHeight="1" hidden="1" spans="1:57" s="81" customFormat="1" x14ac:dyDescent="0.25">
      <c r="A3" s="83"/>
      <c r="B3" s="83"/>
      <c r="C3" s="83"/>
      <c r="D3" s="83"/>
      <c r="E3" s="83"/>
      <c r="F3" s="83"/>
      <c r="G3" s="84" t="s">
        <v>485</v>
      </c>
      <c r="H3" s="85"/>
      <c r="I3" s="86" t="s">
        <v>486</v>
      </c>
      <c r="J3" s="86" t="s">
        <v>487</v>
      </c>
      <c r="K3" s="86" t="s">
        <v>488</v>
      </c>
      <c r="L3" s="86" t="s">
        <v>489</v>
      </c>
      <c r="M3" s="86" t="s">
        <v>490</v>
      </c>
      <c r="N3" s="86" t="s">
        <v>491</v>
      </c>
      <c r="O3" s="86" t="s">
        <v>492</v>
      </c>
      <c r="P3" s="86" t="s">
        <v>493</v>
      </c>
      <c r="Q3" s="86" t="s">
        <v>494</v>
      </c>
      <c r="R3" s="86"/>
      <c r="S3" s="86" t="s">
        <v>495</v>
      </c>
      <c r="T3" s="86" t="s">
        <v>496</v>
      </c>
      <c r="U3" s="86" t="s">
        <v>497</v>
      </c>
      <c r="V3" s="86" t="s">
        <v>498</v>
      </c>
      <c r="W3" s="85"/>
      <c r="X3" s="87" t="s">
        <v>499</v>
      </c>
      <c r="Y3" s="87" t="s">
        <v>500</v>
      </c>
      <c r="Z3" s="87" t="s">
        <v>501</v>
      </c>
      <c r="AA3" s="87" t="s">
        <v>502</v>
      </c>
      <c r="AB3" s="87" t="s">
        <v>503</v>
      </c>
      <c r="AC3" s="87" t="s">
        <v>504</v>
      </c>
      <c r="AD3" s="87" t="s">
        <v>266</v>
      </c>
      <c r="AE3" s="87" t="s">
        <v>260</v>
      </c>
      <c r="AF3" s="87" t="s">
        <v>505</v>
      </c>
      <c r="AG3" s="85"/>
      <c r="AH3" s="87" t="s">
        <v>506</v>
      </c>
      <c r="AI3" s="87" t="s">
        <v>507</v>
      </c>
      <c r="AJ3" s="87" t="s">
        <v>508</v>
      </c>
      <c r="AK3" s="87" t="s">
        <v>509</v>
      </c>
      <c r="AL3" s="87" t="s">
        <v>510</v>
      </c>
      <c r="AM3" s="87" t="s">
        <v>511</v>
      </c>
      <c r="AN3" s="87" t="s">
        <v>512</v>
      </c>
      <c r="AO3" s="87" t="s">
        <v>513</v>
      </c>
      <c r="AP3" s="87" t="s">
        <v>514</v>
      </c>
      <c r="AQ3" s="87" t="s">
        <v>515</v>
      </c>
      <c r="AR3" s="87" t="s">
        <v>516</v>
      </c>
      <c r="AS3" s="87" t="s">
        <v>517</v>
      </c>
      <c r="AT3" s="87" t="s">
        <v>518</v>
      </c>
      <c r="AU3" s="85"/>
      <c r="AV3" s="88" t="s">
        <v>519</v>
      </c>
      <c r="AW3" s="88" t="s">
        <v>520</v>
      </c>
      <c r="AX3" s="88" t="s">
        <v>521</v>
      </c>
      <c r="AY3" s="88" t="s">
        <v>522</v>
      </c>
      <c r="AZ3" s="88" t="s">
        <v>523</v>
      </c>
      <c r="BA3" s="88" t="s">
        <v>524</v>
      </c>
      <c r="BB3" s="88" t="s">
        <v>525</v>
      </c>
      <c r="BC3" s="88" t="s">
        <v>526</v>
      </c>
      <c r="BD3" s="88" t="s">
        <v>527</v>
      </c>
      <c r="BE3" s="85"/>
    </row>
    <row r="4" ht="60" customHeight="1" spans="1:57" s="81" customFormat="1" x14ac:dyDescent="0.25">
      <c r="A4" s="89"/>
      <c r="B4" s="90" t="s">
        <v>528</v>
      </c>
      <c r="C4" s="90" t="s">
        <v>529</v>
      </c>
      <c r="D4" s="90" t="s">
        <v>37</v>
      </c>
      <c r="E4" s="90" t="s">
        <v>530</v>
      </c>
      <c r="F4" s="90" t="s">
        <v>531</v>
      </c>
      <c r="G4" s="84" t="s">
        <v>532</v>
      </c>
      <c r="H4" s="85"/>
      <c r="I4" s="86" t="s">
        <v>533</v>
      </c>
      <c r="J4" s="86" t="s">
        <v>534</v>
      </c>
      <c r="K4" s="86" t="s">
        <v>535</v>
      </c>
      <c r="L4" s="86" t="s">
        <v>536</v>
      </c>
      <c r="M4" s="86" t="s">
        <v>537</v>
      </c>
      <c r="N4" s="86" t="s">
        <v>538</v>
      </c>
      <c r="O4" s="86" t="s">
        <v>539</v>
      </c>
      <c r="P4" s="86" t="s">
        <v>540</v>
      </c>
      <c r="Q4" s="86" t="s">
        <v>541</v>
      </c>
      <c r="R4" s="86" t="s">
        <v>542</v>
      </c>
      <c r="S4" s="86" t="s">
        <v>543</v>
      </c>
      <c r="T4" s="86" t="s">
        <v>544</v>
      </c>
      <c r="U4" s="86" t="s">
        <v>545</v>
      </c>
      <c r="V4" s="86" t="s">
        <v>546</v>
      </c>
      <c r="W4" s="85"/>
      <c r="X4" s="87" t="s">
        <v>547</v>
      </c>
      <c r="Y4" s="87" t="s">
        <v>548</v>
      </c>
      <c r="Z4" s="87" t="s">
        <v>549</v>
      </c>
      <c r="AA4" s="87" t="s">
        <v>550</v>
      </c>
      <c r="AB4" s="87" t="s">
        <v>551</v>
      </c>
      <c r="AC4" s="87" t="s">
        <v>552</v>
      </c>
      <c r="AD4" s="87" t="s">
        <v>266</v>
      </c>
      <c r="AE4" s="87" t="s">
        <v>553</v>
      </c>
      <c r="AF4" s="87" t="s">
        <v>554</v>
      </c>
      <c r="AG4" s="85"/>
      <c r="AH4" s="87" t="s">
        <v>555</v>
      </c>
      <c r="AI4" s="87" t="s">
        <v>556</v>
      </c>
      <c r="AJ4" s="87" t="s">
        <v>557</v>
      </c>
      <c r="AK4" s="87" t="s">
        <v>558</v>
      </c>
      <c r="AL4" s="87" t="s">
        <v>559</v>
      </c>
      <c r="AM4" s="87" t="s">
        <v>560</v>
      </c>
      <c r="AN4" s="87" t="s">
        <v>561</v>
      </c>
      <c r="AO4" s="87" t="s">
        <v>562</v>
      </c>
      <c r="AP4" s="87" t="s">
        <v>563</v>
      </c>
      <c r="AQ4" s="87" t="s">
        <v>564</v>
      </c>
      <c r="AR4" s="87" t="s">
        <v>565</v>
      </c>
      <c r="AS4" s="87" t="s">
        <v>566</v>
      </c>
      <c r="AT4" s="87" t="s">
        <v>567</v>
      </c>
      <c r="AU4" s="85"/>
      <c r="AV4" s="88" t="s">
        <v>568</v>
      </c>
      <c r="AW4" s="88" t="s">
        <v>569</v>
      </c>
      <c r="AX4" s="88" t="s">
        <v>570</v>
      </c>
      <c r="AY4" s="88" t="s">
        <v>571</v>
      </c>
      <c r="AZ4" s="88" t="s">
        <v>572</v>
      </c>
      <c r="BA4" s="88" t="s">
        <v>573</v>
      </c>
      <c r="BB4" s="88" t="s">
        <v>574</v>
      </c>
      <c r="BC4" s="88" t="s">
        <v>575</v>
      </c>
      <c r="BD4" s="88" t="s">
        <v>576</v>
      </c>
      <c r="BE4" s="85"/>
    </row>
    <row r="5" ht="11" customHeight="1" spans="1:57" s="81" customFormat="1" x14ac:dyDescent="0.25">
      <c r="A5" s="91" t="s">
        <v>577</v>
      </c>
      <c r="B5" s="92"/>
      <c r="C5" s="92"/>
      <c r="D5" s="93">
        <f>IF(ETPT_TJ_DDG!$D$5="","",ETPT_TJ_DDG!$D$5)</f>
      </c>
      <c r="E5" s="92" t="s">
        <v>578</v>
      </c>
      <c r="F5" s="92" t="s">
        <v>579</v>
      </c>
      <c r="G5" s="94" t="e">
        <f>SUM(SUMIFS(
INDEX( 'ETPT Format DDG'!$A:$ZZ,,MATCH("1. TOTAL CONTENTIEUX SOCIAL",'ETPT Format DDG'!2:2,0)),
INDEX( 'ETPT Format DDG'!$A:$ZZ,,MATCH("Fonction recodée",'ETPT Format DDG'!2:2,0)),"Fonctionnaire CTECH",
INDEX( 'ETPT Format DDG'!$A:$ZZ,,MATCH("TJCPH",'ETPT Format DDG'!2:2,0)),"OUI"))+
SUM(SUMIFS(
INDEX( 'ETPT Format DDG'!$A:$ZZ,,MATCH("2. TOTAL CONTENTIEUX JAF",'ETPT Format DDG'!2:2,0)),
INDEX( 'ETPT Format DDG'!$A:$ZZ,,MATCH("Fonction recodée",'ETPT Format DDG'!2:2,0)),"Fonctionnaire CTECH",
INDEX( 'ETPT Format DDG'!$A:$ZZ,,MATCH("TJCPH",'ETPT Format DDG'!2:2,0)),"OUI"))+
SUM(SUMIFS(
INDEX( 'ETPT Format DDG'!$A:$ZZ,,MATCH("3. TOTAL CONTENTIEUX DE LA PROTECTION",'ETPT Format DDG'!2:2,0)),
INDEX( 'ETPT Format DDG'!$A:$ZZ,,MATCH("Fonction recodée",'ETPT Format DDG'!2:2,0)),"Fonctionnaire CTECH",
INDEX( 'ETPT Format DDG'!$A:$ZZ,,MATCH("TJCPH",'ETPT Format DDG'!2:2,0)),"OUI"))+
SUM(SUMIFS(
INDEX( 'ETPT Format DDG'!$A:$ZZ,,MATCH("4. TOTAL CIVIL NON SPÉCIALISÉ",'ETPT Format DDG'!2:2,0)),
INDEX( 'ETPT Format DDG'!$A:$ZZ,,MATCH("Fonction recodée",'ETPT Format DDG'!2:2,0)),"Fonctionnaire CTECH",
INDEX( 'ETPT Format DDG'!$A:$ZZ,,MATCH("TJCPH",'ETPT Format DDG'!2:2,0)),"OUI"))+
SUM(SUMIFS(
INDEX( 'ETPT Format DDG'!$A:$ZZ,,MATCH("5. TOTAL JLD CIVIL",'ETPT Format DDG'!2:2,0)),
INDEX( 'ETPT Format DDG'!$A:$ZZ,,MATCH("Fonction recodée",'ETPT Format DDG'!2:2,0)),"Fonctionnaire CTECH",
INDEX( 'ETPT Format DDG'!$A:$ZZ,,MATCH("TJCPH",'ETPT Format DDG'!2:2,0)),"OUI"))+
SUM(SUMIFS(
INDEX( 'ETPT Format DDG'!$A:$ZZ,,MATCH("6.1. ACTIVITÉ CIVILE",'ETPT Format DDG'!2:2,0)),
INDEX( 'ETPT Format DDG'!$A:$ZZ,,MATCH("Fonction recodée",'ETPT Format DDG'!2:2,0)),"Fonctionnaire CTECH",
INDEX( 'ETPT Format DDG'!$A:$ZZ,,MATCH("TJCPH",'ETPT Format DDG'!2:2,0)),"OUI"))+
SUM(SUMIFS(
INDEX( 'ETPT Format DDG'!$A:$ZZ,,MATCH("11.7. FONCTIONNAIRES AFFECTÉS AU CPH",'ETPT Format DDG'!2:2,0)),
INDEX( 'ETPT Format DDG'!$A:$ZZ,,MATCH("Fonction recodée",'ETPT Format DDG'!2:2,0)),"Fonctionnaire CTECH",
INDEX( 'ETPT Format DDG'!$A:$ZZ,,MATCH("TJCPH",'ETPT Format DDG'!2:2,0)),"OUI"))+
SUM(SUMIFS(
INDEX( 'ETPT Format DDG'!$A:$ZZ,,MATCH("11.8. FONCTIONNAIRES AFFECTÉS AUX ACTIVITÉS CIVILES ET COMMERCIALES DU PARQUET",'ETPT Format DDG'!2:2,0)),
INDEX( 'ETPT Format DDG'!$A:$ZZ,,MATCH("Fonction recodée",'ETPT Format DDG'!2:2,0)),"Fonctionnaire CTECH",
INDEX( 'ETPT Format DDG'!$A:$ZZ,,MATCH("TJCPH",'ETPT Format DDG'!2:2,0)),"OUI"))</f>
        <v>#N/A</v>
      </c>
      <c r="H5" s="95">
        <f>_xlfn.AGGREGATE(9,6,G5)</f>
        <v>0</v>
      </c>
      <c r="I5" s="96" t="e">
        <f>SUM(SUMIFS(
INDEX( 'ETPT Format DDG'!$A:$ZZ,,MATCH("11.8. FONCTIONNAIRES AFFECTÉS AUX ACTIVITÉS CIVILES ET COMMERCIALES DU PARQUET",'ETPT Format DDG'!2:2,0)),
INDEX( 'ETPT Format DDG'!$A:$ZZ,,MATCH("Fonction recodée",'ETPT Format DDG'!2:2,0)),"Fonctionnaire A-B-CBUR",
INDEX( 'ETPT Format DDG'!$A:$ZZ,,MATCH("TJCPH",'ETPT Format DDG'!2:2,0)),"OUI"))</f>
        <v>#N/A</v>
      </c>
      <c r="J5" s="97"/>
      <c r="K5" s="97"/>
      <c r="L5" s="97"/>
      <c r="M5" s="97"/>
      <c r="N5" s="97"/>
      <c r="O5" s="97"/>
      <c r="P5" s="96" t="e">
        <f>SUM(SUMIFS(
INDEX( 'ETPT Format DDG'!$A:$ZZ,,MATCH("3.2. PROTECTION DES MAJEURS",'ETPT Format DDG'!2:2,0)),
INDEX( 'ETPT Format DDG'!$A:$ZZ,,MATCH("Fonction recodée",'ETPT Format DDG'!2:2,0)),"Fonctionnaire A-B-CBUR",
INDEX( 'ETPT Format DDG'!$A:$ZZ,,MATCH("TJCPH",'ETPT Format DDG'!2:2,0)),"OUI"))</f>
        <v>#N/A</v>
      </c>
      <c r="Q5" s="96" t="e">
        <f>SUM(SUMIFS(
INDEX( 'ETPT Format DDG'!$A:$ZZ,,MATCH("3. TOTAL CONTENTIEUX DE LA PROTECTION",'ETPT Format DDG'!2:2,0)),
INDEX( 'ETPT Format DDG'!$A:$ZZ,,MATCH("Fonction recodée",'ETPT Format DDG'!2:2,0)),"Fonctionnaire A-B-CBUR",
INDEX( 'ETPT Format DDG'!$A:$ZZ,,MATCH("TJCPH",'ETPT Format DDG'!2:2,0)),"OUI"))-
SUM(SUMIFS(
INDEX( 'ETPT Format DDG'!$A:$ZZ,,MATCH("3.2. PROTECTION DES MAJEURS",'ETPT Format DDG'!2:2,0)),
INDEX( 'ETPT Format DDG'!$A:$ZZ,,MATCH("Fonction recodée",'ETPT Format DDG'!2:2,0)),"Fonctionnaire A-B-CBUR",
INDEX( 'ETPT Format DDG'!$A:$ZZ,,MATCH("TJCPH",'ETPT Format DDG'!2:2,0)),"OUI"))-
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R5" s="96" t="e">
        <f>SUM(SUMIFS(
INDEX( 'ETPT Format DDG'!$A:$ZZ,,MATCH("5. TOTAL JLD CIVIL",'ETPT Format DDG'!2:2,0)),
INDEX( 'ETPT Format DDG'!$A:$ZZ,,MATCH("Fonction recodée",'ETPT Format DDG'!2:2,0)),"Fonctionnaire A-B-CBUR",
INDEX( 'ETPT Format DDG'!$A:$ZZ,,MATCH("TJCPH",'ETPT Format DDG'!2:2,0)),"OUI"))+
SUM(SUMIFS(
INDEX( 'ETPT Format DDG'!$A:$ZZ,,MATCH("6.1. ACTIVITÉ CIVILE",'ETPT Format DDG'!2:2,0)),
INDEX( 'ETPT Format DDG'!$A:$ZZ,,MATCH("Fonction recodée",'ETPT Format DDG'!2:2,0)),"Fonctionnaire A-B-CBUR",
INDEX( 'ETPT Format DDG'!$A:$ZZ,,MATCH("TJCPH",'ETPT Format DDG'!2:2,0)),"OUI"))</f>
        <v>#N/A</v>
      </c>
      <c r="S5" s="96" t="e">
        <f>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T5" s="96" t="e">
        <f>SUM(SUMIFS(
INDEX( 'ETPT Format DDG'!$A:$ZZ,,MATCH("4.0. CONTENTIEUX GÉNÉRAL &lt;10.000€",'ETPT Format DDG'!2:2,0)),
INDEX( 'ETPT Format DDG'!$A:$ZZ,,MATCH("Fonction recodée",'ETPT Format DDG'!2:2,0)),"Fonctionnaire A-B-CBUR",
INDEX( 'ETPT Format DDG'!$A:$ZZ,,MATCH("TJCPH",'ETPT Format DDG'!2:2,0)),"OUI"))</f>
        <v>#N/A</v>
      </c>
      <c r="U5" s="96" t="e">
        <f>SUM(SUMIFS(
INDEX( 'ETPT Format DDG'!$A:$ZZ,,MATCH("1. TOTAL CONTENTIEUX SOCIAL",'ETPT Format DDG'!2:2,0)),
INDEX( 'ETPT Format DDG'!$A:$ZZ,,MATCH("Fonction recodée",'ETPT Format DDG'!2:2,0)),"Fonctionnaire A-B-CBUR",
INDEX( 'ETPT Format DDG'!$A:$ZZ,,MATCH("TJCPH",'ETPT Format DDG'!2:2,0)),"OUI"))</f>
        <v>#N/A</v>
      </c>
      <c r="V5" s="96" t="e">
        <f>SUM(SUMIFS(
INDEX( 'ETPT Format DDG'!$A:$ZZ,,MATCH("2. TOTAL CONTENTIEUX JAF",'ETPT Format DDG'!2:2,0)),
INDEX( 'ETPT Format DDG'!$A:$ZZ,,MATCH("Fonction recodée",'ETPT Format DDG'!2:2,0)),"Fonctionnaire A-B-CBUR",
INDEX( 'ETPT Format DDG'!$A:$ZZ,,MATCH("TJCPH",'ETPT Format DDG'!2:2,0)),"OUI"))+
SUM(SUMIFS(
INDEX( 'ETPT Format DDG'!$A:$ZZ,,MATCH("4. TOTAL CIVIL NON SPÉCIALISÉ",'ETPT Format DDG'!2:2,0)),
INDEX( 'ETPT Format DDG'!$A:$ZZ,,MATCH("Fonction recodée",'ETPT Format DDG'!2:2,0)),"Fonctionnaire A-B-CBUR",
INDEX( 'ETPT Format DDG'!$A:$ZZ,,MATCH("TJCPH",'ETPT Format DDG'!2:2,0)),"OUI"))-
SUM(SUMIFS(
INDEX( 'ETPT Format DDG'!$A:$ZZ,,MATCH("4.0. CONTENTIEUX GÉNÉRAL &lt;10.000€",'ETPT Format DDG'!2:2,0)),
INDEX( 'ETPT Format DDG'!$A:$ZZ,,MATCH("Fonction recodée",'ETPT Format DDG'!2:2,0)),"Fonctionnaire A-B-CBUR",
INDEX( 'ETPT Format DDG'!$A:$ZZ,,MATCH("TJCPH",'ETPT Format DDG'!2:2,0)),"OUI"))</f>
        <v>#N/A</v>
      </c>
      <c r="W5" s="98">
        <f>_xlfn.AGGREGATE(9,6,I5:V5)</f>
        <v>0</v>
      </c>
      <c r="X5" s="99" t="e">
        <f t="array" ref="X5">SUM(SUMIFS(
INDEX( 'ETPT Format DDG'!$A:$ZZ,,MATCH("3.2. PROTECTION DES MAJEURS",'ETPT Format DDG'!2:2,0)),
INDEX( 'ETPT Format DDG'!$A:$ZZ,,MATCH("Fonction recodée",'ETPT Format DDG'!2:2,0)),{"Magistrat SIEGE S";"Magistrat SIEGE NS"},
INDEX( 'ETPT Format DDG'!$A:$ZZ,,MATCH("TJCPH",'ETPT Format DDG'!2:2,0)),"OUI"))</f>
        <v>#N/A</v>
      </c>
      <c r="Y5" s="100" t="e">
        <f t="array" ref="Y5">SUM(SUMIFS(
INDEX( 'ETPT Format DDG'!$A:$ZZ,,MATCH("3. TOTAL CONTENTIEUX DE LA PROTECTION",'ETPT Format DDG'!2:2,0)),
INDEX( 'ETPT Format DDG'!$A:$ZZ,,MATCH("Fonction recodée",'ETPT Format DDG'!2:2,0)),{"Magistrat SIEGE S";"Magistrat SIEGE NS"},
INDEX( 'ETPT Format DDG'!$A:$ZZ,,MATCH("TJCPH",'ETPT Format DDG'!2:2,0)),"OUI"))-
SUM(SUMIFS(
INDEX( 'ETPT Format DDG'!$A:$ZZ,,MATCH("3.2. PROTECTION DES MAJEURS",'ETPT Format DDG'!2:2,0)),
INDEX( 'ETPT Format DDG'!$A:$ZZ,,MATCH("Fonction recodée",'ETPT Format DDG'!2:2,0)),{"Magistrat SIEGE S";"Magistrat SIEGE NS"},
INDEX( 'ETPT Format DDG'!$A:$ZZ,,MATCH("TJCPH",'ETPT Format DDG'!2:2,0)),"OUI"))-
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Z5" s="101"/>
      <c r="AA5" s="101"/>
      <c r="AB5" s="101"/>
      <c r="AC5" s="101"/>
      <c r="AD5" s="101"/>
      <c r="AE5" s="100" t="e">
        <f t="array" ref="AE5">SUM(SUMIFS(
INDEX( 'ETPT Format DDG'!$A:$ZZ,,MATCH("6.1. ACTIVITÉ CIVILE",'ETPT Format DDG'!2:2,0)),
INDEX( 'ETPT Format DDG'!$A:$ZZ,,MATCH("Fonction recodée",'ETPT Format DDG'!2:2,0)),{"Magistrat SIEGE S";"Magistrat SIEGE NS"}))</f>
        <v>#N/A</v>
      </c>
      <c r="AF5" s="100" t="e">
        <f t="array" ref="AF5">SUM(SUMIFS(
INDEX( 'ETPT Format DDG'!$A:$ZZ,,MATCH("5. TOTAL JLD CIVIL",'ETPT Format DDG'!2:2,0)),
INDEX( 'ETPT Format DDG'!$A:$ZZ,,MATCH("Fonction recodée",'ETPT Format DDG'!2:2,0)),{"Magistrat SIEGE S";"Magistrat SIEGE NS"}))</f>
        <v>#N/A</v>
      </c>
      <c r="AG5" s="98">
        <f>_xlfn.AGGREGATE(9,6,X5:AF5)</f>
        <v>0</v>
      </c>
      <c r="AH5" s="101"/>
      <c r="AI5" s="101"/>
      <c r="AJ5" s="101"/>
      <c r="AK5" s="101"/>
      <c r="AL5" s="101"/>
      <c r="AM5" s="101"/>
      <c r="AN5" s="99" t="e">
        <f t="array" ref="AN5">SUM(SUMIFS(
INDEX( 'ETPT Format DDG'!$A:$ZZ,,MATCH("1.1. DÉPARTAGE PRUD'HOMAL",'ETPT Format DDG'!2:2,0)),
INDEX( 'ETPT Format DDG'!$A:$ZZ,,MATCH("Fonction recodée",'ETPT Format DDG'!2:2,0)),{"Magistrat SIEGE S";"Magistrat SIEGE NS"},
INDEX( 'ETPT Format DDG'!$A:$ZZ,,MATCH("TJCPH",'ETPT Format DDG'!2:2,0)),"OUI"))</f>
        <v>#N/A</v>
      </c>
      <c r="AO5" s="100" t="e">
        <f t="array" ref="AO5">SUM(SUMIFS(
INDEX( 'ETPT Format DDG'!$A:$ZZ,,MATCH("4.0. CONTENTIEUX GÉNÉRAL &lt;10.000€",'ETPT Format DDG'!2:2,0)),
INDEX( 'ETPT Format DDG'!$A:$ZZ,,MATCH("Fonction recodée",'ETPT Format DDG'!2:2,0)),{"Magistrat SIEGE S";"Magistrat SIEGE NS"},
INDEX( 'ETPT Format DDG'!$A:$ZZ,,MATCH("TJCPH",'ETPT Format DDG'!2:2,0)),"OUI"))</f>
        <v>#N/A</v>
      </c>
      <c r="AP5" s="100" t="e">
        <f t="array" ref="AP5">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AQ5" s="100" t="e">
        <f t="array" ref="AQ5">SUM(SUMIFS(
INDEX( 'ETPT Format DDG'!$A:$ZZ,,MATCH("1. TOTAL CONTENTIEUX SOCIAL",'ETPT Format DDG'!2:2,0)),
INDEX( 'ETPT Format DDG'!$A:$ZZ,,MATCH("Fonction recodée",'ETPT Format DDG'!2:2,0)),{"Magistrat SIEGE S";"Magistrat SIEGE NS"},
INDEX( 'ETPT Format DDG'!$A:$ZZ,,MATCH("TJCPH",'ETPT Format DDG'!2:2,0)),"OUI"))-
SUM(SUMIFS(
INDEX( 'ETPT Format DDG'!$A:$ZZ,,MATCH("1.1. DÉPARTAGE PRUD'HOMAL",'ETPT Format DDG'!2:2,0)),
INDEX( 'ETPT Format DDG'!$A:$ZZ,,MATCH("Fonction recodée",'ETPT Format DDG'!2:2,0)),{"Magistrat SIEGE S";"Magistrat SIEGE NS"},
INDEX( 'ETPT Format DDG'!$A:$ZZ,,MATCH("TJCPH",'ETPT Format DDG'!2:2,0)),"OUI"))</f>
        <v>#N/A</v>
      </c>
      <c r="AR5" s="99" t="e">
        <f t="array" ref="AR5">SUM(SUMIFS(
INDEX( 'ETPT Format DDG'!$A:$ZZ,,MATCH("2. TOTAL CONTENTIEUX JAF",'ETPT Format DDG'!2:2,0)),
INDEX( 'ETPT Format DDG'!$A:$ZZ,,MATCH("Fonction recodée",'ETPT Format DDG'!2:2,0)),{"Magistrat SIEGE S";"Magistrat SIEGE NS"}))</f>
        <v>#N/A</v>
      </c>
      <c r="AS5" s="99" t="e">
        <f>SUM(SUMIFS(
INDEX( 'ETPT Format DDG'!$A:$ZZ,,MATCH("4. TOTAL CIVIL NON SPÉCIALISÉ",'ETPT Format DDG'!2:2,0)),
INDEX( 'ETPT Format DDG'!$A:$ZZ,,MATCH("Fonction recodée",'ETPT Format DDG'!2:2,0)),"Magistrat SIEGE S",
INDEX( 'ETPT Format DDG'!$A:$ZZ,,MATCH("TJCPH",'ETPT Format DDG'!2:2,0)),"OUI"))-
SUM(SUMIFS(
INDEX( 'ETPT Format DDG'!$A:$ZZ,,MATCH("4.0. CONTENTIEUX GÉNÉRAL &lt;10.000€",'ETPT Format DDG'!2:2,0)),
INDEX( 'ETPT Format DDG'!$A:$ZZ,,MATCH("Fonction recodée",'ETPT Format DDG'!2:2,0)),"Magistrat SIEGE S",
INDEX( 'ETPT Format DDG'!$A:$ZZ,,MATCH("TJCPH",'ETPT Format DDG'!2:2,0)),"OUI"))</f>
        <v>#N/A</v>
      </c>
      <c r="AT5" s="99" t="e">
        <f>SUM(SUMIFS(
INDEX( 'ETPT Format DDG'!$A:$ZZ,,MATCH("4. TOTAL CIVIL NON SPÉCIALISÉ",'ETPT Format DDG'!2:2,0)),
INDEX( 'ETPT Format DDG'!$A:$ZZ,,MATCH("Fonction recodée",'ETPT Format DDG'!2:2,0)),"Magistrat SIEGE NS",
INDEX( 'ETPT Format DDG'!$A:$ZZ,,MATCH("TJCPH",'ETPT Format DDG'!2:2,0)),"OUI"))-
SUM(SUMIFS(
INDEX( 'ETPT Format DDG'!$A:$ZZ,,MATCH("4.0. CONTENTIEUX GÉNÉRAL &lt;10.000€",'ETPT Format DDG'!2:2,0)),
INDEX( 'ETPT Format DDG'!$A:$ZZ,,MATCH("Fonction recodée",'ETPT Format DDG'!2:2,0)),"Magistrat SIEGE NS",
INDEX( 'ETPT Format DDG'!$A:$ZZ,,MATCH("TJCPH",'ETPT Format DDG'!2:2,0)),"OUI"))</f>
        <v>#N/A</v>
      </c>
      <c r="AU5" s="98">
        <f>_xlfn.AGGREGATE(9,6,AH5:AT5)</f>
        <v>0</v>
      </c>
      <c r="AV5" s="102"/>
      <c r="AW5" s="102"/>
      <c r="AX5" s="103"/>
      <c r="AY5" s="103"/>
      <c r="AZ5" s="103"/>
      <c r="BA5" s="103"/>
      <c r="BB5" s="103"/>
      <c r="BC5" s="103"/>
      <c r="BD5" s="102"/>
      <c r="BE5" s="98">
        <f>SUM(AV5:BD5)</f>
        <v>0</v>
      </c>
    </row>
    <row r="6" ht="12" customHeight="1" spans="1:57" s="81" customFormat="1" x14ac:dyDescent="0.25">
      <c r="A6" s="91" t="s">
        <v>577</v>
      </c>
      <c r="B6" s="92"/>
      <c r="C6" s="92"/>
      <c r="D6" s="104">
        <f t="shared" ref="D6:D15" si="0">$D$5</f>
      </c>
      <c r="E6" s="92" t="s">
        <v>580</v>
      </c>
      <c r="F6" s="92" t="s">
        <v>581</v>
      </c>
      <c r="G6" s="94" t="e">
        <f>SUM(SUMIFS(
INDEX( 'ETPT Format DDG'!$A:$ZZ,,MATCH("6.2. ACTIVITÉ PÉNALE",'ETPT Format DDG'!2:2,0)),
INDEX( 'ETPT Format DDG'!$A:$ZZ,,MATCH("Fonction recodée",'ETPT Format DDG'!2:2,0)),"Fonctionnaire CTECH"))
+
SUM(SUMIFS(
INDEX( 'ETPT Format DDG'!$A:$ZZ,,MATCH("7. TOTAL SIÈGE PÉNAL",'ETPT Format DDG'!2:2,0)),
INDEX( 'ETPT Format DDG'!$A:$ZZ,,MATCH("Fonction recodée",'ETPT Format DDG'!2:2,0)),"Fonctionnaire CTECH"))
+
SUM(SUMIFS(
INDEX( 'ETPT Format DDG'!$A:$ZZ,,MATCH("8. TOTAL JUGES D'INSTRUCTION",'ETPT Format DDG'!2:2,0)),
INDEX( 'ETPT Format DDG'!$A:$ZZ,,MATCH("Fonction recodée",'ETPT Format DDG'!2:2,0)),"Fonctionnaire CTECH"))
+
SUM(SUMIFS(
INDEX( 'ETPT Format DDG'!$A:$ZZ,,MATCH("9. TOTAL JAP",'ETPT Format DDG'!2:2,0)),
INDEX( 'ETPT Format DDG'!$A:$ZZ,,MATCH("Fonction recodée",'ETPT Format DDG'!2:2,0)),"Fonctionnaire CTECH"))
+
SUM(SUMIFS(
INDEX( 'ETPT Format DDG'!$A:$ZZ,,MATCH("10. TOTAL JLD PÉNAL",'ETPT Format DDG'!2:2,0)),
INDEX( 'ETPT Format DDG'!$A:$ZZ,,MATCH("Fonction recodée",'ETPT Format DDG'!2:2,0)),"Fonctionnaire CTECH"))
+
SUM(SUMIFS(
INDEX( 'ETPT Format DDG'!$A:$ZZ,,MATCH("11.9. FONCTIONNAIRES AFFECTÉS À L'EXÉCUTION DES PEINES",'ETPT Format DDG'!2:2,0)),
INDEX( 'ETPT Format DDG'!$A:$ZZ,,MATCH("Fonction recodée",'ETPT Format DDG'!2:2,0)),"Fonctionnaire CTECH"))
+
SUM(SUMIFS(
INDEX( 'ETPT Format DDG'!$A:$ZZ,,MATCH("11.10. AUTRES FONCTIONNAIRES AFFECTÉS AU PARQUET",'ETPT Format DDG'!2:2,0)),
INDEX( 'ETPT Format DDG'!$A:$ZZ,,MATCH("Fonction recodée",'ETPT Format DDG'!2:2,0)),"Fonctionnaire CTECH"))</f>
        <v>#N/A</v>
      </c>
      <c r="H6" s="95">
        <f t="shared" ref="H6:H14" si="1">_xlfn.AGGREGATE(9,6,G6)</f>
        <v>0</v>
      </c>
      <c r="I6" s="97"/>
      <c r="J6" s="96" t="e">
        <f>SUM(SUMIFS(
INDEX( 'ETPT Format DDG'!$A:$ZZ,,MATCH("11.9. FONCTIONNAIRES AFFECTÉS À L'EXÉCUTION DES PEINES",'ETPT Format DDG'!2:2,0)),
INDEX( 'ETPT Format DDG'!$A:$ZZ,,MATCH("Fonction recodée",'ETPT Format DDG'!2:2,0)),"Fonctionnaire A-B-CBUR"))</f>
        <v>#N/A</v>
      </c>
      <c r="K6" s="96" t="e">
        <f>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f>
        <v>#N/A</v>
      </c>
      <c r="L6" s="96" t="e">
        <f>SUM(SUMIFS(
INDEX( 'ETPT Format DDG'!$A:$ZZ,,MATCH("7.52. COUR CRIMINELLE",'ETPT Format DDG'!2:2,0)),
INDEX( 'ETPT Format DDG'!$A:$ZZ,,MATCH("Fonction recodée",'ETPT Format DDG'!2:2,0)),"Fonctionnaire A-B-CBUR"))</f>
        <v>#N/A</v>
      </c>
      <c r="M6" s="96" t="e">
        <f>SUM(SUMIFS(
INDEX( 'ETPT Format DDG'!$A:$ZZ,,MATCH("7.121. COLLÉGIALES JIRS ÉCO-FI",'ETPT Format DDG'!2:2,0)),
INDEX( 'ETPT Format DDG'!$A:$ZZ,,MATCH("Fonction recodée",'ETPT Format DDG'!2:2,0)),"Fonctionnaire A-B-CBUR",
INDEX( 'ETPT Format DDG'!$A:$ZZ,,MATCH("Jirs",'ETPT Format DDG'!2:2,0)),"x"))</f>
        <v>#N/A</v>
      </c>
      <c r="N6" s="96" t="e">
        <f>SUM(SUMIFS(
INDEX( 'ETPT Format DDG'!$A:$ZZ,,MATCH("7.12. COLLÉGIALES JIRS CRIM-ORG",'ETPT Format DDG'!2:2,0)),
INDEX( 'ETPT Format DDG'!$A:$ZZ,,MATCH("Fonction recodée",'ETPT Format DDG'!2:2,0)),"Fonctionnaire A-B-CBUR"))</f>
        <v>#N/A</v>
      </c>
      <c r="O6" s="96" t="e">
        <f>SUM(SUMIFS(
INDEX( 'ETPT Format DDG'!$A:$ZZ,,MATCH("7.122. COLLÉGIALES AUTRES SECTIONS SPÉCIALISÉES",'ETPT Format DDG'!2:2,0)),
INDEX( 'ETPT Format DDG'!$A:$ZZ,,MATCH("Fonction recodée",'ETPT Format DDG'!2:2,0)),"Fonctionnaire A-B-CBUR"))+
SUM(SUMIFS(
INDEX( 'ETPT Format DDG'!$A:$ZZ,,MATCH("7.121. COLLÉGIALES JIRS ÉCO-FI",'ETPT Format DDG'!2:2,0)),
INDEX( 'ETPT Format DDG'!$A:$ZZ,,MATCH("Fonction recodée",'ETPT Format DDG'!2:2,0)),"Fonctionnaire A-B-CBUR",
INDEX( 'ETPT Format DDG'!$A:$ZZ,,MATCH("Jirs",'ETPT Format DDG'!2:2,0)),""))</f>
        <v>#N/A</v>
      </c>
      <c r="P6" s="97"/>
      <c r="Q6" s="97"/>
      <c r="R6" s="105" t="e">
        <f>SUM(SUMIFS(
INDEX( 'ETPT Format DDG'!$A:$ZZ,,MATCH("6.2. ACTIVITÉ PÉNALE",'ETPT Format DDG'!2:2,0)),
INDEX( 'ETPT Format DDG'!$A:$ZZ,,MATCH("Fonction recodée",'ETPT Format DDG'!2:2,0)),"Fonctionnaire A-B-CBUR"))+
SUM(SUMIFS(
INDEX( 'ETPT Format DDG'!$A:$ZZ,,MATCH("8. TOTAL JUGES D'INSTRUCTION",'ETPT Format DDG'!2:2,0)),
INDEX( 'ETPT Format DDG'!$A:$ZZ,,MATCH("Fonction recodée",'ETPT Format DDG'!2:2,0)),"Fonctionnaire A-B-CBUR"))+
SUM(SUMIFS(
INDEX( 'ETPT Format DDG'!$A:$ZZ,,MATCH("9. TOTAL JAP",'ETPT Format DDG'!2:2,0)),
INDEX( 'ETPT Format DDG'!$A:$ZZ,,MATCH("Fonction recodée",'ETPT Format DDG'!2:2,0)),"Fonctionnaire A-B-CBUR"))+
SUM(SUMIFS(
INDEX( 'ETPT Format DDG'!$A:$ZZ,,MATCH("10. TOTAL JLD PÉNAL",'ETPT Format DDG'!2:2,0)),
INDEX( 'ETPT Format DDG'!$A:$ZZ,,MATCH("Fonction recodée",'ETPT Format DDG'!2:2,0)),"Fonctionnaire A-B-CBUR"))</f>
        <v>#N/A</v>
      </c>
      <c r="S6" s="106"/>
      <c r="T6" s="106"/>
      <c r="U6" s="107" t="s">
        <v>582</v>
      </c>
      <c r="V6" s="108" t="e">
        <f>SUM(SUMIFS(
INDEX( 'ETPT Format DDG'!$A:$ZZ,,MATCH("7. TOTAL SIÈGE PÉNAL",'ETPT Format DDG'!2:2,0)),
INDEX( 'ETPT Format DDG'!$A:$ZZ,,MATCH("Fonction recodée",'ETPT Format DDG'!2:2,0)),"Fonctionnaire A-B-CBUR"))+
SUM(SUMIFS(
INDEX( 'ETPT Format DDG'!$A:$ZZ,,MATCH("11.10. AUTRES FONCTIONNAIRES AFFECTÉS AU PARQUET",'ETPT Format DDG'!2:2,0)),
INDEX( 'ETPT Format DDG'!$A:$ZZ,,MATCH("Fonction recodée",'ETPT Format DDG'!2:2,0)),"Fonctionnaire A-B-CBUR"))-
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
SUM(SUMIFS(
INDEX( 'ETPT Format DDG'!$A:$ZZ,,MATCH("7.52. COUR CRIMINELLE",'ETPT Format DDG'!2:2,0)),
INDEX( 'ETPT Format DDG'!$A:$ZZ,,MATCH("Fonction recodée",'ETPT Format DDG'!2:2,0)),"Fonctionnaire A-B-CBUR"))-
SUM(SUMIFS(
INDEX( 'ETPT Format DDG'!$A:$ZZ,,MATCH("7.121. COLLÉGIALES JIRS ÉCO-FI",'ETPT Format DDG'!2:2,0)),
INDEX( 'ETPT Format DDG'!$A:$ZZ,,MATCH("Fonction recodée",'ETPT Format DDG'!2:2,0)),"Fonctionnaire A-B-CBUR"))-
SUM(SUMIFS(
INDEX( 'ETPT Format DDG'!$A:$ZZ,,MATCH("7.12. COLLÉGIALES JIRS CRIM-ORG",'ETPT Format DDG'!2:2,0)),
INDEX( 'ETPT Format DDG'!$A:$ZZ,,MATCH("Fonction recodée",'ETPT Format DDG'!2:2,0)),"Fonctionnaire A-B-CBUR"))-
SUM(SUMIFS(
INDEX( 'ETPT Format DDG'!$A:$ZZ,,MATCH("7.122. COLLÉGIALES AUTRES SECTIONS SPÉCIALISÉES",'ETPT Format DDG'!2:2,0)),
INDEX( 'ETPT Format DDG'!$A:$ZZ,,MATCH("Fonction recodée",'ETPT Format DDG'!2:2,0)),"Fonctionnaire A-B-CBUR"))</f>
        <v>#N/A</v>
      </c>
      <c r="W6" s="98">
        <f>_xlfn.AGGREGATE(9,6,I6:V6)</f>
        <v>0</v>
      </c>
      <c r="X6" s="101"/>
      <c r="Y6" s="101"/>
      <c r="Z6" s="100" t="e">
        <f t="array" ref="Z6">SUM(SUMIFS(
INDEX( 'ETPT Format DDG'!$A:$ZZ,,MATCH("8.1. SERVICE GÉNÉRAL",'ETPT Format DDG'!2:2,0)),
INDEX( 'ETPT Format DDG'!$A:$ZZ,,MATCH("Fonction recodée",'ETPT Format DDG'!2:2,0)),{"Magistrat SIEGE S";"Magistrat SIEGE NS"}))</f>
        <v>#N/A</v>
      </c>
      <c r="AA6" s="100" t="e">
        <f t="array" ref="AA6">SUM(SUMIFS(
INDEX( 'ETPT Format DDG'!$A:$ZZ,,MATCH("8.2. JIRS ÉCO-FI",'ETPT Format DDG'!2:2,0)),
INDEX( 'ETPT Format DDG'!$A:$ZZ,,MATCH("Fonction recodée",'ETPT Format DDG'!2:2,0)),{"Magistrat SIEGE S";"Magistrat SIEGE NS"}))</f>
        <v>#N/A</v>
      </c>
      <c r="AB6" s="100" t="e">
        <f t="array" ref="AB6">SUM(SUMIFS(
INDEX( 'ETPT Format DDG'!$A:$ZZ,,MATCH("8.3. JIRS CRIM-ORG",'ETPT Format DDG'!2:2,0)),
INDEX( 'ETPT Format DDG'!$A:$ZZ,,MATCH("Fonction recodée",'ETPT Format DDG'!2:2,0)),{"Magistrat SIEGE S";"Magistrat SIEGE NS"}))</f>
        <v>#N/A</v>
      </c>
      <c r="AC6" s="100" t="e">
        <f t="array" ref="AC6">SUM(SUMIFS(
INDEX( 'ETPT Format DDG'!$A:$ZZ,,MATCH("8.4. AUTRES SECTIONS SPÉCIALISÉES",'ETPT Format DDG'!2:2,0)),
INDEX( 'ETPT Format DDG'!$A:$ZZ,,MATCH("Fonction recodée",'ETPT Format DDG'!2:2,0)),{"Magistrat SIEGE S";"Magistrat SIEGE NS"}))+
SUM(SUMIFS(
INDEX( 'ETPT Format DDG'!$A:$ZZ,,MATCH("8.11. ECO-FI HORS JIRS",'ETPT Format DDG'!2:2,0)),
INDEX( 'ETPT Format DDG'!$A:$ZZ,,MATCH("Fonction recodée",'ETPT Format DDG'!2:2,0)),{"Magistrat SIEGE S";"Magistrat SIEGE NS"}))</f>
        <v>#N/A</v>
      </c>
      <c r="AD6" s="100" t="e">
        <f t="array" ref="AD6">SUM(SUMIFS(
INDEX( 'ETPT Format DDG'!$A:$ZZ,,MATCH("9. TOTAL JAP",'ETPT Format DDG'!2:2,0)),
INDEX( 'ETPT Format DDG'!$A:$ZZ,,MATCH("Fonction recodée",'ETPT Format DDG'!2:2,0)),{"Magistrat SIEGE S";"Magistrat SIEGE NS"}))</f>
        <v>#N/A</v>
      </c>
      <c r="AE6" s="100" t="e">
        <f t="array" ref="AE6">SUM(SUMIFS(
INDEX( 'ETPT Format DDG'!$A:$ZZ,,MATCH("6.2. ACTIVITÉ PÉNALE",'ETPT Format DDG'!2:2,0)),
INDEX( 'ETPT Format DDG'!$A:$ZZ,,MATCH("Fonction recodée",'ETPT Format DDG'!2:2,0)),{"Magistrat SIEGE S";"Magistrat SIEGE NS"}))</f>
        <v>#N/A</v>
      </c>
      <c r="AF6" s="100" t="e">
        <f t="array" ref="AF6">SUM(SUMIFS(
INDEX( 'ETPT Format DDG'!$A:$ZZ,,MATCH("10. TOTAL JLD PÉNAL",'ETPT Format DDG'!2:2,0)),
INDEX( 'ETPT Format DDG'!$A:$ZZ,,MATCH("Fonction recodée",'ETPT Format DDG'!2:2,0)),{"Magistrat SIEGE S";"Magistrat SIEGE NS"}))</f>
        <v>#N/A</v>
      </c>
      <c r="AG6" s="98">
        <f t="shared" ref="AG6:AG15" si="2">_xlfn.AGGREGATE(9,6,X6:AF6)</f>
        <v>0</v>
      </c>
      <c r="AH6" s="100" t="e">
        <f t="array" ref="AH6">SUM(SUMIFS(
INDEX( 'ETPT Format DDG'!$A:$ZZ,,MATCH("7.5. COUR D'ASSISES HORS JIRS",'ETPT Format DDG'!2:2,0)),
INDEX( 'ETPT Format DDG'!$A:$ZZ,,MATCH("Fonction recodée",'ETPT Format DDG'!2:2,0)),{"Magistrat SIEGE S";"Magistrat SIEGE NS"}))+
SUM(SUMIFS(
INDEX( 'ETPT Format DDG'!$A:$ZZ,,MATCH("7.51. COUR D'ASSISES JIRS",'ETPT Format DDG'!2:2,0)),
INDEX( 'ETPT Format DDG'!$A:$ZZ,,MATCH("Fonction recodée",'ETPT Format DDG'!2:2,0)),{"Magistrat SIEGE S";"Magistrat SIEGE NS"}))</f>
        <v>#N/A</v>
      </c>
      <c r="AI6" s="100" t="e">
        <f t="array" ref="AI6">SUM(SUMIFS(
INDEX( 'ETPT Format DDG'!$A:$ZZ,,MATCH("7.52. COUR CRIMINELLE",'ETPT Format DDG'!2:2,0)),
INDEX( 'ETPT Format DDG'!$A:$ZZ,,MATCH("Fonction recodée",'ETPT Format DDG'!2:2,0)),{"Magistrat SIEGE S";"Magistrat SIEGE NS"}))</f>
        <v>#N/A</v>
      </c>
      <c r="AJ6" s="100" t="e">
        <f t="array" ref="AJ6">SUM(SUMIFS(
INDEX( 'ETPT Format DDG'!$A:$ZZ,,MATCH("7.121. COLLÉGIALES JIRS ÉCO-FI",'ETPT Format DDG'!2:2,0)),
INDEX( 'ETPT Format DDG'!$A:$ZZ,,MATCH("Fonction recodée",'ETPT Format DDG'!2:2,0)),{"Magistrat SIEGE S";"Magistrat SIEGE NS"},
INDEX( 'ETPT Format DDG'!$A:$ZZ,,MATCH("Jirs",'ETPT Format DDG'!2:2,0)),"x"))</f>
        <v>#N/A</v>
      </c>
      <c r="AK6" s="100" t="e">
        <f t="array" ref="AK6">SUM(SUMIFS(
INDEX( 'ETPT Format DDG'!$A:$ZZ,,MATCH("7.12. COLLÉGIALES JIRS CRIM-ORG",'ETPT Format DDG'!2:2,0)),
INDEX( 'ETPT Format DDG'!$A:$ZZ,,MATCH("Fonction recodée",'ETPT Format DDG'!2:2,0)),{"Magistrat SIEGE S";"Magistrat SIEGE NS"}))</f>
        <v>#N/A</v>
      </c>
      <c r="AL6" s="100" t="e">
        <f t="array" ref="AL6">SUM(SUMIFS(
INDEX( 'ETPT Format DDG'!$A:$ZZ,,MATCH("7.122. COLLÉGIALES AUTRES SECTIONS SPÉCIALISÉES",'ETPT Format DDG'!2:2,0)),
INDEX( 'ETPT Format DDG'!$A:$ZZ,,MATCH("Fonction recodée",'ETPT Format DDG'!2:2,0)),{"Magistrat SIEGE S";"Magistrat SIEGE NS"}))+
SUM(SUMIFS(
INDEX( 'ETPT Format DDG'!$A:$ZZ,,MATCH("7.121. COLLÉGIALES JIRS ÉCO-FI",'ETPT Format DDG'!2:2,0)),
INDEX( 'ETPT Format DDG'!$A:$ZZ,,MATCH("Fonction recodée",'ETPT Format DDG'!2:2,0)),{"Magistrat SIEGE S";"Magistrat SIEGE NS"},
INDEX( 'ETPT Format DDG'!$A:$ZZ,,MATCH("Jirs",'ETPT Format DDG'!2:2,0)),""))</f>
        <v>#N/A</v>
      </c>
      <c r="AM6" s="99" t="e">
        <f t="array" ref="AM6">SUM(SUMIFS(
INDEX( 'ETPT Format DDG'!$A:$ZZ,,MATCH("7.6. TRIBUNAL DE POLICE",'ETPT Format DDG'!2:2,0)),
INDEX( 'ETPT Format DDG'!$A:$ZZ,,MATCH("Fonction recodée",'ETPT Format DDG'!2:2,0)),{"Magistrat SIEGE S";"Magistrat SIEGE NS"}))+
SUM(SUMIFS(
INDEX( 'ETPT Format DDG'!$A:$ZZ,,MATCH("7.7. OP CONTRAVENTIONNELLES",'ETPT Format DDG'!2:2,0)),
INDEX( 'ETPT Format DDG'!$A:$ZZ,,MATCH("Fonction recodée",'ETPT Format DDG'!2:2,0)),{"Magistrat SIEGE S";"Magistrat SIEGE NS"}))</f>
        <v>#N/A</v>
      </c>
      <c r="AN6" s="101"/>
      <c r="AO6" s="101"/>
      <c r="AP6" s="101"/>
      <c r="AQ6" s="101"/>
      <c r="AR6" s="101"/>
      <c r="AS6" s="99" t="e">
        <f>SUMIFS(
INDEX( 'ETPT Format DDG'!$A:$ZZ,,MATCH("7. TOTAL SIÈGE PÉNAL",'ETPT Format DDG'!2:2,0)),
INDEX( 'ETPT Format DDG'!$A:$ZZ,,MATCH("Fonction recodée",'ETPT Format DDG'!2:2,0)),"Magistrat SIEGE S")-
SUMIFS(
INDEX( 'ETPT Format DDG'!$A:$ZZ,,MATCH("7.5. COUR D'ASSISES HORS JIRS",'ETPT Format DDG'!2:2,0)),
INDEX( 'ETPT Format DDG'!$A:$ZZ,,MATCH("Fonction recodée",'ETPT Format DDG'!2:2,0)),"Magistrat SIEGE S")-
SUMIFS(
INDEX( 'ETPT Format DDG'!$A:$ZZ,,MATCH("7.51. COUR D'ASSISES JIRS",'ETPT Format DDG'!2:2,0)),
INDEX( 'ETPT Format DDG'!$A:$ZZ,,MATCH("Fonction recodée",'ETPT Format DDG'!2:2,0)),"Magistrat SIEGE S")-
SUMIFS(
INDEX( 'ETPT Format DDG'!$A:$ZZ,,MATCH("7.52. COUR CRIMINELLE",'ETPT Format DDG'!2:2,0)),
INDEX( 'ETPT Format DDG'!$A:$ZZ,,MATCH("Fonction recodée",'ETPT Format DDG'!2:2,0)),"Magistrat SIEGE S")-
SUMIFS(
INDEX( 'ETPT Format DDG'!$A:$ZZ,,MATCH("7.121. COLLÉGIALES JIRS ÉCO-FI",'ETPT Format DDG'!2:2,0)),
INDEX( 'ETPT Format DDG'!$A:$ZZ,,MATCH("Fonction recodée",'ETPT Format DDG'!2:2,0)),"Magistrat SIEGE S")-
SUMIFS(
INDEX( 'ETPT Format DDG'!$A:$ZZ,,MATCH("7.12. COLLÉGIALES JIRS CRIM-ORG",'ETPT Format DDG'!2:2,0)),
INDEX( 'ETPT Format DDG'!$A:$ZZ,,MATCH("Fonction recodée",'ETPT Format DDG'!2:2,0)),"Magistrat SIEGE S")-
SUMIFS(
INDEX( 'ETPT Format DDG'!$A:$ZZ,,MATCH("7.122. COLLÉGIALES AUTRES SECTIONS SPÉCIALISÉES",'ETPT Format DDG'!2:2,0)),
INDEX( 'ETPT Format DDG'!$A:$ZZ,,MATCH("Fonction recodée",'ETPT Format DDG'!2:2,0)),"Magistrat SIEGE S")-
SUMIFS(
INDEX( 'ETPT Format DDG'!$A:$ZZ,,MATCH("7.6. TRIBUNAL DE POLICE",'ETPT Format DDG'!2:2,0)),
INDEX( 'ETPT Format DDG'!$A:$ZZ,,MATCH("Fonction recodée",'ETPT Format DDG'!2:2,0)),"Magistrat SIEGE S")-
SUMIFS(
INDEX( 'ETPT Format DDG'!$A:$ZZ,,MATCH("7.7. OP CONTRAVENTIONNELLES",'ETPT Format DDG'!2:2,0)),
INDEX( 'ETPT Format DDG'!$A:$ZZ,,MATCH("Fonction recodée",'ETPT Format DDG'!2:2,0)),"Magistrat SIEGE S")</f>
        <v>#N/A</v>
      </c>
      <c r="AT6" s="109" t="e">
        <f>SUMIFS(
INDEX( 'ETPT Format DDG'!$A:$ZZ,,MATCH("7. TOTAL SIÈGE PÉNAL",'ETPT Format DDG'!2:2,0)),
INDEX( 'ETPT Format DDG'!$A:$ZZ,,MATCH("Fonction recodée",'ETPT Format DDG'!2:2,0)),"Magistrat SIEGE NS")-
SUMIFS(
INDEX( 'ETPT Format DDG'!$A:$ZZ,,MATCH("7.5. COUR D'ASSISES HORS JIRS",'ETPT Format DDG'!2:2,0)),
INDEX( 'ETPT Format DDG'!$A:$ZZ,,MATCH("Fonction recodée",'ETPT Format DDG'!2:2,0)),"Magistrat SIEGE NS")-
SUMIFS(
INDEX( 'ETPT Format DDG'!$A:$ZZ,,MATCH("7.51. COUR D'ASSISES JIRS",'ETPT Format DDG'!2:2,0)),
INDEX( 'ETPT Format DDG'!$A:$ZZ,,MATCH("Fonction recodée",'ETPT Format DDG'!2:2,0)),"Magistrat SIEGE NS")-
SUMIFS(
INDEX( 'ETPT Format DDG'!$A:$ZZ,,MATCH("7.52. COUR CRIMINELLE",'ETPT Format DDG'!2:2,0)),
INDEX( 'ETPT Format DDG'!$A:$ZZ,,MATCH("Fonction recodée",'ETPT Format DDG'!2:2,0)),"Magistrat SIEGE NS")-
SUMIFS(
INDEX( 'ETPT Format DDG'!$A:$ZZ,,MATCH("7.121. COLLÉGIALES JIRS ÉCO-FI",'ETPT Format DDG'!2:2,0)),
INDEX( 'ETPT Format DDG'!$A:$ZZ,,MATCH("Fonction recodée",'ETPT Format DDG'!2:2,0)),"Magistrat SIEGE NS")-
SUMIFS(
INDEX( 'ETPT Format DDG'!$A:$ZZ,,MATCH("7.12. COLLÉGIALES JIRS CRIM-ORG",'ETPT Format DDG'!2:2,0)),
INDEX( 'ETPT Format DDG'!$A:$ZZ,,MATCH("Fonction recodée",'ETPT Format DDG'!2:2,0)),"Magistrat SIEGE NS")-
SUMIFS(
INDEX( 'ETPT Format DDG'!$A:$ZZ,,MATCH("7.122. COLLÉGIALES AUTRES SECTIONS SPÉCIALISÉES",'ETPT Format DDG'!2:2,0)),
INDEX( 'ETPT Format DDG'!$A:$ZZ,,MATCH("Fonction recodée",'ETPT Format DDG'!2:2,0)),"Magistrat SIEGE NS")-
SUMIFS(
INDEX( 'ETPT Format DDG'!$A:$ZZ,,MATCH("7.6. TRIBUNAL DE POLICE",'ETPT Format DDG'!2:2,0)),
INDEX( 'ETPT Format DDG'!$A:$ZZ,,MATCH("Fonction recodée",'ETPT Format DDG'!2:2,0)),"Magistrat SIEGE NS")-
SUMIFS(
INDEX( 'ETPT Format DDG'!$A:$ZZ,,MATCH("7.7. OP CONTRAVENTIONNELLES",'ETPT Format DDG'!2:2,0)),
INDEX( 'ETPT Format DDG'!$A:$ZZ,,MATCH("Fonction recodée",'ETPT Format DDG'!2:2,0)),"Magistrat SIEGE NS")</f>
        <v>#N/A</v>
      </c>
      <c r="AU6" s="98">
        <f t="shared" ref="AU6:AU15" si="3">_xlfn.AGGREGATE(9,6,AH6:AT6)</f>
        <v>0</v>
      </c>
      <c r="AV6" s="102"/>
      <c r="AW6" s="102"/>
      <c r="AX6" s="102"/>
      <c r="AY6" s="102"/>
      <c r="AZ6" s="102"/>
      <c r="BA6" s="102"/>
      <c r="BB6" s="102"/>
      <c r="BC6" s="103"/>
      <c r="BD6" s="102"/>
      <c r="BE6" s="98">
        <f>SUM(AV6:BD6)</f>
        <v>0</v>
      </c>
    </row>
    <row r="7" ht="14.25" customHeight="1" spans="1:57" s="81" customFormat="1" x14ac:dyDescent="0.25">
      <c r="A7" s="91" t="s">
        <v>577</v>
      </c>
      <c r="B7" s="92"/>
      <c r="C7" s="92"/>
      <c r="D7" s="104">
        <f t="shared" si="0"/>
      </c>
      <c r="E7" s="92" t="s">
        <v>583</v>
      </c>
      <c r="F7" s="92" t="s">
        <v>584</v>
      </c>
      <c r="G7" s="110"/>
      <c r="H7" s="95">
        <f t="shared" si="1"/>
        <v>0</v>
      </c>
      <c r="I7" s="111"/>
      <c r="J7" s="111"/>
      <c r="K7" s="111"/>
      <c r="L7" s="111"/>
      <c r="M7" s="111"/>
      <c r="N7" s="111"/>
      <c r="O7" s="111"/>
      <c r="P7" s="111"/>
      <c r="Q7" s="112" t="s">
        <v>585</v>
      </c>
      <c r="R7" s="112" t="s">
        <v>586</v>
      </c>
      <c r="S7" s="111"/>
      <c r="T7" s="111"/>
      <c r="U7" s="111"/>
      <c r="V7" s="111"/>
      <c r="W7" s="98">
        <f t="shared" ref="W7:W15" si="4">_xlfn.AGGREGATE(9,6,I7:V7)</f>
        <v>0</v>
      </c>
      <c r="X7" s="111"/>
      <c r="Y7" s="100" t="e">
        <f t="array" ref="Y7">SUM(SUMIFS(
INDEX( 'ETPT Format DDG'!$A:$ZZ,,MATCH("11.5. CSM",'ETPT Format DDG'!2:2,0)),
INDEX( 'ETPT Format DDG'!$A:$ZZ,,MATCH("Fonction",'ETPT Format DDG'!2:2,0)),{"JCP";"VPCP";"1VPCP"},
INDEX( 'ETPT Format DDG'!$A:$ZZ,,MATCH("TJCPH",'ETPT Format DDG'!2:2,0)),"OUI"))</f>
        <v>#N/A</v>
      </c>
      <c r="Z7" s="100" t="e">
        <f t="array" ref="Z7">SUM(SUMIFS(
INDEX( 'ETPT Format DDG'!$A:$ZZ,,MATCH("11.5. CSM",'ETPT Format DDG'!2:2,0)),
INDEX( 'ETPT Format DDG'!$A:$ZZ,,MATCH("Fonction",'ETPT Format DDG'!2:2,0)),{"JI";"VPI";"1VPI"},
INDEX( 'ETPT Format DDG'!$A:$ZZ,,MATCH("TJCPH",'ETPT Format DDG'!2:2,0)),"OUI"))</f>
        <v>#N/A</v>
      </c>
      <c r="AA7" s="111"/>
      <c r="AB7" s="111"/>
      <c r="AC7" s="111"/>
      <c r="AD7" s="100" t="e">
        <f t="array" ref="AD7">SUM(SUMIFS(
INDEX( 'ETPT Format DDG'!$A:$ZZ,,MATCH("11.5. CSM",'ETPT Format DDG'!2:2,0)),
INDEX( 'ETPT Format DDG'!$A:$ZZ,,MATCH("Fonction",'ETPT Format DDG'!2:2,0)),{"JAP";"VPAP";"1VPAP"},
INDEX( 'ETPT Format DDG'!$A:$ZZ,,MATCH("TJCPH",'ETPT Format DDG'!2:2,0)),"OUI"))</f>
        <v>#N/A</v>
      </c>
      <c r="AE7" s="100" t="e">
        <f t="array" ref="AE7">SUM(SUMIFS(
INDEX( 'ETPT Format DDG'!$A:$ZZ,,MATCH("11.5. CSM",'ETPT Format DDG'!2:2,0)),
INDEX( 'ETPT Format DDG'!$A:$ZZ,,MATCH("Fonction",'ETPT Format DDG'!2:2,0)),{"JE";"VPE";"1VPE"},
INDEX( 'ETPT Format DDG'!$A:$ZZ,,MATCH("TJCPH",'ETPT Format DDG'!2:2,0)),"OUI"))</f>
        <v>#N/A</v>
      </c>
      <c r="AF7" s="100" t="e">
        <f t="array" ref="AF7">SUM(SUMIFS(
INDEX( 'ETPT Format DDG'!$A:$ZZ,,MATCH("11.5. CSM",'ETPT Format DDG'!2:2,0)),
INDEX( 'ETPT Format DDG'!$A:$ZZ,,MATCH("Fonction",'ETPT Format DDG'!2:2,0)),{"VPLD";"1VPLD"},
INDEX( 'ETPT Format DDG'!$A:$ZZ,,MATCH("TJCPH",'ETPT Format DDG'!2:2,0)),"OUI"))</f>
        <v>#N/A</v>
      </c>
      <c r="AG7" s="98">
        <f t="shared" si="2"/>
        <v>0</v>
      </c>
      <c r="AH7" s="111"/>
      <c r="AI7" s="111"/>
      <c r="AJ7" s="111"/>
      <c r="AK7" s="111"/>
      <c r="AL7" s="111"/>
      <c r="AM7" s="111"/>
      <c r="AN7" s="111"/>
      <c r="AO7" s="111"/>
      <c r="AP7" s="111"/>
      <c r="AQ7" s="111"/>
      <c r="AR7" s="112"/>
      <c r="AS7" s="111"/>
      <c r="AT7" s="100" t="e">
        <f>SUM(SUMIFS(
INDEX( 'ETPT Format DDG'!$A:$ZZ,,MATCH("11.5. CSM",'ETPT Format DDG'!2:2,0)),
INDEX( 'ETPT Format DDG'!$A:$ZZ,,MATCH("Fonction recodée",'ETPT Format DDG'!2:2,0)),"Magistrat SIEGE NS",
INDEX( 'ETPT Format DDG'!$A:$ZZ,,MATCH("TJCPH",'ETPT Format DDG'!2:2,0)),"OUI"))</f>
        <v>#N/A</v>
      </c>
      <c r="AU7" s="98">
        <f t="shared" si="3"/>
        <v>0</v>
      </c>
      <c r="AV7" s="102"/>
      <c r="AW7" s="102"/>
      <c r="AX7" s="102"/>
      <c r="AY7" s="102"/>
      <c r="AZ7" s="102"/>
      <c r="BA7" s="102"/>
      <c r="BB7" s="102"/>
      <c r="BC7" s="102"/>
      <c r="BD7" s="102"/>
      <c r="BE7" s="98">
        <f t="shared" ref="BE7:BE15" si="5">SUM(AV7:BD7)</f>
        <v>0</v>
      </c>
    </row>
    <row r="8" ht="14.25" customHeight="1" spans="1:57" s="81" customFormat="1" x14ac:dyDescent="0.25">
      <c r="A8" s="91" t="s">
        <v>577</v>
      </c>
      <c r="B8" s="92"/>
      <c r="C8" s="92"/>
      <c r="D8" s="104">
        <f t="shared" si="0"/>
      </c>
      <c r="E8" s="92" t="s">
        <v>587</v>
      </c>
      <c r="F8" s="92" t="s">
        <v>588</v>
      </c>
      <c r="G8" s="94" t="e">
        <f>SUM(SUMIFS(
INDEX( 'ETPT Format DDG'!$A:$ZZ,,MATCH("11.51. ACCUEIL DU JUSTICIABLE (DONT SAUJ)",'ETPT Format DDG'!2:2,0)),
INDEX( 'ETPT Format DDG'!$A:$ZZ,,MATCH("Fonction recodée",'ETPT Format DDG'!2:2,0)),"Fonctionnaire CTECH",
INDEX( 'ETPT Format DDG'!$A:$ZZ,,MATCH("TJCPH",'ETPT Format DDG'!2:2,0)),"OUI"))</f>
        <v>#N/A</v>
      </c>
      <c r="H8" s="95">
        <f t="shared" si="1"/>
        <v>0</v>
      </c>
      <c r="I8" s="111"/>
      <c r="J8" s="111"/>
      <c r="K8" s="111"/>
      <c r="L8" s="111"/>
      <c r="M8" s="111"/>
      <c r="N8" s="111"/>
      <c r="O8" s="111"/>
      <c r="P8" s="111"/>
      <c r="Q8" s="111"/>
      <c r="R8" s="111"/>
      <c r="S8" s="111"/>
      <c r="T8" s="111"/>
      <c r="U8" s="111"/>
      <c r="V8" s="100" t="e">
        <f>SUM(SUMIFS(
INDEX( 'ETPT Format DDG'!$A:$ZZ,,MATCH("11.51. ACCUEIL DU JUSTICIABLE (DONT SAUJ)",'ETPT Format DDG'!2:2,0)),
INDEX( 'ETPT Format DDG'!$A:$ZZ,,MATCH("Fonction recodée",'ETPT Format DDG'!2:2,0)),"Fonctionnaire A-B-CBUR",
INDEX( 'ETPT Format DDG'!$A:$ZZ,,MATCH("TJCPH",'ETPT Format DDG'!2:2,0)),"OUI"))</f>
        <v>#N/A</v>
      </c>
      <c r="W8" s="98">
        <f t="shared" si="4"/>
        <v>0</v>
      </c>
      <c r="X8" s="111"/>
      <c r="Y8" s="100" t="e">
        <f t="array" ref="Y8">SUM(SUMIFS(
INDEX( 'ETPT Format DDG'!$A:$ZZ,,MATCH("11.51. ACCUEIL DU JUSTICIABLE (DONT SAUJ)",'ETPT Format DDG'!2:2,0)),
INDEX( 'ETPT Format DDG'!$A:$ZZ,,MATCH("Fonction",'ETPT Format DDG'!2:2,0)),{"JCP";"VPCP";"1VPCP"},
INDEX( 'ETPT Format DDG'!$A:$ZZ,,MATCH("TJCPH",'ETPT Format DDG'!2:2,0)),"OUI"))</f>
        <v>#N/A</v>
      </c>
      <c r="Z8" s="100" t="e">
        <f t="array" ref="Z8">SUM(SUMIFS(
INDEX( 'ETPT Format DDG'!$A:$ZZ,,MATCH("11.51. ACCUEIL DU JUSTICIABLE (DONT SAUJ)",'ETPT Format DDG'!2:2,0)),
INDEX( 'ETPT Format DDG'!$A:$ZZ,,MATCH("Fonction",'ETPT Format DDG'!2:2,0)),{"JI";"VPI";"1VPI"},
INDEX( 'ETPT Format DDG'!$A:$ZZ,,MATCH("TJCPH",'ETPT Format DDG'!2:2,0)),"OUI"))</f>
        <v>#N/A</v>
      </c>
      <c r="AA8" s="111"/>
      <c r="AB8" s="111"/>
      <c r="AC8" s="111"/>
      <c r="AD8" s="100" t="e">
        <f t="array" ref="AD8">SUM(SUMIFS(
INDEX( 'ETPT Format DDG'!$A:$ZZ,,MATCH("11.51. ACCUEIL DU JUSTICIABLE (DONT SAUJ)",'ETPT Format DDG'!2:2,0)),
INDEX( 'ETPT Format DDG'!$A:$ZZ,,MATCH("Fonction",'ETPT Format DDG'!2:2,0)),{"JAP";"VPAP";"1VPAP"},
INDEX( 'ETPT Format DDG'!$A:$ZZ,,MATCH("TJCPH",'ETPT Format DDG'!2:2,0)),"OUI"))</f>
        <v>#N/A</v>
      </c>
      <c r="AE8" s="100" t="e">
        <f t="array" ref="AE8">SUM(SUMIFS(
INDEX( 'ETPT Format DDG'!$A:$ZZ,,MATCH("11.51. ACCUEIL DU JUSTICIABLE (DONT SAUJ)",'ETPT Format DDG'!2:2,0)),
INDEX( 'ETPT Format DDG'!$A:$ZZ,,MATCH("Fonction",'ETPT Format DDG'!2:2,0)),{"JE";"VPE";"1VPE"},
INDEX( 'ETPT Format DDG'!$A:$ZZ,,MATCH("TJCPH",'ETPT Format DDG'!2:2,0)),"OUI"))</f>
        <v>#N/A</v>
      </c>
      <c r="AF8" s="100" t="e">
        <f t="array" ref="AF8">SUM(SUMIFS(
INDEX( 'ETPT Format DDG'!$A:$ZZ,,MATCH("11.51. ACCUEIL DU JUSTICIABLE (DONT SAUJ)",'ETPT Format DDG'!2:2,0)),
INDEX( 'ETPT Format DDG'!$A:$ZZ,,MATCH("Fonction",'ETPT Format DDG'!2:2,0)),{"VPLD";"1VPLD"},
INDEX( 'ETPT Format DDG'!$A:$ZZ,,MATCH("TJCPH",'ETPT Format DDG'!2:2,0)),"OUI"))</f>
        <v>#N/A</v>
      </c>
      <c r="AG8" s="98">
        <f t="shared" si="2"/>
        <v>0</v>
      </c>
      <c r="AH8" s="111"/>
      <c r="AI8" s="111"/>
      <c r="AJ8" s="111"/>
      <c r="AK8" s="111"/>
      <c r="AL8" s="111"/>
      <c r="AM8" s="111"/>
      <c r="AN8" s="111"/>
      <c r="AO8" s="111"/>
      <c r="AP8" s="111"/>
      <c r="AQ8" s="111"/>
      <c r="AR8" s="111"/>
      <c r="AS8" s="111"/>
      <c r="AT8" s="100" t="e">
        <f>SUM(SUMIFS(
INDEX( 'ETPT Format DDG'!$A:$ZZ,,MATCH("11.51. ACCUEIL DU JUSTICIABLE (DONT SAUJ)",'ETPT Format DDG'!2:2,0)),
INDEX( 'ETPT Format DDG'!$A:$ZZ,,MATCH("Fonction recodée",'ETPT Format DDG'!2:2,0)),"Magistrat SIEGE NS",
INDEX( 'ETPT Format DDG'!$A:$ZZ,,MATCH("TJCPH",'ETPT Format DDG'!2:2,0)),"OUI"))</f>
        <v>#N/A</v>
      </c>
      <c r="AU8" s="98">
        <f t="shared" si="3"/>
        <v>0</v>
      </c>
      <c r="AV8" s="102"/>
      <c r="AW8" s="102"/>
      <c r="AX8" s="102"/>
      <c r="AY8" s="102"/>
      <c r="AZ8" s="102"/>
      <c r="BA8" s="102"/>
      <c r="BB8" s="102"/>
      <c r="BC8" s="102"/>
      <c r="BD8" s="102"/>
      <c r="BE8" s="98">
        <f t="shared" si="5"/>
        <v>0</v>
      </c>
    </row>
    <row r="9" ht="14.25" customHeight="1" spans="1:57" s="81" customFormat="1" x14ac:dyDescent="0.25">
      <c r="A9" s="91" t="s">
        <v>577</v>
      </c>
      <c r="B9" s="92"/>
      <c r="C9" s="92"/>
      <c r="D9" s="104">
        <f t="shared" si="0"/>
      </c>
      <c r="E9" s="92" t="s">
        <v>589</v>
      </c>
      <c r="F9" s="92" t="s">
        <v>590</v>
      </c>
      <c r="G9" s="94" t="e">
        <f>SUM(SUMIFS(
INDEX( 'ETPT Format DDG'!$A:$ZZ,,MATCH("11.1. SOUTIEN (HORS FORMATIONS SUIVIES)",'ETPT Format DDG'!2:2,0)),
INDEX( 'ETPT Format DDG'!$A:$ZZ,,MATCH("Fonction recodée",'ETPT Format DDG'!2:2,0)),"Fonctionnaire CTECH",
INDEX( 'ETPT Format DDG'!$A:$ZZ,,MATCH("TJCPH",'ETPT Format DDG'!2:2,0)),"OUI"))+
SUM(SUMIFS(
INDEX( 'ETPT Format DDG'!$A:$ZZ,,MATCH("11.2. FORMATIONS SUIVIES",'ETPT Format DDG'!2:2,0)),
INDEX( 'ETPT Format DDG'!$A:$ZZ,,MATCH("Fonction recodée",'ETPT Format DDG'!2:2,0)),"Fonctionnaire CTECH",
INDEX( 'ETPT Format DDG'!$A:$ZZ,,MATCH("TJCPH",'ETPT Format DDG'!2:2,0)),"OUI"))+
SUM(SUMIFS(
INDEX( 'ETPT Format DDG'!$A:$ZZ,,MATCH("11.6. AUTRES ACTIVITÉS NON JURIDICTIONNELLES",'ETPT Format DDG'!2:2,0)),
INDEX( 'ETPT Format DDG'!$A:$ZZ,,MATCH("Fonction recodée",'ETPT Format DDG'!2:2,0)),"Fonctionnaire CTECH",
INDEX( 'ETPT Format DDG'!$A:$ZZ,,MATCH("TJCPH",'ETPT Format DDG'!2:2,0)),"OUI"))</f>
        <v>#N/A</v>
      </c>
      <c r="H9" s="95">
        <f t="shared" si="1"/>
        <v>0</v>
      </c>
      <c r="I9" s="111"/>
      <c r="J9" s="111"/>
      <c r="K9" s="111"/>
      <c r="L9" s="111"/>
      <c r="M9" s="111"/>
      <c r="N9" s="111"/>
      <c r="O9" s="111"/>
      <c r="P9" s="111"/>
      <c r="Q9" s="111"/>
      <c r="R9" s="111"/>
      <c r="S9" s="111"/>
      <c r="T9" s="111"/>
      <c r="U9" s="111"/>
      <c r="V9" s="100" t="e">
        <f>SUM(SUMIFS(
INDEX( 'ETPT Format DDG'!$A:$ZZ,,MATCH("11.1. SOUTIEN (HORS FORMATIONS SUIVIES)",'ETPT Format DDG'!2:2,0)),
INDEX( 'ETPT Format DDG'!$A:$ZZ,,MATCH("Fonction recodée",'ETPT Format DDG'!2:2,0)),"Fonctionnaire A-B-CBUR",
INDEX( 'ETPT Format DDG'!$A:$ZZ,,MATCH("TJCPH",'ETPT Format DDG'!2:2,0)),"OUI"))+
SUM(SUMIFS(
INDEX( 'ETPT Format DDG'!$A:$ZZ,,MATCH("11.2. FORMATIONS SUIVIES",'ETPT Format DDG'!2:2,0)),
INDEX( 'ETPT Format DDG'!$A:$ZZ,,MATCH("Fonction recodée",'ETPT Format DDG'!2:2,0)),"Fonctionnaire A-B-CBUR",
INDEX( 'ETPT Format DDG'!$A:$ZZ,,MATCH("TJCPH",'ETPT Format DDG'!2:2,0)),"OUI"))+
SUM(SUMIFS(
INDEX( 'ETPT Format DDG'!$A:$ZZ,,MATCH("11.6. AUTRES ACTIVITÉS NON JURIDICTIONNELLES",'ETPT Format DDG'!2:2,0)),
INDEX( 'ETPT Format DDG'!$A:$ZZ,,MATCH("Fonction recodée",'ETPT Format DDG'!2:2,0)),"Fonctionnaire A-B-CBUR",
INDEX( 'ETPT Format DDG'!$A:$ZZ,,MATCH("TJCPH",'ETPT Format DDG'!2:2,0)),"OUI"))</f>
        <v>#N/A</v>
      </c>
      <c r="W9" s="98">
        <f t="shared" si="4"/>
        <v>0</v>
      </c>
      <c r="X9" s="111"/>
      <c r="Y9" s="100" t="e">
        <f t="array" ref="Y9">SUM(SUMIFS(
INDEX( 'ETPT Format DDG'!$A:$ZZ,,MATCH("11.1. SOUTIEN (HORS FORMATIONS SUIVIES)",'ETPT Format DDG'!2:2,0)),
INDEX( 'ETPT Format DDG'!$A:$ZZ,,MATCH("Fonction",'ETPT Format DDG'!2:2,0)),{"JCP";"VPCP";"1VPCP"},
INDEX( 'ETPT Format DDG'!$A:$ZZ,,MATCH("TJCPH",'ETPT Format DDG'!2:2,0)),"OUI"))+
SUM(SUMIFS(
INDEX( 'ETPT Format DDG'!$A:$ZZ,,MATCH("11.2. FORMATIONS SUIVIES",'ETPT Format DDG'!2:2,0)),
INDEX( 'ETPT Format DDG'!$A:$ZZ,,MATCH("Fonction",'ETPT Format DDG'!2:2,0)),{"JCP";"VPCP";"1VPCP"},
INDEX( 'ETPT Format DDG'!$A:$ZZ,,MATCH("TJCPH",'ETPT Format DDG'!2:2,0)),"OUI"))+
SUM(SUMIFS(
INDEX( 'ETPT Format DDG'!$A:$ZZ,,MATCH("11.6. AUTRES ACTIVITÉS NON JURIDICTIONNELLES",'ETPT Format DDG'!2:2,0)),
INDEX( 'ETPT Format DDG'!$A:$ZZ,,MATCH("Fonction",'ETPT Format DDG'!2:2,0)),{"JCP";"VPCP";"1VPCP"},
INDEX( 'ETPT Format DDG'!$A:$ZZ,,MATCH("TJCPH",'ETPT Format DDG'!2:2,0)),"OUI"))</f>
        <v>#N/A</v>
      </c>
      <c r="Z9" s="100" t="e">
        <f t="array" ref="Z9">SUM(SUMIFS(
INDEX( 'ETPT Format DDG'!$A:$ZZ,,MATCH("11.1. SOUTIEN (HORS FORMATIONS SUIVIES)",'ETPT Format DDG'!2:2,0)),
INDEX( 'ETPT Format DDG'!$A:$ZZ,,MATCH("Fonction",'ETPT Format DDG'!2:2,0)),{"JI";"VPI";"1VPI"},
INDEX( 'ETPT Format DDG'!$A:$ZZ,,MATCH("TJCPH",'ETPT Format DDG'!2:2,0)),"OUI"))+
SUM(SUMIFS(
INDEX( 'ETPT Format DDG'!$A:$ZZ,,MATCH("11.2. FORMATIONS SUIVIES",'ETPT Format DDG'!2:2,0)),
INDEX( 'ETPT Format DDG'!$A:$ZZ,,MATCH("Fonction",'ETPT Format DDG'!2:2,0)),{"JI";"VPI";"1VPI"},
INDEX( 'ETPT Format DDG'!$A:$ZZ,,MATCH("TJCPH",'ETPT Format DDG'!2:2,0)),"OUI"))+
SUM(SUMIFS(
INDEX( 'ETPT Format DDG'!$A:$ZZ,,MATCH("11.6. AUTRES ACTIVITÉS NON JURIDICTIONNELLES",'ETPT Format DDG'!2:2,0)),
INDEX( 'ETPT Format DDG'!$A:$ZZ,,MATCH("Fonction",'ETPT Format DDG'!2:2,0)),{"JI";"VPI";"1VPI"},
INDEX( 'ETPT Format DDG'!$A:$ZZ,,MATCH("TJCPH",'ETPT Format DDG'!2:2,0)),"OUI"))</f>
        <v>#N/A</v>
      </c>
      <c r="AA9" s="111"/>
      <c r="AB9" s="111"/>
      <c r="AC9" s="111"/>
      <c r="AD9" s="100" t="e">
        <f t="array" ref="AD9">SUM(SUMIFS(
INDEX( 'ETPT Format DDG'!$A:$ZZ,,MATCH("11.1. SOUTIEN (HORS FORMATIONS SUIVIES)",'ETPT Format DDG'!2:2,0)),
INDEX( 'ETPT Format DDG'!$A:$ZZ,,MATCH("Fonction",'ETPT Format DDG'!2:2,0)),{"JAP";"VPAP";"1VPAP"},
INDEX( 'ETPT Format DDG'!$A:$ZZ,,MATCH("TJCPH",'ETPT Format DDG'!2:2,0)),"OUI"))+
SUM(SUMIFS(
INDEX( 'ETPT Format DDG'!$A:$ZZ,,MATCH("11.2. FORMATIONS SUIVIES",'ETPT Format DDG'!2:2,0)),
INDEX( 'ETPT Format DDG'!$A:$ZZ,,MATCH("Fonction",'ETPT Format DDG'!2:2,0)),{"JAP";"VPAP";"1VPAP"},
INDEX( 'ETPT Format DDG'!$A:$ZZ,,MATCH("TJCPH",'ETPT Format DDG'!2:2,0)),"OUI"))+
SUM(SUMIFS(
INDEX( 'ETPT Format DDG'!$A:$ZZ,,MATCH("11.6. AUTRES ACTIVITÉS NON JURIDICTIONNELLES",'ETPT Format DDG'!2:2,0)),
INDEX( 'ETPT Format DDG'!$A:$ZZ,,MATCH("Fonction",'ETPT Format DDG'!2:2,0)),{"JAP";"VPAP";"1VPAP"},
INDEX( 'ETPT Format DDG'!$A:$ZZ,,MATCH("TJCPH",'ETPT Format DDG'!2:2,0)),"OUI"))</f>
        <v>#N/A</v>
      </c>
      <c r="AE9" s="100" t="e">
        <f t="array" ref="AE9">SUM(SUMIFS(
INDEX( 'ETPT Format DDG'!$A:$ZZ,,MATCH("11.1. SOUTIEN (HORS FORMATIONS SUIVIES)",'ETPT Format DDG'!2:2,0)),
INDEX( 'ETPT Format DDG'!$A:$ZZ,,MATCH("Fonction",'ETPT Format DDG'!2:2,0)),{"JE";"VPE";"1VPE"},
INDEX( 'ETPT Format DDG'!$A:$ZZ,,MATCH("TJCPH",'ETPT Format DDG'!2:2,0)),"OUI"))+
SUM(SUMIFS(
INDEX( 'ETPT Format DDG'!$A:$ZZ,,MATCH("11.2. FORMATIONS SUIVIES",'ETPT Format DDG'!2:2,0)),
INDEX( 'ETPT Format DDG'!$A:$ZZ,,MATCH("Fonction",'ETPT Format DDG'!2:2,0)),{"JE";"VPE";"1VPE"},
INDEX( 'ETPT Format DDG'!$A:$ZZ,,MATCH("TJCPH",'ETPT Format DDG'!2:2,0)),"OUI"))+
SUM(SUMIFS(
INDEX( 'ETPT Format DDG'!$A:$ZZ,,MATCH("11.6. AUTRES ACTIVITÉS NON JURIDICTIONNELLES",'ETPT Format DDG'!2:2,0)),
INDEX( 'ETPT Format DDG'!$A:$ZZ,,MATCH("Fonction",'ETPT Format DDG'!2:2,0)),{"JE";"VPE";"1VPE"},
INDEX( 'ETPT Format DDG'!$A:$ZZ,,MATCH("TJCPH",'ETPT Format DDG'!2:2,0)),"OUI"))</f>
        <v>#N/A</v>
      </c>
      <c r="AF9" s="100" t="e">
        <f t="array" ref="AF9">SUM(SUMIFS(
INDEX( 'ETPT Format DDG'!$A:$ZZ,,MATCH("11.1. SOUTIEN (HORS FORMATIONS SUIVIES)",'ETPT Format DDG'!2:2,0)),
INDEX( 'ETPT Format DDG'!$A:$ZZ,,MATCH("Fonction",'ETPT Format DDG'!2:2,0)),{"VPLD";"1VPLD"},
INDEX( 'ETPT Format DDG'!$A:$ZZ,,MATCH("TJCPH",'ETPT Format DDG'!2:2,0)),"OUI"))+
SUM(SUMIFS(
INDEX( 'ETPT Format DDG'!$A:$ZZ,,MATCH("11.2. FORMATIONS SUIVIES",'ETPT Format DDG'!2:2,0)),
INDEX( 'ETPT Format DDG'!$A:$ZZ,,MATCH("Fonction",'ETPT Format DDG'!2:2,0)),{"VPLD";"1VPLD"},
INDEX( 'ETPT Format DDG'!$A:$ZZ,,MATCH("TJCPH",'ETPT Format DDG'!2:2,0)),"OUI"))+
SUM(SUMIFS(
INDEX( 'ETPT Format DDG'!$A:$ZZ,,MATCH("11.6. AUTRES ACTIVITÉS NON JURIDICTIONNELLES",'ETPT Format DDG'!2:2,0)),
INDEX( 'ETPT Format DDG'!$A:$ZZ,,MATCH("Fonction",'ETPT Format DDG'!2:2,0)),{"VPLD";"1VPLD"},
INDEX( 'ETPT Format DDG'!$A:$ZZ,,MATCH("TJCPH",'ETPT Format DDG'!2:2,0)),"OUI"))</f>
        <v>#N/A</v>
      </c>
      <c r="AG9" s="98">
        <f t="shared" si="2"/>
        <v>0</v>
      </c>
      <c r="AH9" s="111"/>
      <c r="AI9" s="111"/>
      <c r="AJ9" s="111"/>
      <c r="AK9" s="111"/>
      <c r="AL9" s="111"/>
      <c r="AM9" s="111"/>
      <c r="AN9" s="111"/>
      <c r="AO9" s="111"/>
      <c r="AP9" s="111"/>
      <c r="AQ9" s="111"/>
      <c r="AR9" s="111"/>
      <c r="AS9" s="111"/>
      <c r="AT9" s="100" t="e">
        <f>SUM(SUMIFS(
INDEX( 'ETPT Format DDG'!$A:$ZZ,,MATCH("11.1. SOUTIEN (HORS FORMATIONS SUIVIES)",'ETPT Format DDG'!2:2,0)),
INDEX( 'ETPT Format DDG'!$A:$ZZ,,MATCH("Fonction recodée",'ETPT Format DDG'!2:2,0)),"Magistrat SIEGE NS",
INDEX( 'ETPT Format DDG'!$A:$ZZ,,MATCH("TJCPH",'ETPT Format DDG'!2:2,0)),"OUI"))+
SUM(SUMIFS(
INDEX( 'ETPT Format DDG'!$A:$ZZ,,MATCH("11.2. FORMATIONS SUIVIES",'ETPT Format DDG'!2:2,0)),
INDEX( 'ETPT Format DDG'!$A:$ZZ,,MATCH("Fonction recodée",'ETPT Format DDG'!2:2,0)),"Magistrat SIEGE NS",
INDEX( 'ETPT Format DDG'!$A:$ZZ,,MATCH("TJCPH",'ETPT Format DDG'!2:2,0)),"OUI"))+
SUM(SUMIFS(
INDEX( 'ETPT Format DDG'!$A:$ZZ,,MATCH("11.6. AUTRES ACTIVITÉS NON JURIDICTIONNELLES",'ETPT Format DDG'!2:2,0)),
INDEX( 'ETPT Format DDG'!$A:$ZZ,,MATCH("Fonction recodée",'ETPT Format DDG'!2:2,0)),"Magistrat SIEGE NS",
INDEX( 'ETPT Format DDG'!$A:$ZZ,,MATCH("TJCPH",'ETPT Format DDG'!2:2,0)),"OUI"))</f>
        <v>#N/A</v>
      </c>
      <c r="AU9" s="98">
        <f t="shared" si="3"/>
        <v>0</v>
      </c>
      <c r="AV9" s="102"/>
      <c r="AW9" s="102"/>
      <c r="AX9" s="102"/>
      <c r="AY9" s="102"/>
      <c r="AZ9" s="102"/>
      <c r="BA9" s="102"/>
      <c r="BB9" s="102"/>
      <c r="BC9" s="102"/>
      <c r="BD9" s="102"/>
      <c r="BE9" s="98">
        <f t="shared" si="5"/>
        <v>0</v>
      </c>
    </row>
    <row r="10" ht="14.25" customHeight="1" spans="1:57" s="81" customFormat="1" x14ac:dyDescent="0.25">
      <c r="A10" s="91" t="s">
        <v>577</v>
      </c>
      <c r="B10" s="92"/>
      <c r="C10" s="92"/>
      <c r="D10" s="104">
        <f t="shared" si="0"/>
      </c>
      <c r="E10" s="92" t="s">
        <v>591</v>
      </c>
      <c r="F10" s="92" t="s">
        <v>592</v>
      </c>
      <c r="G10" s="94" t="e">
        <f>SUM(SUMIFS(
INDEX( 'ETPT Format DDG'!$A:$ZZ,,MATCH("11.3. FORMATIONS DISPENSÉES",'ETPT Format DDG'!2:2,0)),
INDEX( 'ETPT Format DDG'!$A:$ZZ,,MATCH("Fonction recodée",'ETPT Format DDG'!2:2,0)),"Fonctionnaire CTECH",
INDEX( 'ETPT Format DDG'!$A:$ZZ,,MATCH("TJCPH",'ETPT Format DDG'!2:2,0)),"OUI"))</f>
        <v>#N/A</v>
      </c>
      <c r="H10" s="95">
        <f t="shared" si="1"/>
        <v>0</v>
      </c>
      <c r="I10" s="111"/>
      <c r="J10" s="111"/>
      <c r="K10" s="111"/>
      <c r="L10" s="111"/>
      <c r="M10" s="111"/>
      <c r="N10" s="111"/>
      <c r="O10" s="111"/>
      <c r="P10" s="111"/>
      <c r="Q10" s="111"/>
      <c r="R10" s="111"/>
      <c r="S10" s="111"/>
      <c r="T10" s="111"/>
      <c r="U10" s="111"/>
      <c r="V10" s="100" t="e">
        <f>SUM(SUMIFS(
INDEX( 'ETPT Format DDG'!$A:$ZZ,,MATCH("11.3. FORMATIONS DISPENSÉES",'ETPT Format DDG'!2:2,0)),
INDEX( 'ETPT Format DDG'!$A:$ZZ,,MATCH("Fonction recodée",'ETPT Format DDG'!2:2,0)),"Fonctionnaire A-B-CBUR",
INDEX( 'ETPT Format DDG'!$A:$ZZ,,MATCH("TJCPH",'ETPT Format DDG'!2:2,0)),"OUI"))</f>
        <v>#N/A</v>
      </c>
      <c r="W10" s="98">
        <f t="shared" si="4"/>
        <v>0</v>
      </c>
      <c r="X10" s="111"/>
      <c r="Y10" s="100" t="e">
        <f t="array" ref="Y10">SUM(SUMIFS(
INDEX( 'ETPT Format DDG'!$A:$ZZ,,MATCH("11.3. FORMATIONS DISPENSÉES",'ETPT Format DDG'!2:2,0)),
INDEX( 'ETPT Format DDG'!$A:$ZZ,,MATCH("Fonction",'ETPT Format DDG'!2:2,0)),{"JCP";"VPCP";"1VPCP"},
INDEX( 'ETPT Format DDG'!$A:$ZZ,,MATCH("TJCPH",'ETPT Format DDG'!2:2,0)),"OUI"))</f>
        <v>#N/A</v>
      </c>
      <c r="Z10" s="100" t="e">
        <f t="array" ref="Z10">SUM(SUMIFS(
INDEX( 'ETPT Format DDG'!$A:$ZZ,,MATCH("11.3. FORMATIONS DISPENSÉES",'ETPT Format DDG'!2:2,0)),
INDEX( 'ETPT Format DDG'!$A:$ZZ,,MATCH("Fonction",'ETPT Format DDG'!2:2,0)),{"JI";"VPI";"1VPI"},
INDEX( 'ETPT Format DDG'!$A:$ZZ,,MATCH("TJCPH",'ETPT Format DDG'!2:2,0)),"OUI"))</f>
        <v>#N/A</v>
      </c>
      <c r="AA10" s="111"/>
      <c r="AB10" s="111"/>
      <c r="AC10" s="111"/>
      <c r="AD10" s="100" t="e">
        <f t="array" ref="AD10">SUM(SUMIFS(
INDEX( 'ETPT Format DDG'!$A:$ZZ,,MATCH("11.3. FORMATIONS DISPENSÉES",'ETPT Format DDG'!2:2,0)),
INDEX( 'ETPT Format DDG'!$A:$ZZ,,MATCH("Fonction",'ETPT Format DDG'!2:2,0)),{"JAP";"VPAP";"1VPAP"},
INDEX( 'ETPT Format DDG'!$A:$ZZ,,MATCH("TJCPH",'ETPT Format DDG'!2:2,0)),"OUI"))</f>
        <v>#N/A</v>
      </c>
      <c r="AE10" s="100" t="e">
        <f t="array" ref="AE10">SUM(SUMIFS(
INDEX( 'ETPT Format DDG'!$A:$ZZ,,MATCH("11.3. FORMATIONS DISPENSÉES",'ETPT Format DDG'!2:2,0)),
INDEX( 'ETPT Format DDG'!$A:$ZZ,,MATCH("Fonction",'ETPT Format DDG'!2:2,0)),{"JE";"VPE";"1VPE"},
INDEX( 'ETPT Format DDG'!$A:$ZZ,,MATCH("TJCPH",'ETPT Format DDG'!2:2,0)),"OUI"))</f>
        <v>#N/A</v>
      </c>
      <c r="AF10" s="100" t="e">
        <f t="array" ref="AF10">SUM(SUMIFS(
INDEX( 'ETPT Format DDG'!$A:$ZZ,,MATCH("11.3. FORMATIONS DISPENSÉES",'ETPT Format DDG'!2:2,0)),
INDEX( 'ETPT Format DDG'!$A:$ZZ,,MATCH("Fonction",'ETPT Format DDG'!2:2,0)),{"VPLD";"1VPLD"},
INDEX( 'ETPT Format DDG'!$A:$ZZ,,MATCH("TJCPH",'ETPT Format DDG'!2:2,0)),"OUI"))</f>
        <v>#N/A</v>
      </c>
      <c r="AG10" s="98">
        <f t="shared" si="2"/>
        <v>0</v>
      </c>
      <c r="AH10" s="111"/>
      <c r="AI10" s="111"/>
      <c r="AJ10" s="111"/>
      <c r="AK10" s="111"/>
      <c r="AL10" s="111"/>
      <c r="AM10" s="111"/>
      <c r="AN10" s="111"/>
      <c r="AO10" s="111"/>
      <c r="AP10" s="111"/>
      <c r="AQ10" s="111"/>
      <c r="AR10" s="111"/>
      <c r="AS10" s="111"/>
      <c r="AT10" s="100" t="e">
        <f>SUM(SUMIFS(
INDEX( 'ETPT Format DDG'!$A:$ZZ,,MATCH("11.3. FORMATIONS DISPENSÉES",'ETPT Format DDG'!2:2,0)),
INDEX( 'ETPT Format DDG'!$A:$ZZ,,MATCH("Fonction recodée",'ETPT Format DDG'!2:2,0)),"Magistrat SIEGE NS",
INDEX( 'ETPT Format DDG'!$A:$ZZ,,MATCH("TJCPH",'ETPT Format DDG'!2:2,0)),"OUI"))</f>
        <v>#N/A</v>
      </c>
      <c r="AU10" s="98">
        <f>_xlfn.AGGREGATE(9,6,AH10:AT10)</f>
        <v>0</v>
      </c>
      <c r="AV10" s="102"/>
      <c r="AW10" s="102"/>
      <c r="AX10" s="102"/>
      <c r="AY10" s="102"/>
      <c r="AZ10" s="102"/>
      <c r="BA10" s="102"/>
      <c r="BB10" s="102"/>
      <c r="BC10" s="102"/>
      <c r="BD10" s="102"/>
      <c r="BE10" s="98">
        <f t="shared" si="5"/>
        <v>0</v>
      </c>
    </row>
    <row r="11" ht="14.25" customHeight="1" spans="1:57" s="81" customFormat="1" x14ac:dyDescent="0.25">
      <c r="A11" s="91" t="s">
        <v>577</v>
      </c>
      <c r="B11" s="92"/>
      <c r="C11" s="92"/>
      <c r="D11" s="104">
        <f t="shared" si="0"/>
      </c>
      <c r="E11" s="92" t="s">
        <v>593</v>
      </c>
      <c r="F11" s="92" t="s">
        <v>594</v>
      </c>
      <c r="G11" s="94" t="e">
        <f>SUM(SUMIFS(
INDEX( 'ETPT Format DDG'!$A:$ZZ,,MATCH("11.4. ACCÈS AU DROIT ET À LA JUSTICE",'ETPT Format DDG'!2:2,0)),
INDEX( 'ETPT Format DDG'!$A:$ZZ,,MATCH("Fonction recodée",'ETPT Format DDG'!2:2,0)),"Fonctionnaire CTECH",
INDEX( 'ETPT Format DDG'!$A:$ZZ,,MATCH("TJCPH",'ETPT Format DDG'!2:2,0)),"OUI"))</f>
        <v>#N/A</v>
      </c>
      <c r="H11" s="95">
        <f t="shared" si="1"/>
        <v>0</v>
      </c>
      <c r="I11" s="111"/>
      <c r="J11" s="111"/>
      <c r="K11" s="111"/>
      <c r="L11" s="111"/>
      <c r="M11" s="111"/>
      <c r="N11" s="111"/>
      <c r="O11" s="111"/>
      <c r="P11" s="111"/>
      <c r="Q11" s="111"/>
      <c r="R11" s="111"/>
      <c r="S11" s="111"/>
      <c r="T11" s="111"/>
      <c r="U11" s="111"/>
      <c r="V11" s="100" t="e">
        <f>SUM(SUMIFS(
INDEX( 'ETPT Format DDG'!$A:$ZZ,,MATCH("11.4. ACCÈS AU DROIT ET À LA JUSTICE",'ETPT Format DDG'!2:2,0)),
INDEX( 'ETPT Format DDG'!$A:$ZZ,,MATCH("Fonction recodée",'ETPT Format DDG'!2:2,0)),"Fonctionnaire A-B-CBUR",
INDEX( 'ETPT Format DDG'!$A:$ZZ,,MATCH("TJCPH",'ETPT Format DDG'!2:2,0)),"OUI"))</f>
        <v>#N/A</v>
      </c>
      <c r="W11" s="98">
        <f t="shared" si="4"/>
        <v>0</v>
      </c>
      <c r="X11" s="111"/>
      <c r="Y11" s="100" t="e">
        <f t="array" ref="Y11">SUM(SUMIFS(
INDEX( 'ETPT Format DDG'!$A:$ZZ,,MATCH("11.4. ACCÈS AU DROIT ET À LA JUSTICE",'ETPT Format DDG'!2:2,0)),
INDEX( 'ETPT Format DDG'!$A:$ZZ,,MATCH("Fonction",'ETPT Format DDG'!2:2,0)),{"JCP";"VPCP";"1VPCP"},
INDEX( 'ETPT Format DDG'!$A:$ZZ,,MATCH("TJCPH",'ETPT Format DDG'!2:2,0)),"OUI"))</f>
        <v>#N/A</v>
      </c>
      <c r="Z11" s="100" t="e">
        <f t="array" ref="Z11">SUM(SUMIFS(
INDEX( 'ETPT Format DDG'!$A:$ZZ,,MATCH("11.4. ACCÈS AU DROIT ET À LA JUSTICE",'ETPT Format DDG'!2:2,0)),
INDEX( 'ETPT Format DDG'!$A:$ZZ,,MATCH("Fonction",'ETPT Format DDG'!2:2,0)),{"JI";"VPI";"1VPI"},
INDEX( 'ETPT Format DDG'!$A:$ZZ,,MATCH("TJCPH",'ETPT Format DDG'!2:2,0)),"OUI"))</f>
        <v>#N/A</v>
      </c>
      <c r="AA11" s="113"/>
      <c r="AB11" s="113"/>
      <c r="AC11" s="113"/>
      <c r="AD11" s="100" t="e">
        <f t="array" ref="AD11">SUM(SUMIFS(
INDEX( 'ETPT Format DDG'!$A:$ZZ,,MATCH("11.4. ACCÈS AU DROIT ET À LA JUSTICE",'ETPT Format DDG'!2:2,0)),
INDEX( 'ETPT Format DDG'!$A:$ZZ,,MATCH("Fonction",'ETPT Format DDG'!2:2,0)),{"JAP";"VPAP";"1VPAP"},
INDEX( 'ETPT Format DDG'!$A:$ZZ,,MATCH("TJCPH",'ETPT Format DDG'!2:2,0)),"OUI"))</f>
        <v>#N/A</v>
      </c>
      <c r="AE11" s="100" t="e">
        <f t="array" ref="AE11">SUM(SUMIFS(
INDEX( 'ETPT Format DDG'!$A:$ZZ,,MATCH("11.4. ACCÈS AU DROIT ET À LA JUSTICE",'ETPT Format DDG'!2:2,0)),
INDEX( 'ETPT Format DDG'!$A:$ZZ,,MATCH("Fonction",'ETPT Format DDG'!2:2,0)),{"JE";"VPE";"1VPE"},
INDEX( 'ETPT Format DDG'!$A:$ZZ,,MATCH("TJCPH",'ETPT Format DDG'!2:2,0)),"OUI"))</f>
        <v>#N/A</v>
      </c>
      <c r="AF11" s="100" t="e">
        <f t="array" ref="AF11">SUM(SUMIFS(
INDEX( 'ETPT Format DDG'!$A:$ZZ,,MATCH("11.4. ACCÈS AU DROIT ET À LA JUSTICE",'ETPT Format DDG'!2:2,0)),
INDEX( 'ETPT Format DDG'!$A:$ZZ,,MATCH("Fonction",'ETPT Format DDG'!2:2,0)),{"VPLD";"1VPLD"},
INDEX( 'ETPT Format DDG'!$A:$ZZ,,MATCH("TJCPH",'ETPT Format DDG'!2:2,0)),"OUI"))</f>
        <v>#N/A</v>
      </c>
      <c r="AG11" s="98">
        <f t="shared" si="2"/>
        <v>0</v>
      </c>
      <c r="AH11" s="111"/>
      <c r="AI11" s="111"/>
      <c r="AJ11" s="111"/>
      <c r="AK11" s="111"/>
      <c r="AL11" s="111"/>
      <c r="AM11" s="111"/>
      <c r="AN11" s="111"/>
      <c r="AO11" s="111"/>
      <c r="AP11" s="111"/>
      <c r="AQ11" s="111"/>
      <c r="AR11" s="111"/>
      <c r="AS11" s="111"/>
      <c r="AT11" s="100" t="e">
        <f>SUM(SUMIFS(
INDEX( 'ETPT Format DDG'!$A:$ZZ,,MATCH("11.4. ACCÈS AU DROIT ET À LA JUSTICE",'ETPT Format DDG'!2:2,0)),
INDEX( 'ETPT Format DDG'!$A:$ZZ,,MATCH("Fonction recodée",'ETPT Format DDG'!2:2,0)),"Magistrat SIEGE NS",
INDEX( 'ETPT Format DDG'!$A:$ZZ,,MATCH("TJCPH",'ETPT Format DDG'!2:2,0)),"OUI"))</f>
        <v>#N/A</v>
      </c>
      <c r="AU11" s="98">
        <f t="shared" si="3"/>
        <v>0</v>
      </c>
      <c r="AV11" s="102"/>
      <c r="AW11" s="102"/>
      <c r="AX11" s="102"/>
      <c r="AY11" s="102"/>
      <c r="AZ11" s="102"/>
      <c r="BA11" s="102"/>
      <c r="BB11" s="102"/>
      <c r="BC11" s="102"/>
      <c r="BD11" s="102"/>
      <c r="BE11" s="98">
        <f t="shared" si="5"/>
        <v>0</v>
      </c>
    </row>
    <row r="12" ht="14.25" customHeight="1" spans="1:57" s="81" customFormat="1" x14ac:dyDescent="0.25">
      <c r="A12" s="91" t="s">
        <v>577</v>
      </c>
      <c r="B12" s="92"/>
      <c r="C12" s="92"/>
      <c r="D12" s="104">
        <f t="shared" si="0"/>
      </c>
      <c r="E12" s="92" t="s">
        <v>595</v>
      </c>
      <c r="F12" s="92" t="s">
        <v>596</v>
      </c>
      <c r="G12" s="94" t="e">
        <f>SUM(SUMIFS(
INDEX( 'ETPT Format DDG'!$A:$ZZ,,MATCH("12. TOTAL des INDISPONIBILITÉS relevant de l'action 99",'ETPT Format DDG'!2:2,0)),
INDEX( 'ETPT Format DDG'!$A:$ZZ,,MATCH("Fonction recodée",'ETPT Format DDG'!2:2,0)),"Fonctionnaire CTECH",
INDEX( 'ETPT Format DDG'!$A:$ZZ,,MATCH("TJCPH",'ETPT Format DDG'!2:2,0)),"OUI"))-
SUM(SUMIFS(
INDEX( 'ETPT Format DDG'!$A:$ZZ,,MATCH("12.5. MISE À DISPOSITION",'ETPT Format DDG'!2:2,0)),
INDEX( 'ETPT Format DDG'!$A:$ZZ,,MATCH("Fonction recodée",'ETPT Format DDG'!2:2,0)),"Fonctionnaire CTECH",
INDEX( 'ETPT Format DDG'!$A:$ZZ,,MATCH("TJCPH",'ETPT Format DDG'!2:2,0)),"OUI"))</f>
        <v>#N/A</v>
      </c>
      <c r="H12" s="95">
        <f t="shared" si="1"/>
        <v>0</v>
      </c>
      <c r="I12" s="111"/>
      <c r="J12" s="111"/>
      <c r="K12" s="111"/>
      <c r="L12" s="111"/>
      <c r="M12" s="111"/>
      <c r="N12" s="111"/>
      <c r="O12" s="111"/>
      <c r="P12" s="111"/>
      <c r="Q12" s="111"/>
      <c r="R12" s="112"/>
      <c r="S12" s="111"/>
      <c r="T12" s="111"/>
      <c r="U12" s="111"/>
      <c r="V12" s="100" t="e">
        <f>SUM(SUMIFS(
INDEX( 'ETPT Format DDG'!$A:$ZZ,,MATCH("12. TOTAL des INDISPONIBILITÉS relevant de l'action 99",'ETPT Format DDG'!2:2,0)),
INDEX( 'ETPT Format DDG'!$A:$ZZ,,MATCH("Fonction recodée",'ETPT Format DDG'!2:2,0)),"Fonctionnaire A-B-CBUR",
INDEX( 'ETPT Format DDG'!$A:$ZZ,,MATCH("TJCPH",'ETPT Format DDG'!2:2,0)),"OUI"))-
SUM(SUMIFS(
INDEX( 'ETPT Format DDG'!$A:$ZZ,,MATCH("12.5. MISE À DISPOSITION",'ETPT Format DDG'!2:2,0)),
INDEX( 'ETPT Format DDG'!$A:$ZZ,,MATCH("Fonction recodée",'ETPT Format DDG'!2:2,0)),"Fonctionnaire A-B-CBUR",
INDEX( 'ETPT Format DDG'!$A:$ZZ,,MATCH("TJCPH",'ETPT Format DDG'!2:2,0)),"OUI"))</f>
        <v>#N/A</v>
      </c>
      <c r="W12" s="98">
        <f t="shared" si="4"/>
        <v>0</v>
      </c>
      <c r="X12" s="111"/>
      <c r="Y12" s="100" t="e">
        <f t="array" ref="Y12">SUM(SUMIFS(
INDEX( 'ETPT Format DDG'!$A:$ZZ,,MATCH("12. TOTAL des INDISPONIBILITÉS relevant de l'action 99",'ETPT Format DDG'!2:2,0)),
INDEX( 'ETPT Format DDG'!$A:$ZZ,,MATCH("Fonction",'ETPT Format DDG'!2:2,0)),{"JCP";"VPCP";"1VPCP"},
INDEX( 'ETPT Format DDG'!$A:$ZZ,,MATCH("TJCPH",'ETPT Format DDG'!2:2,0)),"OUI"))-
SUM(SUMIFS(
INDEX( 'ETPT Format DDG'!$A:$ZZ,,MATCH("12.5. MISE À DISPOSITION",'ETPT Format DDG'!2:2,0)),
INDEX( 'ETPT Format DDG'!$A:$ZZ,,MATCH("Fonction",'ETPT Format DDG'!2:2,0)),{"JCP";"VPCP";"1VPCP"},
INDEX( 'ETPT Format DDG'!$A:$ZZ,,MATCH("TJCPH",'ETPT Format DDG'!2:2,0)),"OUI"))</f>
        <v>#N/A</v>
      </c>
      <c r="Z12" s="100" t="e">
        <f t="array" ref="Z12">SUM(SUMIFS(
INDEX( 'ETPT Format DDG'!$A:$ZZ,,MATCH("12. TOTAL des INDISPONIBILITÉS relevant de l'action 99",'ETPT Format DDG'!2:2,0)),
INDEX( 'ETPT Format DDG'!$A:$ZZ,,MATCH("Fonction",'ETPT Format DDG'!2:2,0)),{"JI";"VPI";"1VPI"},
INDEX( 'ETPT Format DDG'!$A:$ZZ,,MATCH("TJCPH",'ETPT Format DDG'!2:2,0)),"OUI"))-
SUM(SUMIFS(
INDEX( 'ETPT Format DDG'!$A:$ZZ,,MATCH("12.5. MISE À DISPOSITION",'ETPT Format DDG'!2:2,0)),
INDEX( 'ETPT Format DDG'!$A:$ZZ,,MATCH("Fonction",'ETPT Format DDG'!2:2,0)),{"JI";"VPI";"1VPI"},
INDEX( 'ETPT Format DDG'!$A:$ZZ,,MATCH("TJCPH",'ETPT Format DDG'!2:2,0)),"OUI"))</f>
        <v>#N/A</v>
      </c>
      <c r="AA12" s="111"/>
      <c r="AB12" s="111"/>
      <c r="AC12" s="111"/>
      <c r="AD12" s="100" t="e">
        <f t="array" ref="AD12">SUM(SUMIFS(
INDEX( 'ETPT Format DDG'!$A:$ZZ,,MATCH("12. TOTAL des INDISPONIBILITÉS relevant de l'action 99",'ETPT Format DDG'!2:2,0)),
INDEX( 'ETPT Format DDG'!$A:$ZZ,,MATCH("Fonction",'ETPT Format DDG'!2:2,0)),{"JAP";"VPAP";"1VPAP"},
INDEX( 'ETPT Format DDG'!$A:$ZZ,,MATCH("TJCPH",'ETPT Format DDG'!2:2,0)),"OUI"))-
SUM(SUMIFS(
INDEX( 'ETPT Format DDG'!$A:$ZZ,,MATCH("12.5. MISE À DISPOSITION",'ETPT Format DDG'!2:2,0)),
INDEX( 'ETPT Format DDG'!$A:$ZZ,,MATCH("Fonction",'ETPT Format DDG'!2:2,0)),{"JAP";"VPAP";"1VPAP"},
INDEX( 'ETPT Format DDG'!$A:$ZZ,,MATCH("TJCPH",'ETPT Format DDG'!2:2,0)),"OUI"))</f>
        <v>#N/A</v>
      </c>
      <c r="AE12" s="100" t="e">
        <f t="array" ref="AE12">SUM(SUMIFS(
INDEX( 'ETPT Format DDG'!$A:$ZZ,,MATCH("12. TOTAL des INDISPONIBILITÉS relevant de l'action 99",'ETPT Format DDG'!2:2,0)),
INDEX( 'ETPT Format DDG'!$A:$ZZ,,MATCH("Fonction",'ETPT Format DDG'!2:2,0)),{"JE";"VPE";"1VPE"},
INDEX( 'ETPT Format DDG'!$A:$ZZ,,MATCH("TJCPH",'ETPT Format DDG'!2:2,0)),"OUI"))-
SUM(SUMIFS(
INDEX( 'ETPT Format DDG'!$A:$ZZ,,MATCH("12.5. MISE À DISPOSITION",'ETPT Format DDG'!2:2,0)),
INDEX( 'ETPT Format DDG'!$A:$ZZ,,MATCH("Fonction",'ETPT Format DDG'!2:2,0)),{"JE";"VPE";"1VPE"},
INDEX( 'ETPT Format DDG'!$A:$ZZ,,MATCH("TJCPH",'ETPT Format DDG'!2:2,0)),"OUI"))</f>
        <v>#N/A</v>
      </c>
      <c r="AF12" s="100" t="e">
        <f t="array" ref="AF12">SUM(SUMIFS(
INDEX( 'ETPT Format DDG'!$A:$ZZ,,MATCH("12. TOTAL des INDISPONIBILITÉS relevant de l'action 99",'ETPT Format DDG'!2:2,0)),
INDEX( 'ETPT Format DDG'!$A:$ZZ,,MATCH("Fonction",'ETPT Format DDG'!2:2,0)),{"VPLD";"1VPLD"},
INDEX( 'ETPT Format DDG'!$A:$ZZ,,MATCH("TJCPH",'ETPT Format DDG'!2:2,0)),"OUI"))-
SUM(SUMIFS(
INDEX( 'ETPT Format DDG'!$A:$ZZ,,MATCH("12.5. MISE À DISPOSITION",'ETPT Format DDG'!2:2,0)),
INDEX( 'ETPT Format DDG'!$A:$ZZ,,MATCH("Fonction",'ETPT Format DDG'!2:2,0)),{"VPLD";"1VPLD"},
INDEX( 'ETPT Format DDG'!$A:$ZZ,,MATCH("TJCPH",'ETPT Format DDG'!2:2,0)),"OUI"))</f>
        <v>#N/A</v>
      </c>
      <c r="AG12" s="98">
        <f t="shared" si="2"/>
        <v>0</v>
      </c>
      <c r="AH12" s="111"/>
      <c r="AI12" s="111"/>
      <c r="AJ12" s="111"/>
      <c r="AK12" s="111"/>
      <c r="AL12" s="111"/>
      <c r="AM12" s="111"/>
      <c r="AN12" s="111"/>
      <c r="AO12" s="111"/>
      <c r="AP12" s="111"/>
      <c r="AQ12" s="111"/>
      <c r="AR12" s="111"/>
      <c r="AS12" s="111"/>
      <c r="AT12" s="100" t="e">
        <f>SUM(SUMIFS(
INDEX( 'ETPT Format DDG'!$A:$ZZ,,MATCH("12. TOTAL des INDISPONIBILITÉS relevant de l'action 99",'ETPT Format DDG'!2:2,0)),
INDEX( 'ETPT Format DDG'!$A:$ZZ,,MATCH("Fonction recodée",'ETPT Format DDG'!2:2,0)),"Magistrat SIEGE NS",
INDEX( 'ETPT Format DDG'!$A:$ZZ,,MATCH("TJCPH",'ETPT Format DDG'!2:2,0)),"OUI"))-
SUM(SUMIFS(
INDEX( 'ETPT Format DDG'!$A:$ZZ,,MATCH("12.5. MISE À DISPOSITION",'ETPT Format DDG'!2:2,0)),
INDEX( 'ETPT Format DDG'!$A:$ZZ,,MATCH("Fonction recodée",'ETPT Format DDG'!2:2,0)),"Magistrat SIEGE NS",
INDEX( 'ETPT Format DDG'!$A:$ZZ,,MATCH("TJCPH",'ETPT Format DDG'!2:2,0)),"OUI"))</f>
        <v>#N/A</v>
      </c>
      <c r="AU12" s="98">
        <f t="shared" si="3"/>
        <v>0</v>
      </c>
      <c r="AV12" s="102"/>
      <c r="AW12" s="102"/>
      <c r="AX12" s="102"/>
      <c r="AY12" s="102"/>
      <c r="AZ12" s="102"/>
      <c r="BA12" s="102"/>
      <c r="BB12" s="102"/>
      <c r="BC12" s="102"/>
      <c r="BD12" s="102"/>
      <c r="BE12" s="98">
        <f t="shared" si="5"/>
        <v>0</v>
      </c>
    </row>
    <row r="13" ht="14.25" customHeight="1" spans="1:57" s="81" customFormat="1" x14ac:dyDescent="0.25">
      <c r="A13" s="91" t="s">
        <v>577</v>
      </c>
      <c r="B13" s="92"/>
      <c r="C13" s="92"/>
      <c r="D13" s="104">
        <f t="shared" si="0"/>
      </c>
      <c r="E13" s="92" t="s">
        <v>597</v>
      </c>
      <c r="F13" s="92" t="s">
        <v>598</v>
      </c>
      <c r="G13" s="94" t="e">
        <f>SUM(SUMIFS(
INDEX( 'ETPT Format DDG'!$A:$ZZ,,MATCH("12.5. MISE À DISPOSITION",'ETPT Format DDG'!2:2,0)),
INDEX( 'ETPT Format DDG'!$A:$ZZ,,MATCH("Fonction recodée",'ETPT Format DDG'!2:2,0)),"Fonctionnaire CTECH",
INDEX( 'ETPT Format DDG'!$A:$ZZ,,MATCH("TJCPH",'ETPT Format DDG'!2:2,0)),"OUI"))+
_xlfn.IFNA(SUM(SUMIFS(
INDEX( 'ETPT Format DDG'!$A:$ZZ,,MATCH("13. TOTAL CONTENTIEUX LOCAUX SPÉCIFIQUES",'ETPT Format DDG'!2:2,0)),
INDEX( 'ETPT Format DDG'!$A:$ZZ,,MATCH("Fonction recodée",'ETPT Format DDG'!2:2,0)),"Fonctionnaire CTECH",
INDEX( 'ETPT Format DDG'!$A:$ZZ,,MATCH("TJCPH",'ETPT Format DDG'!2:2,0)),"OUI")),0)</f>
        <v>#N/A</v>
      </c>
      <c r="H13" s="95">
        <f t="shared" si="1"/>
        <v>0</v>
      </c>
      <c r="I13" s="111"/>
      <c r="J13" s="111"/>
      <c r="K13" s="111"/>
      <c r="L13" s="111"/>
      <c r="M13" s="111"/>
      <c r="N13" s="111"/>
      <c r="O13" s="111"/>
      <c r="P13" s="111"/>
      <c r="Q13" s="111"/>
      <c r="R13" s="111"/>
      <c r="S13" s="111"/>
      <c r="T13" s="111"/>
      <c r="U13" s="111"/>
      <c r="V13" s="100" t="e">
        <f>SUM(SUMIFS(
INDEX( 'ETPT Format DDG'!$A:$ZZ,,MATCH("12.5. MISE À DISPOSITION",'ETPT Format DDG'!2:2,0)),
INDEX( 'ETPT Format DDG'!$A:$ZZ,,MATCH("Fonction recodée",'ETPT Format DDG'!2:2,0)),"Fonctionnaire A-B-CBUR",
INDEX( 'ETPT Format DDG'!$A:$ZZ,,MATCH("TJCPH",'ETPT Format DDG'!2:2,0)),"OUI"))+
_xlfn.IFNA(SUM(SUMIFS(
INDEX( 'ETPT Format DDG'!$A:$ZZ,,MATCH("13. TOTAL CONTENTIEUX LOCAUX SPÉCIFIQUES",'ETPT Format DDG'!2:2,0)),
INDEX( 'ETPT Format DDG'!$A:$ZZ,,MATCH("Fonction recodée",'ETPT Format DDG'!2:2,0)),"Fonctionnaire A-B-CBUR",
INDEX( 'ETPT Format DDG'!$A:$ZZ,,MATCH("TJCPH",'ETPT Format DDG'!2:2,0)),"OUI")),0)</f>
        <v>#N/A</v>
      </c>
      <c r="W13" s="98">
        <f t="shared" si="4"/>
        <v>0</v>
      </c>
      <c r="X13" s="111"/>
      <c r="Y13" s="100" t="e">
        <f t="array" ref="Y13">SUM(SUMIFS(
INDEX( 'ETPT Format DDG'!$A:$ZZ,,MATCH("12.5. MISE À DISPOSITION",'ETPT Format DDG'!2:2,0)),
INDEX( 'ETPT Format DDG'!$A:$ZZ,,MATCH("Fonction",'ETPT Format DDG'!2:2,0)),{"JCP";"VPCP";"1VPCP"},
INDEX( 'ETPT Format DDG'!$A:$ZZ,,MATCH("TJCPH",'ETPT Format DDG'!2:2,0)),"OUI"))</f>
        <v>#N/A</v>
      </c>
      <c r="Z13" s="100" t="e">
        <f t="array" ref="Z13">SUM(SUMIFS(
INDEX( 'ETPT Format DDG'!$A:$ZZ,,MATCH("12.5. MISE À DISPOSITION",'ETPT Format DDG'!2:2,0)),
INDEX( 'ETPT Format DDG'!$A:$ZZ,,MATCH("Fonction",'ETPT Format DDG'!2:2,0)),{"JI";"VPI";"1VPI"},
INDEX( 'ETPT Format DDG'!$A:$ZZ,,MATCH("TJCPH",'ETPT Format DDG'!2:2,0)),"OUI"))</f>
        <v>#N/A</v>
      </c>
      <c r="AA13" s="111"/>
      <c r="AB13" s="111"/>
      <c r="AC13" s="111"/>
      <c r="AD13" s="100" t="e">
        <f t="array" ref="AD13">SUM(SUMIFS(
INDEX( 'ETPT Format DDG'!$A:$ZZ,,MATCH("12.5. MISE À DISPOSITION",'ETPT Format DDG'!2:2,0)),
INDEX( 'ETPT Format DDG'!$A:$ZZ,,MATCH("Fonction",'ETPT Format DDG'!2:2,0)),{"JAP";"VPAP";"1VPAP"},
INDEX( 'ETPT Format DDG'!$A:$ZZ,,MATCH("TJCPH",'ETPT Format DDG'!2:2,0)),"OUI"))</f>
        <v>#N/A</v>
      </c>
      <c r="AE13" s="100" t="e">
        <f t="array" ref="AE13">SUM(SUMIFS(
INDEX( 'ETPT Format DDG'!$A:$ZZ,,MATCH("12.5. MISE À DISPOSITION",'ETPT Format DDG'!2:2,0)),
INDEX( 'ETPT Format DDG'!$A:$ZZ,,MATCH("Fonction",'ETPT Format DDG'!2:2,0)),{"JE";"VPE";"1VPE"},
INDEX( 'ETPT Format DDG'!$A:$ZZ,,MATCH("TJCPH",'ETPT Format DDG'!2:2,0)),"OUI"))</f>
        <v>#N/A</v>
      </c>
      <c r="AF13" s="100" t="e">
        <f t="array" ref="AF13">SUM(SUMIFS(
INDEX( 'ETPT Format DDG'!$A:$ZZ,,MATCH("12.5. MISE À DISPOSITION",'ETPT Format DDG'!2:2,0)),
INDEX( 'ETPT Format DDG'!$A:$ZZ,,MATCH("Fonction",'ETPT Format DDG'!2:2,0)),{"VPLD";"1VPLD"},
INDEX( 'ETPT Format DDG'!$A:$ZZ,,MATCH("TJCPH",'ETPT Format DDG'!2:2,0)),"OUI"))</f>
        <v>#N/A</v>
      </c>
      <c r="AG13" s="98">
        <f t="shared" si="2"/>
        <v>0</v>
      </c>
      <c r="AH13" s="111"/>
      <c r="AI13" s="111"/>
      <c r="AJ13" s="111"/>
      <c r="AK13" s="111"/>
      <c r="AL13" s="111"/>
      <c r="AM13" s="111"/>
      <c r="AN13" s="111"/>
      <c r="AO13" s="111"/>
      <c r="AP13" s="111"/>
      <c r="AQ13" s="111"/>
      <c r="AR13" s="111"/>
      <c r="AS13" s="100" t="e">
        <f>SUM(SUMIFS(
INDEX( 'ETPT Format DDG'!$A:$ZZ,,MATCH("13. TOTAL CONTENTIEUX LOCAUX SPÉCIFIQUES",'ETPT Format DDG'!2:2,0)),
INDEX( 'ETPT Format DDG'!$A:$ZZ,,MATCH("Fonction recodée",'ETPT Format DDG'!2:2,0)),"Magistrat SIEGE S",
INDEX( 'ETPT Format DDG'!$A:$ZZ,,MATCH("TJCPH",'ETPT Format DDG'!2:2,0)),"OUI"))</f>
        <v>#N/A</v>
      </c>
      <c r="AT13" s="100" t="e">
        <f>SUM(SUMIFS(
INDEX( 'ETPT Format DDG'!$A:$ZZ,,MATCH("12.5. MISE À DISPOSITION",'ETPT Format DDG'!2:2,0)),
INDEX( 'ETPT Format DDG'!$A:$ZZ,,MATCH("Fonction recodée",'ETPT Format DDG'!2:2,0)),"Magistrat SIEGE NS",
INDEX( 'ETPT Format DDG'!$A:$ZZ,,MATCH("TJCPH",'ETPT Format DDG'!2:2,0)),"OUI"))+
_xlfn.IFNA(SUM(SUMIFS(
INDEX( 'ETPT Format DDG'!$A:$ZZ,,MATCH("13. TOTAL CONTENTIEUX LOCAUX SPÉCIFIQUES",'ETPT Format DDG'!2:2,0)),
INDEX( 'ETPT Format DDG'!$A:$ZZ,,MATCH("Fonction recodée",'ETPT Format DDG'!2:2,0)),"Magistrat SIEGE NS",
INDEX( 'ETPT Format DDG'!$A:$ZZ,,MATCH("TJCPH",'ETPT Format DDG'!2:2,0)),"OUI")),0)</f>
        <v>#N/A</v>
      </c>
      <c r="AU13" s="98">
        <f t="shared" si="3"/>
        <v>0</v>
      </c>
      <c r="AV13" s="102"/>
      <c r="AW13" s="102"/>
      <c r="AX13" s="102"/>
      <c r="AY13" s="102"/>
      <c r="AZ13" s="102"/>
      <c r="BA13" s="102"/>
      <c r="BB13" s="102"/>
      <c r="BC13" s="102"/>
      <c r="BD13" s="102"/>
      <c r="BE13" s="98">
        <f t="shared" si="5"/>
        <v>0</v>
      </c>
    </row>
    <row r="14" ht="14.25" customHeight="1" spans="1:57" s="81" customFormat="1" x14ac:dyDescent="0.25">
      <c r="A14" s="91" t="s">
        <v>577</v>
      </c>
      <c r="B14" s="92"/>
      <c r="C14" s="92"/>
      <c r="D14" s="104">
        <f t="shared" si="0"/>
      </c>
      <c r="E14" s="92" t="s">
        <v>599</v>
      </c>
      <c r="F14" s="92" t="s">
        <v>600</v>
      </c>
      <c r="G14" s="94" t="e">
        <f>SUM(SUMIFS(
INDEX( 'ETPT A-JUST'!$A:$ZZ,,MATCH("Temps ventilés sur la période (absentéisme et action 99 déduits)",'ETPT A-JUST'!2:2,0)),
INDEX( 'ETPT A-JUST'!$A:$ZZ,,MATCH("Fonction recodée",'ETPT A-JUST'!2:2,0)),"Fonctionnaire CTECH placé ADD",
INDEX( 'ETPT A-JUST'!$A:$ZZ,,MATCH("TJCPH",'ETPT A-JUST'!2:2,0)),"OUI"))</f>
        <v>#N/A</v>
      </c>
      <c r="H14" s="95">
        <f t="shared" si="1"/>
        <v>0</v>
      </c>
      <c r="I14" s="96" t="e">
        <f>SUM(SUMIFS(
INDEX( 'ETPT A-JUST'!$A:$ZZ,,MATCH("11.8. FONCTIONNAIRES AFFECTÉS AUX ACTIVITÉS CIVILES ET COMMERCIALES DU PARQUET",'ETPT A-JUST'!2:2,0)),
INDEX( 'ETPT A-JUST'!$A:$ZZ,,MATCH("Fonction recodée",'ETPT A-JUST'!2:2,0)),"Fonctionnaire A-B-CBUR placé ADD",
INDEX( 'ETPT A-JUST'!$A:$ZZ,,MATCH("TJCPH",'ETPT A-JUST'!2:2,0)),"OUI"))</f>
        <v>#N/A</v>
      </c>
      <c r="J14" s="96" t="e">
        <f>SUM(SUMIFS(
INDEX( 'ETPT A-JUST'!$A:$ZZ,,MATCH("11.9. FONCTIONNAIRES AFFECTÉS À L'EXÉCUTION DES PEINES",'ETPT A-JUST'!2:2,0)),
INDEX( 'ETPT A-JUST'!$A:$ZZ,,MATCH("Fonction recodée",'ETPT A-JUST'!2:2,0)),"Fonctionnaire A-B-CBUR placé ADD"))</f>
        <v>#N/A</v>
      </c>
      <c r="K14" s="96" t="e">
        <f>SUM(SUMIFS(
INDEX( 'ETPT A-JUST'!$A:$ZZ,,MATCH("7.5. COUR D'ASSISES HORS JIRS",'ETPT A-JUST'!2:2,0)),
INDEX( 'ETPT A-JUST'!$A:$ZZ,,MATCH("Fonction recodée",'ETPT A-JUST'!2:2,0)),"Fonctionnaire A-B-CBUR placé ADD"))+
SUM(SUMIFS(
INDEX( 'ETPT A-JUST'!$A:$ZZ,,MATCH("7.51. COUR D'ASSISES JIRS",'ETPT A-JUST'!2:2,0)),
INDEX( 'ETPT A-JUST'!$A:$ZZ,,MATCH("Fonction recodée",'ETPT A-JUST'!2:2,0)),"Fonctionnaire A-B-CBUR placé ADD"))</f>
        <v>#N/A</v>
      </c>
      <c r="L14" s="96" t="e">
        <f>SUM(SUMIFS(
INDEX( 'ETPT A-JUST'!$A:$ZZ,,MATCH("7.52. COUR CRIMINELLE",'ETPT A-JUST'!2:2,0)),
INDEX( 'ETPT A-JUST'!$A:$ZZ,,MATCH("Fonction recodée",'ETPT A-JUST'!2:2,0)),"Fonctionnaire A-B-CBUR placé ADD"))</f>
        <v>#N/A</v>
      </c>
      <c r="M14" s="96" t="e">
        <f>SUM(SUMIFS(
INDEX( 'ETPT A-JUST'!$A:$ZZ,,MATCH("7.121. COLLÉGIALES JIRS ÉCO-FI",'ETPT A-JUST'!2:2,0)),
INDEX( 'ETPT A-JUST'!$A:$ZZ,,MATCH("Fonction recodée",'ETPT A-JUST'!2:2,0)),"Fonctionnaire A-B-CBUR placé ADD",
INDEX( 'ETPT A-JUST'!$A:$ZZ,,MATCH("Jirs",'ETPT A-JUST'!2:2,0)),"x"))</f>
        <v>#N/A</v>
      </c>
      <c r="N14" s="96" t="e">
        <f>SUM(SUMIFS(
INDEX( 'ETPT A-JUST'!$A:$ZZ,,MATCH("7.12. COLLÉGIALES JIRS CRIM-ORG",'ETPT A-JUST'!2:2,0)),
INDEX( 'ETPT A-JUST'!$A:$ZZ,,MATCH("Fonction recodée",'ETPT A-JUST'!2:2,0)),"Fonctionnaire A-B-CBUR placé ADD"))</f>
        <v>#N/A</v>
      </c>
      <c r="O14" s="96" t="e">
        <f>SUM(SUMIFS(
INDEX( 'ETPT A-JUST'!$A:$ZZ,,MATCH("7.122. COLLÉGIALES AUTRES SECTIONS SPÉCIALISÉES",'ETPT A-JUST'!2:2,0)),
INDEX( 'ETPT A-JUST'!$A:$ZZ,,MATCH("Fonction recodée",'ETPT A-JUST'!2:2,0)),"Fonctionnaire A-B-CBUR placé ADD"))+
SUM(SUMIFS(
INDEX( 'ETPT A-JUST'!$A:$ZZ,,MATCH("7.121. COLLÉGIALES JIRS ÉCO-FI",'ETPT A-JUST'!2:2,0)),
INDEX( 'ETPT A-JUST'!$A:$ZZ,,MATCH("Fonction recodée",'ETPT A-JUST'!2:2,0)),"Fonctionnaire A-B-CBUR placé ADD",
INDEX( 'ETPT A-JUST'!$A:$ZZ,,MATCH("Jirs",'ETPT A-JUST'!2:2,0)),""))</f>
        <v>#N/A</v>
      </c>
      <c r="P14" s="96" t="e">
        <f>SUM(SUMIFS(
INDEX( 'ETPT A-JUST'!$A:$ZZ,,MATCH("3.2. PROTECTION DES MAJEURS",'ETPT A-JUST'!2:2,0)),
INDEX( 'ETPT A-JUST'!$A:$ZZ,,MATCH("Fonction recodée",'ETPT A-JUST'!2:2,0)),"Fonctionnaire A-B-CBUR placé ADD",
INDEX( 'ETPT A-JUST'!$A:$ZZ,,MATCH("TJCPH",'ETPT A-JUST'!2:2,0)),"OUI"))</f>
        <v>#N/A</v>
      </c>
      <c r="Q14" s="96" t="e">
        <f>SUM(SUMIFS(
INDEX( 'ETPT A-JUST'!$A:$ZZ,,MATCH("3. TOTAL CONTENTIEUX DE LA PROTECTION",'ETPT A-JUST'!2:2,0)),
INDEX( 'ETPT A-JUST'!$A:$ZZ,,MATCH("Fonction recodée",'ETPT A-JUST'!2:2,0)),"Fonctionnaire A-B-CBUR placé ADD",
INDEX( 'ETPT A-JUST'!$A:$ZZ,,MATCH("TJCPH",'ETPT A-JUST'!2:2,0)),"OUI"))-
SUM(SUMIFS(
INDEX( 'ETPT A-JUST'!$A:$ZZ,,MATCH("3.2. PROTECTION DES MAJEURS",'ETPT A-JUST'!2:2,0)),
INDEX( 'ETPT A-JUST'!$A:$ZZ,,MATCH("Fonction recodée",'ETPT A-JUST'!2:2,0)),"Fonctionnaire A-B-CBUR placé ADD",
INDEX( 'ETPT A-JUST'!$A:$ZZ,,MATCH("TJCPH",'ETPT A-JUST'!2:2,0)),"OUI"))-
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R14" s="96" t="e">
        <f>SUM(SUMIFS(
INDEX( 'ETPT A-JUST'!$A:$ZZ,,MATCH("5. TOTAL JLD CIVIL",'ETPT A-JUST'!2:2,0)),
INDEX( 'ETPT A-JUST'!$A:$ZZ,,MATCH("Fonction recodée",'ETPT A-JUST'!2:2,0)),"Fonctionnaire A-B-CBUR placé ADD"))+
SUM(SUMIFS(
INDEX( 'ETPT A-JUST'!$A:$ZZ,,MATCH("6. TOTAL JUGES DES ENFANTS",'ETPT A-JUST'!2:2,0)),
INDEX( 'ETPT A-JUST'!$A:$ZZ,,MATCH("Fonction recodée",'ETPT A-JUST'!2:2,0)),"Fonctionnaire A-B-CBUR placé ADD"))+
SUM(SUMIFS(
INDEX( 'ETPT A-JUST'!$A:$ZZ,,MATCH("8. TOTAL JUGES D'INSTRUCTION",'ETPT A-JUST'!2:2,0)),
INDEX( 'ETPT A-JUST'!$A:$ZZ,,MATCH("Fonction recodée",'ETPT A-JUST'!2:2,0)),"Fonctionnaire A-B-CBUR placé ADD"))+
SUM(SUMIFS(
INDEX( 'ETPT A-JUST'!$A:$ZZ,,MATCH("9. TOTAL JAP",'ETPT A-JUST'!2:2,0)),
INDEX( 'ETPT A-JUST'!$A:$ZZ,,MATCH("Fonction recodée",'ETPT A-JUST'!2:2,0)),"Fonctionnaire A-B-CBUR placé ADD"))+
SUM(SUMIFS(
INDEX( 'ETPT A-JUST'!$A:$ZZ,,MATCH("10. TOTAL JLD PÉNAL",'ETPT A-JUST'!2:2,0)),
INDEX( 'ETPT A-JUST'!$A:$ZZ,,MATCH("Fonction recodée",'ETPT A-JUST'!2:2,0)),"Fonctionnaire A-B-CBUR placé ADD"))</f>
        <v>#N/A</v>
      </c>
      <c r="S14" s="96" t="e">
        <f>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T14" s="96" t="e">
        <f>SUM(SUMIFS(
INDEX( 'ETPT A-JUST'!$A:$ZZ,,MATCH("4.0. CONTENTIEUX GÉNÉRAL &lt;10.000€",'ETPT A-JUST'!2:2,0)),
INDEX( 'ETPT A-JUST'!$A:$ZZ,,MATCH("Fonction recodée",'ETPT A-JUST'!2:2,0)),"Fonctionnaire A-B-CBUR placé ADD",
INDEX( 'ETPT A-JUST'!$A:$ZZ,,MATCH("TJCPH",'ETPT A-JUST'!2:2,0)),"OUI"))</f>
        <v>#N/A</v>
      </c>
      <c r="U14" s="96" t="e">
        <f>SUM(SUMIFS(
INDEX( 'ETPT A-JUST'!$A:$ZZ,,MATCH("1. TOTAL CONTENTIEUX SOCIAL",'ETPT A-JUST'!2:2,0)),
INDEX( 'ETPT A-JUST'!$A:$ZZ,,MATCH("Fonction recodée",'ETPT A-JUST'!2:2,0)),"Fonctionnaire A-B-CBUR placé ADD",
INDEX( 'ETPT A-JUST'!$A:$ZZ,,MATCH("TJCPH",'ETPT A-JUST'!2:2,0)),"OUI"))</f>
        <v>#N/A</v>
      </c>
      <c r="V14" s="100" t="e">
        <f>SUM(SUMIFS(
INDEX( 'ETPT A-JUST'!$A:$ZZ,,MATCH("2. TOTAL CONTENTIEUX JAF",'ETPT A-JUST'!2:2,0)),
INDEX( 'ETPT A-JUST'!$A:$ZZ,,MATCH("Fonction recodée",'ETPT A-JUST'!2:2,0)),"Fonctionnaire A-B-CBUR placé ADD",
INDEX( 'ETPT A-JUST'!$A:$ZZ,,MATCH("TJCPH",'ETPT A-JUST'!2:2,0)),"OUI"))+
SUM(SUMIFS(
INDEX( 'ETPT A-JUST'!$A:$ZZ,,MATCH("4. TOTAL CIVIL NON SPÉCIALISÉ",'ETPT A-JUST'!2:2,0)),
INDEX( 'ETPT A-JUST'!$A:$ZZ,,MATCH("Fonction recodée",'ETPT A-JUST'!2:2,0)),"Fonctionnaire A-B-CBUR placé ADD",
INDEX( 'ETPT A-JUST'!$A:$ZZ,,MATCH("TJCPH",'ETPT A-JUST'!2:2,0)),"OUI"))+
SUM(SUMIFS(
INDEX( 'ETPT A-JUST'!$A:$ZZ,,MATCH("6.1. ACTIVITÉ CIVILE",'ETPT A-JUST'!2:2,0)),
INDEX( 'ETPT A-JUST'!$A:$ZZ,,MATCH("Fonction recodée",'ETPT A-JUST'!2:2,0)),"Fonctionnaire A-B-CBUR placé ADD",
INDEX( 'ETPT A-JUST'!$A:$ZZ,,MATCH("TJCPH",'ETPT A-JUST'!2:2,0)),"OUI"))+
_xlfn.IFNA(SUM(SUMIFS(
INDEX( 'ETPT A-JUST'!$A:$ZZ,,MATCH("13. TOTAL CONTENTIEUX LOCAUX SPÉCIFIQUES",'ETPT A-JUST'!2:2,0)),
INDEX( 'ETPT A-JUST'!$A:$ZZ,,MATCH("Fonction recodée",'ETPT A-JUST'!2:2,0)),"Fonctionnaire A-B-CBUR placé ADD",
INDEX( 'ETPT A-JUST'!$A:$ZZ,,MATCH("TJCPH",'ETPT A-JUST'!2:2,0)),"OUI")),0)-
SUM(SUMIFS(
INDEX( 'ETPT A-JUST'!$A:$ZZ,,MATCH("4.0. CONTENTIEUX GÉNÉRAL &lt;10.000€",'ETPT A-JUST'!2:2,0)),
INDEX( 'ETPT A-JUST'!$A:$ZZ,,MATCH("Fonction recodée",'ETPT A-JUST'!2:2,0)),"Fonctionnaire A-B-CBUR placé ADD",
INDEX( 'ETPT A-JUST'!$A:$ZZ,,MATCH("TJCPH",'ETPT A-JUST'!2:2,0)),"OUI"))+
SUM(SUMIFS(
INDEX( 'ETPT A-JUST'!$A:$ZZ,,MATCH("11.51. ACCUEIL DU JUSTICIABLE (DONT SAUJ)",'ETPT A-JUST'!2:2,0)),
INDEX( 'ETPT A-JUST'!$A:$ZZ,,MATCH("Fonction recodée",'ETPT A-JUST'!2:2,0)),"Fonctionnaire A-B-CBUR placé ADD",
INDEX( 'ETPT A-JUST'!$A:$ZZ,,MATCH("TJCPH",'ETPT A-JUST'!2:2,0)),"OUI"))+
SUM(SUMIFS(
INDEX( 'ETPT A-JUST'!$A:$ZZ,,MATCH("11.1. SOUTIEN (HORS FORMATIONS SUIVIES)",'ETPT A-JUST'!2:2,0)),
INDEX( 'ETPT A-JUST'!$A:$ZZ,,MATCH("Fonction recodée",'ETPT A-JUST'!2:2,0)),"Fonctionnaire A-B-CBUR placé ADD",
INDEX( 'ETPT A-JUST'!$A:$ZZ,,MATCH("TJCPH",'ETPT A-JUST'!2:2,0)),"OUI"))+
SUM(SUMIFS(
INDEX( 'ETPT A-JUST'!$A:$ZZ,,MATCH("11.2. FORMATIONS SUIVIES",'ETPT A-JUST'!2:2,0)),
INDEX( 'ETPT A-JUST'!$A:$ZZ,,MATCH("Fonction recodée",'ETPT A-JUST'!2:2,0)),"Fonctionnaire A-B-CBUR placé ADD",
INDEX( 'ETPT A-JUST'!$A:$ZZ,,MATCH("TJCPH",'ETPT A-JUST'!2:2,0)),"OUI"))+
SUM(SUMIFS(
INDEX( 'ETPT A-JUST'!$A:$ZZ,,MATCH("11.6. AUTRES ACTIVITÉS NON JURIDICTIONNELLES",'ETPT A-JUST'!2:2,0)),
INDEX( 'ETPT A-JUST'!$A:$ZZ,,MATCH("Fonction recodée",'ETPT A-JUST'!2:2,0)),"Fonctionnaire A-B-CBUR placé ADD",
INDEX( 'ETPT A-JUST'!$A:$ZZ,,MATCH("TJCPH",'ETPT A-JUST'!2:2,0)),"OUI"))+
SUM(SUMIFS(
INDEX( 'ETPT A-JUST'!$A:$ZZ,,MATCH("11.3. FORMATIONS DISPENSÉES",'ETPT A-JUST'!2:2,0)),
INDEX( 'ETPT A-JUST'!$A:$ZZ,,MATCH("Fonction recodée",'ETPT A-JUST'!2:2,0)),"Fonctionnaire A-B-CBUR placé ADD",
INDEX( 'ETPT A-JUST'!$A:$ZZ,,MATCH("TJCPH",'ETPT A-JUST'!2:2,0)),"OUI"))+
SUM(SUMIFS(
INDEX( 'ETPT A-JUST'!$A:$ZZ,,MATCH("11.4. ACCÈS AU DROIT ET À LA JUSTICE",'ETPT A-JUST'!2:2,0)),
INDEX( 'ETPT A-JUST'!$A:$ZZ,,MATCH("Fonction recodée",'ETPT A-JUST'!2:2,0)),"Fonctionnaire A-B-CBUR placé ADD",
INDEX( 'ETPT A-JUST'!$A:$ZZ,,MATCH("TJCPH",'ETPT A-JUST'!2:2,0)),"OUI"))+
SUMIFS(
INDEX( 'ETPT A-JUST'!$A:$ZZ,,MATCH("7. TOTAL SIÈGE PÉNAL",'ETPT A-JUST'!2:2,0)),
INDEX( 'ETPT A-JUST'!$A:$ZZ,,MATCH("Fonction recodée",'ETPT A-JUST'!2:2,0)),"Fonctionnaire A-B-CBUR placé ADD")+
SUMIFS(
INDEX( 'ETPT A-JUST'!$A:$ZZ,,MATCH("11.10. AUTRES FONCTIONNAIRES AFFECTÉS AU PARQUET",'ETPT A-JUST'!2:2,0)),
INDEX( 'ETPT A-JUST'!$A:$ZZ,,MATCH("Fonction recodée",'ETPT A-JUST'!2:2,0)),"Fonctionnaire A-B-CBUR placé ADD")-
SUMIFS(
INDEX( 'ETPT A-JUST'!$A:$ZZ,,MATCH("7.5. COUR D'ASSISES HORS JIRS",'ETPT A-JUST'!2:2,0)),
INDEX( 'ETPT A-JUST'!$A:$ZZ,,MATCH("Fonction recodée",'ETPT A-JUST'!2:2,0)),"Fonctionnaire A-B-CBUR placé ADD")-
SUMIFS(
INDEX( 'ETPT A-JUST'!$A:$ZZ,,MATCH("7.51. COUR D'ASSISES JIRS",'ETPT A-JUST'!2:2,0)),
INDEX( 'ETPT A-JUST'!$A:$ZZ,,MATCH("Fonction recodée",'ETPT A-JUST'!2:2,0)),"Fonctionnaire A-B-CBUR placé ADD")-
SUMIFS(
INDEX( 'ETPT A-JUST'!$A:$ZZ,,MATCH("7.52. COUR CRIMINELLE",'ETPT A-JUST'!2:2,0)),
INDEX( 'ETPT A-JUST'!$A:$ZZ,,MATCH("Fonction recodée",'ETPT A-JUST'!2:2,0)),"Fonctionnaire A-B-CBUR placé ADD")-
SUMIFS(
INDEX( 'ETPT A-JUST'!$A:$ZZ,,MATCH("7.121. COLLÉGIALES JIRS ÉCO-FI",'ETPT A-JUST'!2:2,0)),
INDEX( 'ETPT A-JUST'!$A:$ZZ,,MATCH("Fonction recodée",'ETPT A-JUST'!2:2,0)),"Fonctionnaire A-B-CBUR placé ADD")-
SUMIFS(
INDEX( 'ETPT A-JUST'!$A:$ZZ,,MATCH("7.12. COLLÉGIALES JIRS CRIM-ORG",'ETPT A-JUST'!2:2,0)),
INDEX( 'ETPT A-JUST'!$A:$ZZ,,MATCH("Fonction recodée",'ETPT A-JUST'!2:2,0)),"Fonctionnaire A-B-CBUR placé ADD")-
SUMIFS(
INDEX( 'ETPT A-JUST'!$A:$ZZ,,MATCH("7.122. COLLÉGIALES AUTRES SECTIONS SPÉCIALISÉES",'ETPT A-JUST'!2:2,0)),
INDEX( 'ETPT A-JUST'!$A:$ZZ,,MATCH("Fonction recodée",'ETPT A-JUST'!2:2,0)),"Fonctionnaire A-B-CBUR placé ADD")</f>
        <v>#N/A</v>
      </c>
      <c r="W14" s="98">
        <f t="shared" si="4"/>
        <v>0</v>
      </c>
      <c r="X14" s="100" t="e">
        <f>SUM(SUMIFS(
INDEX( 'ETPT A-JUST'!$A:$ZZ,,MATCH("3.2. PROTECTION DES MAJEURS",'ETPT A-JUST'!2:2,0)),
INDEX( 'ETPT A-JUST'!$A:$ZZ,,MATCH("Fonction recodée",'ETPT A-JUST'!2:2,0)),"Magistrat placé ADD",
INDEX( 'ETPT A-JUST'!$A:$ZZ,,MATCH("TJCPH",'ETPT A-JUST'!2:2,0)),"OUI"))</f>
        <v>#N/A</v>
      </c>
      <c r="Y14" s="100" t="e">
        <f>SUM(SUMIFS(
INDEX( 'ETPT A-JUST'!$A:$ZZ,,MATCH("3. TOTAL CONTENTIEUX DE LA PROTECTION",'ETPT A-JUST'!2:2,0)),
INDEX( 'ETPT A-JUST'!$A:$ZZ,,MATCH("Fonction recodée",'ETPT A-JUST'!2:2,0)),"Magistrat placé ADD",
INDEX( 'ETPT A-JUST'!$A:$ZZ,,MATCH("TJCPH",'ETPT A-JUST'!2:2,0)),"OUI"))-
SUM(SUMIFS(
INDEX( 'ETPT A-JUST'!$A:$ZZ,,MATCH("3.2. PROTECTION DES MAJEURS",'ETPT A-JUST'!2:2,0)),
INDEX( 'ETPT A-JUST'!$A:$ZZ,,MATCH("Fonction recodée",'ETPT A-JUST'!2:2,0)),"Magistrat placé ADD",
INDEX( 'ETPT A-JUST'!$A:$ZZ,,MATCH("TJCPH",'ETPT A-JUST'!2:2,0)),"OUI"))-
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Z14" s="100" t="e">
        <f>SUM(SUMIFS(
INDEX( 'ETPT A-JUST'!$A:$ZZ,,MATCH("8.1. SERVICE GÉNÉRAL",'ETPT A-JUST'!2:2,0)),
INDEX( 'ETPT A-JUST'!$A:$ZZ,,MATCH("Fonction recodée",'ETPT A-JUST'!2:2,0)),"Magistrat placé ADD"))</f>
        <v>#N/A</v>
      </c>
      <c r="AA14" s="100" t="e">
        <f>SUM(SUMIFS(
INDEX( 'ETPT A-JUST'!$A:$ZZ,,MATCH("8.2. JIRS ÉCO-FI",'ETPT A-JUST'!2:2,0)),
INDEX( 'ETPT A-JUST'!$A:$ZZ,,MATCH("Fonction recodée",'ETPT A-JUST'!2:2,0)),"Magistrat placé ADD"))</f>
        <v>#N/A</v>
      </c>
      <c r="AB14" s="100" t="e">
        <f>SUM(SUMIFS(
INDEX( 'ETPT A-JUST'!$A:$ZZ,,MATCH("8.3. JIRS CRIM-ORG",'ETPT A-JUST'!2:2,0)),
INDEX( 'ETPT A-JUST'!$A:$ZZ,,MATCH("Fonction recodée",'ETPT A-JUST'!2:2,0)),"Magistrat placé ADD"))</f>
        <v>#N/A</v>
      </c>
      <c r="AC14" s="100" t="e">
        <f>SUM(SUMIFS(
INDEX( 'ETPT A-JUST'!$A:$ZZ,,MATCH("8.4. AUTRES SECTIONS SPÉCIALISÉES",'ETPT A-JUST'!2:2,0)),
INDEX( 'ETPT A-JUST'!$A:$ZZ,,MATCH("Fonction recodée",'ETPT A-JUST'!2:2,0)),"Magistrat placé ADD"))+
SUM(SUMIFS(
INDEX( 'ETPT A-JUST'!$A:$ZZ,,MATCH("8.11. ECO-FI HORS JIRS",'ETPT A-JUST'!2:2,0)),
INDEX( 'ETPT A-JUST'!$A:$ZZ,,MATCH("Fonction recodée",'ETPT A-JUST'!2:2,0)),"Magistrat placé ADD"))</f>
        <v>#N/A</v>
      </c>
      <c r="AD14" s="100" t="e">
        <f>SUM(SUMIFS(
INDEX( 'ETPT A-JUST'!$A:$ZZ,,MATCH("9. TOTAL JAP",'ETPT A-JUST'!2:2,0)),
INDEX( 'ETPT A-JUST'!$A:$ZZ,,MATCH("Fonction recodée",'ETPT A-JUST'!2:2,0)),"Magistrat placé ADD"))</f>
        <v>#N/A</v>
      </c>
      <c r="AE14" s="100" t="e">
        <f>SUM(SUMIFS(
INDEX( 'ETPT A-JUST'!$A:$ZZ,,MATCH("6.1. ACTIVITÉ CIVILE",'ETPT A-JUST'!2:2,0)),
INDEX( 'ETPT A-JUST'!$A:$ZZ,,MATCH("Fonction recodée",'ETPT A-JUST'!2:2,0)),"Magistrat placé ADD"))+
SUM(SUMIFS(
INDEX( 'ETPT A-JUST'!$A:$ZZ,,MATCH("6.2. ACTIVITÉ PÉNALE",'ETPT A-JUST'!2:2,0)),
INDEX( 'ETPT A-JUST'!$A:$ZZ,,MATCH("Fonction recodée",'ETPT A-JUST'!2:2,0)),"Magistrat placé ADD"))</f>
        <v>#N/A</v>
      </c>
      <c r="AF14" s="100" t="e">
        <f>SUM(SUMIFS(
INDEX( 'ETPT A-JUST'!$A:$ZZ,,MATCH("5. TOTAL JLD CIVIL",'ETPT A-JUST'!2:2,0)),
INDEX( 'ETPT A-JUST'!$A:$ZZ,,MATCH("Fonction recodée",'ETPT A-JUST'!2:2,0)),"Magistrat placé ADD"))+
SUM(SUMIFS(
INDEX( 'ETPT A-JUST'!$A:$ZZ,,MATCH("10. TOTAL JLD PÉNAL",'ETPT A-JUST'!2:2,0)),
INDEX( 'ETPT A-JUST'!$A:$ZZ,,MATCH("Fonction recodée",'ETPT A-JUST'!2:2,0)),"Magistrat placé ADD"))</f>
        <v>#N/A</v>
      </c>
      <c r="AG14" s="98">
        <f t="shared" si="2"/>
        <v>0</v>
      </c>
      <c r="AH14" s="100" t="e">
        <f>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f>
        <v>#N/A</v>
      </c>
      <c r="AI14" s="100" t="e">
        <f>SUM(SUMIFS(
INDEX( 'ETPT A-JUST'!$A:$ZZ,,MATCH("7.52. COUR CRIMINELLE",'ETPT A-JUST'!2:2,0)),
INDEX( 'ETPT A-JUST'!$A:$ZZ,,MATCH("Fonction recodée",'ETPT A-JUST'!2:2,0)),"Magistrat placé ADD"))</f>
        <v>#N/A</v>
      </c>
      <c r="AJ14" s="100" t="e">
        <f>SUM(SUMIFS(
INDEX( 'ETPT A-JUST'!$A:$ZZ,,MATCH("7.121. COLLÉGIALES JIRS ÉCO-FI",'ETPT A-JUST'!2:2,0)),
INDEX( 'ETPT A-JUST'!$A:$ZZ,,MATCH("Fonction recodée",'ETPT A-JUST'!2:2,0)),"Magistrat placé ADD",
INDEX( 'ETPT A-JUST'!$A:$ZZ,,MATCH("Jirs",'ETPT A-JUST'!2:2,0)),"x"))</f>
        <v>#N/A</v>
      </c>
      <c r="AK14" s="100" t="e">
        <f>SUM(SUMIFS(
INDEX( 'ETPT A-JUST'!$A:$ZZ,,MATCH("7.12. COLLÉGIALES JIRS CRIM-ORG",'ETPT A-JUST'!2:2,0)),
INDEX( 'ETPT A-JUST'!$A:$ZZ,,MATCH("Fonction recodée",'ETPT A-JUST'!2:2,0)),"Magistrat placé ADD"))</f>
        <v>#N/A</v>
      </c>
      <c r="AL14" s="100" t="e">
        <f>SUM(SUMIFS(
INDEX( 'ETPT A-JUST'!$A:$ZZ,,MATCH("7.122. COLLÉGIALES AUTRES SECTIONS SPÉCIALISÉES",'ETPT A-JUST'!2:2,0)),
INDEX( 'ETPT A-JUST'!$A:$ZZ,,MATCH("Fonction recodée",'ETPT A-JUST'!2:2,0)),"Magistrat placé ADD"))+
SUM(SUMIFS(
INDEX( 'ETPT A-JUST'!$A:$ZZ,,MATCH("7.121. COLLÉGIALES JIRS ÉCO-FI",'ETPT A-JUST'!2:2,0)),
INDEX( 'ETPT A-JUST'!$A:$ZZ,,MATCH("Fonction recodée",'ETPT A-JUST'!2:2,0)),"Magistrat placé ADD",
INDEX( 'ETPT A-JUST'!$A:$ZZ,,MATCH("Jirs",'ETPT A-JUST'!2:2,0)),""))</f>
        <v>#N/A</v>
      </c>
      <c r="AM14" s="100" t="e">
        <f>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N14" s="100" t="e">
        <f>SUM(SUMIFS(
INDEX( 'ETPT A-JUST'!$A:$ZZ,,MATCH("1.1. DÉPARTAGE PRUD'HOMAL",'ETPT A-JUST'!2:2,0)),
INDEX( 'ETPT A-JUST'!$A:$ZZ,,MATCH("Fonction recodée",'ETPT A-JUST'!2:2,0)),"Magistrat placé ADD",
INDEX( 'ETPT A-JUST'!$A:$ZZ,,MATCH("TJCPH",'ETPT A-JUST'!2:2,0)),"OUI"))</f>
        <v>#N/A</v>
      </c>
      <c r="AO14" s="100" t="e">
        <f>SUM(SUMIFS(
INDEX( 'ETPT A-JUST'!$A:$ZZ,,MATCH("4.0. CONTENTIEUX GÉNÉRAL &lt;10.000€",'ETPT A-JUST'!2:2,0)),
INDEX( 'ETPT A-JUST'!$A:$ZZ,,MATCH("Fonction recodée",'ETPT A-JUST'!2:2,0)),"Magistrat placé ADD",
INDEX( 'ETPT A-JUST'!$A:$ZZ,,MATCH("TJCPH",'ETPT A-JUST'!2:2,0)),"OUI"))</f>
        <v>#N/A</v>
      </c>
      <c r="AP14" s="100" t="e">
        <f>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AQ14" s="100" t="e">
        <f>SUM(SUMIFS(
INDEX( 'ETPT A-JUST'!$A:$ZZ,,MATCH("1. TOTAL CONTENTIEUX SOCIAL",'ETPT A-JUST'!2:2,0)),
INDEX( 'ETPT A-JUST'!$A:$ZZ,,MATCH("Fonction recodée",'ETPT A-JUST'!2:2,0)),"Magistrat placé ADD",
INDEX( 'ETPT A-JUST'!$A:$ZZ,,MATCH("TJCPH",'ETPT A-JUST'!2:2,0)),"OUI"))-
SUM(SUMIFS(
INDEX( 'ETPT A-JUST'!$A:$ZZ,,MATCH("1.1. DÉPARTAGE PRUD'HOMAL",'ETPT A-JUST'!2:2,0)),
INDEX( 'ETPT A-JUST'!$A:$ZZ,,MATCH("Fonction recodée",'ETPT A-JUST'!2:2,0)),"Magistrat placé ADD",
INDEX( 'ETPT A-JUST'!$A:$ZZ,,MATCH("TJCPH",'ETPT A-JUST'!2:2,0)),"OUI"))</f>
        <v>#N/A</v>
      </c>
      <c r="AR14" s="100" t="e">
        <f>SUM(SUMIFS(
INDEX( 'ETPT A-JUST'!$A:$ZZ,,MATCH("2. TOTAL CONTENTIEUX JAF",'ETPT A-JUST'!2:2,0)),
INDEX( 'ETPT A-JUST'!$A:$ZZ,,MATCH("Fonction recodée",'ETPT A-JUST'!2:2,0)),"Magistrat placé ADD"))</f>
        <v>#N/A</v>
      </c>
      <c r="AS14" s="114"/>
      <c r="AT14" s="105" t="e">
        <f>SUM(SUMIFS(
INDEX( 'ETPT A-JUST'!$A:$ZZ,,MATCH("4. TOTAL CIVIL NON SPÉCIALISÉ",'ETPT A-JUST'!2:2,0)),
INDEX( 'ETPT A-JUST'!$A:$ZZ,,MATCH("Fonction recodée",'ETPT A-JUST'!2:2,0)),"Magistrat placé ADD",
INDEX( 'ETPT A-JUST'!$A:$ZZ,,MATCH("TJCPH",'ETPT A-JUST'!2:2,0)),"OUI"))-
SUM(SUMIFS(
INDEX( 'ETPT A-JUST'!$A:$ZZ,,MATCH("4.0. CONTENTIEUX GÉNÉRAL &lt;10.000€",'ETPT A-JUST'!2:2,0)),
INDEX( 'ETPT A-JUST'!$A:$ZZ,,MATCH("Fonction recodée",'ETPT A-JUST'!2:2,0)),"Magistrat placé ADD",
INDEX( 'ETPT A-JUST'!$A:$ZZ,,MATCH("TJCPH",'ETPT A-JUST'!2:2,0)),"OUI"))+
_xlfn.IFNA(SUM(SUMIFS(
INDEX( 'ETPT A-JUST'!$A:$ZZ,,MATCH("13. TOTAL CONTENTIEUX LOCAUX SPÉCIFIQUES",'ETPT A-JUST'!2:2,0)),
INDEX( 'ETPT A-JUST'!$A:$ZZ,,MATCH("Fonction recodée",'ETPT A-JUST'!2:2,0)),"Magistrat placé ADD",
INDEX( 'ETPT A-JUST'!$A:$ZZ,,MATCH("TJCPH",'ETPT A-JUST'!2:2,0)),"OUI")),0)+
SUM(SUMIFS(
INDEX( 'ETPT A-JUST'!$A:$ZZ,,MATCH("11.51. ACCUEIL DU JUSTICIABLE (DONT SAUJ)",'ETPT A-JUST'!2:2,0)),
INDEX( 'ETPT A-JUST'!$A:$ZZ,,MATCH("Fonction recodée",'ETPT A-JUST'!2:2,0)),"Magistrat placé ADD",
INDEX( 'ETPT A-JUST'!$A:$ZZ,,MATCH("TJCPH",'ETPT A-JUST'!2:2,0)),"OUI"))+
SUM(SUMIFS(
INDEX( 'ETPT A-JUST'!$A:$ZZ,,MATCH("11.1. SOUTIEN (HORS FORMATIONS SUIVIES)",'ETPT A-JUST'!2:2,0)),
INDEX( 'ETPT A-JUST'!$A:$ZZ,,MATCH("Fonction recodée",'ETPT A-JUST'!2:2,0)),"Magistrat placé ADD",
INDEX( 'ETPT A-JUST'!$A:$ZZ,,MATCH("TJCPH",'ETPT A-JUST'!2:2,0)),"OUI"))+
SUM(SUMIFS(
INDEX( 'ETPT A-JUST'!$A:$ZZ,,MATCH("11.2. FORMATIONS SUIVIES",'ETPT A-JUST'!2:2,0)),
INDEX( 'ETPT A-JUST'!$A:$ZZ,,MATCH("Fonction recodée",'ETPT A-JUST'!2:2,0)),"Magistrat placé ADD",
INDEX( 'ETPT A-JUST'!$A:$ZZ,,MATCH("TJCPH",'ETPT A-JUST'!2:2,0)),"OUI"))+
SUM(SUMIFS(
INDEX( 'ETPT A-JUST'!$A:$ZZ,,MATCH("11.6. AUTRES ACTIVITÉS NON JURIDICTIONNELLES",'ETPT A-JUST'!2:2,0)),
INDEX( 'ETPT A-JUST'!$A:$ZZ,,MATCH("Fonction recodée",'ETPT A-JUST'!2:2,0)),"Magistrat placé ADD",
INDEX( 'ETPT A-JUST'!$A:$ZZ,,MATCH("TJCPH",'ETPT A-JUST'!2:2,0)),"OUI"))+
SUM(SUMIFS(
INDEX( 'ETPT A-JUST'!$A:$ZZ,,MATCH("11.3. FORMATIONS DISPENSÉES",'ETPT A-JUST'!2:2,0)),
INDEX( 'ETPT A-JUST'!$A:$ZZ,,MATCH("Fonction recodée",'ETPT A-JUST'!2:2,0)),"Magistrat placé ADD",
INDEX( 'ETPT A-JUST'!$A:$ZZ,,MATCH("TJCPH",'ETPT A-JUST'!2:2,0)),"OUI"))+
SUM(SUMIFS(
INDEX( 'ETPT A-JUST'!$A:$ZZ,,MATCH("11.4. ACCÈS AU DROIT ET À LA JUSTICE",'ETPT A-JUST'!2:2,0)),
INDEX( 'ETPT A-JUST'!$A:$ZZ,,MATCH("Fonction recodée",'ETPT A-JUST'!2:2,0)),"Magistrat placé ADD",
INDEX( 'ETPT A-JUST'!$A:$ZZ,,MATCH("TJCPH",'ETPT A-JUST'!2:2,0)),"OUI"))+
SUM(SUMIFS(
INDEX( 'ETPT A-JUST'!$A:$ZZ,,MATCH("11.5. CSM",'ETPT A-JUST'!2:2,0)),
INDEX( 'ETPT A-JUST'!$A:$ZZ,,MATCH("Fonction recodée",'ETPT A-JUST'!2:2,0)),"Magistrat placé ADD",
INDEX( 'ETPT A-JUST'!$A:$ZZ,,MATCH("TJCPH",'ETPT A-JUST'!2:2,0)),"OUI"))
+
SUM(SUMIFS(
INDEX( 'ETPT A-JUST'!$A:$ZZ,,MATCH("7. TOTAL SIÈGE PÉNAL",'ETPT A-JUST'!2:2,0)),
INDEX( 'ETPT A-JUST'!$A:$ZZ,,MATCH("Fonction recodée",'ETPT A-JUST'!2:2,0)),"Magistrat placé ADD"))-
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
SUM(SUMIFS(
INDEX( 'ETPT A-JUST'!$A:$ZZ,,MATCH("7.52. COUR CRIMINELLE",'ETPT A-JUST'!2:2,0)),
INDEX( 'ETPT A-JUST'!$A:$ZZ,,MATCH("Fonction recodée",'ETPT A-JUST'!2:2,0)),"Magistrat placé ADD"))-
SUM(SUMIFS(
INDEX( 'ETPT A-JUST'!$A:$ZZ,,MATCH("7.121. COLLÉGIALES JIRS ÉCO-FI",'ETPT A-JUST'!2:2,0)),
INDEX( 'ETPT A-JUST'!$A:$ZZ,,MATCH("Fonction recodée",'ETPT A-JUST'!2:2,0)),"Magistrat placé ADD"))-
SUM(SUMIFS(
INDEX( 'ETPT A-JUST'!$A:$ZZ,,MATCH("7.12. COLLÉGIALES JIRS CRIM-ORG",'ETPT A-JUST'!2:2,0)),
INDEX( 'ETPT A-JUST'!$A:$ZZ,,MATCH("Fonction recodée",'ETPT A-JUST'!2:2,0)),"Magistrat placé ADD"))-
SUM(SUMIFS(
INDEX( 'ETPT A-JUST'!$A:$ZZ,,MATCH("7.122. COLLÉGIALES AUTRES SECTIONS SPÉCIALISÉES",'ETPT A-JUST'!2:2,0)),
INDEX( 'ETPT A-JUST'!$A:$ZZ,,MATCH("Fonction recodée",'ETPT A-JUST'!2:2,0)),"Magistrat placé ADD"))-
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U14" s="98">
        <f t="shared" si="3"/>
        <v>0</v>
      </c>
      <c r="AV14" s="102"/>
      <c r="AW14" s="102"/>
      <c r="AX14" s="102"/>
      <c r="AY14" s="102"/>
      <c r="AZ14" s="102"/>
      <c r="BA14" s="102"/>
      <c r="BB14" s="102"/>
      <c r="BC14" s="102"/>
      <c r="BD14" s="102"/>
      <c r="BE14" s="98">
        <f t="shared" si="5"/>
        <v>0</v>
      </c>
    </row>
    <row r="15" ht="14.25" customHeight="1" spans="1:57" s="81" customFormat="1" x14ac:dyDescent="0.25">
      <c r="A15" s="91" t="s">
        <v>577</v>
      </c>
      <c r="B15" s="92"/>
      <c r="C15" s="92"/>
      <c r="D15" s="104">
        <f t="shared" si="0"/>
      </c>
      <c r="E15" s="92" t="s">
        <v>601</v>
      </c>
      <c r="F15" s="92" t="s">
        <v>602</v>
      </c>
      <c r="G15" s="94" t="e">
        <f>SUM(SUMIFS(
INDEX( 'ETPT A-JUST'!$A:$ZZ,,MATCH("Temps ventilés sur la période (absentéisme et action 99 déduits)",'ETPT A-JUST'!2:2,0)),
INDEX( 'ETPT A-JUST'!$A:$ZZ,,MATCH("Fonction recodée",'ETPT A-JUST'!2:2,0)),"Fonctionnaire CTECH placé SUB",
INDEX( 'ETPT A-JUST'!$A:$ZZ,,MATCH("TJCPH",'ETPT A-JUST'!2:2,0)),"OUI"))</f>
        <v>#N/A</v>
      </c>
      <c r="H15" s="95">
        <f>_xlfn.AGGREGATE(9,6,G15)</f>
        <v>0</v>
      </c>
      <c r="I15" s="96" t="e">
        <f>SUM(SUMIFS(
INDEX( 'ETPT A-JUST'!$A:$ZZ,,MATCH("11.8. FONCTIONNAIRES AFFECTÉS AUX ACTIVITÉS CIVILES ET COMMERCIALES DU PARQUET",'ETPT A-JUST'!2:2,0)),
INDEX( 'ETPT A-JUST'!$A:$ZZ,,MATCH("Fonction recodée",'ETPT A-JUST'!2:2,0)),"Fonctionnaire A-B-CBUR placé SUB",
INDEX( 'ETPT A-JUST'!$A:$ZZ,,MATCH("TJCPH",'ETPT A-JUST'!2:2,0)),"OUI"))</f>
        <v>#N/A</v>
      </c>
      <c r="J15" s="96" t="e">
        <f>SUM(SUMIFS(
INDEX( 'ETPT A-JUST'!$A:$ZZ,,MATCH("11.9. FONCTIONNAIRES AFFECTÉS À L'EXÉCUTION DES PEINES",'ETPT A-JUST'!2:2,0)),
INDEX( 'ETPT A-JUST'!$A:$ZZ,,MATCH("Fonction recodée",'ETPT A-JUST'!2:2,0)),"Fonctionnaire A-B-CBUR placé SUB"))</f>
        <v>#N/A</v>
      </c>
      <c r="K15" s="96" t="e">
        <f>SUM(SUMIFS(
INDEX( 'ETPT A-JUST'!$A:$ZZ,,MATCH("7.5. COUR D'ASSISES HORS JIRS",'ETPT A-JUST'!2:2,0)),
INDEX( 'ETPT A-JUST'!$A:$ZZ,,MATCH("Fonction recodée",'ETPT A-JUST'!2:2,0)),"Fonctionnaire A-B-CBUR placé SUB"))+
SUM(SUMIFS(
INDEX( 'ETPT A-JUST'!$A:$ZZ,,MATCH("7.51. COUR D'ASSISES JIRS",'ETPT A-JUST'!2:2,0)),
INDEX( 'ETPT A-JUST'!$A:$ZZ,,MATCH("Fonction recodée",'ETPT A-JUST'!2:2,0)),"Fonctionnaire A-B-CBUR placé SUB"))</f>
        <v>#N/A</v>
      </c>
      <c r="L15" s="96" t="e">
        <f>SUM(SUMIFS(
INDEX( 'ETPT A-JUST'!$A:$ZZ,,MATCH("7.52. COUR CRIMINELLE",'ETPT A-JUST'!2:2,0)),
INDEX( 'ETPT A-JUST'!$A:$ZZ,,MATCH("Fonction recodée",'ETPT A-JUST'!2:2,0)),"Fonctionnaire A-B-CBUR placé SUB"))</f>
        <v>#N/A</v>
      </c>
      <c r="M15" s="96" t="e">
        <f>SUM(SUMIFS(
INDEX( 'ETPT A-JUST'!$A:$ZZ,,MATCH("7.121. COLLÉGIALES JIRS ÉCO-FI",'ETPT A-JUST'!2:2,0)),
INDEX( 'ETPT A-JUST'!$A:$ZZ,,MATCH("Fonction recodée",'ETPT A-JUST'!2:2,0)),"Fonctionnaire A-B-CBUR placé SUB",
INDEX( 'ETPT A-JUST'!$A:$ZZ,,MATCH("Jirs",'ETPT A-JUST'!2:2,0)),"x"))</f>
        <v>#N/A</v>
      </c>
      <c r="N15" s="96" t="e">
        <f>SUM(SUMIFS(
INDEX( 'ETPT A-JUST'!$A:$ZZ,,MATCH("7.12. COLLÉGIALES JIRS CRIM-ORG",'ETPT A-JUST'!2:2,0)),
INDEX( 'ETPT A-JUST'!$A:$ZZ,,MATCH("Fonction recodée",'ETPT A-JUST'!2:2,0)),"Fonctionnaire A-B-CBUR placé SUB"))</f>
        <v>#N/A</v>
      </c>
      <c r="O15" s="96" t="e">
        <f>SUM(SUMIFS(
INDEX( 'ETPT A-JUST'!$A:$ZZ,,MATCH("7.122. COLLÉGIALES AUTRES SECTIONS SPÉCIALISÉES",'ETPT A-JUST'!2:2,0)),
INDEX( 'ETPT A-JUST'!$A:$ZZ,,MATCH("Fonction recodée",'ETPT A-JUST'!2:2,0)),"Fonctionnaire A-B-CBUR placé SUB"))+
SUM(SUMIFS(
INDEX( 'ETPT A-JUST'!$A:$ZZ,,MATCH("7.121. COLLÉGIALES JIRS ÉCO-FI",'ETPT A-JUST'!2:2,0)),
INDEX( 'ETPT A-JUST'!$A:$ZZ,,MATCH("Fonction recodée",'ETPT A-JUST'!2:2,0)),"Fonctionnaire A-B-CBUR placé SUB",
INDEX( 'ETPT A-JUST'!$A:$ZZ,,MATCH("Jirs",'ETPT A-JUST'!2:2,0)),""))</f>
        <v>#N/A</v>
      </c>
      <c r="P15" s="96" t="e">
        <f>SUM(SUMIFS(
INDEX( 'ETPT A-JUST'!$A:$ZZ,,MATCH("3.2. PROTECTION DES MAJEURS",'ETPT A-JUST'!2:2,0)),
INDEX( 'ETPT A-JUST'!$A:$ZZ,,MATCH("Fonction recodée",'ETPT A-JUST'!2:2,0)),"Fonctionnaire A-B-CBUR placé SUB",
INDEX( 'ETPT A-JUST'!$A:$ZZ,,MATCH("TJCPH",'ETPT A-JUST'!2:2,0)),"OUI"))</f>
        <v>#N/A</v>
      </c>
      <c r="Q15" s="96" t="e">
        <f>SUM(SUMIFS(
INDEX( 'ETPT A-JUST'!$A:$ZZ,,MATCH("3. TOTAL CONTENTIEUX DE LA PROTECTION",'ETPT A-JUST'!2:2,0)),
INDEX( 'ETPT A-JUST'!$A:$ZZ,,MATCH("Fonction recodée",'ETPT A-JUST'!2:2,0)),"Fonctionnaire A-B-CBUR placé SUB",
INDEX( 'ETPT A-JUST'!$A:$ZZ,,MATCH("TJCPH",'ETPT A-JUST'!2:2,0)),"OUI"))-
SUM(SUMIFS(
INDEX( 'ETPT A-JUST'!$A:$ZZ,,MATCH("3.2. PROTECTION DES MAJEURS",'ETPT A-JUST'!2:2,0)),
INDEX( 'ETPT A-JUST'!$A:$ZZ,,MATCH("Fonction recodée",'ETPT A-JUST'!2:2,0)),"Fonctionnaire A-B-CBUR placé SUB",
INDEX( 'ETPT A-JUST'!$A:$ZZ,,MATCH("TJCPH",'ETPT A-JUST'!2:2,0)),"OUI"))-
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R15" s="96" t="e">
        <f>SUM(SUMIFS(
INDEX( 'ETPT A-JUST'!$A:$ZZ,,MATCH("5. TOTAL JLD CIVIL",'ETPT A-JUST'!2:2,0)),
INDEX( 'ETPT A-JUST'!$A:$ZZ,,MATCH("Fonction recodée",'ETPT A-JUST'!2:2,0)),"Fonctionnaire A-B-CBUR placé SUB"))+
SUM(SUMIFS(
INDEX( 'ETPT A-JUST'!$A:$ZZ,,MATCH("6. TOTAL JUGES DES ENFANTS",'ETPT A-JUST'!2:2,0)),
INDEX( 'ETPT A-JUST'!$A:$ZZ,,MATCH("Fonction recodée",'ETPT A-JUST'!2:2,0)),"Fonctionnaire A-B-CBUR placé SUB"))+
SUM(SUMIFS(
INDEX( 'ETPT A-JUST'!$A:$ZZ,,MATCH("8. TOTAL JUGES D'INSTRUCTION",'ETPT A-JUST'!2:2,0)),
INDEX( 'ETPT A-JUST'!$A:$ZZ,,MATCH("Fonction recodée",'ETPT A-JUST'!2:2,0)),"Fonctionnaire A-B-CBUR placé SUB"))+
SUM(SUMIFS(
INDEX( 'ETPT A-JUST'!$A:$ZZ,,MATCH("9. TOTAL JAP",'ETPT A-JUST'!2:2,0)),
INDEX( 'ETPT A-JUST'!$A:$ZZ,,MATCH("Fonction recodée",'ETPT A-JUST'!2:2,0)),"Fonctionnaire A-B-CBUR placé SUB"))+
SUM(SUMIFS(
INDEX( 'ETPT A-JUST'!$A:$ZZ,,MATCH("10. TOTAL JLD PÉNAL",'ETPT A-JUST'!2:2,0)),
INDEX( 'ETPT A-JUST'!$A:$ZZ,,MATCH("Fonction recodée",'ETPT A-JUST'!2:2,0)),"Fonctionnaire A-B-CBUR placé SUB"))</f>
        <v>#N/A</v>
      </c>
      <c r="S15" s="96" t="e">
        <f>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T15" s="96" t="e">
        <f>SUM(SUMIFS(
INDEX( 'ETPT A-JUST'!$A:$ZZ,,MATCH("4.0. CONTENTIEUX GÉNÉRAL &lt;10.000€",'ETPT A-JUST'!2:2,0)),
INDEX( 'ETPT A-JUST'!$A:$ZZ,,MATCH("Fonction recodée",'ETPT A-JUST'!2:2,0)),"Fonctionnaire A-B-CBUR placé SUB",
INDEX( 'ETPT A-JUST'!$A:$ZZ,,MATCH("TJCPH",'ETPT A-JUST'!2:2,0)),"OUI"))</f>
        <v>#N/A</v>
      </c>
      <c r="U15" s="96" t="e">
        <f>SUM(SUMIFS(
INDEX( 'ETPT A-JUST'!$A:$ZZ,,MATCH("1. TOTAL CONTENTIEUX SOCIAL",'ETPT A-JUST'!2:2,0)),
INDEX( 'ETPT A-JUST'!$A:$ZZ,,MATCH("Fonction recodée",'ETPT A-JUST'!2:2,0)),"Fonctionnaire A-B-CBUR placé SUB",
INDEX( 'ETPT A-JUST'!$A:$ZZ,,MATCH("TJCPH",'ETPT A-JUST'!2:2,0)),"OUI"))</f>
        <v>#N/A</v>
      </c>
      <c r="V15" s="100" t="e">
        <f>SUM(SUMIFS(
INDEX( 'ETPT A-JUST'!$A:$ZZ,,MATCH("2. TOTAL CONTENTIEUX JAF",'ETPT A-JUST'!2:2,0)),
INDEX( 'ETPT A-JUST'!$A:$ZZ,,MATCH("Fonction recodée",'ETPT A-JUST'!2:2,0)),"Fonctionnaire A-B-CBUR placé SUB",
INDEX( 'ETPT A-JUST'!$A:$ZZ,,MATCH("TJCPH",'ETPT A-JUST'!2:2,0)),"OUI"))+
SUM(SUMIFS(
INDEX( 'ETPT A-JUST'!$A:$ZZ,,MATCH("4. TOTAL CIVIL NON SPÉCIALISÉ",'ETPT A-JUST'!2:2,0)),
INDEX( 'ETPT A-JUST'!$A:$ZZ,,MATCH("Fonction recodée",'ETPT A-JUST'!2:2,0)),"Fonctionnaire A-B-CBUR placé SUB",
INDEX( 'ETPT A-JUST'!$A:$ZZ,,MATCH("TJCPH",'ETPT A-JUST'!2:2,0)),"OUI"))+
SUM(SUMIFS(
INDEX( 'ETPT A-JUST'!$A:$ZZ,,MATCH("6.1. ACTIVITÉ CIVILE",'ETPT A-JUST'!2:2,0)),
INDEX( 'ETPT A-JUST'!$A:$ZZ,,MATCH("Fonction recodée",'ETPT A-JUST'!2:2,0)),"Fonctionnaire A-B-CBUR placé SUB",
INDEX( 'ETPT A-JUST'!$A:$ZZ,,MATCH("TJCPH",'ETPT A-JUST'!2:2,0)),"OUI"))+
_xlfn.IFNA(SUM(SUMIFS(
INDEX( 'ETPT A-JUST'!$A:$ZZ,,MATCH("13. TOTAL CONTENTIEUX LOCAUX SPÉCIFIQUES",'ETPT A-JUST'!2:2,0)),
INDEX( 'ETPT A-JUST'!$A:$ZZ,,MATCH("Fonction recodée",'ETPT A-JUST'!2:2,0)),"Fonctionnaire A-B-CBUR placé SUB",
INDEX( 'ETPT A-JUST'!$A:$ZZ,,MATCH("TJCPH",'ETPT A-JUST'!2:2,0)),"OUI")),0)-
SUM(SUMIFS(
INDEX( 'ETPT A-JUST'!$A:$ZZ,,MATCH("4.0. CONTENTIEUX GÉNÉRAL &lt;10.000€",'ETPT A-JUST'!2:2,0)),
INDEX( 'ETPT A-JUST'!$A:$ZZ,,MATCH("Fonction recodée",'ETPT A-JUST'!2:2,0)),"Fonctionnaire A-B-CBUR placé SUB",
INDEX( 'ETPT A-JUST'!$A:$ZZ,,MATCH("TJCPH",'ETPT A-JUST'!2:2,0)),"OUI"))+
SUM(SUMIFS(
INDEX( 'ETPT A-JUST'!$A:$ZZ,,MATCH("11.51. ACCUEIL DU JUSTICIABLE (DONT SAUJ)",'ETPT A-JUST'!2:2,0)),
INDEX( 'ETPT A-JUST'!$A:$ZZ,,MATCH("Fonction recodée",'ETPT A-JUST'!2:2,0)),"Fonctionnaire A-B-CBUR placé SUB",
INDEX( 'ETPT A-JUST'!$A:$ZZ,,MATCH("TJCPH",'ETPT A-JUST'!2:2,0)),"OUI"))+
SUM(SUMIFS(
INDEX( 'ETPT A-JUST'!$A:$ZZ,,MATCH("11.1. SOUTIEN (HORS FORMATIONS SUIVIES)",'ETPT A-JUST'!2:2,0)),
INDEX( 'ETPT A-JUST'!$A:$ZZ,,MATCH("Fonction recodée",'ETPT A-JUST'!2:2,0)),"Fonctionnaire A-B-CBUR placé SUB",
INDEX( 'ETPT A-JUST'!$A:$ZZ,,MATCH("TJCPH",'ETPT A-JUST'!2:2,0)),"OUI"))+
SUM(SUMIFS(
INDEX( 'ETPT A-JUST'!$A:$ZZ,,MATCH("11.2. FORMATIONS SUIVIES",'ETPT A-JUST'!2:2,0)),
INDEX( 'ETPT A-JUST'!$A:$ZZ,,MATCH("Fonction recodée",'ETPT A-JUST'!2:2,0)),"Fonctionnaire A-B-CBUR placé SUB",
INDEX( 'ETPT A-JUST'!$A:$ZZ,,MATCH("TJCPH",'ETPT A-JUST'!2:2,0)),"OUI"))+
SUM(SUMIFS(
INDEX( 'ETPT A-JUST'!$A:$ZZ,,MATCH("11.6. AUTRES ACTIVITÉS NON JURIDICTIONNELLES",'ETPT A-JUST'!2:2,0)),
INDEX( 'ETPT A-JUST'!$A:$ZZ,,MATCH("Fonction recodée",'ETPT A-JUST'!2:2,0)),"Fonctionnaire A-B-CBUR placé SUB",
INDEX( 'ETPT A-JUST'!$A:$ZZ,,MATCH("TJCPH",'ETPT A-JUST'!2:2,0)),"OUI"))+
SUM(SUMIFS(
INDEX( 'ETPT A-JUST'!$A:$ZZ,,MATCH("11.3. FORMATIONS DISPENSÉES",'ETPT A-JUST'!2:2,0)),
INDEX( 'ETPT A-JUST'!$A:$ZZ,,MATCH("Fonction recodée",'ETPT A-JUST'!2:2,0)),"Fonctionnaire A-B-CBUR placé SUB",
INDEX( 'ETPT A-JUST'!$A:$ZZ,,MATCH("TJCPH",'ETPT A-JUST'!2:2,0)),"OUI"))+
SUM(SUMIFS(
INDEX( 'ETPT A-JUST'!$A:$ZZ,,MATCH("11.4. ACCÈS AU DROIT ET À LA JUSTICE",'ETPT A-JUST'!2:2,0)),
INDEX( 'ETPT A-JUST'!$A:$ZZ,,MATCH("Fonction recodée",'ETPT A-JUST'!2:2,0)),"Fonctionnaire A-B-CBUR placé SUB",
INDEX( 'ETPT A-JUST'!$A:$ZZ,,MATCH("TJCPH",'ETPT A-JUST'!2:2,0)),"OUI"))+
SUMIFS(
INDEX( 'ETPT A-JUST'!$A:$ZZ,,MATCH("7. TOTAL SIÈGE PÉNAL",'ETPT A-JUST'!2:2,0)),
INDEX( 'ETPT A-JUST'!$A:$ZZ,,MATCH("Fonction recodée",'ETPT A-JUST'!2:2,0)),"Fonctionnaire A-B-CBUR placé SUB")+
SUMIFS(
INDEX( 'ETPT A-JUST'!$A:$ZZ,,MATCH("11.10. AUTRES FONCTIONNAIRES AFFECTÉS AU PARQUET",'ETPT A-JUST'!2:2,0)),
INDEX( 'ETPT A-JUST'!$A:$ZZ,,MATCH("Fonction recodée",'ETPT A-JUST'!2:2,0)),"Fonctionnaire A-B-CBUR placé SUB")-
SUMIFS(
INDEX( 'ETPT A-JUST'!$A:$ZZ,,MATCH("7.5. COUR D'ASSISES HORS JIRS",'ETPT A-JUST'!2:2,0)),
INDEX( 'ETPT A-JUST'!$A:$ZZ,,MATCH("Fonction recodée",'ETPT A-JUST'!2:2,0)),"Fonctionnaire A-B-CBUR placé SUB")-
SUMIFS(
INDEX( 'ETPT A-JUST'!$A:$ZZ,,MATCH("7.51. COUR D'ASSISES JIRS",'ETPT A-JUST'!2:2,0)),
INDEX( 'ETPT A-JUST'!$A:$ZZ,,MATCH("Fonction recodée",'ETPT A-JUST'!2:2,0)),"Fonctionnaire A-B-CBUR placé SUB")-
SUMIFS(
INDEX( 'ETPT A-JUST'!$A:$ZZ,,MATCH("7.52. COUR CRIMINELLE",'ETPT A-JUST'!2:2,0)),
INDEX( 'ETPT A-JUST'!$A:$ZZ,,MATCH("Fonction recodée",'ETPT A-JUST'!2:2,0)),"Fonctionnaire A-B-CBUR placé SUB")-
SUMIFS(
INDEX( 'ETPT A-JUST'!$A:$ZZ,,MATCH("7.121. COLLÉGIALES JIRS ÉCO-FI",'ETPT A-JUST'!2:2,0)),
INDEX( 'ETPT A-JUST'!$A:$ZZ,,MATCH("Fonction recodée",'ETPT A-JUST'!2:2,0)),"Fonctionnaire A-B-CBUR placé SUB")-
SUMIFS(
INDEX( 'ETPT A-JUST'!$A:$ZZ,,MATCH("7.12. COLLÉGIALES JIRS CRIM-ORG",'ETPT A-JUST'!2:2,0)),
INDEX( 'ETPT A-JUST'!$A:$ZZ,,MATCH("Fonction recodée",'ETPT A-JUST'!2:2,0)),"Fonctionnaire A-B-CBUR placé SUB")-
SUMIFS(
INDEX( 'ETPT A-JUST'!$A:$ZZ,,MATCH("7.122. COLLÉGIALES AUTRES SECTIONS SPÉCIALISÉES",'ETPT A-JUST'!2:2,0)),
INDEX( 'ETPT A-JUST'!$A:$ZZ,,MATCH("Fonction recodée",'ETPT A-JUST'!2:2,0)),"Fonctionnaire A-B-CBUR placé SUB")</f>
        <v>#N/A</v>
      </c>
      <c r="W15" s="98">
        <f t="shared" si="4"/>
        <v>0</v>
      </c>
      <c r="X15" s="100" t="e">
        <f>SUM(SUMIFS(
INDEX( 'ETPT A-JUST'!$A:$ZZ,,MATCH("3.2. PROTECTION DES MAJEURS",'ETPT A-JUST'!2:2,0)),
INDEX( 'ETPT A-JUST'!$A:$ZZ,,MATCH("Fonction recodée",'ETPT A-JUST'!2:2,0)),"Magistrat placé SUB",
INDEX( 'ETPT A-JUST'!$A:$ZZ,,MATCH("TJCPH",'ETPT A-JUST'!2:2,0)),"OUI"))</f>
        <v>#N/A</v>
      </c>
      <c r="Y15" s="100" t="e">
        <f>SUM(SUMIFS(
INDEX( 'ETPT A-JUST'!$A:$ZZ,,MATCH("3. TOTAL CONTENTIEUX DE LA PROTECTION",'ETPT A-JUST'!2:2,0)),
INDEX( 'ETPT A-JUST'!$A:$ZZ,,MATCH("Fonction recodée",'ETPT A-JUST'!2:2,0)),"Magistrat placé SUB",
INDEX( 'ETPT A-JUST'!$A:$ZZ,,MATCH("TJCPH",'ETPT A-JUST'!2:2,0)),"OUI"))-
SUM(SUMIFS(
INDEX( 'ETPT A-JUST'!$A:$ZZ,,MATCH("3.2. PROTECTION DES MAJEURS",'ETPT A-JUST'!2:2,0)),
INDEX( 'ETPT A-JUST'!$A:$ZZ,,MATCH("Fonction recodée",'ETPT A-JUST'!2:2,0)),"Magistrat placé SUB",
INDEX( 'ETPT A-JUST'!$A:$ZZ,,MATCH("TJCPH",'ETPT A-JUST'!2:2,0)),"OUI"))-
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Z15" s="100" t="e">
        <f>SUM(SUMIFS(
INDEX( 'ETPT A-JUST'!$A:$ZZ,,MATCH("8.1. SERVICE GÉNÉRAL",'ETPT A-JUST'!2:2,0)),
INDEX( 'ETPT A-JUST'!$A:$ZZ,,MATCH("Fonction recodée",'ETPT A-JUST'!2:2,0)),"Magistrat placé SUB"))</f>
        <v>#N/A</v>
      </c>
      <c r="AA15" s="100" t="e">
        <f>SUM(SUMIFS(
INDEX( 'ETPT A-JUST'!$A:$ZZ,,MATCH("8.2. JIRS ÉCO-FI",'ETPT A-JUST'!2:2,0)),
INDEX( 'ETPT A-JUST'!$A:$ZZ,,MATCH("Fonction recodée",'ETPT A-JUST'!2:2,0)),"Magistrat placé SUB"))</f>
        <v>#N/A</v>
      </c>
      <c r="AB15" s="100" t="e">
        <f>SUM(SUMIFS(
INDEX( 'ETPT A-JUST'!$A:$ZZ,,MATCH("8.3. JIRS CRIM-ORG",'ETPT A-JUST'!2:2,0)),
INDEX( 'ETPT A-JUST'!$A:$ZZ,,MATCH("Fonction recodée",'ETPT A-JUST'!2:2,0)),"Magistrat placé SUB"))</f>
        <v>#N/A</v>
      </c>
      <c r="AC15" s="100" t="e">
        <f>SUM(SUMIFS(
INDEX( 'ETPT A-JUST'!$A:$ZZ,,MATCH("8.4. AUTRES SECTIONS SPÉCIALISÉES",'ETPT A-JUST'!2:2,0)),
INDEX( 'ETPT A-JUST'!$A:$ZZ,,MATCH("Fonction recodée",'ETPT A-JUST'!2:2,0)),"Magistrat placé SUB"))+
SUM(SUMIFS(
INDEX( 'ETPT A-JUST'!$A:$ZZ,,MATCH("8.11. ECO-FI HORS JIRS",'ETPT A-JUST'!2:2,0)),
INDEX( 'ETPT A-JUST'!$A:$ZZ,,MATCH("Fonction recodée",'ETPT A-JUST'!2:2,0)),"Magistrat placé SUB"))</f>
        <v>#N/A</v>
      </c>
      <c r="AD15" s="100" t="e">
        <f>SUM(SUMIFS(
INDEX( 'ETPT A-JUST'!$A:$ZZ,,MATCH("9. TOTAL JAP",'ETPT A-JUST'!2:2,0)),
INDEX( 'ETPT A-JUST'!$A:$ZZ,,MATCH("Fonction recodée",'ETPT A-JUST'!2:2,0)),"Magistrat placé SUB"))</f>
        <v>#N/A</v>
      </c>
      <c r="AE15" s="100" t="e">
        <f>SUM(SUMIFS(
INDEX( 'ETPT A-JUST'!$A:$ZZ,,MATCH("6.1. ACTIVITÉ CIVILE",'ETPT A-JUST'!2:2,0)),
INDEX( 'ETPT A-JUST'!$A:$ZZ,,MATCH("Fonction recodée",'ETPT A-JUST'!2:2,0)),"Magistrat placé SUB"))+
SUM(SUMIFS(
INDEX( 'ETPT A-JUST'!$A:$ZZ,,MATCH("6.2. ACTIVITÉ PÉNALE",'ETPT A-JUST'!2:2,0)),
INDEX( 'ETPT A-JUST'!$A:$ZZ,,MATCH("Fonction recodée",'ETPT A-JUST'!2:2,0)),"Magistrat placé SUB"))</f>
        <v>#N/A</v>
      </c>
      <c r="AF15" s="100" t="e">
        <f>SUM(SUMIFS(
INDEX( 'ETPT A-JUST'!$A:$ZZ,,MATCH("5. TOTAL JLD CIVIL",'ETPT A-JUST'!2:2,0)),
INDEX( 'ETPT A-JUST'!$A:$ZZ,,MATCH("Fonction recodée",'ETPT A-JUST'!2:2,0)),"Magistrat placé SUB"))+
SUM(SUMIFS(
INDEX( 'ETPT A-JUST'!$A:$ZZ,,MATCH("10. TOTAL JLD PÉNAL",'ETPT A-JUST'!2:2,0)),
INDEX( 'ETPT A-JUST'!$A:$ZZ,,MATCH("Fonction recodée",'ETPT A-JUST'!2:2,0)),"Magistrat placé SUB"))</f>
        <v>#N/A</v>
      </c>
      <c r="AG15" s="98">
        <f t="shared" si="2"/>
        <v>0</v>
      </c>
      <c r="AH15" s="100" t="e">
        <f>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f>
        <v>#N/A</v>
      </c>
      <c r="AI15" s="100" t="e">
        <f>SUM(SUMIFS(
INDEX( 'ETPT A-JUST'!$A:$ZZ,,MATCH("7.52. COUR CRIMINELLE",'ETPT A-JUST'!2:2,0)),
INDEX( 'ETPT A-JUST'!$A:$ZZ,,MATCH("Fonction recodée",'ETPT A-JUST'!2:2,0)),"Magistrat placé SUB"))</f>
        <v>#N/A</v>
      </c>
      <c r="AJ15" s="100" t="e">
        <f>SUM(SUMIFS(
INDEX( 'ETPT A-JUST'!$A:$ZZ,,MATCH("7.121. COLLÉGIALES JIRS ÉCO-FI",'ETPT A-JUST'!2:2,0)),
INDEX( 'ETPT A-JUST'!$A:$ZZ,,MATCH("Fonction recodée",'ETPT A-JUST'!2:2,0)),"Magistrat placé SUB",
INDEX( 'ETPT A-JUST'!$A:$ZZ,,MATCH("Jirs",'ETPT A-JUST'!2:2,0)),"x"))</f>
        <v>#N/A</v>
      </c>
      <c r="AK15" s="100" t="e">
        <f>SUM(SUMIFS(
INDEX( 'ETPT A-JUST'!$A:$ZZ,,MATCH("7.12. COLLÉGIALES JIRS CRIM-ORG",'ETPT A-JUST'!2:2,0)),
INDEX( 'ETPT A-JUST'!$A:$ZZ,,MATCH("Fonction recodée",'ETPT A-JUST'!2:2,0)),"Magistrat placé SUB"))</f>
        <v>#N/A</v>
      </c>
      <c r="AL15" s="100" t="e">
        <f>SUM(SUMIFS(
INDEX( 'ETPT A-JUST'!$A:$ZZ,,MATCH("7.122. COLLÉGIALES AUTRES SECTIONS SPÉCIALISÉES",'ETPT A-JUST'!2:2,0)),
INDEX( 'ETPT A-JUST'!$A:$ZZ,,MATCH("Fonction recodée",'ETPT A-JUST'!2:2,0)),"Magistrat placé SUB"))+
SUM(SUMIFS(
INDEX( 'ETPT A-JUST'!$A:$ZZ,,MATCH("7.121. COLLÉGIALES JIRS ÉCO-FI",'ETPT A-JUST'!2:2,0)),
INDEX( 'ETPT A-JUST'!$A:$ZZ,,MATCH("Fonction recodée",'ETPT A-JUST'!2:2,0)),"Magistrat placé SUB",
INDEX( 'ETPT A-JUST'!$A:$ZZ,,MATCH("Jirs",'ETPT A-JUST'!2:2,0)),""))</f>
        <v>#N/A</v>
      </c>
      <c r="AM15" s="100" t="e">
        <f>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N15" s="100" t="e">
        <f>SUM(SUMIFS(
INDEX( 'ETPT A-JUST'!$A:$ZZ,,MATCH("1.1. DÉPARTAGE PRUD'HOMAL",'ETPT A-JUST'!2:2,0)),
INDEX( 'ETPT A-JUST'!$A:$ZZ,,MATCH("Fonction recodée",'ETPT A-JUST'!2:2,0)),"Magistrat placé SUB",
INDEX( 'ETPT A-JUST'!$A:$ZZ,,MATCH("TJCPH",'ETPT A-JUST'!2:2,0)),"OUI"))</f>
        <v>#N/A</v>
      </c>
      <c r="AO15" s="100" t="e">
        <f>SUM(SUMIFS(
INDEX( 'ETPT A-JUST'!$A:$ZZ,,MATCH("4.0. CONTENTIEUX GÉNÉRAL &lt;10.000€",'ETPT A-JUST'!2:2,0)),
INDEX( 'ETPT A-JUST'!$A:$ZZ,,MATCH("Fonction recodée",'ETPT A-JUST'!2:2,0)),"Magistrat placé SUB",
INDEX( 'ETPT A-JUST'!$A:$ZZ,,MATCH("TJCPH",'ETPT A-JUST'!2:2,0)),"OUI"))</f>
        <v>#N/A</v>
      </c>
      <c r="AP15" s="100" t="e">
        <f>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AQ15" s="100" t="e">
        <f>SUM(SUMIFS(
INDEX( 'ETPT A-JUST'!$A:$ZZ,,MATCH("1. TOTAL CONTENTIEUX SOCIAL",'ETPT A-JUST'!2:2,0)),
INDEX( 'ETPT A-JUST'!$A:$ZZ,,MATCH("Fonction recodée",'ETPT A-JUST'!2:2,0)),"Magistrat placé SUB",
INDEX( 'ETPT A-JUST'!$A:$ZZ,,MATCH("TJCPH",'ETPT A-JUST'!2:2,0)),"OUI"))-
SUM(SUMIFS(
INDEX( 'ETPT A-JUST'!$A:$ZZ,,MATCH("1.1. DÉPARTAGE PRUD'HOMAL",'ETPT A-JUST'!2:2,0)),
INDEX( 'ETPT A-JUST'!$A:$ZZ,,MATCH("Fonction recodée",'ETPT A-JUST'!2:2,0)),"Magistrat placé SUB",
INDEX( 'ETPT A-JUST'!$A:$ZZ,,MATCH("TJCPH",'ETPT A-JUST'!2:2,0)),"OUI"))</f>
        <v>#N/A</v>
      </c>
      <c r="AR15" s="100" t="e">
        <f>SUM(SUMIFS(
INDEX( 'ETPT A-JUST'!$A:$ZZ,,MATCH("2. TOTAL CONTENTIEUX JAF",'ETPT A-JUST'!2:2,0)),
INDEX( 'ETPT A-JUST'!$A:$ZZ,,MATCH("Fonction recodée",'ETPT A-JUST'!2:2,0)),"Magistrat placé SUB"))</f>
        <v>#N/A</v>
      </c>
      <c r="AS15" s="114"/>
      <c r="AT15" s="100" t="e">
        <f>SUM(SUMIFS(
INDEX( 'ETPT A-JUST'!$A:$ZZ,,MATCH("4. TOTAL CIVIL NON SPÉCIALISÉ",'ETPT A-JUST'!2:2,0)),
INDEX( 'ETPT A-JUST'!$A:$ZZ,,MATCH("Fonction recodée",'ETPT A-JUST'!2:2,0)),"Magistrat placé SUB",
INDEX( 'ETPT A-JUST'!$A:$ZZ,,MATCH("TJCPH",'ETPT A-JUST'!2:2,0)),"OUI"))-
SUM(SUMIFS(
INDEX( 'ETPT A-JUST'!$A:$ZZ,,MATCH("4.0. CONTENTIEUX GÉNÉRAL &lt;10.000€",'ETPT A-JUST'!2:2,0)),
INDEX( 'ETPT A-JUST'!$A:$ZZ,,MATCH("Fonction recodée",'ETPT A-JUST'!2:2,0)),"Magistrat placé SUB",
INDEX( 'ETPT A-JUST'!$A:$ZZ,,MATCH("TJCPH",'ETPT A-JUST'!2:2,0)),"OUI"))+
_xlfn.IFNA(SUM(SUMIFS(
INDEX( 'ETPT A-JUST'!$A:$ZZ,,MATCH("13. TOTAL CONTENTIEUX LOCAUX SPÉCIFIQUES",'ETPT A-JUST'!2:2,0)),
INDEX( 'ETPT A-JUST'!$A:$ZZ,,MATCH("Fonction recodée",'ETPT A-JUST'!2:2,0)),"Magistrat placé SUB",
INDEX( 'ETPT A-JUST'!$A:$ZZ,,MATCH("TJCPH",'ETPT A-JUST'!2:2,0)),"OUI")),0)+
SUM(SUMIFS(
INDEX( 'ETPT A-JUST'!$A:$ZZ,,MATCH("11.51. ACCUEIL DU JUSTICIABLE (DONT SAUJ)",'ETPT A-JUST'!2:2,0)),
INDEX( 'ETPT A-JUST'!$A:$ZZ,,MATCH("Fonction recodée",'ETPT A-JUST'!2:2,0)),"Magistrat placé SUB",
INDEX( 'ETPT A-JUST'!$A:$ZZ,,MATCH("TJCPH",'ETPT A-JUST'!2:2,0)),"OUI"))+
SUM(SUMIFS(
INDEX( 'ETPT A-JUST'!$A:$ZZ,,MATCH("11.1. SOUTIEN (HORS FORMATIONS SUIVIES)",'ETPT A-JUST'!2:2,0)),
INDEX( 'ETPT A-JUST'!$A:$ZZ,,MATCH("Fonction recodée",'ETPT A-JUST'!2:2,0)),"Magistrat placé SUB",
INDEX( 'ETPT A-JUST'!$A:$ZZ,,MATCH("TJCPH",'ETPT A-JUST'!2:2,0)),"OUI"))+
SUM(SUMIFS(
INDEX( 'ETPT A-JUST'!$A:$ZZ,,MATCH("11.2. FORMATIONS SUIVIES",'ETPT A-JUST'!2:2,0)),
INDEX( 'ETPT A-JUST'!$A:$ZZ,,MATCH("Fonction recodée",'ETPT A-JUST'!2:2,0)),"Magistrat placé SUB",
INDEX( 'ETPT A-JUST'!$A:$ZZ,,MATCH("TJCPH",'ETPT A-JUST'!2:2,0)),"OUI"))+
SUM(SUMIFS(
INDEX( 'ETPT A-JUST'!$A:$ZZ,,MATCH("11.6. AUTRES ACTIVITÉS NON JURIDICTIONNELLES",'ETPT A-JUST'!2:2,0)),
INDEX( 'ETPT A-JUST'!$A:$ZZ,,MATCH("Fonction recodée",'ETPT A-JUST'!2:2,0)),"Magistrat placé SUB",
INDEX( 'ETPT A-JUST'!$A:$ZZ,,MATCH("TJCPH",'ETPT A-JUST'!2:2,0)),"OUI"))+
SUM(SUMIFS(
INDEX( 'ETPT A-JUST'!$A:$ZZ,,MATCH("11.3. FORMATIONS DISPENSÉES",'ETPT A-JUST'!2:2,0)),
INDEX( 'ETPT A-JUST'!$A:$ZZ,,MATCH("Fonction recodée",'ETPT A-JUST'!2:2,0)),"Magistrat placé SUB",
INDEX( 'ETPT A-JUST'!$A:$ZZ,,MATCH("TJCPH",'ETPT A-JUST'!2:2,0)),"OUI"))+
SUM(SUMIFS(
INDEX( 'ETPT A-JUST'!$A:$ZZ,,MATCH("11.4. ACCÈS AU DROIT ET À LA JUSTICE",'ETPT A-JUST'!2:2,0)),
INDEX( 'ETPT A-JUST'!$A:$ZZ,,MATCH("Fonction recodée",'ETPT A-JUST'!2:2,0)),"Magistrat placé SUB",
INDEX( 'ETPT A-JUST'!$A:$ZZ,,MATCH("TJCPH",'ETPT A-JUST'!2:2,0)),"OUI"))+
SUM(SUMIFS(
INDEX( 'ETPT A-JUST'!$A:$ZZ,,MATCH("11.5. CSM",'ETPT A-JUST'!2:2,0)),
INDEX( 'ETPT A-JUST'!$A:$ZZ,,MATCH("Fonction recodée",'ETPT A-JUST'!2:2,0)),"Magistrat placé SUB",
INDEX( 'ETPT A-JUST'!$A:$ZZ,,MATCH("TJCPH",'ETPT A-JUST'!2:2,0)),"OUI"))
+
SUM(SUMIFS(
INDEX( 'ETPT A-JUST'!$A:$ZZ,,MATCH("7. TOTAL SIÈGE PÉNAL",'ETPT A-JUST'!2:2,0)),
INDEX( 'ETPT A-JUST'!$A:$ZZ,,MATCH("Fonction recodée",'ETPT A-JUST'!2:2,0)),"Magistrat placé SUB"))-
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
SUM(SUMIFS(
INDEX( 'ETPT A-JUST'!$A:$ZZ,,MATCH("7.52. COUR CRIMINELLE",'ETPT A-JUST'!2:2,0)),
INDEX( 'ETPT A-JUST'!$A:$ZZ,,MATCH("Fonction recodée",'ETPT A-JUST'!2:2,0)),"Magistrat placé SUB"))-
SUM(SUMIFS(
INDEX( 'ETPT A-JUST'!$A:$ZZ,,MATCH("7.121. COLLÉGIALES JIRS ÉCO-FI",'ETPT A-JUST'!2:2,0)),
INDEX( 'ETPT A-JUST'!$A:$ZZ,,MATCH("Fonction recodée",'ETPT A-JUST'!2:2,0)),"Magistrat placé SUB"))-
SUM(SUMIFS(
INDEX( 'ETPT A-JUST'!$A:$ZZ,,MATCH("7.12. COLLÉGIALES JIRS CRIM-ORG",'ETPT A-JUST'!2:2,0)),
INDEX( 'ETPT A-JUST'!$A:$ZZ,,MATCH("Fonction recodée",'ETPT A-JUST'!2:2,0)),"Magistrat placé SUB"))-
SUM(SUMIFS(
INDEX( 'ETPT A-JUST'!$A:$ZZ,,MATCH("7.122. COLLÉGIALES AUTRES SECTIONS SPÉCIALISÉES",'ETPT A-JUST'!2:2,0)),
INDEX( 'ETPT A-JUST'!$A:$ZZ,,MATCH("Fonction recodée",'ETPT A-JUST'!2:2,0)),"Magistrat placé SUB"))-
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U15" s="98">
        <f t="shared" si="3"/>
        <v>0</v>
      </c>
      <c r="AV15" s="102"/>
      <c r="AW15" s="102"/>
      <c r="AX15" s="102"/>
      <c r="AY15" s="102"/>
      <c r="AZ15" s="102"/>
      <c r="BA15" s="102"/>
      <c r="BB15" s="102"/>
      <c r="BC15" s="102"/>
      <c r="BD15" s="102"/>
      <c r="BE15" s="98">
        <f t="shared" si="5"/>
        <v>0</v>
      </c>
    </row>
    <row r="16" ht="14.25" customHeight="1" spans="1:57" s="81" customFormat="1" x14ac:dyDescent="0.25">
      <c r="A16" s="91"/>
      <c r="B16" s="115"/>
      <c r="C16" s="115"/>
      <c r="D16" s="115"/>
      <c r="E16" s="115"/>
      <c r="F16" s="116" t="s">
        <v>603</v>
      </c>
      <c r="G16" s="117">
        <f>_xlfn.AGGREGATE(9,6,G5:G15)</f>
        <v>0</v>
      </c>
      <c r="H16" s="117">
        <f>_xlfn.AGGREGATE(9,6,H5:H15)</f>
        <v>0</v>
      </c>
      <c r="I16" s="117">
        <f t="shared" ref="I16:AU16" si="6">_xlfn.AGGREGATE(9,6,I5:I15)</f>
        <v>0</v>
      </c>
      <c r="J16" s="117">
        <f t="shared" si="6"/>
        <v>0</v>
      </c>
      <c r="K16" s="117">
        <f t="shared" si="6"/>
        <v>0</v>
      </c>
      <c r="L16" s="117">
        <f t="shared" si="6"/>
        <v>0</v>
      </c>
      <c r="M16" s="117">
        <f t="shared" si="6"/>
        <v>0</v>
      </c>
      <c r="N16" s="117">
        <f t="shared" si="6"/>
        <v>0</v>
      </c>
      <c r="O16" s="117">
        <f t="shared" si="6"/>
        <v>0</v>
      </c>
      <c r="P16" s="117">
        <f t="shared" si="6"/>
        <v>0</v>
      </c>
      <c r="Q16" s="117">
        <f t="shared" si="6"/>
        <v>0</v>
      </c>
      <c r="R16" s="117">
        <f t="shared" si="6"/>
        <v>0</v>
      </c>
      <c r="S16" s="117">
        <f t="shared" si="6"/>
        <v>0</v>
      </c>
      <c r="T16" s="117">
        <f t="shared" si="6"/>
        <v>0</v>
      </c>
      <c r="U16" s="117">
        <f t="shared" si="6"/>
        <v>0</v>
      </c>
      <c r="V16" s="117">
        <f t="shared" si="6"/>
        <v>0</v>
      </c>
      <c r="W16" s="117">
        <f t="shared" si="6"/>
        <v>0</v>
      </c>
      <c r="X16" s="117">
        <f t="shared" si="6"/>
        <v>0</v>
      </c>
      <c r="Y16" s="117">
        <f t="shared" si="6"/>
        <v>0</v>
      </c>
      <c r="Z16" s="117">
        <f t="shared" si="6"/>
        <v>0</v>
      </c>
      <c r="AA16" s="117">
        <f t="shared" si="6"/>
        <v>0</v>
      </c>
      <c r="AB16" s="117">
        <f t="shared" si="6"/>
        <v>0</v>
      </c>
      <c r="AC16" s="117">
        <f t="shared" si="6"/>
        <v>0</v>
      </c>
      <c r="AD16" s="117">
        <f t="shared" si="6"/>
        <v>0</v>
      </c>
      <c r="AE16" s="117">
        <f t="shared" si="6"/>
        <v>0</v>
      </c>
      <c r="AF16" s="117">
        <f t="shared" si="6"/>
        <v>0</v>
      </c>
      <c r="AG16" s="117">
        <f t="shared" si="6"/>
        <v>0</v>
      </c>
      <c r="AH16" s="117">
        <f t="shared" si="6"/>
        <v>0</v>
      </c>
      <c r="AI16" s="117">
        <f t="shared" si="6"/>
        <v>0</v>
      </c>
      <c r="AJ16" s="117">
        <f t="shared" si="6"/>
        <v>0</v>
      </c>
      <c r="AK16" s="117">
        <f t="shared" si="6"/>
        <v>0</v>
      </c>
      <c r="AL16" s="117">
        <f t="shared" si="6"/>
        <v>0</v>
      </c>
      <c r="AM16" s="117">
        <f t="shared" si="6"/>
        <v>0</v>
      </c>
      <c r="AN16" s="117">
        <f t="shared" si="6"/>
        <v>0</v>
      </c>
      <c r="AO16" s="117">
        <f t="shared" si="6"/>
        <v>0</v>
      </c>
      <c r="AP16" s="117">
        <f t="shared" si="6"/>
        <v>0</v>
      </c>
      <c r="AQ16" s="117">
        <f t="shared" si="6"/>
        <v>0</v>
      </c>
      <c r="AR16" s="117">
        <f t="shared" si="6"/>
        <v>0</v>
      </c>
      <c r="AS16" s="117">
        <f t="shared" si="6"/>
        <v>0</v>
      </c>
      <c r="AT16" s="117">
        <f t="shared" si="6"/>
        <v>0</v>
      </c>
      <c r="AU16" s="117">
        <f t="shared" si="6"/>
        <v>0</v>
      </c>
      <c r="AV16" s="117">
        <f t="shared" ref="AV16:BE16" si="7">SUM(AV5:AV15)</f>
        <v>0</v>
      </c>
      <c r="AW16" s="117">
        <f t="shared" si="7"/>
        <v>0</v>
      </c>
      <c r="AX16" s="117">
        <f t="shared" si="7"/>
        <v>0</v>
      </c>
      <c r="AY16" s="117">
        <f t="shared" si="7"/>
        <v>0</v>
      </c>
      <c r="AZ16" s="117">
        <f t="shared" si="7"/>
        <v>0</v>
      </c>
      <c r="BA16" s="117">
        <f t="shared" si="7"/>
        <v>0</v>
      </c>
      <c r="BB16" s="117">
        <f t="shared" si="7"/>
        <v>0</v>
      </c>
      <c r="BC16" s="117">
        <f t="shared" si="7"/>
        <v>0</v>
      </c>
      <c r="BD16" s="117">
        <f t="shared" si="7"/>
        <v>0</v>
      </c>
      <c r="BE16" s="98">
        <f t="shared" si="7"/>
        <v>0</v>
      </c>
    </row>
    <row r="17" ht="9" customHeight="1" spans="1:57" s="81" customFormat="1" x14ac:dyDescent="0.25">
      <c r="A17" s="118"/>
      <c r="B17" s="119"/>
      <c r="C17" s="119"/>
      <c r="D17" s="119"/>
      <c r="E17" s="119"/>
      <c r="F17" s="120"/>
      <c r="G17" s="121"/>
      <c r="H17" s="121"/>
      <c r="I17" s="121"/>
      <c r="J17" s="121"/>
      <c r="K17" s="121"/>
      <c r="L17" s="121"/>
      <c r="M17" s="121"/>
      <c r="N17" s="121"/>
      <c r="O17" s="121"/>
      <c r="P17" s="121"/>
      <c r="Q17" s="121"/>
      <c r="R17" s="121"/>
      <c r="S17" s="121"/>
      <c r="T17" s="121"/>
      <c r="U17" s="121"/>
      <c r="V17" s="121"/>
      <c r="W17" s="121"/>
      <c r="X17" s="121"/>
      <c r="Y17" s="121"/>
      <c r="Z17" s="121"/>
      <c r="AA17" s="121"/>
      <c r="AB17" s="121"/>
      <c r="AC17" s="121"/>
      <c r="AD17" s="121"/>
      <c r="AE17" s="121"/>
      <c r="AF17" s="121"/>
      <c r="AG17" s="121"/>
      <c r="AH17" s="121"/>
      <c r="AI17" s="121"/>
      <c r="AJ17" s="121"/>
      <c r="AK17" s="121"/>
      <c r="AL17" s="121"/>
      <c r="AM17" s="121"/>
      <c r="AN17" s="121"/>
      <c r="AO17" s="121"/>
      <c r="AP17" s="121"/>
      <c r="AQ17" s="121"/>
      <c r="AR17" s="121"/>
      <c r="AS17" s="121"/>
      <c r="AT17" s="121"/>
      <c r="AU17" s="121"/>
      <c r="AV17" s="121"/>
      <c r="AW17" s="121"/>
      <c r="AX17" s="121"/>
      <c r="AY17" s="121"/>
      <c r="AZ17" s="121"/>
      <c r="BA17" s="121"/>
      <c r="BB17" s="121"/>
      <c r="BC17" s="121"/>
      <c r="BD17" s="121"/>
      <c r="BE17" s="121"/>
    </row>
    <row r="18" spans="23:47" x14ac:dyDescent="0.25">
      <c r="W18" s="122"/>
      <c r="AU18" s="122"/>
    </row>
    <row r="19" spans="4:47" x14ac:dyDescent="0.25">
      <c r="D19" s="123" t="s">
        <v>604</v>
      </c>
      <c r="AU19" s="124"/>
    </row>
    <row r="20" ht="28" customHeight="1" spans="6:47" x14ac:dyDescent="0.25">
      <c r="F20" s="125" t="s">
        <v>605</v>
      </c>
      <c r="G20" s="126" t="e">
        <f t="array" ref="G20">SUM(SUMIFS(
INDEX( 'ETPT A-JUST'!$A:$ZZ,,MATCH("12. TOTAL INDISPONIBILITÉ",'ETPT A-JUST'!2:2,0)),
INDEX( 'ETPT A-JUST'!$A:$ZZ,,MATCH("Fonction recodée",'ETPT A-JUST'!2:2,0)),{"Fonctionnaire CTECH placé ADD";"Fonctionnaire CTECH placé SUB"},
INDEX( 'ETPT A-JUST'!$A:$ZZ,,MATCH("TJCPH",'ETPT A-JUST'!2:2,0)),"OUI"))</f>
        <v>#N/A</v>
      </c>
      <c r="H20" s="127"/>
      <c r="I20" s="127"/>
      <c r="J20" s="127"/>
      <c r="K20" s="127"/>
      <c r="L20" s="127"/>
      <c r="M20" s="127"/>
      <c r="N20" s="127"/>
      <c r="O20" s="127"/>
      <c r="P20" s="127"/>
      <c r="Q20" s="127"/>
      <c r="R20" s="127"/>
      <c r="S20" s="127"/>
      <c r="T20" s="127"/>
      <c r="U20" s="128" t="s">
        <v>606</v>
      </c>
      <c r="V20" s="126" t="e">
        <f t="array" ref="V20">SUM(SUMIFS(
INDEX( 'ETPT A-JUST'!$A:$ZZ,,MATCH("12. TOTAL INDISPONIBILITÉ",'ETPT A-JUST'!2:2,0)),
INDEX( 'ETPT A-JUST'!$A:$ZZ,,MATCH("Fonction recodée",'ETPT A-JUST'!2:2,0)),{"Fonctionnaire A-B-CBUR placé ADD";"Fonctionnaire A-B-CBUR placé SUB"},
INDEX( 'ETPT A-JUST'!$A:$ZZ,,MATCH("TJCPH",'ETPT A-JUST'!2:2,0)),"OUI"))</f>
        <v>#N/A</v>
      </c>
      <c r="W20" s="129"/>
      <c r="X20" s="127"/>
      <c r="Y20" s="127"/>
      <c r="Z20" s="127"/>
      <c r="AA20" s="127"/>
      <c r="AB20" s="127"/>
      <c r="AC20" s="127"/>
      <c r="AD20" s="127"/>
      <c r="AE20" s="127"/>
      <c r="AF20" s="127"/>
      <c r="AG20" s="127"/>
      <c r="AH20" s="127"/>
      <c r="AI20" s="127"/>
      <c r="AJ20" s="127"/>
      <c r="AK20" s="127"/>
      <c r="AL20" s="127"/>
      <c r="AM20" s="127"/>
      <c r="AN20" s="127"/>
      <c r="AO20" s="127"/>
      <c r="AP20" s="127"/>
      <c r="AQ20" s="127"/>
      <c r="AR20" s="127"/>
      <c r="AS20" s="128" t="s">
        <v>607</v>
      </c>
      <c r="AT20" s="126" t="e">
        <f t="array" ref="AT20">SUM(SUMIFS(
INDEX( 'ETPT A-JUST'!$A:$ZZ,,MATCH("12. TOTAL INDISPONIBILITÉ",'ETPT A-JUST'!2:2,0)),
INDEX( 'ETPT A-JUST'!$A:$ZZ,,MATCH("Fonction recodée",'ETPT A-JUST'!2:2,0)),{"Magistrat placé ADD";"Magistrat placé SUB"},
INDEX( 'ETPT A-JUST'!$A:$ZZ,,MATCH("TJCPH",'ETPT A-JUST'!2:2,0)),"OUI"))</f>
        <v>#N/A</v>
      </c>
      <c r="AU20" s="124"/>
    </row>
    <row r="21" spans="23:46" x14ac:dyDescent="0.25">
      <c r="W21" s="124"/>
      <c r="AT21" s="124"/>
    </row>
    <row r="22" spans="29:29" x14ac:dyDescent="0.25">
      <c r="AC22" s="124"/>
    </row>
    <row r="24" spans="22:22" x14ac:dyDescent="0.25">
      <c r="V24" s="124"/>
    </row>
  </sheetData>
  <mergeCells count="6">
    <mergeCell ref="B1:I1"/>
    <mergeCell ref="H2:H4"/>
    <mergeCell ref="W2:W4"/>
    <mergeCell ref="AG2:AG4"/>
    <mergeCell ref="AU2:AU4"/>
    <mergeCell ref="BE2:BE4"/>
  </mergeCells>
  <pageMargins left="0.7" right="0.7" top="0.75" bottom="0.75" header="0.3" footer="0.3"/>
  <pageSetup paperSize="9" orientation="portrait" horizontalDpi="4294967295" verticalDpi="4294967295" scale="100" fitToWidth="1" fitToHeight="1" firstPageNumber="1" useFirstPageNumber="1" copies="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G19"/>
  <sheetViews>
    <sheetView workbookViewId="0" zoomScale="111" zoomScaleNormal="100">
      <pane xSplit="3" ySplit="1" topLeftCell="G2" activePane="bottomRight" state="frozen"/>
      <selection pane="bottomRight" activeCell="D5" sqref="D5"/>
    </sheetView>
  </sheetViews>
  <sheetFormatPr defaultRowHeight="16" outlineLevelRow="0" outlineLevelCol="0" x14ac:dyDescent="0.2" defaultColWidth="11" customHeight="1"/>
  <cols>
    <col min="1" max="3" width="11" style="80" hidden="1" customWidth="1"/>
    <col min="4" max="5" width="11" style="80" customWidth="1"/>
    <col min="6" max="6" width="46.33203125" style="80" customWidth="1"/>
    <col min="7" max="16384" width="11" style="80" customWidth="1"/>
  </cols>
  <sheetData>
    <row r="1" spans="1:33" x14ac:dyDescent="0.25">
      <c r="A1" s="130" t="s">
        <v>608</v>
      </c>
      <c r="B1" s="130"/>
      <c r="C1" s="130"/>
      <c r="D1" s="130"/>
      <c r="E1" s="130"/>
      <c r="F1" s="130"/>
      <c r="G1" s="130"/>
      <c r="H1" s="130"/>
      <c r="I1" s="81"/>
      <c r="J1" s="81"/>
      <c r="K1" s="81"/>
      <c r="L1" s="81"/>
      <c r="M1" s="81"/>
      <c r="N1" s="81"/>
      <c r="O1" s="131"/>
      <c r="P1" s="131"/>
      <c r="Q1" s="81"/>
      <c r="R1" s="81"/>
      <c r="S1" s="81"/>
      <c r="T1" s="81"/>
      <c r="U1" s="81"/>
      <c r="V1" s="81"/>
      <c r="W1" s="81"/>
      <c r="X1" s="81"/>
      <c r="Y1" s="81"/>
      <c r="Z1" s="131"/>
      <c r="AA1" s="131"/>
      <c r="AB1" s="81"/>
      <c r="AC1" s="81"/>
      <c r="AD1" s="81"/>
      <c r="AE1" s="81"/>
      <c r="AF1" s="81"/>
      <c r="AG1" s="81"/>
    </row>
    <row r="2" spans="1:33" x14ac:dyDescent="0.25">
      <c r="A2" s="83"/>
      <c r="B2" s="83"/>
      <c r="C2" s="83"/>
      <c r="D2" s="83"/>
      <c r="E2" s="83"/>
      <c r="F2" s="83"/>
      <c r="G2" s="84" t="s">
        <v>475</v>
      </c>
      <c r="H2" s="85" t="s">
        <v>476</v>
      </c>
      <c r="I2" s="84" t="s">
        <v>477</v>
      </c>
      <c r="J2" s="84" t="s">
        <v>477</v>
      </c>
      <c r="K2" s="84" t="s">
        <v>477</v>
      </c>
      <c r="L2" s="84" t="s">
        <v>477</v>
      </c>
      <c r="M2" s="84" t="s">
        <v>477</v>
      </c>
      <c r="N2" s="84" t="s">
        <v>477</v>
      </c>
      <c r="O2" s="132" t="s">
        <v>477</v>
      </c>
      <c r="P2" s="132" t="s">
        <v>477</v>
      </c>
      <c r="Q2" s="84" t="s">
        <v>477</v>
      </c>
      <c r="R2" s="84" t="s">
        <v>477</v>
      </c>
      <c r="S2" s="85" t="s">
        <v>478</v>
      </c>
      <c r="T2" s="84" t="s">
        <v>479</v>
      </c>
      <c r="U2" s="84" t="s">
        <v>479</v>
      </c>
      <c r="V2" s="84" t="s">
        <v>479</v>
      </c>
      <c r="W2" s="84" t="s">
        <v>479</v>
      </c>
      <c r="X2" s="84" t="s">
        <v>479</v>
      </c>
      <c r="Y2" s="84" t="s">
        <v>479</v>
      </c>
      <c r="Z2" s="132" t="s">
        <v>479</v>
      </c>
      <c r="AA2" s="132" t="s">
        <v>479</v>
      </c>
      <c r="AB2" s="84" t="s">
        <v>479</v>
      </c>
      <c r="AC2" s="85" t="s">
        <v>609</v>
      </c>
      <c r="AD2" s="84" t="s">
        <v>610</v>
      </c>
      <c r="AE2" s="84" t="s">
        <v>610</v>
      </c>
      <c r="AF2" s="84" t="s">
        <v>610</v>
      </c>
      <c r="AG2" s="85" t="s">
        <v>611</v>
      </c>
    </row>
    <row r="3" ht="36" customHeight="1" spans="1:33" x14ac:dyDescent="0.25">
      <c r="A3" s="83"/>
      <c r="B3" s="83"/>
      <c r="C3" s="83"/>
      <c r="D3" s="83"/>
      <c r="E3" s="83"/>
      <c r="F3" s="83"/>
      <c r="G3" s="84" t="s">
        <v>485</v>
      </c>
      <c r="H3" s="85"/>
      <c r="I3" s="84" t="s">
        <v>612</v>
      </c>
      <c r="J3" s="84" t="s">
        <v>613</v>
      </c>
      <c r="K3" s="84" t="s">
        <v>614</v>
      </c>
      <c r="L3" s="84" t="s">
        <v>615</v>
      </c>
      <c r="M3" s="84" t="s">
        <v>616</v>
      </c>
      <c r="N3" s="84" t="s">
        <v>617</v>
      </c>
      <c r="O3" s="132" t="s">
        <v>618</v>
      </c>
      <c r="P3" s="132" t="s">
        <v>619</v>
      </c>
      <c r="Q3" s="84" t="s">
        <v>620</v>
      </c>
      <c r="R3" s="84" t="s">
        <v>498</v>
      </c>
      <c r="S3" s="85"/>
      <c r="T3" s="84" t="s">
        <v>621</v>
      </c>
      <c r="U3" s="84" t="s">
        <v>622</v>
      </c>
      <c r="V3" s="84" t="s">
        <v>623</v>
      </c>
      <c r="W3" s="84" t="s">
        <v>624</v>
      </c>
      <c r="X3" s="84" t="s">
        <v>625</v>
      </c>
      <c r="Y3" s="84" t="s">
        <v>626</v>
      </c>
      <c r="Z3" s="132" t="s">
        <v>627</v>
      </c>
      <c r="AA3" s="132" t="s">
        <v>628</v>
      </c>
      <c r="AB3" s="84" t="s">
        <v>629</v>
      </c>
      <c r="AC3" s="85"/>
      <c r="AD3" s="84" t="s">
        <v>630</v>
      </c>
      <c r="AE3" s="84" t="s">
        <v>512</v>
      </c>
      <c r="AF3" s="84" t="s">
        <v>518</v>
      </c>
      <c r="AG3" s="85"/>
    </row>
    <row r="4" ht="60" customHeight="1" spans="1:33" x14ac:dyDescent="0.25">
      <c r="A4" s="83"/>
      <c r="B4" s="90" t="s">
        <v>528</v>
      </c>
      <c r="C4" s="90" t="s">
        <v>529</v>
      </c>
      <c r="D4" s="90" t="s">
        <v>37</v>
      </c>
      <c r="E4" s="90" t="s">
        <v>530</v>
      </c>
      <c r="F4" s="90" t="s">
        <v>531</v>
      </c>
      <c r="G4" s="84" t="s">
        <v>532</v>
      </c>
      <c r="H4" s="85"/>
      <c r="I4" s="84" t="s">
        <v>631</v>
      </c>
      <c r="J4" s="84" t="s">
        <v>632</v>
      </c>
      <c r="K4" s="84" t="s">
        <v>633</v>
      </c>
      <c r="L4" s="84" t="s">
        <v>634</v>
      </c>
      <c r="M4" s="84" t="s">
        <v>635</v>
      </c>
      <c r="N4" s="84" t="s">
        <v>636</v>
      </c>
      <c r="O4" s="132" t="s">
        <v>637</v>
      </c>
      <c r="P4" s="132" t="s">
        <v>638</v>
      </c>
      <c r="Q4" s="84" t="s">
        <v>639</v>
      </c>
      <c r="R4" s="84" t="s">
        <v>546</v>
      </c>
      <c r="S4" s="85"/>
      <c r="T4" s="84" t="s">
        <v>640</v>
      </c>
      <c r="U4" s="84" t="s">
        <v>641</v>
      </c>
      <c r="V4" s="84" t="s">
        <v>642</v>
      </c>
      <c r="W4" s="84" t="s">
        <v>643</v>
      </c>
      <c r="X4" s="84" t="s">
        <v>644</v>
      </c>
      <c r="Y4" s="84" t="s">
        <v>645</v>
      </c>
      <c r="Z4" s="132" t="s">
        <v>646</v>
      </c>
      <c r="AA4" s="132" t="s">
        <v>647</v>
      </c>
      <c r="AB4" s="84" t="s">
        <v>648</v>
      </c>
      <c r="AC4" s="85"/>
      <c r="AD4" s="84" t="s">
        <v>649</v>
      </c>
      <c r="AE4" s="84" t="s">
        <v>561</v>
      </c>
      <c r="AF4" s="84" t="s">
        <v>567</v>
      </c>
      <c r="AG4" s="85"/>
    </row>
    <row r="5" spans="1:33" x14ac:dyDescent="0.25">
      <c r="A5" s="133" t="s">
        <v>650</v>
      </c>
      <c r="B5" s="104"/>
      <c r="C5" s="104"/>
      <c r="D5" s="93">
        <f>ETPT_TPRX_DDG!$D$5</f>
        <v>0</v>
      </c>
      <c r="E5" s="104" t="s">
        <v>578</v>
      </c>
      <c r="F5" s="104" t="s">
        <v>579</v>
      </c>
      <c r="G5" s="96" t="e">
        <f>SUM(SUMIFS(
INDEX( 'ETPT Format DDG'!$A:$ZZ,,MATCH("1. TOTAL CONTENTIEUX SOCIAL",'ETPT Format DDG'!2:2,0)),
INDEX( 'ETPT Format DDG'!$A:$ZZ,,MATCH("Fonction recodée",'ETPT Format DDG'!2:2,0)),"Fonctionnaire CTECH",
INDEX( 'ETPT Format DDG'!$A:$ZZ,,MATCH("Juridiction",'ETPT Format DDG'!2:2,0)),$D$5))+
SUM(SUMIFS(
INDEX( 'ETPT Format DDG'!$A:$ZZ,,MATCH("2. TOTAL CONTENTIEUX JAF",'ETPT Format DDG'!2:2,0)),
INDEX( 'ETPT Format DDG'!$A:$ZZ,,MATCH("Fonction recodée",'ETPT Format DDG'!2:2,0)),"Fonctionnaire CTECH",
INDEX( 'ETPT Format DDG'!$A:$ZZ,,MATCH("Juridiction",'ETPT Format DDG'!2:2,0)),$D$5))+
SUM(SUMIFS(
INDEX( 'ETPT Format DDG'!$A:$ZZ,,MATCH("3. TOTAL CONTENTIEUX DE LA PROTECTION",'ETPT Format DDG'!2:2,0)),
INDEX( 'ETPT Format DDG'!$A:$ZZ,,MATCH("Fonction recodée",'ETPT Format DDG'!2:2,0)),"Fonctionnaire CTECH",
INDEX( 'ETPT Format DDG'!$A:$ZZ,,MATCH("Juridiction",'ETPT Format DDG'!2:2,0)),$D$5))+
SUM(SUMIFS(
INDEX( 'ETPT Format DDG'!$A:$ZZ,,MATCH("4. TOTAL CIVIL NON SPÉCIALISÉ",'ETPT Format DDG'!2:2,0)),
INDEX( 'ETPT Format DDG'!$A:$ZZ,,MATCH("Fonction recodée",'ETPT Format DDG'!2:2,0)),"Fonctionnaire CTECH",
INDEX( 'ETPT Format DDG'!$A:$ZZ,,MATCH("Juridiction",'ETPT Format DDG'!2:2,0)),$D$5))+
SUM(SUMIFS(
INDEX( 'ETPT Format DDG'!$A:$ZZ,,MATCH("5. TOTAL JLD CIVIL",'ETPT Format DDG'!2:2,0)),
INDEX( 'ETPT Format DDG'!$A:$ZZ,,MATCH("Fonction recodée",'ETPT Format DDG'!2:2,0)),"Fonctionnaire CTECH",
INDEX( 'ETPT Format DDG'!$A:$ZZ,,MATCH("Juridiction",'ETPT Format DDG'!2:2,0)),$D$5))+
SUM(SUMIFS(
INDEX( 'ETPT Format DDG'!$A:$ZZ,,MATCH("6.1. ACTIVITÉ CIVILE",'ETPT Format DDG'!2:2,0)),
INDEX( 'ETPT Format DDG'!$A:$ZZ,,MATCH("Fonction recodée",'ETPT Format DDG'!2:2,0)),"Fonctionnaire CTECH",
INDEX( 'ETPT Format DDG'!$A:$ZZ,,MATCH("Juridiction",'ETPT Format DDG'!2:2,0)),$D$5))+
SUM(SUMIFS(
INDEX( 'ETPT Format DDG'!$A:$ZZ,,MATCH("11.7. FONCTIONNAIRES AFFECTÉS AU CPH",'ETPT Format DDG'!2:2,0)),
INDEX( 'ETPT Format DDG'!$A:$ZZ,,MATCH("Fonction recodée",'ETPT Format DDG'!2:2,0)),"Fonctionnaire CTECH",
INDEX( 'ETPT Format DDG'!$A:$ZZ,,MATCH("Juridiction",'ETPT Format DDG'!2:2,0)),$D$5))+
SUM(SUMIFS(
INDEX( 'ETPT Format DDG'!$A:$ZZ,,MATCH("11.8. FONCTIONNAIRES AFFECTÉS AUX ACTIVITÉS CIVILES ET COMMERCIALES DU PARQUET",'ETPT Format DDG'!2:2,0)),
INDEX( 'ETPT Format DDG'!$A:$ZZ,,MATCH("Fonction recodée",'ETPT Format DDG'!2:2,0)),"Fonctionnaire CTECH",
INDEX( 'ETPT Format DDG'!$A:$ZZ,,MATCH("Juridiction",'ETPT Format DDG'!2:2,0)),$D$5))</f>
        <v>#N/A</v>
      </c>
      <c r="H5" s="134">
        <f>_xlfn.AGGREGATE(9,6,G5)</f>
        <v>0</v>
      </c>
      <c r="I5" s="135"/>
      <c r="J5" s="108" t="e">
        <f>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K5" s="96" t="e">
        <f>SUM(SUMIFS(
INDEX( 'ETPT Format DDG'!$A:$ZZ,,MATCH("3. TOTAL CONTENTIEUX DE LA PROTECTION",'ETPT Format DDG'!2:2,0)),
INDEX( 'ETPT Format DDG'!$A:$ZZ,,MATCH("Fonction recodée",'ETPT Format DDG'!2:2,0)),"Fonctionnaire A-B-CBUR",
INDEX( 'ETPT Format DDG'!$A:$ZZ,,MATCH("Juridiction",'ETPT Format DDG'!2:2,0)),$D$5))-
SUM(SUMIFS(
INDEX( 'ETPT Format DDG'!$A:$ZZ,,MATCH("3.2. PROTECTION DES MAJEURS",'ETPT Format DDG'!2:2,0)),
INDEX( 'ETPT Format DDG'!$A:$ZZ,,MATCH("Fonction recodée",'ETPT Format DDG'!2:2,0)),"Fonctionnaire A-B-CBUR",
INDEX( 'ETPT Format DDG'!$A:$ZZ,,MATCH("Juridiction",'ETPT Format DDG'!2:2,0)),$D$5))-
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L5" s="96" t="e">
        <f>SUM(SUMIFS(
INDEX( 'ETPT Format DDG'!$A:$ZZ,,MATCH("3.2. PROTECTION DES MAJEURS",'ETPT Format DDG'!2:2,0)),
INDEX( 'ETPT Format DDG'!$A:$ZZ,,MATCH("Fonction recodée",'ETPT Format DDG'!2:2,0)),"Fonctionnaire A-B-CBUR",
INDEX( 'ETPT Format DDG'!$A:$ZZ,,MATCH("Juridiction",'ETPT Format DDG'!2:2,0)),$D$5))</f>
        <v>#N/A</v>
      </c>
      <c r="M5" s="136"/>
      <c r="N5" s="136"/>
      <c r="O5" s="114"/>
      <c r="P5" s="114"/>
      <c r="Q5" s="137"/>
      <c r="R5" s="100" t="e">
        <f>SUM(SUMIFS(
INDEX( 'ETPT Format DDG'!$A:$ZZ,,MATCH("1. TOTAL CONTENTIEUX SOCIAL",'ETPT Format DDG'!2:2,0)),
INDEX( 'ETPT Format DDG'!$A:$ZZ,,MATCH("Fonction recodée",'ETPT Format DDG'!2:2,0)),"Fonctionnaire A-B-CBUR",
INDEX( 'ETPT Format DDG'!$A:$ZZ,,MATCH("Juridiction",'ETPT Format DDG'!2:2,0)),$D$5))+
SUM(SUMIFS(
INDEX( 'ETPT Format DDG'!$A:$ZZ,,MATCH("2. TOTAL CONTENTIEUX JAF",'ETPT Format DDG'!2:2,0)),
INDEX( 'ETPT Format DDG'!$A:$ZZ,,MATCH("Fonction recodée",'ETPT Format DDG'!2:2,0)),"Fonctionnaire A-B-CBUR",
INDEX( 'ETPT Format DDG'!$A:$ZZ,,MATCH("Juridiction",'ETPT Format DDG'!2:2,0)),$D$5))+
SUM(SUMIFS(
INDEX( 'ETPT Format DDG'!$A:$ZZ,,MATCH("4. TOTAL CIVIL NON SPÉCIALISÉ",'ETPT Format DDG'!2:2,0)),
INDEX( 'ETPT Format DDG'!$A:$ZZ,,MATCH("Fonction recodée",'ETPT Format DDG'!2:2,0)),"Fonctionnaire A-B-CBUR",
INDEX( 'ETPT Format DDG'!$A:$ZZ,,MATCH("Juridiction",'ETPT Format DDG'!2:2,0)),$D$5))+
SUM(SUMIFS(
INDEX( 'ETPT Format DDG'!$A:$ZZ,,MATCH("5. TOTAL JLD CIVIL",'ETPT Format DDG'!2:2,0)),
INDEX( 'ETPT Format DDG'!$A:$ZZ,,MATCH("Fonction recodée",'ETPT Format DDG'!2:2,0)),"Fonctionnaire A-B-CBUR",
INDEX( 'ETPT Format DDG'!$A:$ZZ,,MATCH("Juridiction",'ETPT Format DDG'!2:2,0)),$D$5))+
SUM(SUMIFS(
INDEX( 'ETPT Format DDG'!$A:$ZZ,,MATCH("6.1. ACTIVITÉ CIVILE",'ETPT Format DDG'!2:2,0)),
INDEX( 'ETPT Format DDG'!$A:$ZZ,,MATCH("Fonction recodée",'ETPT Format DDG'!2:2,0)),"Fonctionnaire A-B-CBUR",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INDEX( 'ETPT Format DDG'!$A:$ZZ,,MATCH("Juridiction",'ETPT Format DDG'!2:2,0)),$D$5))</f>
        <v>#N/A</v>
      </c>
      <c r="S5" s="134">
        <f>_xlfn.AGGREGATE(9,6,I5:R5)</f>
        <v>0</v>
      </c>
      <c r="T5" s="111"/>
      <c r="U5" s="108" t="e">
        <f t="array" ref="U5">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V5" s="96" t="e">
        <f t="array" ref="V5">SUM(SUMIFS(
INDEX( 'ETPT Format DDG'!$A:$ZZ,,MATCH("3. TOTAL CONTENTIEUX DE LA PROTECTION",'ETPT Format DDG'!2:2,0)),
INDEX( 'ETPT Format DDG'!$A:$ZZ,,MATCH("Fonction recodée",'ETPT Format DDG'!2:2,0)),{"Magistrat SIEGE S";"Magistrat SIEGE NS"},
INDEX( 'ETPT Format DDG'!$A:$ZZ,,MATCH("Juridiction",'ETPT Format DDG'!2:2,0)),$D$5))-
SUM(SUMIFS(
INDEX( 'ETPT Format DDG'!$A:$ZZ,,MATCH("3.2. PROTECTION DES MAJEURS",'ETPT Format DDG'!2:2,0)),
INDEX( 'ETPT Format DDG'!$A:$ZZ,,MATCH("Fonction recodée",'ETPT Format DDG'!2:2,0)),{"Magistrat SIEGE S";"Magistrat SIEGE NS"},
INDEX( 'ETPT Format DDG'!$A:$ZZ,,MATCH("Juridiction",'ETPT Format DDG'!2:2,0)),$D$5))-
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W5" s="96" t="e">
        <f t="array" ref="W5">SUM(SUMIFS(
INDEX( 'ETPT Format DDG'!$A:$ZZ,,MATCH("3.2. PROTECTION DES MAJEURS",'ETPT Format DDG'!2:2,0)),
INDEX( 'ETPT Format DDG'!$A:$ZZ,,MATCH("Fonction recodée",'ETPT Format DDG'!2:2,0)),{"Magistrat SIEGE S";"Magistrat SIEGE NS"},
INDEX( 'ETPT Format DDG'!$A:$ZZ,,MATCH("Juridiction",'ETPT Format DDG'!2:2,0)),$D$5))</f>
        <v>#N/A</v>
      </c>
      <c r="X5" s="138"/>
      <c r="Y5" s="138"/>
      <c r="Z5" s="114"/>
      <c r="AA5" s="114"/>
      <c r="AB5" s="138"/>
      <c r="AC5" s="134">
        <f>_xlfn.AGGREGATE(9,6,T5:AB5)</f>
        <v>0</v>
      </c>
      <c r="AD5" s="138"/>
      <c r="AE5" s="100" t="e">
        <f t="array" ref="AE5">SUM(SUMIFS(
INDEX( 'ETPT Format DDG'!$A:$ZZ,,MATCH("1.1. DÉPARTAGE PRUD'HOMAL",'ETPT Format DDG'!2:2,0)),
INDEX( 'ETPT Format DDG'!$A:$ZZ,,MATCH("Fonction recodée",'ETPT Format DDG'!2:2,0)),{"Magistrat SIEGE S";"Magistrat SIEGE NS"},
INDEX( 'ETPT Format DDG'!$A:$ZZ,,MATCH("Juridiction",'ETPT Format DDG'!2:2,0)),$D$5))</f>
        <v>#N/A</v>
      </c>
      <c r="AF5" s="100" t="e">
        <f t="array" ref="AF5">SUM(SUMIFS(
INDEX( 'ETPT Format DDG'!$A:$ZZ,,MATCH("1. TOTAL CONTENTIEUX SOCIAL",'ETPT Format DDG'!2:2,0)),
INDEX( 'ETPT Format DDG'!$A:$ZZ,,MATCH("Fonction recodée",'ETPT Format DDG'!2:2,0)),{"Magistrat SIEGE S";"Magistrat SIEGE NS"},
INDEX( 'ETPT Format DDG'!$A:$ZZ,,MATCH("Juridiction",'ETPT Format DDG'!2:2,0)),$D$5))-
SUM(SUMIFS(
INDEX( 'ETPT Format DDG'!$A:$ZZ,,MATCH("1.1. DÉPARTAGE PRUD'HOMAL",'ETPT Format DDG'!2:2,0)),
INDEX( 'ETPT Format DDG'!$A:$ZZ,,MATCH("Fonction recodée",'ETPT Format DDG'!2:2,0)),{"Magistrat SIEGE S";"Magistrat SIEGE NS"},
INDEX( 'ETPT Format DDG'!$A:$ZZ,,MATCH("Juridiction",'ETPT Format DDG'!2:2,0)),$D$5))+
SUM(SUMIFS(
INDEX( 'ETPT Format DDG'!$A:$ZZ,,MATCH("4. TOTAL CIVIL NON SPÉCIALISÉ",'ETPT Format DDG'!2:2,0)),
INDEX( 'ETPT Format DDG'!$A:$ZZ,,MATCH("Fonction recodée",'ETPT Format DDG'!2:2,0)),{"Magistrat SIEGE S";"Magistrat SIEGE NS"},
INDEX( 'ETPT Format DDG'!$A:$ZZ,,MATCH("Juridiction",'ETPT Format DDG'!2:2,0)),$D$5))</f>
        <v>#N/A</v>
      </c>
      <c r="AG5" s="134">
        <f>_xlfn.AGGREGATE(9,6,AD5:AF5)</f>
        <v>0</v>
      </c>
    </row>
    <row r="6" spans="1:33" x14ac:dyDescent="0.25">
      <c r="A6" s="139" t="s">
        <v>650</v>
      </c>
      <c r="B6" s="140"/>
      <c r="C6" s="140"/>
      <c r="D6" s="140">
        <f t="shared" ref="D6:D15" si="0">$D$5</f>
        <v>0</v>
      </c>
      <c r="E6" s="140" t="s">
        <v>580</v>
      </c>
      <c r="F6" s="140" t="s">
        <v>581</v>
      </c>
      <c r="G6" s="141"/>
      <c r="H6" s="134">
        <f t="shared" ref="H6:H15" si="1">_xlfn.AGGREGATE(9,6,G6)</f>
        <v>0</v>
      </c>
      <c r="I6" s="142"/>
      <c r="J6" s="114"/>
      <c r="K6" s="114"/>
      <c r="L6" s="114"/>
      <c r="M6" s="114"/>
      <c r="N6" s="141"/>
      <c r="O6" s="138"/>
      <c r="P6" s="138"/>
      <c r="Q6" s="138"/>
      <c r="R6" s="136"/>
      <c r="S6" s="134">
        <f t="shared" ref="S6:S14" si="2">_xlfn.AGGREGATE(9,6,I6:R6)</f>
        <v>0</v>
      </c>
      <c r="T6" s="114"/>
      <c r="U6" s="114"/>
      <c r="V6" s="114"/>
      <c r="W6" s="114"/>
      <c r="X6" s="114"/>
      <c r="Y6" s="114"/>
      <c r="Z6" s="138"/>
      <c r="AA6" s="138"/>
      <c r="AB6" s="138"/>
      <c r="AC6" s="134">
        <f t="shared" ref="AC6:AC15" si="3">_xlfn.AGGREGATE(9,6,T6:AB6)</f>
        <v>0</v>
      </c>
      <c r="AD6" s="138"/>
      <c r="AE6" s="114"/>
      <c r="AF6" s="114"/>
      <c r="AG6" s="134">
        <f t="shared" ref="AG6:AG14" si="4">_xlfn.AGGREGATE(9,6,AD6:AF6)</f>
        <v>0</v>
      </c>
    </row>
    <row r="7" spans="1:33" x14ac:dyDescent="0.25">
      <c r="A7" s="133" t="s">
        <v>650</v>
      </c>
      <c r="B7" s="104"/>
      <c r="C7" s="104"/>
      <c r="D7" s="104">
        <f t="shared" si="0"/>
        <v>0</v>
      </c>
      <c r="E7" s="104" t="s">
        <v>583</v>
      </c>
      <c r="F7" s="104" t="s">
        <v>584</v>
      </c>
      <c r="G7" s="141"/>
      <c r="H7" s="134">
        <f t="shared" si="1"/>
        <v>0</v>
      </c>
      <c r="I7" s="135"/>
      <c r="J7" s="111"/>
      <c r="K7" s="111"/>
      <c r="L7" s="111"/>
      <c r="M7" s="111"/>
      <c r="N7" s="113"/>
      <c r="O7" s="114"/>
      <c r="P7" s="114"/>
      <c r="Q7" s="111"/>
      <c r="R7" s="111"/>
      <c r="S7" s="134">
        <f t="shared" si="2"/>
        <v>0</v>
      </c>
      <c r="T7" s="111"/>
      <c r="U7" s="111"/>
      <c r="V7" s="111"/>
      <c r="W7" s="111"/>
      <c r="X7" s="114"/>
      <c r="Y7" s="114"/>
      <c r="Z7" s="114"/>
      <c r="AA7" s="114"/>
      <c r="AB7" s="114"/>
      <c r="AC7" s="134">
        <f t="shared" si="3"/>
        <v>0</v>
      </c>
      <c r="AD7" s="111"/>
      <c r="AE7" s="111"/>
      <c r="AF7" s="108" t="e">
        <f t="array" ref="AF7">SUM(SUMIFS(
INDEX( 'ETPT Format DDG'!$A:$ZZ,,MATCH("11.5. CSM",'ETPT Format DDG'!2:2,0)),
INDEX( 'ETPT Format DDG'!$A:$ZZ,,MATCH("Fonction recodée",'ETPT Format DDG'!2:2,0)),{"Magistrat SIEGE S";"Magistrat SIEGE NS"},
INDEX( 'ETPT Format DDG'!$A:$ZZ,,MATCH("Juridiction",'ETPT Format DDG'!2:2,0)),$D$5))</f>
        <v>#N/A</v>
      </c>
      <c r="AG7" s="134">
        <f t="shared" si="4"/>
        <v>0</v>
      </c>
    </row>
    <row r="8" spans="1:33" x14ac:dyDescent="0.25">
      <c r="A8" s="133" t="s">
        <v>650</v>
      </c>
      <c r="B8" s="104"/>
      <c r="C8" s="104"/>
      <c r="D8" s="104">
        <f t="shared" si="0"/>
        <v>0</v>
      </c>
      <c r="E8" s="104" t="s">
        <v>587</v>
      </c>
      <c r="F8" s="104" t="s">
        <v>588</v>
      </c>
      <c r="G8" s="108" t="e">
        <f>SUM(SUMIFS(
INDEX( 'ETPT Format DDG'!$A:$ZZ,,MATCH("11.51. ACCUEIL DU JUSTICIABLE (DONT SAUJ)",'ETPT Format DDG'!2:2,0)),
INDEX( 'ETPT Format DDG'!$A:$ZZ,,MATCH("Fonction recodée",'ETPT Format DDG'!2:2,0)),"Fonctionnaire CTECH",
INDEX( 'ETPT Format DDG'!$A:$ZZ,,MATCH("Juridiction",'ETPT Format DDG'!2:2,0)),$D$5))</f>
        <v>#N/A</v>
      </c>
      <c r="H8" s="134">
        <f t="shared" si="1"/>
        <v>0</v>
      </c>
      <c r="I8" s="135"/>
      <c r="J8" s="111"/>
      <c r="K8" s="111"/>
      <c r="L8" s="111"/>
      <c r="M8" s="111"/>
      <c r="N8" s="113"/>
      <c r="O8" s="114"/>
      <c r="P8" s="114"/>
      <c r="Q8" s="111"/>
      <c r="R8" s="108" t="e">
        <f>SUM(SUMIFS(
INDEX( 'ETPT Format DDG'!$A:$ZZ,,MATCH("11.51. ACCUEIL DU JUSTICIABLE (DONT SAUJ)",'ETPT Format DDG'!2:2,0)),
INDEX( 'ETPT Format DDG'!$A:$ZZ,,MATCH("Fonction recodée",'ETPT Format DDG'!2:2,0)),"Fonctionnaire A-B-CBUR",
INDEX( 'ETPT Format DDG'!$A:$ZZ,,MATCH("Juridiction",'ETPT Format DDG'!2:2,0)),$D$5))</f>
        <v>#N/A</v>
      </c>
      <c r="S8" s="134">
        <f t="shared" si="2"/>
        <v>0</v>
      </c>
      <c r="T8" s="111"/>
      <c r="U8" s="111"/>
      <c r="V8" s="111"/>
      <c r="W8" s="111"/>
      <c r="X8" s="114"/>
      <c r="Y8" s="114"/>
      <c r="Z8" s="114"/>
      <c r="AA8" s="114"/>
      <c r="AB8" s="114"/>
      <c r="AC8" s="134">
        <f t="shared" si="3"/>
        <v>0</v>
      </c>
      <c r="AD8" s="111"/>
      <c r="AE8" s="111"/>
      <c r="AF8" s="108" t="e">
        <f t="array" ref="AF8">SUM(SUMIFS(
INDEX( 'ETPT Format DDG'!$A:$ZZ,,MATCH("11.51. ACCUEIL DU JUSTICIABLE (DONT SAUJ)",'ETPT Format DDG'!2:2,0)),
INDEX( 'ETPT Format DDG'!$A:$ZZ,,MATCH("Fonction recodée",'ETPT Format DDG'!2:2,0)),{"Magistrat SIEGE S";"Magistrat SIEGE NS"},
INDEX( 'ETPT Format DDG'!$A:$ZZ,,MATCH("Juridiction",'ETPT Format DDG'!2:2,0)),$D$5))</f>
        <v>#N/A</v>
      </c>
      <c r="AG8" s="134">
        <f t="shared" si="4"/>
        <v>0</v>
      </c>
    </row>
    <row r="9" spans="1:33" x14ac:dyDescent="0.25">
      <c r="A9" s="133" t="s">
        <v>650</v>
      </c>
      <c r="B9" s="104"/>
      <c r="C9" s="104"/>
      <c r="D9" s="104">
        <f t="shared" si="0"/>
        <v>0</v>
      </c>
      <c r="E9" s="104" t="s">
        <v>589</v>
      </c>
      <c r="F9" s="104" t="s">
        <v>590</v>
      </c>
      <c r="G9" s="108" t="e">
        <f>SUM(SUMIFS(
INDEX( 'ETPT Format DDG'!$A:$ZZ,,MATCH("11.1. SOUTIEN (HORS FORMATIONS SUIVIES)",'ETPT Format DDG'!2:2,0)),
INDEX( 'ETPT Format DDG'!$A:$ZZ,,MATCH("Fonction recodée",'ETPT Format DDG'!2:2,0)),"Fonctionnaire CTECH",
INDEX( 'ETPT Format DDG'!$A:$ZZ,,MATCH("Juridiction",'ETPT Format DDG'!2:2,0)),$D$5))+
SUM(SUMIFS(
INDEX( 'ETPT Format DDG'!$A:$ZZ,,MATCH("11.2. FORMATIONS SUIVIES",'ETPT Format DDG'!2:2,0)),
INDEX( 'ETPT Format DDG'!$A:$ZZ,,MATCH("Fonction recodée",'ETPT Format DDG'!2:2,0)),"Fonctionnaire CTECH",
INDEX( 'ETPT Format DDG'!$A:$ZZ,,MATCH("Juridiction",'ETPT Format DDG'!2:2,0)),$D$5))+
SUM(SUMIFS(
INDEX( 'ETPT Format DDG'!$A:$ZZ,,MATCH("11.6. AUTRES ACTIVITÉS NON JURIDICTIONNELLES",'ETPT Format DDG'!2:2,0)),
INDEX( 'ETPT Format DDG'!$A:$ZZ,,MATCH("Fonction recodée",'ETPT Format DDG'!2:2,0)),"Fonctionnaire CTECH",
INDEX( 'ETPT Format DDG'!$A:$ZZ,,MATCH("Juridiction",'ETPT Format DDG'!2:2,0)),$D$5))</f>
        <v>#N/A</v>
      </c>
      <c r="H9" s="134">
        <f t="shared" si="1"/>
        <v>0</v>
      </c>
      <c r="I9" s="135"/>
      <c r="J9" s="111"/>
      <c r="K9" s="111"/>
      <c r="L9" s="111"/>
      <c r="M9" s="111"/>
      <c r="N9" s="113"/>
      <c r="O9" s="114"/>
      <c r="P9" s="114"/>
      <c r="Q9" s="111"/>
      <c r="R9" s="108" t="e">
        <f>SUM(SUMIFS(
INDEX( 'ETPT Format DDG'!$A:$ZZ,,MATCH("11.1. SOUTIEN (HORS FORMATIONS SUIVIES)",'ETPT Format DDG'!2:2,0)),
INDEX( 'ETPT Format DDG'!$A:$ZZ,,MATCH("Fonction recodée",'ETPT Format DDG'!2:2,0)),"Fonctionnaire A-B-CBUR",
INDEX( 'ETPT Format DDG'!$A:$ZZ,,MATCH("Juridiction",'ETPT Format DDG'!2:2,0)),$D$5))+
SUM(SUMIFS(
INDEX( 'ETPT Format DDG'!$A:$ZZ,,MATCH("11.2. FORMATIONS SUIVIES",'ETPT Format DDG'!2:2,0)),
INDEX( 'ETPT Format DDG'!$A:$ZZ,,MATCH("Fonction recodée",'ETPT Format DDG'!2:2,0)),"Fonctionnaire A-B-CBUR",
INDEX( 'ETPT Format DDG'!$A:$ZZ,,MATCH("Juridiction",'ETPT Format DDG'!2:2,0)),$D$5))+
SUM(SUMIFS(
INDEX( 'ETPT Format DDG'!$A:$ZZ,,MATCH("11.6. AUTRES ACTIVITÉS NON JURIDICTIONNELLES",'ETPT Format DDG'!2:2,0)),
INDEX( 'ETPT Format DDG'!$A:$ZZ,,MATCH("Fonction recodée",'ETPT Format DDG'!2:2,0)),"Fonctionnaire A-B-CBUR",
INDEX( 'ETPT Format DDG'!$A:$ZZ,,MATCH("Juridiction",'ETPT Format DDG'!2:2,0)),$D$5))</f>
        <v>#N/A</v>
      </c>
      <c r="S9" s="134">
        <f t="shared" si="2"/>
        <v>0</v>
      </c>
      <c r="T9" s="111"/>
      <c r="U9" s="111"/>
      <c r="V9" s="111"/>
      <c r="W9" s="111"/>
      <c r="X9" s="114"/>
      <c r="Y9" s="114"/>
      <c r="Z9" s="114"/>
      <c r="AA9" s="114"/>
      <c r="AB9" s="114"/>
      <c r="AC9" s="134">
        <f t="shared" si="3"/>
        <v>0</v>
      </c>
      <c r="AD9" s="111"/>
      <c r="AE9" s="111"/>
      <c r="AF9" s="108" t="e">
        <f t="array" ref="AF9">SUM(SUMIFS(
INDEX( 'ETPT Format DDG'!$A:$ZZ,,MATCH("11.1. SOUTIEN (HORS FORMATIONS SUIVIES)",'ETPT Format DDG'!2:2,0)),
INDEX( 'ETPT Format DDG'!$A:$ZZ,,MATCH("Fonction recodée",'ETPT Format DDG'!2:2,0)),{"Magistrat SIEGE S";"Magistrat SIEGE NS"},
INDEX( 'ETPT Format DDG'!$A:$ZZ,,MATCH("Juridiction",'ETPT Format DDG'!2:2,0)),$D$5))+
SUM(SUMIFS(
INDEX( 'ETPT Format DDG'!$A:$ZZ,,MATCH("11.2. FORMATIONS SUIVIES",'ETPT Format DDG'!2:2,0)),
INDEX( 'ETPT Format DDG'!$A:$ZZ,,MATCH("Fonction recodée",'ETPT Format DDG'!2:2,0)),{"Magistrat SIEGE S";"Magistrat SIEGE NS"},
INDEX( 'ETPT Format DDG'!$A:$ZZ,,MATCH("Juridiction",'ETPT Format DDG'!2:2,0)),$D$5))+
SUM(SUMIFS(
INDEX( 'ETPT Format DDG'!$A:$ZZ,,MATCH("11.6. AUTRES ACTIVITÉS NON JURIDICTIONNELLES",'ETPT Format DDG'!2:2,0)),
INDEX( 'ETPT Format DDG'!$A:$ZZ,,MATCH("Fonction recodée",'ETPT Format DDG'!2:2,0)),{"Magistrat SIEGE S";"Magistrat SIEGE NS"},
INDEX( 'ETPT Format DDG'!$A:$ZZ,,MATCH("Juridiction",'ETPT Format DDG'!2:2,0)),$D$5))</f>
        <v>#N/A</v>
      </c>
      <c r="AG9" s="134">
        <f t="shared" si="4"/>
        <v>0</v>
      </c>
    </row>
    <row r="10" spans="1:33" x14ac:dyDescent="0.25">
      <c r="A10" s="133" t="s">
        <v>650</v>
      </c>
      <c r="B10" s="104"/>
      <c r="C10" s="104"/>
      <c r="D10" s="104">
        <f t="shared" si="0"/>
        <v>0</v>
      </c>
      <c r="E10" s="104" t="s">
        <v>591</v>
      </c>
      <c r="F10" s="104" t="s">
        <v>592</v>
      </c>
      <c r="G10" s="108" t="e">
        <f>SUM(SUMIFS(
INDEX( 'ETPT Format DDG'!$A:$ZZ,,MATCH("11.3. FORMATIONS DISPENSÉES",'ETPT Format DDG'!2:2,0)),
INDEX( 'ETPT Format DDG'!$A:$ZZ,,MATCH("Fonction recodée",'ETPT Format DDG'!2:2,0)),"Fonctionnaire CTECH",
INDEX( 'ETPT Format DDG'!$A:$ZZ,,MATCH("Juridiction",'ETPT Format DDG'!2:2,0)),$D$5))</f>
        <v>#N/A</v>
      </c>
      <c r="H10" s="134">
        <f t="shared" si="1"/>
        <v>0</v>
      </c>
      <c r="I10" s="135"/>
      <c r="J10" s="111"/>
      <c r="K10" s="111"/>
      <c r="L10" s="111"/>
      <c r="M10" s="111"/>
      <c r="N10" s="113"/>
      <c r="O10" s="114"/>
      <c r="P10" s="114"/>
      <c r="Q10" s="111"/>
      <c r="R10" s="108" t="e">
        <f>SUM(SUMIFS(
INDEX( 'ETPT Format DDG'!$A:$ZZ,,MATCH("11.3. FORMATIONS DISPENSÉES",'ETPT Format DDG'!2:2,0)),
INDEX( 'ETPT Format DDG'!$A:$ZZ,,MATCH("Fonction recodée",'ETPT Format DDG'!2:2,0)),"Fonctionnaire A-B-CBUR",
INDEX( 'ETPT Format DDG'!$A:$ZZ,,MATCH("Juridiction",'ETPT Format DDG'!2:2,0)),$D$5))</f>
        <v>#N/A</v>
      </c>
      <c r="S10" s="134">
        <f t="shared" si="2"/>
        <v>0</v>
      </c>
      <c r="T10" s="111"/>
      <c r="U10" s="111"/>
      <c r="V10" s="111"/>
      <c r="W10" s="111"/>
      <c r="X10" s="114"/>
      <c r="Y10" s="114"/>
      <c r="Z10" s="114"/>
      <c r="AA10" s="114"/>
      <c r="AB10" s="114"/>
      <c r="AC10" s="134">
        <f t="shared" si="3"/>
        <v>0</v>
      </c>
      <c r="AD10" s="111"/>
      <c r="AE10" s="111"/>
      <c r="AF10" s="108" t="e">
        <f t="array" ref="AF10">SUM(SUMIFS(
INDEX( 'ETPT Format DDG'!$A:$ZZ,,MATCH("11.3. FORMATIONS DISPENSÉES",'ETPT Format DDG'!2:2,0)),
INDEX( 'ETPT Format DDG'!$A:$ZZ,,MATCH("Fonction recodée",'ETPT Format DDG'!2:2,0)),{"Magistrat SIEGE S";"Magistrat SIEGE NS"},
INDEX( 'ETPT Format DDG'!$A:$ZZ,,MATCH("Juridiction",'ETPT Format DDG'!2:2,0)),$D$5))</f>
        <v>#N/A</v>
      </c>
      <c r="AG10" s="134">
        <f t="shared" si="4"/>
        <v>0</v>
      </c>
    </row>
    <row r="11" spans="1:33" x14ac:dyDescent="0.25">
      <c r="A11" s="133" t="s">
        <v>650</v>
      </c>
      <c r="B11" s="104"/>
      <c r="C11" s="104"/>
      <c r="D11" s="104">
        <f t="shared" si="0"/>
        <v>0</v>
      </c>
      <c r="E11" s="104" t="s">
        <v>593</v>
      </c>
      <c r="F11" s="104" t="s">
        <v>594</v>
      </c>
      <c r="G11" s="108" t="e">
        <f>SUM(SUMIFS(
INDEX( 'ETPT Format DDG'!$A:$ZZ,,MATCH("11.4. ACCÈS AU DROIT ET À LA JUSTICE",'ETPT Format DDG'!2:2,0)),
INDEX( 'ETPT Format DDG'!$A:$ZZ,,MATCH("Fonction recodée",'ETPT Format DDG'!2:2,0)),"Fonctionnaire CTECH",
INDEX( 'ETPT Format DDG'!$A:$ZZ,,MATCH("Juridiction",'ETPT Format DDG'!2:2,0)),$D$5))</f>
        <v>#N/A</v>
      </c>
      <c r="H11" s="134">
        <f t="shared" si="1"/>
        <v>0</v>
      </c>
      <c r="I11" s="135"/>
      <c r="J11" s="111"/>
      <c r="K11" s="111"/>
      <c r="L11" s="111"/>
      <c r="M11" s="111"/>
      <c r="N11" s="113"/>
      <c r="O11" s="114"/>
      <c r="P11" s="114"/>
      <c r="Q11" s="111"/>
      <c r="R11" s="108" t="e">
        <f>SUM(SUMIFS(
INDEX( 'ETPT Format DDG'!$A:$ZZ,,MATCH("11.4. ACCÈS AU DROIT ET À LA JUSTICE",'ETPT Format DDG'!2:2,0)),
INDEX( 'ETPT Format DDG'!$A:$ZZ,,MATCH("Fonction recodée",'ETPT Format DDG'!2:2,0)),"Fonctionnaire A-B-CBUR",
INDEX( 'ETPT Format DDG'!$A:$ZZ,,MATCH("Juridiction",'ETPT Format DDG'!2:2,0)),$D$5))</f>
        <v>#N/A</v>
      </c>
      <c r="S11" s="134">
        <f t="shared" si="2"/>
        <v>0</v>
      </c>
      <c r="T11" s="111"/>
      <c r="U11" s="111"/>
      <c r="V11" s="111"/>
      <c r="W11" s="111"/>
      <c r="X11" s="114"/>
      <c r="Y11" s="114"/>
      <c r="Z11" s="114"/>
      <c r="AA11" s="114"/>
      <c r="AB11" s="114"/>
      <c r="AC11" s="134">
        <f t="shared" si="3"/>
        <v>0</v>
      </c>
      <c r="AD11" s="111"/>
      <c r="AE11" s="111"/>
      <c r="AF11" s="108" t="e">
        <f t="array" ref="AF11">SUM(SUMIFS(
INDEX( 'ETPT Format DDG'!$A:$ZZ,,MATCH("11.4. ACCÈS AU DROIT ET À LA JUSTICE",'ETPT Format DDG'!2:2,0)),
INDEX( 'ETPT Format DDG'!$A:$ZZ,,MATCH("Fonction recodée",'ETPT Format DDG'!2:2,0)),{"Magistrat SIEGE S";"Magistrat SIEGE NS"},
INDEX( 'ETPT Format DDG'!$A:$ZZ,,MATCH("Juridiction",'ETPT Format DDG'!2:2,0)),$D$5))</f>
        <v>#N/A</v>
      </c>
      <c r="AG11" s="134">
        <f t="shared" si="4"/>
        <v>0</v>
      </c>
    </row>
    <row r="12" spans="1:33" x14ac:dyDescent="0.25">
      <c r="A12" s="133" t="s">
        <v>650</v>
      </c>
      <c r="B12" s="104"/>
      <c r="C12" s="104"/>
      <c r="D12" s="104">
        <f t="shared" si="0"/>
        <v>0</v>
      </c>
      <c r="E12" s="104" t="s">
        <v>595</v>
      </c>
      <c r="F12" s="104" t="s">
        <v>596</v>
      </c>
      <c r="G12" s="108" t="e">
        <f>SUM(SUMIFS(
INDEX( 'ETPT Format DDG'!$A:$ZZ,,MATCH("12. TOTAL des INDISPONIBILITÉS relevant de l'action 99",'ETPT Format DDG'!2:2,0)),
INDEX( 'ETPT Format DDG'!$A:$ZZ,,MATCH("Fonction recodée",'ETPT Format DDG'!2:2,0)),"Fonctionnaire CTECH",
INDEX( 'ETPT Format DDG'!$A:$ZZ,,MATCH("Juridiction",'ETPT Format DDG'!2:2,0)),$D$5))-
SUM(SUMIFS(
INDEX( 'ETPT Format DDG'!$A:$ZZ,,MATCH("12.5. MISE À DISPOSITION",'ETPT Format DDG'!2:2,0)),
INDEX( 'ETPT Format DDG'!$A:$ZZ,,MATCH("Fonction recodée",'ETPT Format DDG'!2:2,0)),"Fonctionnaire CTECH",
INDEX( 'ETPT Format DDG'!$A:$ZZ,,MATCH("Juridiction",'ETPT Format DDG'!2:2,0)),$D$5))</f>
        <v>#N/A</v>
      </c>
      <c r="H12" s="134">
        <f t="shared" si="1"/>
        <v>0</v>
      </c>
      <c r="I12" s="135"/>
      <c r="J12" s="111"/>
      <c r="K12" s="111"/>
      <c r="L12" s="111"/>
      <c r="M12" s="111"/>
      <c r="N12" s="113"/>
      <c r="O12" s="114"/>
      <c r="P12" s="114"/>
      <c r="Q12" s="111"/>
      <c r="R12" s="108" t="e">
        <f>SUM(SUMIFS(
INDEX( 'ETPT Format DDG'!$A:$ZZ,,MATCH("12. TOTAL des INDISPONIBILITÉS relevant de l'action 99",'ETPT Format DDG'!2:2,0)),
INDEX( 'ETPT Format DDG'!$A:$ZZ,,MATCH("Fonction recodée",'ETPT Format DDG'!2:2,0)),"Fonctionnaire A-B-CBUR",
INDEX( 'ETPT Format DDG'!$A:$ZZ,,MATCH("Juridiction",'ETPT Format DDG'!2:2,0)),$D$5))-
SUM(SUMIFS(
INDEX( 'ETPT Format DDG'!$A:$ZZ,,MATCH("12.5. MISE À DISPOSITION",'ETPT Format DDG'!2:2,0)),
INDEX( 'ETPT Format DDG'!$A:$ZZ,,MATCH("Fonction recodée",'ETPT Format DDG'!2:2,0)),"Fonctionnaire A-B-CBUR",
INDEX( 'ETPT Format DDG'!$A:$ZZ,,MATCH("Juridiction",'ETPT Format DDG'!2:2,0)),$D$5))</f>
        <v>#N/A</v>
      </c>
      <c r="S12" s="134">
        <f t="shared" si="2"/>
        <v>0</v>
      </c>
      <c r="T12" s="111"/>
      <c r="U12" s="111"/>
      <c r="V12" s="111"/>
      <c r="W12" s="111"/>
      <c r="X12" s="114"/>
      <c r="Y12" s="114"/>
      <c r="Z12" s="114"/>
      <c r="AA12" s="114"/>
      <c r="AB12" s="114"/>
      <c r="AC12" s="134">
        <f t="shared" si="3"/>
        <v>0</v>
      </c>
      <c r="AD12" s="111"/>
      <c r="AE12" s="111"/>
      <c r="AF12" s="108" t="e">
        <f t="array" ref="AF12">SUM(SUMIFS(
INDEX( 'ETPT Format DDG'!$A:$ZZ,,MATCH("12. TOTAL des INDISPONIBILITÉS relevant de l'action 99",'ETPT Format DDG'!2:2,0)),
INDEX( 'ETPT Format DDG'!$A:$ZZ,,MATCH("Fonction recodée",'ETPT Format DDG'!2:2,0)),{"Magistrat SIEGE S";"Magistrat SIEGE NS"},
INDEX( 'ETPT Format DDG'!$A:$ZZ,,MATCH("Juridiction",'ETPT Format DDG'!2:2,0)),$D$5))-
SUM(SUMIFS(
INDEX( 'ETPT Format DDG'!$A:$ZZ,,MATCH("12.5. MISE À DISPOSITION",'ETPT Format DDG'!2:2,0)),
INDEX( 'ETPT Format DDG'!$A:$ZZ,,MATCH("Fonction recodée",'ETPT Format DDG'!2:2,0)),{"Magistrat SIEGE S";"Magistrat SIEGE NS"},
INDEX( 'ETPT Format DDG'!$A:$ZZ,,MATCH("Juridiction",'ETPT Format DDG'!2:2,0)),$D$5))</f>
        <v>#N/A</v>
      </c>
      <c r="AG12" s="134">
        <f t="shared" si="4"/>
        <v>0</v>
      </c>
    </row>
    <row r="13" spans="1:33" x14ac:dyDescent="0.25">
      <c r="A13" s="133" t="s">
        <v>650</v>
      </c>
      <c r="B13" s="104"/>
      <c r="C13" s="104"/>
      <c r="D13" s="104">
        <f t="shared" si="0"/>
        <v>0</v>
      </c>
      <c r="E13" s="104" t="s">
        <v>597</v>
      </c>
      <c r="F13" s="104" t="s">
        <v>598</v>
      </c>
      <c r="G13" s="108" t="e">
        <f>SUM(SUMIFS(
INDEX( 'ETPT Format DDG'!$A:$ZZ,,MATCH("12.5. MISE À DISPOSITION",'ETPT Format DDG'!2:2,0)),
INDEX( 'ETPT Format DDG'!$A:$ZZ,,MATCH("Fonction recodée",'ETPT Format DDG'!2:2,0)),"Fonctionnaire CTECH",
INDEX( 'ETPT Format DDG'!$A:$ZZ,,MATCH("Juridiction",'ETPT Format DDG'!2:2,0)),$D$5))+
_xlfn.IFNA(SUM(SUMIFS(
INDEX( 'ETPT Format DDG'!$A:$ZZ,,MATCH("13. TOTAL CONTENTIEUX LOCAUX SPÉCIFIQUES",'ETPT Format DDG'!2:2,0)),
INDEX( 'ETPT Format DDG'!$A:$ZZ,,MATCH("Fonction recodée",'ETPT Format DDG'!2:2,0)),"Fonctionnaire CTECH",
INDEX( 'ETPT Format DDG'!$A:$ZZ,,MATCH("Juridiction",'ETPT Format DDG'!2:2,0)),$D$5)),0)</f>
        <v>#N/A</v>
      </c>
      <c r="H13" s="134">
        <f t="shared" si="1"/>
        <v>0</v>
      </c>
      <c r="I13" s="96">
        <f>_xlfn.IFNA(SUM(SUMIFS(
INDEX( 'ETPT Format DDG'!$A:$ZZ,,MATCH("13. TOTAL CONTENTIEUX LOCAUX SPÉCIFIQUES",'ETPT Format DDG'!2:2,0)),
INDEX( 'ETPT Format DDG'!$A:$ZZ,,MATCH("Fonction recodée",'ETPT Format DDG'!2:2,0)),"Fonctionnaire A-B-CBUR",
INDEX( 'ETPT Format DDG'!$A:$ZZ,,MATCH("Juridiction",'ETPT Format DDG'!2:2,0)),$D$5)),0)</f>
        <v>0</v>
      </c>
      <c r="J13" s="111"/>
      <c r="K13" s="111"/>
      <c r="L13" s="111"/>
      <c r="M13" s="113"/>
      <c r="N13" s="113"/>
      <c r="O13" s="114"/>
      <c r="P13" s="114"/>
      <c r="Q13" s="111"/>
      <c r="R13" s="108" t="e">
        <f>SUM(SUMIFS(
INDEX( 'ETPT Format DDG'!$A:$ZZ,,MATCH("12.5. MISE À DISPOSITION",'ETPT Format DDG'!2:2,0)),
INDEX( 'ETPT Format DDG'!$A:$ZZ,,MATCH("Fonction recodée",'ETPT Format DDG'!2:2,0)),"Fonctionnaire A-B-CBUR",
INDEX( 'ETPT Format DDG'!$A:$ZZ,,MATCH("Juridiction",'ETPT Format DDG'!2:2,0)),$D$5))</f>
        <v>#N/A</v>
      </c>
      <c r="S13" s="134">
        <f t="shared" si="2"/>
        <v>0</v>
      </c>
      <c r="T13" s="108">
        <f t="array" ref="T13">_xlfn.IFNA(SUM(SUMIFS(
INDEX( 'ETPT Format DDG'!$A:$ZZ,,MATCH("13. TOTAL CONTENTIEUX LOCAUX SPÉCIFIQUES",'ETPT Format DDG'!2:2,0)),
INDEX( 'ETPT Format DDG'!$A:$ZZ,,MATCH("Fonction recodée",'ETPT Format DDG'!2:2,0)),{"Magistrat SIEGE S";"Magistrat SIEGE NS"},
INDEX( 'ETPT Format DDG'!$A:$ZZ,,MATCH("Juridiction",'ETPT Format DDG'!2:2,0)),$D$5)),0)</f>
        <v>0</v>
      </c>
      <c r="U13" s="111"/>
      <c r="V13" s="111"/>
      <c r="W13" s="111"/>
      <c r="X13" s="114"/>
      <c r="Y13" s="114"/>
      <c r="Z13" s="114"/>
      <c r="AA13" s="114"/>
      <c r="AB13" s="114"/>
      <c r="AC13" s="134">
        <f t="shared" si="3"/>
        <v>0</v>
      </c>
      <c r="AD13" s="111"/>
      <c r="AE13" s="111"/>
      <c r="AF13" s="108" t="e">
        <f t="array" ref="AF13">SUM(SUMIFS(
INDEX( 'ETPT Format DDG'!$A:$ZZ,,MATCH("12.5. MISE À DISPOSITION",'ETPT Format DDG'!2:2,0)),
INDEX( 'ETPT Format DDG'!$A:$ZZ,,MATCH("Fonction recodée",'ETPT Format DDG'!2:2,0)),{"Magistrat SIEGE S";"Magistrat SIEGE NS"},
INDEX( 'ETPT Format DDG'!$A:$ZZ,,MATCH("Juridiction",'ETPT Format DDG'!2:2,0)),$D$5))</f>
        <v>#N/A</v>
      </c>
      <c r="AG13" s="134">
        <f t="shared" si="4"/>
        <v>0</v>
      </c>
    </row>
    <row r="14" spans="1:33" x14ac:dyDescent="0.25">
      <c r="A14" s="133" t="s">
        <v>650</v>
      </c>
      <c r="B14" s="104"/>
      <c r="C14" s="104"/>
      <c r="D14" s="104">
        <f t="shared" si="0"/>
        <v>0</v>
      </c>
      <c r="E14" s="104" t="s">
        <v>599</v>
      </c>
      <c r="F14" s="104" t="s">
        <v>600</v>
      </c>
      <c r="G14" s="108" t="e">
        <f>SUM(SUMIFS(
INDEX( 'ETPT A-JUST'!$A:$ZZ,,MATCH("Temps ventilés sur la période (absentéisme et action 99 déduits)",'ETPT A-JUST'!2:2,0)),
INDEX( 'ETPT A-JUST'!$A:$ZZ,,MATCH("Fonction recodée",'ETPT A-JUST'!2:2,0)),"Fonctionnaire CTECH placé ADD",
INDEX( 'ETPT A-JUST'!$A:$ZZ,,MATCH("Juridiction",'ETPT A-JUST'!2:2,0)),$D$5))</f>
        <v>#N/A</v>
      </c>
      <c r="H14" s="134">
        <f t="shared" si="1"/>
        <v>0</v>
      </c>
      <c r="I14" s="96">
        <f>_xlfn.IFNA(SUM(SUMIFS(
INDEX( 'ETPT A-JUST'!$A:$ZZ,,MATCH("13. TOTAL CONTENTIEUX LOCAUX SPÉCIFIQUES",'ETPT A-JUST'!2:2,0)),
INDEX( 'ETPT A-JUST'!$A:$ZZ,,MATCH("Fonction recodée",'ETPT A-JUST'!2:2,0)),"Fonctionnaire A-B-CBUR placé ADD",
INDEX( 'ETPT A-JUST'!$A:$ZZ,,MATCH("Juridiction",'ETPT A-JUST'!2:2,0)),$D$5)),0)</f>
        <v>0</v>
      </c>
      <c r="J14" s="96" t="e">
        <f>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K14" s="96" t="e">
        <f>SUM(SUMIFS(
INDEX( 'ETPT A-JUST'!$A:$ZZ,,MATCH("3. TOTAL CONTENTIEUX DE LA PROTECTION",'ETPT A-JUST'!2:2,0)),
INDEX( 'ETPT A-JUST'!$A:$ZZ,,MATCH("Fonction recodée",'ETPT A-JUST'!2:2,0)),"Fonctionnaire A-B-CBUR placé ADD",
INDEX( 'ETPT A-JUST'!$A:$ZZ,,MATCH("Juridiction",'ETPT A-JUST'!2:2,0)),$D$5))-
SUM(SUMIFS(
INDEX( 'ETPT A-JUST'!$A:$ZZ,,MATCH("3.2. PROTECTION DES MAJEURS",'ETPT A-JUST'!2:2,0)),
INDEX( 'ETPT A-JUST'!$A:$ZZ,,MATCH("Fonction recodée",'ETPT A-JUST'!2:2,0)),"Fonctionnaire A-B-CBUR placé ADD",
INDEX( 'ETPT A-JUST'!$A:$ZZ,,MATCH("Juridiction",'ETPT A-JUST'!2:2,0)),$D$5))-
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L14" s="96" t="e">
        <f>SUM(SUMIFS(
INDEX( 'ETPT A-JUST'!$A:$ZZ,,MATCH("3.2. PROTECTION DES MAJEURS",'ETPT A-JUST'!2:2,0)),
INDEX( 'ETPT A-JUST'!$A:$ZZ,,MATCH("Fonction recodée",'ETPT A-JUST'!2:2,0)),"Fonctionnaire A-B-CBUR placé ADD",
INDEX( 'ETPT A-JUST'!$A:$ZZ,,MATCH("Juridiction",'ETPT A-JUST'!2:2,0)),$D$5))</f>
        <v>#N/A</v>
      </c>
      <c r="M14" s="113"/>
      <c r="N14" s="113"/>
      <c r="O14" s="114"/>
      <c r="P14" s="114"/>
      <c r="Q14" s="111"/>
      <c r="R14" s="108" t="e">
        <f>SUM(SUMIFS(
INDEX( 'ETPT A-JUST'!$A:$ZZ,,MATCH("1. TOTAL CONTENTIEUX SOCIAL",'ETPT A-JUST'!2:2,0)),
INDEX( 'ETPT A-JUST'!$A:$ZZ,,MATCH("Fonction recodée",'ETPT A-JUST'!2:2,0)),"Fonctionnaire A-B-CBUR placé ADD",
INDEX( 'ETPT A-JUST'!$A:$ZZ,,MATCH("Juridiction",'ETPT A-JUST'!2:2,0)),$D$5))+
SUM(SUMIFS(
INDEX( 'ETPT A-JUST'!$A:$ZZ,,MATCH("2. TOTAL CONTENTIEUX JAF",'ETPT A-JUST'!2:2,0)),
INDEX( 'ETPT A-JUST'!$A:$ZZ,,MATCH("Fonction recodée",'ETPT A-JUST'!2:2,0)),"Fonctionnaire A-B-CBUR placé ADD",
INDEX( 'ETPT A-JUST'!$A:$ZZ,,MATCH("Juridiction",'ETPT A-JUST'!2:2,0)),$D$5))+
SUM(SUMIFS(
INDEX( 'ETPT A-JUST'!$A:$ZZ,,MATCH("4. TOTAL CIVIL NON SPÉCIALISÉ",'ETPT A-JUST'!2:2,0)),
INDEX( 'ETPT A-JUST'!$A:$ZZ,,MATCH("Fonction recodée",'ETPT A-JUST'!2:2,0)),"Fonctionnaire A-B-CBUR placé ADD",
INDEX( 'ETPT A-JUST'!$A:$ZZ,,MATCH("Juridiction",'ETPT A-JUST'!2:2,0)),$D$5))+
SUM(SUMIFS(
INDEX( 'ETPT A-JUST'!$A:$ZZ,,MATCH("5. TOTAL JLD CIVIL",'ETPT A-JUST'!2:2,0)),
INDEX( 'ETPT A-JUST'!$A:$ZZ,,MATCH("Fonction recodée",'ETPT A-JUST'!2:2,0)),"Fonctionnaire A-B-CBUR placé ADD",
INDEX( 'ETPT A-JUST'!$A:$ZZ,,MATCH("Juridiction",'ETPT A-JUST'!2:2,0)),$D$5))+
SUM(SUMIFS(
INDEX( 'ETPT A-JUST'!$A:$ZZ,,MATCH("6.1. ACTIVITÉ CIVILE",'ETPT A-JUST'!2:2,0)),
INDEX( 'ETPT A-JUST'!$A:$ZZ,,MATCH("Fonction recodée",'ETPT A-JUST'!2:2,0)),"Fonctionnaire A-B-CBUR placé ADD",
INDEX( 'ETPT A-JUST'!$A:$ZZ,,MATCH("Juridiction",'ETPT A-JUST'!2:2,0)),$D$5))+
SUM(SUMIFS(
INDEX( 'ETPT A-JUST'!$A:$ZZ,,MATCH("11.8. FONCTIONNAIRES AFFECTÉS AUX ACTIVITÉS CIVILES ET COMMERCIALES DU PARQUET",'ETPT A-JUST'!2:2,0)),
INDEX( 'ETPT A-JUST'!$A:$ZZ,,MATCH("Fonction recodée",'ETPT A-JUST'!2:2,0)),"Fonctionnaire A-B-CBUR placé ADD",
INDEX( 'ETPT A-JUST'!$A:$ZZ,,MATCH("Juridiction",'ETPT A-JUST'!2:2,0)),$D$5))+
SUM(SUMIFS(
INDEX( 'ETPT A-JUST'!$A:$ZZ,,MATCH("11.51. ACCUEIL DU JUSTICIABLE (DONT SAUJ)",'ETPT A-JUST'!2:2,0)),
INDEX( 'ETPT A-JUST'!$A:$ZZ,,MATCH("Fonction recodée",'ETPT A-JUST'!2:2,0)),"Fonctionnaire A-B-CBUR placé ADD",
INDEX( 'ETPT A-JUST'!$A:$ZZ,,MATCH("Juridiction",'ETPT A-JUST'!2:2,0)),$D$5))+
SUM(SUMIFS(
INDEX( 'ETPT A-JUST'!$A:$ZZ,,MATCH("11.1. SOUTIEN (HORS FORMATIONS SUIVIES)",'ETPT A-JUST'!2:2,0)),
INDEX( 'ETPT A-JUST'!$A:$ZZ,,MATCH("Fonction recodée",'ETPT A-JUST'!2:2,0)),"Fonctionnaire A-B-CBUR placé ADD",
INDEX( 'ETPT A-JUST'!$A:$ZZ,,MATCH("Juridiction",'ETPT A-JUST'!2:2,0)),$D$5))+
SUM(SUMIFS(
INDEX( 'ETPT A-JUST'!$A:$ZZ,,MATCH("11.2. FORMATIONS SUIVIES",'ETPT A-JUST'!2:2,0)),
INDEX( 'ETPT A-JUST'!$A:$ZZ,,MATCH("Fonction recodée",'ETPT A-JUST'!2:2,0)),"Fonctionnaire A-B-CBUR placé ADD",
INDEX( 'ETPT A-JUST'!$A:$ZZ,,MATCH("Juridiction",'ETPT A-JUST'!2:2,0)),$D$5))+
SUM(SUMIFS(
INDEX( 'ETPT A-JUST'!$A:$ZZ,,MATCH("11.6. AUTRES ACTIVITÉS NON JURIDICTIONNELLES",'ETPT A-JUST'!2:2,0)),
INDEX( 'ETPT A-JUST'!$A:$ZZ,,MATCH("Fonction recodée",'ETPT A-JUST'!2:2,0)),"Fonctionnaire A-B-CBUR placé ADD",
INDEX( 'ETPT A-JUST'!$A:$ZZ,,MATCH("Juridiction",'ETPT A-JUST'!2:2,0)),$D$5))+
SUM(SUMIFS(
INDEX( 'ETPT A-JUST'!$A:$ZZ,,MATCH("11.3. FORMATIONS DISPENSÉES",'ETPT A-JUST'!2:2,0)),
INDEX( 'ETPT A-JUST'!$A:$ZZ,,MATCH("Fonction recodée",'ETPT A-JUST'!2:2,0)),"Fonctionnaire A-B-CBUR placé ADD",
INDEX( 'ETPT A-JUST'!$A:$ZZ,,MATCH("Juridiction",'ETPT A-JUST'!2:2,0)),$D$5))+
SUM(SUMIFS(
INDEX( 'ETPT A-JUST'!$A:$ZZ,,MATCH("11.4. ACCÈS AU DROIT ET À LA JUSTICE",'ETPT A-JUST'!2:2,0)),
INDEX( 'ETPT A-JUST'!$A:$ZZ,,MATCH("Fonction recodée",'ETPT A-JUST'!2:2,0)),"Fonctionnaire A-B-CBUR placé ADD",
INDEX( 'ETPT A-JUST'!$A:$ZZ,,MATCH("Juridiction",'ETPT A-JUST'!2:2,0)),$D$5))</f>
        <v>#N/A</v>
      </c>
      <c r="S14" s="134">
        <f t="shared" si="2"/>
        <v>0</v>
      </c>
      <c r="T14" s="96">
        <f>_xlfn.IFNA(SUM(SUMIFS(
INDEX( 'ETPT A-JUST'!$A:$ZZ,,MATCH("13. TOTAL CONTENTIEUX LOCAUX SPÉCIFIQUES",'ETPT A-JUST'!2:2,0)),
INDEX( 'ETPT A-JUST'!$A:$ZZ,,MATCH("Fonction recodée",'ETPT A-JUST'!2:2,0)),"Magistrat placé ADD",
INDEX( 'ETPT A-JUST'!$A:$ZZ,,MATCH("Juridiction",'ETPT A-JUST'!2:2,0)),$D$5)),0)</f>
        <v>0</v>
      </c>
      <c r="U14" s="96" t="e">
        <f>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V14" s="96" t="e">
        <f>SUM(SUMIFS(
INDEX( 'ETPT A-JUST'!$A:$ZZ,,MATCH("3. TOTAL CONTENTIEUX DE LA PROTECTION",'ETPT A-JUST'!2:2,0)),
INDEX( 'ETPT A-JUST'!$A:$ZZ,,MATCH("Fonction recodée",'ETPT A-JUST'!2:2,0)),"Magistrat placé ADD",
INDEX( 'ETPT A-JUST'!$A:$ZZ,,MATCH("Juridiction",'ETPT A-JUST'!2:2,0)),$D$5))-
SUM(SUMIFS(
INDEX( 'ETPT A-JUST'!$A:$ZZ,,MATCH("3.2. PROTECTION DES MAJEURS",'ETPT A-JUST'!2:2,0)),
INDEX( 'ETPT A-JUST'!$A:$ZZ,,MATCH("Fonction recodée",'ETPT A-JUST'!2:2,0)),"Magistrat placé ADD",
INDEX( 'ETPT A-JUST'!$A:$ZZ,,MATCH("Juridiction",'ETPT A-JUST'!2:2,0)),$D$5))-
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W14" s="96" t="e">
        <f>SUM(SUMIFS(
INDEX( 'ETPT A-JUST'!$A:$ZZ,,MATCH("3.2. PROTECTION DES MAJEURS",'ETPT A-JUST'!2:2,0)),
INDEX( 'ETPT A-JUST'!$A:$ZZ,,MATCH("Fonction recodée",'ETPT A-JUST'!2:2,0)),"Magistrat placé ADD",
INDEX( 'ETPT A-JUST'!$A:$ZZ,,MATCH("Juridiction",'ETPT A-JUST'!2:2,0)),$D$5))</f>
        <v>#N/A</v>
      </c>
      <c r="X14" s="114"/>
      <c r="Y14" s="114"/>
      <c r="Z14" s="114"/>
      <c r="AA14" s="114"/>
      <c r="AB14" s="114"/>
      <c r="AC14" s="134">
        <f t="shared" si="3"/>
        <v>0</v>
      </c>
      <c r="AD14" s="114"/>
      <c r="AE14" s="100" t="e">
        <f>SUM(SUMIFS(
INDEX( 'ETPT A-JUST'!$A:$ZZ,,MATCH("1.1. DÉPARTAGE PRUD'HOMAL",'ETPT A-JUST'!2:2,0)),
INDEX( 'ETPT A-JUST'!$A:$ZZ,,MATCH("Fonction recodée",'ETPT A-JUST'!2:2,0)),"Magistrat placé ADD",
INDEX( 'ETPT A-JUST'!$A:$ZZ,,MATCH("Juridiction",'ETPT A-JUST'!2:2,0)),$D$5))</f>
        <v>#N/A</v>
      </c>
      <c r="AF14" s="100" t="e">
        <f>SUM(SUMIFS(
INDEX( 'ETPT A-JUST'!$A:$ZZ,,MATCH("Temps ventilés sur la période (absentéisme et action 99 déduits)",'ETPT A-JUST'!2:2,0)),
INDEX( 'ETPT A-JUST'!$A:$ZZ,,MATCH("Fonction recodée",'ETPT A-JUST'!2:2,0)),"Magistrat placé ADD",
INDEX( 'ETPT A-JUST'!$A:$ZZ,,MATCH("Juridiction",'ETPT A-JUST'!2:2,0)),$D$5))-
_xlfn.AGGREGATE(9,6,T14:AB14)-
_xlfn.AGGREGATE(9,6,AD14:AE14)</f>
        <v>#N/A</v>
      </c>
      <c r="AG14" s="134">
        <f t="shared" si="4"/>
        <v>0</v>
      </c>
    </row>
    <row r="15" spans="1:33" x14ac:dyDescent="0.25">
      <c r="A15" s="133" t="s">
        <v>650</v>
      </c>
      <c r="B15" s="104"/>
      <c r="C15" s="104"/>
      <c r="D15" s="104">
        <f t="shared" si="0"/>
        <v>0</v>
      </c>
      <c r="E15" s="104" t="s">
        <v>601</v>
      </c>
      <c r="F15" s="104" t="s">
        <v>602</v>
      </c>
      <c r="G15" s="108" t="e">
        <f>SUM(SUMIFS(
INDEX( 'ETPT A-JUST'!$A:$ZZ,,MATCH("Temps ventilés sur la période (absentéisme et action 99 déduits)",'ETPT A-JUST'!2:2,0)),
INDEX( 'ETPT A-JUST'!$A:$ZZ,,MATCH("Fonction recodée",'ETPT A-JUST'!2:2,0)),"Fonctionnaire CTECH placé SUB",
INDEX( 'ETPT A-JUST'!$A:$ZZ,,MATCH("Juridiction",'ETPT A-JUST'!2:2,0)),$D$5))</f>
        <v>#N/A</v>
      </c>
      <c r="H15" s="134">
        <f t="shared" si="1"/>
        <v>0</v>
      </c>
      <c r="I15" s="96">
        <f>_xlfn.IFNA(SUM(SUMIFS(
INDEX( 'ETPT A-JUST'!$A:$ZZ,,MATCH("13. TOTAL CONTENTIEUX LOCAUX SPÉCIFIQUES",'ETPT A-JUST'!2:2,0)),
INDEX( 'ETPT A-JUST'!$A:$ZZ,,MATCH("Fonction recodée",'ETPT A-JUST'!2:2,0)),"Fonctionnaire A-B-CBUR placé SUB",
INDEX( 'ETPT A-JUST'!$A:$ZZ,,MATCH("Juridiction",'ETPT A-JUST'!2:2,0)),$D$5)),0)</f>
        <v>0</v>
      </c>
      <c r="J15" s="96" t="e">
        <f>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K15" s="96" t="e">
        <f>SUM(SUMIFS(
INDEX( 'ETPT A-JUST'!$A:$ZZ,,MATCH("3. TOTAL CONTENTIEUX DE LA PROTECTION",'ETPT A-JUST'!2:2,0)),
INDEX( 'ETPT A-JUST'!$A:$ZZ,,MATCH("Fonction recodée",'ETPT A-JUST'!2:2,0)),"Fonctionnaire A-B-CBUR placé SUB",
INDEX( 'ETPT A-JUST'!$A:$ZZ,,MATCH("Juridiction",'ETPT A-JUST'!2:2,0)),$D$5))-
SUM(SUMIFS(
INDEX( 'ETPT A-JUST'!$A:$ZZ,,MATCH("3.2. PROTECTION DES MAJEURS",'ETPT A-JUST'!2:2,0)),
INDEX( 'ETPT A-JUST'!$A:$ZZ,,MATCH("Fonction recodée",'ETPT A-JUST'!2:2,0)),"Fonctionnaire A-B-CBUR placé SUB",
INDEX( 'ETPT A-JUST'!$A:$ZZ,,MATCH("Juridiction",'ETPT A-JUST'!2:2,0)),$D$5))-
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L15" s="96" t="e">
        <f>SUM(SUMIFS(
INDEX( 'ETPT A-JUST'!$A:$ZZ,,MATCH("3.2. PROTECTION DES MAJEURS",'ETPT A-JUST'!2:2,0)),
INDEX( 'ETPT A-JUST'!$A:$ZZ,,MATCH("Fonction recodée",'ETPT A-JUST'!2:2,0)),"Fonctionnaire A-B-CBUR placé SUB",
INDEX( 'ETPT A-JUST'!$A:$ZZ,,MATCH("Juridiction",'ETPT A-JUST'!2:2,0)),$D$5))</f>
        <v>#N/A</v>
      </c>
      <c r="M15" s="113"/>
      <c r="N15" s="113"/>
      <c r="O15" s="114"/>
      <c r="P15" s="114"/>
      <c r="Q15" s="111"/>
      <c r="R15" s="108" t="e">
        <f>SUM(SUMIFS(
INDEX( 'ETPT A-JUST'!$A:$ZZ,,MATCH("1. TOTAL CONTENTIEUX SOCIAL",'ETPT A-JUST'!2:2,0)),
INDEX( 'ETPT A-JUST'!$A:$ZZ,,MATCH("Fonction recodée",'ETPT A-JUST'!2:2,0)),"Fonctionnaire A-B-CBUR placé SUB",
INDEX( 'ETPT A-JUST'!$A:$ZZ,,MATCH("Juridiction",'ETPT A-JUST'!2:2,0)),$D$5))+
SUM(SUMIFS(
INDEX( 'ETPT A-JUST'!$A:$ZZ,,MATCH("2. TOTAL CONTENTIEUX JAF",'ETPT A-JUST'!2:2,0)),
INDEX( 'ETPT A-JUST'!$A:$ZZ,,MATCH("Fonction recodée",'ETPT A-JUST'!2:2,0)),"Fonctionnaire A-B-CBUR placé SUB",
INDEX( 'ETPT A-JUST'!$A:$ZZ,,MATCH("Juridiction",'ETPT A-JUST'!2:2,0)),$D$5))+
SUM(SUMIFS(
INDEX( 'ETPT A-JUST'!$A:$ZZ,,MATCH("4. TOTAL CIVIL NON SPÉCIALISÉ",'ETPT A-JUST'!2:2,0)),
INDEX( 'ETPT A-JUST'!$A:$ZZ,,MATCH("Fonction recodée",'ETPT A-JUST'!2:2,0)),"Fonctionnaire A-B-CBUR placé SUB",
INDEX( 'ETPT A-JUST'!$A:$ZZ,,MATCH("Juridiction",'ETPT A-JUST'!2:2,0)),$D$5))+
SUM(SUMIFS(
INDEX( 'ETPT A-JUST'!$A:$ZZ,,MATCH("5. TOTAL JLD CIVIL",'ETPT A-JUST'!2:2,0)),
INDEX( 'ETPT A-JUST'!$A:$ZZ,,MATCH("Fonction recodée",'ETPT A-JUST'!2:2,0)),"Fonctionnaire A-B-CBUR placé SUB",
INDEX( 'ETPT A-JUST'!$A:$ZZ,,MATCH("Juridiction",'ETPT A-JUST'!2:2,0)),$D$5))+
SUM(SUMIFS(
INDEX( 'ETPT A-JUST'!$A:$ZZ,,MATCH("6.1. ACTIVITÉ CIVILE",'ETPT A-JUST'!2:2,0)),
INDEX( 'ETPT A-JUST'!$A:$ZZ,,MATCH("Fonction recodée",'ETPT A-JUST'!2:2,0)),"Fonctionnaire A-B-CBUR placé SUB",
INDEX( 'ETPT A-JUST'!$A:$ZZ,,MATCH("Juridiction",'ETPT A-JUST'!2:2,0)),$D$5))+
SUM(SUMIFS(
INDEX( 'ETPT A-JUST'!$A:$ZZ,,MATCH("11.8. FONCTIONNAIRES AFFECTÉS AUX ACTIVITÉS CIVILES ET COMMERCIALES DU PARQUET",'ETPT A-JUST'!2:2,0)),
INDEX( 'ETPT A-JUST'!$A:$ZZ,,MATCH("Fonction recodée",'ETPT A-JUST'!2:2,0)),"Fonctionnaire A-B-CBUR placé SUB",
INDEX( 'ETPT A-JUST'!$A:$ZZ,,MATCH("Juridiction",'ETPT A-JUST'!2:2,0)),$D$5))+
SUM(SUMIFS(
INDEX( 'ETPT A-JUST'!$A:$ZZ,,MATCH("11.51. ACCUEIL DU JUSTICIABLE (DONT SAUJ)",'ETPT A-JUST'!2:2,0)),
INDEX( 'ETPT A-JUST'!$A:$ZZ,,MATCH("Fonction recodée",'ETPT A-JUST'!2:2,0)),"Fonctionnaire A-B-CBUR placé SUB",
INDEX( 'ETPT A-JUST'!$A:$ZZ,,MATCH("Juridiction",'ETPT A-JUST'!2:2,0)),$D$5))+
SUM(SUMIFS(
INDEX( 'ETPT A-JUST'!$A:$ZZ,,MATCH("11.1. SOUTIEN (HORS FORMATIONS SUIVIES)",'ETPT A-JUST'!2:2,0)),
INDEX( 'ETPT A-JUST'!$A:$ZZ,,MATCH("Fonction recodée",'ETPT A-JUST'!2:2,0)),"Fonctionnaire A-B-CBUR placé SUB",
INDEX( 'ETPT A-JUST'!$A:$ZZ,,MATCH("Juridiction",'ETPT A-JUST'!2:2,0)),$D$5))+
SUM(SUMIFS(
INDEX( 'ETPT A-JUST'!$A:$ZZ,,MATCH("11.2. FORMATIONS SUIVIES",'ETPT A-JUST'!2:2,0)),
INDEX( 'ETPT A-JUST'!$A:$ZZ,,MATCH("Fonction recodée",'ETPT A-JUST'!2:2,0)),"Fonctionnaire A-B-CBUR placé SUB",
INDEX( 'ETPT A-JUST'!$A:$ZZ,,MATCH("Juridiction",'ETPT A-JUST'!2:2,0)),$D$5))+
SUM(SUMIFS(
INDEX( 'ETPT A-JUST'!$A:$ZZ,,MATCH("11.6. AUTRES ACTIVITÉS NON JURIDICTIONNELLES",'ETPT A-JUST'!2:2,0)),
INDEX( 'ETPT A-JUST'!$A:$ZZ,,MATCH("Fonction recodée",'ETPT A-JUST'!2:2,0)),"Fonctionnaire A-B-CBUR placé SUB",
INDEX( 'ETPT A-JUST'!$A:$ZZ,,MATCH("Juridiction",'ETPT A-JUST'!2:2,0)),$D$5))+
SUM(SUMIFS(
INDEX( 'ETPT A-JUST'!$A:$ZZ,,MATCH("11.3. FORMATIONS DISPENSÉES",'ETPT A-JUST'!2:2,0)),
INDEX( 'ETPT A-JUST'!$A:$ZZ,,MATCH("Fonction recodée",'ETPT A-JUST'!2:2,0)),"Fonctionnaire A-B-CBUR placé SUB",
INDEX( 'ETPT A-JUST'!$A:$ZZ,,MATCH("Juridiction",'ETPT A-JUST'!2:2,0)),$D$5))+
SUM(SUMIFS(
INDEX( 'ETPT A-JUST'!$A:$ZZ,,MATCH("11.4. ACCÈS AU DROIT ET À LA JUSTICE",'ETPT A-JUST'!2:2,0)),
INDEX( 'ETPT A-JUST'!$A:$ZZ,,MATCH("Fonction recodée",'ETPT A-JUST'!2:2,0)),"Fonctionnaire A-B-CBUR placé SUB",
INDEX( 'ETPT A-JUST'!$A:$ZZ,,MATCH("Juridiction",'ETPT A-JUST'!2:2,0)),$D$5))</f>
        <v>#N/A</v>
      </c>
      <c r="S15" s="134">
        <f>_xlfn.AGGREGATE(9,6,I15:R15)</f>
        <v>0</v>
      </c>
      <c r="T15" s="96">
        <f>_xlfn.IFNA(SUM(SUMIFS(
INDEX( 'ETPT A-JUST'!$A:$ZZ,,MATCH("13. TOTAL CONTENTIEUX LOCAUX SPÉCIFIQUES",'ETPT A-JUST'!2:2,0)),
INDEX( 'ETPT A-JUST'!$A:$ZZ,,MATCH("Fonction recodée",'ETPT A-JUST'!2:2,0)),"Magistrat placé SUB",
INDEX( 'ETPT A-JUST'!$A:$ZZ,,MATCH("Juridiction",'ETPT A-JUST'!2:2,0)),$D$5)),0)</f>
        <v>0</v>
      </c>
      <c r="U15" s="96" t="e">
        <f>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V15" s="96" t="e">
        <f>SUM(SUMIFS(
INDEX( 'ETPT A-JUST'!$A:$ZZ,,MATCH("3. TOTAL CONTENTIEUX DE LA PROTECTION",'ETPT A-JUST'!2:2,0)),
INDEX( 'ETPT A-JUST'!$A:$ZZ,,MATCH("Fonction recodée",'ETPT A-JUST'!2:2,0)),"Magistrat placé SUB",
INDEX( 'ETPT A-JUST'!$A:$ZZ,,MATCH("Juridiction",'ETPT A-JUST'!2:2,0)),$D$5))-
SUM(SUMIFS(
INDEX( 'ETPT A-JUST'!$A:$ZZ,,MATCH("3.2. PROTECTION DES MAJEURS",'ETPT A-JUST'!2:2,0)),
INDEX( 'ETPT A-JUST'!$A:$ZZ,,MATCH("Fonction recodée",'ETPT A-JUST'!2:2,0)),"Magistrat placé SUB",
INDEX( 'ETPT A-JUST'!$A:$ZZ,,MATCH("Juridiction",'ETPT A-JUST'!2:2,0)),$D$5))-
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W15" s="96" t="e">
        <f>SUM(SUMIFS(
INDEX( 'ETPT A-JUST'!$A:$ZZ,,MATCH("3.2. PROTECTION DES MAJEURS",'ETPT A-JUST'!2:2,0)),
INDEX( 'ETPT A-JUST'!$A:$ZZ,,MATCH("Fonction recodée",'ETPT A-JUST'!2:2,0)),"Magistrat placé SUB",
INDEX( 'ETPT A-JUST'!$A:$ZZ,,MATCH("Juridiction",'ETPT A-JUST'!2:2,0)),$D$5))</f>
        <v>#N/A</v>
      </c>
      <c r="X15" s="114"/>
      <c r="Y15" s="114"/>
      <c r="Z15" s="114"/>
      <c r="AA15" s="114"/>
      <c r="AB15" s="114"/>
      <c r="AC15" s="134">
        <f t="shared" si="3"/>
        <v>0</v>
      </c>
      <c r="AD15" s="111"/>
      <c r="AE15" s="100" t="e">
        <f>SUM(SUMIFS(
INDEX( 'ETPT A-JUST'!$A:$ZZ,,MATCH("1.1. DÉPARTAGE PRUD'HOMAL",'ETPT A-JUST'!2:2,0)),
INDEX( 'ETPT A-JUST'!$A:$ZZ,,MATCH("Fonction recodée",'ETPT A-JUST'!2:2,0)),"Magistrat placé SUB",
INDEX( 'ETPT A-JUST'!$A:$ZZ,,MATCH("Juridiction",'ETPT A-JUST'!2:2,0)),$D$5))</f>
        <v>#N/A</v>
      </c>
      <c r="AF15" s="100" t="e">
        <f>SUM(SUMIFS(
INDEX( 'ETPT A-JUST'!$A:$ZZ,,MATCH("Temps ventilés sur la période (absentéisme et action 99 déduits)",'ETPT A-JUST'!2:2,0)),
INDEX( 'ETPT A-JUST'!$A:$ZZ,,MATCH("Fonction recodée",'ETPT A-JUST'!2:2,0)),"Magistrat placé SUB",
INDEX( 'ETPT A-JUST'!$A:$ZZ,,MATCH("Juridiction",'ETPT A-JUST'!2:2,0)),$D$5))-
_xlfn.AGGREGATE(9,6,T15:AB15)-
_xlfn.AGGREGATE(9,6,AD15:AE15)</f>
        <v>#N/A</v>
      </c>
      <c r="AG15" s="134">
        <f>_xlfn.AGGREGATE(9,6,AD15:AF15)</f>
        <v>0</v>
      </c>
    </row>
    <row r="16" spans="1:33" x14ac:dyDescent="0.25">
      <c r="A16" s="133"/>
      <c r="B16" s="143"/>
      <c r="C16" s="143"/>
      <c r="D16" s="143"/>
      <c r="E16" s="143"/>
      <c r="F16" s="144" t="s">
        <v>603</v>
      </c>
      <c r="G16" s="134">
        <f>_xlfn.AGGREGATE(9,6,G5:G15)</f>
        <v>0</v>
      </c>
      <c r="H16" s="134">
        <f t="shared" ref="H16:AG16" si="5">_xlfn.AGGREGATE(9,6,H5:H15)</f>
        <v>0</v>
      </c>
      <c r="I16" s="134">
        <f t="shared" si="5"/>
        <v>0</v>
      </c>
      <c r="J16" s="134">
        <f t="shared" si="5"/>
        <v>0</v>
      </c>
      <c r="K16" s="134">
        <f t="shared" si="5"/>
        <v>0</v>
      </c>
      <c r="L16" s="134">
        <f t="shared" si="5"/>
        <v>0</v>
      </c>
      <c r="M16" s="134">
        <f t="shared" si="5"/>
        <v>0</v>
      </c>
      <c r="N16" s="134">
        <f t="shared" si="5"/>
        <v>0</v>
      </c>
      <c r="O16" s="134">
        <f t="shared" si="5"/>
        <v>0</v>
      </c>
      <c r="P16" s="134">
        <f t="shared" si="5"/>
        <v>0</v>
      </c>
      <c r="Q16" s="134">
        <f t="shared" si="5"/>
        <v>0</v>
      </c>
      <c r="R16" s="134">
        <f t="shared" si="5"/>
        <v>0</v>
      </c>
      <c r="S16" s="134">
        <f t="shared" si="5"/>
        <v>0</v>
      </c>
      <c r="T16" s="134">
        <f t="shared" si="5"/>
        <v>0</v>
      </c>
      <c r="U16" s="134">
        <f t="shared" si="5"/>
        <v>0</v>
      </c>
      <c r="V16" s="134">
        <f t="shared" si="5"/>
        <v>0</v>
      </c>
      <c r="W16" s="134">
        <f t="shared" si="5"/>
        <v>0</v>
      </c>
      <c r="X16" s="134">
        <f t="shared" si="5"/>
        <v>0</v>
      </c>
      <c r="Y16" s="134">
        <f t="shared" si="5"/>
        <v>0</v>
      </c>
      <c r="Z16" s="134">
        <f t="shared" si="5"/>
        <v>0</v>
      </c>
      <c r="AA16" s="134">
        <f t="shared" si="5"/>
        <v>0</v>
      </c>
      <c r="AB16" s="134">
        <f t="shared" si="5"/>
        <v>0</v>
      </c>
      <c r="AC16" s="134">
        <f>_xlfn.AGGREGATE(9,6,AC5:AC15)</f>
        <v>0</v>
      </c>
      <c r="AD16" s="134">
        <f>_xlfn.AGGREGATE(9,6,AD5:AD15)</f>
        <v>0</v>
      </c>
      <c r="AE16" s="134">
        <f t="shared" si="5"/>
        <v>0</v>
      </c>
      <c r="AF16" s="134">
        <f t="shared" si="5"/>
        <v>0</v>
      </c>
      <c r="AG16" s="134">
        <f t="shared" si="5"/>
        <v>0</v>
      </c>
    </row>
    <row r="17" spans="19:19" x14ac:dyDescent="0.25">
      <c r="S17" s="122"/>
    </row>
    <row r="18" ht="24" customHeight="1" spans="6:32" s="145" customFormat="1" x14ac:dyDescent="0.25">
      <c r="F18" s="146" t="s">
        <v>605</v>
      </c>
      <c r="G18" s="126" t="e">
        <f t="array" ref="G18">SUM(SUMIFS(
INDEX( 'ETPT A-JUST'!$A:$ZZ,,MATCH("12. TOTAL INDISPONIBILITÉ",'ETPT A-JUST'!2:2,0)),
INDEX( 'ETPT A-JUST'!$A:$ZZ,,MATCH("Fonction recodée",'ETPT A-JUST'!2:2,0)),{"Fonctionnaire CTECH placé ADD";"Fonctionnaire CTECH placé SUB"},
INDEX( 'ETPT A-JUST'!$A:$ZZ,,MATCH("Juridiction",'ETPT A-JUST'!2:2,0)),$D$5))</f>
        <v>#N/A</v>
      </c>
      <c r="Q18" s="128" t="s">
        <v>606</v>
      </c>
      <c r="R18" s="126" t="e">
        <f t="array" ref="R18">SUM(SUMIFS(
INDEX( 'ETPT A-JUST'!$A:$ZZ,,MATCH("12. TOTAL INDISPONIBILITÉ",'ETPT A-JUST'!2:2,0)),
INDEX( 'ETPT A-JUST'!$A:$ZZ,,MATCH("Fonction recodée",'ETPT A-JUST'!2:2,0)),{"Fonctionnaire A-B-CBUR placé ADD";"Fonctionnaire A-B-CBUR placé SUB"},
INDEX( 'ETPT A-JUST'!$A:$ZZ,,MATCH("Juridiction",'ETPT A-JUST'!2:2,0)),$D$5))</f>
        <v>#N/A</v>
      </c>
      <c r="S18" s="147"/>
      <c r="AD18" s="128"/>
      <c r="AE18" s="128" t="s">
        <v>607</v>
      </c>
      <c r="AF18" s="100" t="e">
        <f t="array" ref="AF18">SUM(SUMIFS(
INDEX( 'ETPT A-JUST'!$A:$ZZ,,MATCH("12. TOTAL INDISPONIBILITÉ",'ETPT A-JUST'!2:2,0)),
INDEX( 'ETPT A-JUST'!$A:$ZZ,,MATCH("Fonction recodée",'ETPT A-JUST'!2:2,0)),{"Magistrat placé ADD";"Magistrat placé SUB"},
INDEX( 'ETPT A-JUST'!$A:$ZZ,,MATCH("Juridiction",'ETPT A-JUST'!2:2,0)),$D$5))</f>
        <v>#N/A</v>
      </c>
    </row>
    <row r="19" spans="4:4" x14ac:dyDescent="0.25">
      <c r="D19" s="123" t="s">
        <v>604</v>
      </c>
    </row>
  </sheetData>
  <mergeCells count="5">
    <mergeCell ref="A1:H1"/>
    <mergeCell ref="H2:H4"/>
    <mergeCell ref="S2:S4"/>
    <mergeCell ref="AC2:AC4"/>
    <mergeCell ref="AG2:AG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7"/>
  <sheetViews>
    <sheetView workbookViewId="0" zoomScale="150" zoomScaleNormal="100">
      <selection activeCell="I19" sqref="I19"/>
    </sheetView>
  </sheetViews>
  <sheetFormatPr defaultRowHeight="16" outlineLevelRow="0" outlineLevelCol="0" x14ac:dyDescent="0.2" defaultColWidth="11" customHeight="1"/>
  <cols>
    <col min="1" max="3" style="80" hidden="1" customWidth="1"/>
    <col min="4" max="4" width="15.1640625" style="80" customWidth="1"/>
    <col min="5" max="5" width="11" style="80" customWidth="1"/>
    <col min="6" max="6" width="46.33203125" style="80" customWidth="1"/>
    <col min="7" max="16384" width="11" style="80" customWidth="1"/>
  </cols>
  <sheetData>
    <row r="1" spans="1:10" x14ac:dyDescent="0.25">
      <c r="A1" s="81"/>
      <c r="C1" s="148"/>
      <c r="D1" s="148" t="s">
        <v>651</v>
      </c>
      <c r="E1" s="148"/>
      <c r="F1" s="148"/>
      <c r="G1" s="81"/>
      <c r="H1" s="81"/>
      <c r="I1" s="81"/>
      <c r="J1" s="81"/>
    </row>
    <row r="2" spans="1:10" x14ac:dyDescent="0.25">
      <c r="A2" s="149"/>
      <c r="B2" s="150"/>
      <c r="C2" s="150"/>
      <c r="D2" s="150"/>
      <c r="E2" s="150"/>
      <c r="F2" s="150"/>
      <c r="G2" s="84" t="s">
        <v>477</v>
      </c>
      <c r="H2" s="85" t="s">
        <v>478</v>
      </c>
      <c r="I2" s="84" t="s">
        <v>652</v>
      </c>
      <c r="J2" s="85" t="s">
        <v>653</v>
      </c>
    </row>
    <row r="3" ht="36" customHeight="1" spans="1:10" x14ac:dyDescent="0.25">
      <c r="A3" s="149"/>
      <c r="B3" s="150"/>
      <c r="C3" s="150"/>
      <c r="D3" s="150"/>
      <c r="E3" s="150"/>
      <c r="F3" s="150"/>
      <c r="G3" s="84" t="s">
        <v>498</v>
      </c>
      <c r="H3" s="85"/>
      <c r="I3" s="84" t="s">
        <v>654</v>
      </c>
      <c r="J3" s="85"/>
    </row>
    <row r="4" ht="36" customHeight="1" spans="1:10" s="151" customFormat="1" x14ac:dyDescent="0.25">
      <c r="A4" s="152"/>
      <c r="B4" s="153" t="s">
        <v>528</v>
      </c>
      <c r="C4" s="153" t="s">
        <v>529</v>
      </c>
      <c r="D4" s="153" t="s">
        <v>37</v>
      </c>
      <c r="E4" s="153" t="s">
        <v>530</v>
      </c>
      <c r="F4" s="153" t="s">
        <v>531</v>
      </c>
      <c r="G4" s="84" t="s">
        <v>546</v>
      </c>
      <c r="H4" s="85"/>
      <c r="I4" s="84" t="s">
        <v>655</v>
      </c>
      <c r="J4" s="85"/>
    </row>
    <row r="5" ht="11" customHeight="1" spans="1:10" s="151" customFormat="1" x14ac:dyDescent="0.25">
      <c r="A5" s="154" t="s">
        <v>656</v>
      </c>
      <c r="B5" s="155"/>
      <c r="C5" s="155"/>
      <c r="D5" s="156">
        <f>ETPT_CPH_DDG!$D$5</f>
        <v>0</v>
      </c>
      <c r="E5" s="155" t="s">
        <v>578</v>
      </c>
      <c r="F5" s="155" t="s">
        <v>579</v>
      </c>
      <c r="G5" s="157" t="e">
        <f>SUM(SUMIFS(
INDEX( 'ETPT Format DDG'!$A:$ZZ,,MATCH("11.7. FONCTIONNAIRES AFFECTÉS AU CPH",'ETPT Format DDG'!2:2,0)),
INDEX( 'ETPT Format DDG'!$A:$ZZ,,MATCH("Fonction recodée",'ETPT Format DDG'!2:2,0)),"Fonctionnaire A-B-CBUR",
INDEX( 'ETPT Format DDG'!$A:$ZZ,,MATCH("Juridiction",'ETPT Format DDG'!2:2,0)),$D$5))</f>
        <v>#N/A</v>
      </c>
      <c r="H5" s="158">
        <f>_xlfn.AGGREGATE(9,6,G5)</f>
        <v>0</v>
      </c>
      <c r="I5" s="159"/>
      <c r="J5" s="158">
        <f>_xlfn.AGGREGATE(9,6,I5)</f>
        <v>0</v>
      </c>
    </row>
    <row r="6" ht="11" customHeight="1" spans="1:10" s="151" customFormat="1" x14ac:dyDescent="0.25">
      <c r="A6" s="154" t="s">
        <v>656</v>
      </c>
      <c r="B6" s="155"/>
      <c r="C6" s="155"/>
      <c r="D6" s="104">
        <f t="shared" ref="D6:D13" si="0">$D$5</f>
        <v>0</v>
      </c>
      <c r="E6" s="155" t="s">
        <v>587</v>
      </c>
      <c r="F6" s="155" t="s">
        <v>588</v>
      </c>
      <c r="G6" s="160"/>
      <c r="H6" s="158">
        <f t="shared" ref="H6:H13" si="1">_xlfn.AGGREGATE(9,6,G6)</f>
        <v>0</v>
      </c>
      <c r="I6" s="159"/>
      <c r="J6" s="158">
        <f t="shared" ref="J6:J13" si="2">_xlfn.AGGREGATE(9,6,I6)</f>
        <v>0</v>
      </c>
    </row>
    <row r="7" ht="11" customHeight="1" spans="1:10" s="151" customFormat="1" x14ac:dyDescent="0.25">
      <c r="A7" s="154" t="s">
        <v>656</v>
      </c>
      <c r="B7" s="155"/>
      <c r="C7" s="155"/>
      <c r="D7" s="104">
        <f t="shared" si="0"/>
        <v>0</v>
      </c>
      <c r="E7" s="155" t="s">
        <v>589</v>
      </c>
      <c r="F7" s="155" t="s">
        <v>590</v>
      </c>
      <c r="G7" s="160"/>
      <c r="H7" s="158">
        <f t="shared" si="1"/>
        <v>0</v>
      </c>
      <c r="I7" s="161"/>
      <c r="J7" s="158">
        <f t="shared" si="2"/>
        <v>0</v>
      </c>
    </row>
    <row r="8" ht="11" customHeight="1" spans="1:10" s="151" customFormat="1" x14ac:dyDescent="0.25">
      <c r="A8" s="154" t="s">
        <v>656</v>
      </c>
      <c r="B8" s="155"/>
      <c r="C8" s="155"/>
      <c r="D8" s="104">
        <f t="shared" si="0"/>
        <v>0</v>
      </c>
      <c r="E8" s="155" t="s">
        <v>591</v>
      </c>
      <c r="F8" s="155" t="s">
        <v>592</v>
      </c>
      <c r="G8" s="160"/>
      <c r="H8" s="158">
        <f t="shared" si="1"/>
        <v>0</v>
      </c>
      <c r="I8" s="159"/>
      <c r="J8" s="158">
        <f t="shared" si="2"/>
        <v>0</v>
      </c>
    </row>
    <row r="9" ht="11" customHeight="1" spans="1:10" s="151" customFormat="1" x14ac:dyDescent="0.25">
      <c r="A9" s="154" t="s">
        <v>656</v>
      </c>
      <c r="B9" s="155"/>
      <c r="C9" s="155"/>
      <c r="D9" s="104">
        <f t="shared" si="0"/>
        <v>0</v>
      </c>
      <c r="E9" s="155" t="s">
        <v>593</v>
      </c>
      <c r="F9" s="155" t="s">
        <v>594</v>
      </c>
      <c r="G9" s="160"/>
      <c r="H9" s="158">
        <f t="shared" si="1"/>
        <v>0</v>
      </c>
      <c r="I9" s="161"/>
      <c r="J9" s="158">
        <f t="shared" si="2"/>
        <v>0</v>
      </c>
    </row>
    <row r="10" ht="11" customHeight="1" spans="1:10" s="151" customFormat="1" x14ac:dyDescent="0.25">
      <c r="A10" s="154" t="s">
        <v>656</v>
      </c>
      <c r="B10" s="155"/>
      <c r="C10" s="155"/>
      <c r="D10" s="104">
        <f t="shared" si="0"/>
        <v>0</v>
      </c>
      <c r="E10" s="155" t="s">
        <v>595</v>
      </c>
      <c r="F10" s="155" t="s">
        <v>596</v>
      </c>
      <c r="G10" s="160"/>
      <c r="H10" s="158">
        <f t="shared" si="1"/>
        <v>0</v>
      </c>
      <c r="I10" s="159"/>
      <c r="J10" s="158">
        <f t="shared" si="2"/>
        <v>0</v>
      </c>
    </row>
    <row r="11" ht="11" customHeight="1" spans="1:10" s="151" customFormat="1" x14ac:dyDescent="0.25">
      <c r="A11" s="154" t="s">
        <v>656</v>
      </c>
      <c r="B11" s="155"/>
      <c r="C11" s="155"/>
      <c r="D11" s="104">
        <f t="shared" si="0"/>
        <v>0</v>
      </c>
      <c r="E11" s="155" t="s">
        <v>597</v>
      </c>
      <c r="F11" s="155" t="s">
        <v>598</v>
      </c>
      <c r="G11" s="160"/>
      <c r="H11" s="158">
        <f t="shared" si="1"/>
        <v>0</v>
      </c>
      <c r="I11" s="161"/>
      <c r="J11" s="158">
        <f t="shared" si="2"/>
        <v>0</v>
      </c>
    </row>
    <row r="12" ht="11" customHeight="1" spans="1:10" s="151" customFormat="1" x14ac:dyDescent="0.25">
      <c r="A12" s="154" t="s">
        <v>656</v>
      </c>
      <c r="B12" s="155"/>
      <c r="C12" s="155"/>
      <c r="D12" s="104">
        <f t="shared" si="0"/>
        <v>0</v>
      </c>
      <c r="E12" s="155" t="s">
        <v>599</v>
      </c>
      <c r="F12" s="155" t="s">
        <v>600</v>
      </c>
      <c r="G12" s="157" t="e">
        <f>SUM(SUMIFS(
INDEX( 'ETPT A-JUST'!$A:$ZZ,,MATCH("11.7. FONCTIONNAIRES AFFECTÉS AU CPH",'ETPT A-JUST'!2:2,0)),
INDEX( 'ETPT A-JUST'!$A:$ZZ,,MATCH("Fonction recodée",'ETPT A-JUST'!2:2,0)),"Fonctionnaire A-B-CBUR placé ADD",
INDEX( 'ETPT A-JUST'!$A:$ZZ,,MATCH("Juridiction",'ETPT A-JUST'!2:2,0)),$D$5))</f>
        <v>#N/A</v>
      </c>
      <c r="H12" s="158">
        <f t="shared" si="1"/>
        <v>0</v>
      </c>
      <c r="I12" s="142"/>
      <c r="J12" s="158">
        <f t="shared" si="2"/>
        <v>0</v>
      </c>
    </row>
    <row r="13" ht="11" customHeight="1" spans="1:10" s="151" customFormat="1" x14ac:dyDescent="0.25">
      <c r="A13" s="154" t="s">
        <v>656</v>
      </c>
      <c r="B13" s="155"/>
      <c r="C13" s="155"/>
      <c r="D13" s="104">
        <f t="shared" si="0"/>
        <v>0</v>
      </c>
      <c r="E13" s="155" t="s">
        <v>601</v>
      </c>
      <c r="F13" s="155" t="s">
        <v>602</v>
      </c>
      <c r="G13" s="157" t="e">
        <f>SUM(SUMIFS(
INDEX( 'ETPT A-JUST'!$A:$ZZ,,MATCH("11.7. FONCTIONNAIRES AFFECTÉS AU CPH",'ETPT A-JUST'!2:2,0)),
INDEX( 'ETPT A-JUST'!$A:$ZZ,,MATCH("Fonction recodée",'ETPT A-JUST'!2:2,0)),"Fonctionnaire A-B-CBUR placé SUB",
INDEX( 'ETPT A-JUST'!$A:$ZZ,,MATCH("Juridiction",'ETPT A-JUST'!2:2,0)),$D$5))</f>
        <v>#N/A</v>
      </c>
      <c r="H13" s="158">
        <f t="shared" si="1"/>
        <v>0</v>
      </c>
      <c r="I13" s="142"/>
      <c r="J13" s="158">
        <f t="shared" si="2"/>
        <v>0</v>
      </c>
    </row>
    <row r="14" ht="11" customHeight="1" spans="1:10" s="151" customFormat="1" x14ac:dyDescent="0.25">
      <c r="A14" s="162"/>
      <c r="B14" s="104"/>
      <c r="C14" s="104"/>
      <c r="D14" s="104"/>
      <c r="E14" s="143"/>
      <c r="F14" s="163" t="s">
        <v>603</v>
      </c>
      <c r="G14" s="158">
        <f>_xlfn.AGGREGATE(9,6,G5:G13)</f>
        <v>0</v>
      </c>
      <c r="H14" s="158">
        <f t="shared" ref="H14:I14" si="3">_xlfn.AGGREGATE(9,6,H5:H13)</f>
        <v>0</v>
      </c>
      <c r="I14" s="158">
        <f t="shared" si="3"/>
        <v>0</v>
      </c>
      <c r="J14" s="158">
        <f>_xlfn.AGGREGATE(9,6,J5:J13)</f>
        <v>0</v>
      </c>
    </row>
    <row r="17" spans="4:4" x14ac:dyDescent="0.25">
      <c r="D17" s="123"/>
    </row>
  </sheetData>
  <mergeCells count="2">
    <mergeCell ref="H2:H4"/>
    <mergeCell ref="J2:J4"/>
  </mergeCells>
  <pageMargins left="0.7" right="0.7" top="0.75" bottom="0.75" header="0.3" footer="0.3"/>
  <pageSetup paperSize="9" orientation="portrait" horizontalDpi="4294967295" verticalDpi="4294967295" scale="100" fitToWidth="1" fitToHeight="1" firstPageNumber="1" useFirstPageNumber="1" copies="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E0000"/>
  </sheetPr>
  <dimension ref="A1:BE22"/>
  <sheetViews>
    <sheetView workbookViewId="0" showGridLines="0" zoomScale="100" zoomScaleNormal="100">
      <selection activeCell="D5" sqref="D5"/>
    </sheetView>
  </sheetViews>
  <sheetFormatPr defaultRowHeight="16" outlineLevelRow="0" outlineLevelCol="0" x14ac:dyDescent="0.2" defaultColWidth="11" customHeight="1"/>
  <cols>
    <col min="1" max="1" width="6" style="80" hidden="1" customWidth="1"/>
    <col min="2" max="2" width="17.1640625" style="80" hidden="1" customWidth="1"/>
    <col min="3" max="3" width="6.33203125" style="80" hidden="1" customWidth="1"/>
    <col min="4" max="4" width="14.6640625" style="80" customWidth="1"/>
    <col min="5" max="5" width="9.6640625" style="80" customWidth="1"/>
    <col min="6" max="6" width="50.5" style="80" customWidth="1"/>
    <col min="7" max="8" width="9.33203125" style="80" customWidth="1"/>
    <col min="9" max="9" width="9.5" style="80" customWidth="1"/>
    <col min="10" max="10" width="9" style="80" customWidth="1"/>
    <col min="11" max="33" width="9.33203125" style="80" customWidth="1"/>
    <col min="34" max="34" width="8.5" style="80" customWidth="1"/>
    <col min="35" max="35" width="7.33203125" style="80" customWidth="1"/>
    <col min="36" max="52" width="9.33203125" style="80" customWidth="1"/>
    <col min="53" max="53" width="10.6640625" style="80" customWidth="1"/>
    <col min="54" max="57" width="9.33203125" style="80" customWidth="1"/>
    <col min="58" max="58" width="4" style="80" customWidth="1"/>
    <col min="59" max="16384" width="11" style="80" customWidth="1"/>
  </cols>
  <sheetData>
    <row r="1" ht="80" customHeight="1" spans="1:57" s="40" customFormat="1" x14ac:dyDescent="0.25">
      <c r="A1" s="41" t="s">
        <v>657</v>
      </c>
      <c r="B1" s="42"/>
      <c r="C1" s="42"/>
      <c r="D1" s="41" t="s">
        <v>680</v>
      </c>
      <c r="E1" s="43"/>
      <c r="F1" s="44"/>
      <c r="G1" s="44"/>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row>
    <row r="2" ht="12.75" customHeight="1" hidden="1" spans="1:57" s="81" customFormat="1" x14ac:dyDescent="0.25">
      <c r="A2" s="83"/>
      <c r="B2" s="83"/>
      <c r="C2" s="83"/>
      <c r="D2" s="181"/>
      <c r="E2" s="181"/>
      <c r="F2" s="181"/>
      <c r="G2" s="84" t="s">
        <v>475</v>
      </c>
      <c r="H2" s="85" t="s">
        <v>476</v>
      </c>
      <c r="I2" s="86" t="s">
        <v>477</v>
      </c>
      <c r="J2" s="86" t="s">
        <v>477</v>
      </c>
      <c r="K2" s="86" t="s">
        <v>477</v>
      </c>
      <c r="L2" s="86" t="s">
        <v>477</v>
      </c>
      <c r="M2" s="86" t="s">
        <v>477</v>
      </c>
      <c r="N2" s="86" t="s">
        <v>477</v>
      </c>
      <c r="O2" s="86" t="s">
        <v>477</v>
      </c>
      <c r="P2" s="86" t="s">
        <v>477</v>
      </c>
      <c r="Q2" s="86" t="s">
        <v>477</v>
      </c>
      <c r="R2" s="86" t="s">
        <v>477</v>
      </c>
      <c r="S2" s="86" t="s">
        <v>477</v>
      </c>
      <c r="T2" s="86" t="s">
        <v>477</v>
      </c>
      <c r="U2" s="86" t="s">
        <v>477</v>
      </c>
      <c r="V2" s="86" t="s">
        <v>477</v>
      </c>
      <c r="W2" s="85" t="s">
        <v>478</v>
      </c>
      <c r="X2" s="87" t="s">
        <v>479</v>
      </c>
      <c r="Y2" s="87" t="s">
        <v>479</v>
      </c>
      <c r="Z2" s="87" t="s">
        <v>479</v>
      </c>
      <c r="AA2" s="87" t="s">
        <v>479</v>
      </c>
      <c r="AB2" s="87" t="s">
        <v>479</v>
      </c>
      <c r="AC2" s="87" t="s">
        <v>479</v>
      </c>
      <c r="AD2" s="87" t="s">
        <v>479</v>
      </c>
      <c r="AE2" s="87" t="s">
        <v>479</v>
      </c>
      <c r="AF2" s="87" t="s">
        <v>479</v>
      </c>
      <c r="AG2" s="85" t="s">
        <v>480</v>
      </c>
      <c r="AH2" s="87" t="s">
        <v>481</v>
      </c>
      <c r="AI2" s="87" t="s">
        <v>481</v>
      </c>
      <c r="AJ2" s="87" t="s">
        <v>481</v>
      </c>
      <c r="AK2" s="87" t="s">
        <v>481</v>
      </c>
      <c r="AL2" s="87" t="s">
        <v>481</v>
      </c>
      <c r="AM2" s="87" t="s">
        <v>481</v>
      </c>
      <c r="AN2" s="87" t="s">
        <v>481</v>
      </c>
      <c r="AO2" s="87" t="s">
        <v>481</v>
      </c>
      <c r="AP2" s="87" t="s">
        <v>481</v>
      </c>
      <c r="AQ2" s="87" t="s">
        <v>481</v>
      </c>
      <c r="AR2" s="87" t="s">
        <v>481</v>
      </c>
      <c r="AS2" s="87" t="s">
        <v>481</v>
      </c>
      <c r="AT2" s="87" t="s">
        <v>481</v>
      </c>
      <c r="AU2" s="85" t="s">
        <v>482</v>
      </c>
      <c r="AV2" s="88" t="s">
        <v>483</v>
      </c>
      <c r="AW2" s="88" t="s">
        <v>483</v>
      </c>
      <c r="AX2" s="88" t="s">
        <v>483</v>
      </c>
      <c r="AY2" s="88" t="s">
        <v>483</v>
      </c>
      <c r="AZ2" s="88" t="s">
        <v>483</v>
      </c>
      <c r="BA2" s="88" t="s">
        <v>483</v>
      </c>
      <c r="BB2" s="88" t="s">
        <v>483</v>
      </c>
      <c r="BC2" s="88" t="s">
        <v>483</v>
      </c>
      <c r="BD2" s="88" t="s">
        <v>483</v>
      </c>
      <c r="BE2" s="85" t="s">
        <v>484</v>
      </c>
    </row>
    <row r="3" ht="26" customHeight="1" hidden="1" spans="1:57" s="81" customFormat="1" x14ac:dyDescent="0.25">
      <c r="A3" s="83"/>
      <c r="B3" s="83"/>
      <c r="C3" s="83"/>
      <c r="D3" s="83"/>
      <c r="E3" s="83"/>
      <c r="F3" s="83"/>
      <c r="G3" s="84" t="s">
        <v>485</v>
      </c>
      <c r="H3" s="85"/>
      <c r="I3" s="86" t="s">
        <v>486</v>
      </c>
      <c r="J3" s="86" t="s">
        <v>487</v>
      </c>
      <c r="K3" s="86" t="s">
        <v>488</v>
      </c>
      <c r="L3" s="86" t="s">
        <v>489</v>
      </c>
      <c r="M3" s="86" t="s">
        <v>490</v>
      </c>
      <c r="N3" s="86" t="s">
        <v>491</v>
      </c>
      <c r="O3" s="86" t="s">
        <v>492</v>
      </c>
      <c r="P3" s="86" t="s">
        <v>493</v>
      </c>
      <c r="Q3" s="86" t="s">
        <v>494</v>
      </c>
      <c r="R3" s="86"/>
      <c r="S3" s="86" t="s">
        <v>495</v>
      </c>
      <c r="T3" s="86" t="s">
        <v>496</v>
      </c>
      <c r="U3" s="86" t="s">
        <v>497</v>
      </c>
      <c r="V3" s="86" t="s">
        <v>498</v>
      </c>
      <c r="W3" s="85"/>
      <c r="X3" s="87" t="s">
        <v>499</v>
      </c>
      <c r="Y3" s="87" t="s">
        <v>500</v>
      </c>
      <c r="Z3" s="87" t="s">
        <v>501</v>
      </c>
      <c r="AA3" s="87" t="s">
        <v>502</v>
      </c>
      <c r="AB3" s="87" t="s">
        <v>503</v>
      </c>
      <c r="AC3" s="87" t="s">
        <v>504</v>
      </c>
      <c r="AD3" s="87" t="s">
        <v>266</v>
      </c>
      <c r="AE3" s="87" t="s">
        <v>260</v>
      </c>
      <c r="AF3" s="87" t="s">
        <v>505</v>
      </c>
      <c r="AG3" s="85"/>
      <c r="AH3" s="87" t="s">
        <v>506</v>
      </c>
      <c r="AI3" s="87" t="s">
        <v>507</v>
      </c>
      <c r="AJ3" s="87" t="s">
        <v>508</v>
      </c>
      <c r="AK3" s="87" t="s">
        <v>509</v>
      </c>
      <c r="AL3" s="87" t="s">
        <v>510</v>
      </c>
      <c r="AM3" s="87" t="s">
        <v>511</v>
      </c>
      <c r="AN3" s="87" t="s">
        <v>512</v>
      </c>
      <c r="AO3" s="87" t="s">
        <v>513</v>
      </c>
      <c r="AP3" s="87" t="s">
        <v>514</v>
      </c>
      <c r="AQ3" s="87" t="s">
        <v>515</v>
      </c>
      <c r="AR3" s="87" t="s">
        <v>516</v>
      </c>
      <c r="AS3" s="87" t="s">
        <v>517</v>
      </c>
      <c r="AT3" s="87" t="s">
        <v>518</v>
      </c>
      <c r="AU3" s="85"/>
      <c r="AV3" s="88" t="s">
        <v>519</v>
      </c>
      <c r="AW3" s="88" t="s">
        <v>520</v>
      </c>
      <c r="AX3" s="88" t="s">
        <v>521</v>
      </c>
      <c r="AY3" s="88" t="s">
        <v>522</v>
      </c>
      <c r="AZ3" s="88" t="s">
        <v>523</v>
      </c>
      <c r="BA3" s="88" t="s">
        <v>524</v>
      </c>
      <c r="BB3" s="88" t="s">
        <v>525</v>
      </c>
      <c r="BC3" s="88" t="s">
        <v>526</v>
      </c>
      <c r="BD3" s="88" t="s">
        <v>527</v>
      </c>
      <c r="BE3" s="85"/>
    </row>
    <row r="4" ht="60" customHeight="1" spans="1:57" s="81" customFormat="1" x14ac:dyDescent="0.25">
      <c r="A4" s="89"/>
      <c r="B4" s="90" t="s">
        <v>528</v>
      </c>
      <c r="C4" s="90" t="s">
        <v>529</v>
      </c>
      <c r="D4" s="90" t="s">
        <v>37</v>
      </c>
      <c r="E4" s="90" t="s">
        <v>530</v>
      </c>
      <c r="F4" s="90" t="s">
        <v>531</v>
      </c>
      <c r="G4" s="84" t="s">
        <v>532</v>
      </c>
      <c r="H4" s="85"/>
      <c r="I4" s="86" t="s">
        <v>533</v>
      </c>
      <c r="J4" s="86" t="s">
        <v>534</v>
      </c>
      <c r="K4" s="86" t="s">
        <v>681</v>
      </c>
      <c r="L4" s="86" t="s">
        <v>536</v>
      </c>
      <c r="M4" s="86" t="s">
        <v>537</v>
      </c>
      <c r="N4" s="86" t="s">
        <v>538</v>
      </c>
      <c r="O4" s="86" t="s">
        <v>539</v>
      </c>
      <c r="P4" s="86" t="s">
        <v>540</v>
      </c>
      <c r="Q4" s="86" t="s">
        <v>541</v>
      </c>
      <c r="R4" s="86" t="s">
        <v>542</v>
      </c>
      <c r="S4" s="86" t="s">
        <v>543</v>
      </c>
      <c r="T4" s="86" t="s">
        <v>544</v>
      </c>
      <c r="U4" s="86" t="s">
        <v>545</v>
      </c>
      <c r="V4" s="86" t="s">
        <v>546</v>
      </c>
      <c r="W4" s="85"/>
      <c r="X4" s="87" t="s">
        <v>547</v>
      </c>
      <c r="Y4" s="87" t="s">
        <v>548</v>
      </c>
      <c r="Z4" s="87" t="s">
        <v>549</v>
      </c>
      <c r="AA4" s="87" t="s">
        <v>550</v>
      </c>
      <c r="AB4" s="87" t="s">
        <v>551</v>
      </c>
      <c r="AC4" s="87" t="s">
        <v>552</v>
      </c>
      <c r="AD4" s="87" t="s">
        <v>266</v>
      </c>
      <c r="AE4" s="87" t="s">
        <v>553</v>
      </c>
      <c r="AF4" s="87" t="s">
        <v>554</v>
      </c>
      <c r="AG4" s="85"/>
      <c r="AH4" s="87" t="s">
        <v>682</v>
      </c>
      <c r="AI4" s="87" t="s">
        <v>556</v>
      </c>
      <c r="AJ4" s="87" t="s">
        <v>557</v>
      </c>
      <c r="AK4" s="87" t="s">
        <v>558</v>
      </c>
      <c r="AL4" s="87" t="s">
        <v>559</v>
      </c>
      <c r="AM4" s="87" t="s">
        <v>560</v>
      </c>
      <c r="AN4" s="87" t="s">
        <v>561</v>
      </c>
      <c r="AO4" s="87" t="s">
        <v>562</v>
      </c>
      <c r="AP4" s="87" t="s">
        <v>563</v>
      </c>
      <c r="AQ4" s="87" t="s">
        <v>564</v>
      </c>
      <c r="AR4" s="87" t="s">
        <v>565</v>
      </c>
      <c r="AS4" s="87" t="s">
        <v>566</v>
      </c>
      <c r="AT4" s="87" t="s">
        <v>567</v>
      </c>
      <c r="AU4" s="85"/>
      <c r="AV4" s="88" t="s">
        <v>568</v>
      </c>
      <c r="AW4" s="88" t="s">
        <v>569</v>
      </c>
      <c r="AX4" s="88" t="s">
        <v>683</v>
      </c>
      <c r="AY4" s="88" t="s">
        <v>684</v>
      </c>
      <c r="AZ4" s="88" t="s">
        <v>685</v>
      </c>
      <c r="BA4" s="88" t="s">
        <v>686</v>
      </c>
      <c r="BB4" s="88" t="s">
        <v>574</v>
      </c>
      <c r="BC4" s="88" t="s">
        <v>575</v>
      </c>
      <c r="BD4" s="88" t="s">
        <v>576</v>
      </c>
      <c r="BE4" s="85"/>
    </row>
    <row r="5" ht="15" customHeight="1" spans="1:57" s="81" customFormat="1" x14ac:dyDescent="0.25">
      <c r="A5" s="91" t="s">
        <v>577</v>
      </c>
      <c r="B5" s="92"/>
      <c r="C5" s="92"/>
      <c r="D5" s="182" t="s">
        <v>175</v>
      </c>
      <c r="E5" s="92" t="s">
        <v>578</v>
      </c>
      <c r="F5" s="92" t="s">
        <v>579</v>
      </c>
      <c r="G5" s="183">
        <f>IF(ISBLANK(ETPT_TJ_DDG!$D$5),"",IF(ISERROR(ETPT_TJ!G5),"",IF(ETPT_TJ!G5=0,"",ETPT_TJ!G5)))</f>
      </c>
      <c r="H5" s="98">
        <f t="shared" ref="H5:H15" si="0">SUM(G5)</f>
        <v>0</v>
      </c>
      <c r="I5" s="183">
        <f>IF(ISBLANK(ETPT_TJ_DDG!$D$5),"",IF(ISERROR(ETPT_TJ!I5),"",IF(ETPT_TJ!I5=0,"",ETPT_TJ!I5)))</f>
      </c>
      <c r="J5" s="183">
        <f>IF(ISBLANK(ETPT_TJ_DDG!$D$5),"",IF(ISERROR(ETPT_TJ!J5),"",IF(ETPT_TJ!J5=0,"",ETPT_TJ!J5)))</f>
      </c>
      <c r="K5" s="183">
        <f>IF(ISBLANK(ETPT_TJ_DDG!$D$5),"",IF(ISERROR(ETPT_TJ!K5),"",IF(ETPT_TJ!K5=0,"",ETPT_TJ!K5)))</f>
      </c>
      <c r="L5" s="183">
        <f>IF(ISBLANK(ETPT_TJ_DDG!$D$5),"",IF(ISERROR(ETPT_TJ!L5),"",IF(ETPT_TJ!L5=0,"",ETPT_TJ!L5)))</f>
      </c>
      <c r="M5" s="183">
        <f>IF(ISBLANK(ETPT_TJ_DDG!$D$5),"",IF(ISERROR(ETPT_TJ!M5),"",IF(ETPT_TJ!M5=0,"",ETPT_TJ!M5)))</f>
      </c>
      <c r="N5" s="183">
        <f>IF(ISBLANK(ETPT_TJ_DDG!$D$5),"",IF(ISERROR(ETPT_TJ!N5),"",IF(ETPT_TJ!N5=0,"",ETPT_TJ!N5)))</f>
      </c>
      <c r="O5" s="183">
        <f>IF(ISBLANK(ETPT_TJ_DDG!$D$5),"",IF(ISERROR(ETPT_TJ!O5),"",IF(ETPT_TJ!O5=0,"",ETPT_TJ!O5)))</f>
      </c>
      <c r="P5" s="183">
        <f>IF(ISBLANK(ETPT_TJ_DDG!$D$5),"",IF(ISERROR(ETPT_TJ!P5),"",IF(ETPT_TJ!P5=0,"",ETPT_TJ!P5)))</f>
      </c>
      <c r="Q5" s="183">
        <f>IF(ISBLANK(ETPT_TJ_DDG!$D$5),"",IF(ISERROR(ETPT_TJ!Q5),"",IF(ETPT_TJ!Q5=0,"",ETPT_TJ!Q5)))</f>
      </c>
      <c r="R5" s="183">
        <f>IF(ISBLANK(ETPT_TJ_DDG!$D$5),"",IF(ISERROR(ETPT_TJ!R5),"",IF(ETPT_TJ!R5=0,"",ETPT_TJ!R5)))</f>
      </c>
      <c r="S5" s="183">
        <f>IF(ISBLANK(ETPT_TJ_DDG!$D$5),"",IF(ISERROR(ETPT_TJ!S5),"",IF(ETPT_TJ!S5=0,"",ETPT_TJ!S5)))</f>
      </c>
      <c r="T5" s="183">
        <f>IF(ISBLANK(ETPT_TJ_DDG!$D$5),"",IF(ISERROR(ETPT_TJ!T5),"",IF(ETPT_TJ!T5=0,"",ETPT_TJ!T5)))</f>
      </c>
      <c r="U5" s="183">
        <f>IF(ISBLANK(ETPT_TJ_DDG!$D$5),"",IF(ISERROR(ETPT_TJ!U5),"",IF(ETPT_TJ!U5=0,"",ETPT_TJ!U5)))</f>
      </c>
      <c r="V5" s="183">
        <f>IF(ISBLANK(ETPT_TJ_DDG!$D$5),"",IF(ISERROR(ETPT_TJ!V5),"",IF(ETPT_TJ!V5=0,"",ETPT_TJ!V5)))</f>
      </c>
      <c r="W5" s="98">
        <f t="shared" ref="W5:W15" si="1">SUM(I5:V5)</f>
        <v>0</v>
      </c>
      <c r="X5" s="183">
        <f>IF(ISBLANK(ETPT_TJ_DDG!$D$5),"",IF(ISERROR(ETPT_TJ!X5),"",IF(ETPT_TJ!X5=0,"",ETPT_TJ!X5)))</f>
      </c>
      <c r="Y5" s="183">
        <f>IF(ISBLANK(ETPT_TJ_DDG!$D$5),"",IF(ISERROR(ETPT_TJ!Y5),"",IF(ETPT_TJ!Y5=0,"",ETPT_TJ!Y5)))</f>
      </c>
      <c r="Z5" s="183">
        <f>IF(ISBLANK(ETPT_TJ_DDG!$D$5),"",IF(ISERROR(ETPT_TJ!Z5),"",IF(ETPT_TJ!Z5=0,"",ETPT_TJ!Z5)))</f>
      </c>
      <c r="AA5" s="183">
        <f>IF(ISBLANK(ETPT_TJ_DDG!$D$5),"",IF(ISERROR(ETPT_TJ!AA5),"",IF(ETPT_TJ!AA5=0,"",ETPT_TJ!AA5)))</f>
      </c>
      <c r="AB5" s="183">
        <f>IF(ISBLANK(ETPT_TJ_DDG!$D$5),"",IF(ISERROR(ETPT_TJ!AB5),"",IF(ETPT_TJ!AB5=0,"",ETPT_TJ!AB5)))</f>
      </c>
      <c r="AC5" s="183">
        <f>IF(ISBLANK(ETPT_TJ_DDG!$D$5),"",IF(ISERROR(ETPT_TJ!AC5),"",IF(ETPT_TJ!AC5=0,"",ETPT_TJ!AC5)))</f>
      </c>
      <c r="AD5" s="183">
        <f>IF(ISBLANK(ETPT_TJ_DDG!$D$5),"",IF(ISERROR(ETPT_TJ!AD5),"",IF(ETPT_TJ!AD5=0,"",ETPT_TJ!AD5)))</f>
      </c>
      <c r="AE5" s="183">
        <f>IF(ISBLANK(ETPT_TJ_DDG!$D$5),"",IF(ISERROR(ETPT_TJ!AE5),"",IF(ETPT_TJ!AE5=0,"",ETPT_TJ!AE5)))</f>
      </c>
      <c r="AF5" s="183">
        <f>IF(ISBLANK(ETPT_TJ_DDG!$D$5),"",IF(ISERROR(ETPT_TJ!AF5),"",IF(ETPT_TJ!AF5=0,"",ETPT_TJ!AF5)))</f>
      </c>
      <c r="AG5" s="98">
        <f t="shared" ref="AG5:AG15" si="2">SUM(X5:AF5)</f>
        <v>0</v>
      </c>
      <c r="AH5" s="183">
        <f>IF(ISBLANK(ETPT_TJ_DDG!$D$5),"",IF(ISERROR(ETPT_TJ!AH5),"",IF(ETPT_TJ!AH5=0,"",ETPT_TJ!AH5)))</f>
      </c>
      <c r="AI5" s="183">
        <f>IF(ISBLANK(ETPT_TJ_DDG!$D$5),"",IF(ISERROR(ETPT_TJ!AI5),"",IF(ETPT_TJ!AI5=0,"",ETPT_TJ!AI5)))</f>
      </c>
      <c r="AJ5" s="183">
        <f>IF(ISBLANK(ETPT_TJ_DDG!$D$5),"",IF(ISERROR(ETPT_TJ!AJ5),"",IF(ETPT_TJ!AJ5=0,"",ETPT_TJ!AJ5)))</f>
      </c>
      <c r="AK5" s="183">
        <f>IF(ISBLANK(ETPT_TJ_DDG!$D$5),"",IF(ISERROR(ETPT_TJ!AK5),"",IF(ETPT_TJ!AK5=0,"",ETPT_TJ!AK5)))</f>
      </c>
      <c r="AL5" s="183">
        <f>IF(ISBLANK(ETPT_TJ_DDG!$D$5),"",IF(ISERROR(ETPT_TJ!AL5),"",IF(ETPT_TJ!AL5=0,"",ETPT_TJ!AL5)))</f>
      </c>
      <c r="AM5" s="183">
        <f>IF(ISBLANK(ETPT_TJ_DDG!$D$5),"",IF(ISERROR(ETPT_TJ!AM5),"",IF(ETPT_TJ!AM5=0,"",ETPT_TJ!AM5)))</f>
      </c>
      <c r="AN5" s="183">
        <f>IF(ISBLANK(ETPT_TJ_DDG!$D$5),"",IF(ISERROR(ETPT_TJ!AN5),"",IF(ETPT_TJ!AN5=0,"",ETPT_TJ!AN5)))</f>
      </c>
      <c r="AO5" s="183">
        <f>IF(ISBLANK(ETPT_TJ_DDG!$D$5),"",IF(ISERROR(ETPT_TJ!AO5),"",IF(ETPT_TJ!AO5=0,"",ETPT_TJ!AO5)))</f>
      </c>
      <c r="AP5" s="183">
        <f>IF(ISBLANK(ETPT_TJ_DDG!$D$5),"",IF(ISERROR(ETPT_TJ!AP5),"",IF(ETPT_TJ!AP5=0,"",ETPT_TJ!AP5)))</f>
      </c>
      <c r="AQ5" s="183">
        <f>IF(ISBLANK(ETPT_TJ_DDG!$D$5),"",IF(ISERROR(ETPT_TJ!AQ5),"",IF(ETPT_TJ!AQ5=0,"",ETPT_TJ!AQ5)))</f>
      </c>
      <c r="AR5" s="183">
        <f>IF(ISBLANK(ETPT_TJ_DDG!$D$5),"",IF(ISERROR(ETPT_TJ!AR5),"",IF(ETPT_TJ!AR5=0,"",ETPT_TJ!AR5)))</f>
      </c>
      <c r="AS5" s="183">
        <f>IF(ISBLANK(ETPT_TJ_DDG!$D$5),"",IF(ISERROR(ETPT_TJ!AS5),"",IF(ETPT_TJ!AS5=0,"",ETPT_TJ!AS5)))</f>
      </c>
      <c r="AT5" s="183">
        <f>IF(ISBLANK(ETPT_TJ_DDG!$D$5),"",IF(ISERROR(ETPT_TJ!AT5),"",IF(ETPT_TJ!AT5=0,"",ETPT_TJ!AT5)))</f>
      </c>
      <c r="AU5" s="98">
        <f t="shared" ref="AU5:AU15" si="3">SUM(AH5:AT5)</f>
        <v>0</v>
      </c>
      <c r="AV5" s="102"/>
      <c r="AW5" s="102"/>
      <c r="AX5" s="103"/>
      <c r="AY5" s="103"/>
      <c r="AZ5" s="103"/>
      <c r="BA5" s="103"/>
      <c r="BB5" s="103"/>
      <c r="BC5" s="103"/>
      <c r="BD5" s="102"/>
      <c r="BE5" s="98">
        <f t="shared" ref="BE5:BE15" si="4">SUM(AV5:BD5)</f>
        <v>0</v>
      </c>
    </row>
    <row r="6" ht="12" customHeight="1" spans="1:57" s="81" customFormat="1" x14ac:dyDescent="0.25">
      <c r="A6" s="91" t="s">
        <v>577</v>
      </c>
      <c r="B6" s="92"/>
      <c r="C6" s="92"/>
      <c r="D6" s="184">
        <f t="shared" ref="D6:D15" si="5">IF(ISBLANK($D$5),"",$D$5)</f>
      </c>
      <c r="E6" s="92" t="s">
        <v>580</v>
      </c>
      <c r="F6" s="92" t="s">
        <v>581</v>
      </c>
      <c r="G6" s="183">
        <f>IF(ISBLANK(ETPT_TJ_DDG!$D$5),"",IF(ISERROR(ETPT_TJ!G6),"",IF(ETPT_TJ!G6=0,"",ETPT_TJ!G6)))</f>
      </c>
      <c r="H6" s="98">
        <f t="shared" si="0"/>
        <v>0</v>
      </c>
      <c r="I6" s="183">
        <f>IF(ISBLANK(ETPT_TJ_DDG!$D$5),"",IF(ISERROR(ETPT_TJ!I6),"",IF(ETPT_TJ!I6=0,"",ETPT_TJ!I6)))</f>
      </c>
      <c r="J6" s="183">
        <f>IF(ISBLANK(ETPT_TJ_DDG!$D$5),"",IF(ISERROR(ETPT_TJ!J6),"",IF(ETPT_TJ!J6=0,"",ETPT_TJ!J6)))</f>
      </c>
      <c r="K6" s="183">
        <f>IF(ISBLANK(ETPT_TJ_DDG!$D$5),"",IF(ISERROR(ETPT_TJ!K6),"",IF(ETPT_TJ!K6=0,"",ETPT_TJ!K6)))</f>
      </c>
      <c r="L6" s="183">
        <f>IF(ISBLANK(ETPT_TJ_DDG!$D$5),"",IF(ISERROR(ETPT_TJ!L6),"",IF(ETPT_TJ!L6=0,"",ETPT_TJ!L6)))</f>
      </c>
      <c r="M6" s="183">
        <f>IF(ISBLANK(ETPT_TJ_DDG!$D$5),"",IF(ISERROR(ETPT_TJ!M6),"",IF(ETPT_TJ!M6=0,"",ETPT_TJ!M6)))</f>
      </c>
      <c r="N6" s="183">
        <f>IF(ISBLANK(ETPT_TJ_DDG!$D$5),"",IF(ISERROR(ETPT_TJ!N6),"",IF(ETPT_TJ!N6=0,"",ETPT_TJ!N6)))</f>
      </c>
      <c r="O6" s="183">
        <f>IF(ISBLANK(ETPT_TJ_DDG!$D$5),"",IF(ISERROR(ETPT_TJ!O6),"",IF(ETPT_TJ!O6=0,"",ETPT_TJ!O6)))</f>
      </c>
      <c r="P6" s="183">
        <f>IF(ISBLANK(ETPT_TJ_DDG!$D$5),"",IF(ISERROR(ETPT_TJ!P6),"",IF(ETPT_TJ!P6=0,"",ETPT_TJ!P6)))</f>
      </c>
      <c r="Q6" s="183">
        <f>IF(ISBLANK(ETPT_TJ_DDG!$D$5),"",IF(ISERROR(ETPT_TJ!Q6),"",IF(ETPT_TJ!Q6=0,"",ETPT_TJ!Q6)))</f>
      </c>
      <c r="R6" s="183">
        <f>IF(ISBLANK(ETPT_TJ_DDG!$D$5),"",IF(ISERROR(ETPT_TJ!R6),"",IF(ETPT_TJ!R6=0,"",ETPT_TJ!R6)))</f>
      </c>
      <c r="S6" s="183">
        <f>IF(ISBLANK(ETPT_TJ_DDG!$D$5),"",IF(ISERROR(ETPT_TJ!S6),"",IF(ETPT_TJ!S6=0,"",ETPT_TJ!S6)))</f>
      </c>
      <c r="T6" s="183">
        <f>IF(ISBLANK(ETPT_TJ_DDG!$D$5),"",IF(ISERROR(ETPT_TJ!T6),"",IF(ETPT_TJ!T6=0,"",ETPT_TJ!T6)))</f>
      </c>
      <c r="U6" s="183">
        <f>IF(ISBLANK(ETPT_TJ_DDG!$D$5),"",IF(ISERROR(ETPT_TJ!U6),"",IF(ETPT_TJ!U6=0,"",ETPT_TJ!U6)))</f>
      </c>
      <c r="V6" s="183">
        <f>IF(ISBLANK(ETPT_TJ_DDG!$D$5),"",IF(ISERROR(ETPT_TJ!V6),"",IF(ETPT_TJ!V6=0,"",ETPT_TJ!V6)))</f>
      </c>
      <c r="W6" s="98">
        <f t="shared" si="1"/>
        <v>0</v>
      </c>
      <c r="X6" s="183">
        <f>IF(ISBLANK(ETPT_TJ_DDG!$D$5),"",IF(ISERROR(ETPT_TJ!X6),"",IF(ETPT_TJ!X6=0,"",ETPT_TJ!X6)))</f>
      </c>
      <c r="Y6" s="183">
        <f>IF(ISBLANK(ETPT_TJ_DDG!$D$5),"",IF(ISERROR(ETPT_TJ!Y6),"",IF(ETPT_TJ!Y6=0,"",ETPT_TJ!Y6)))</f>
      </c>
      <c r="Z6" s="183">
        <f>IF(ISBLANK(ETPT_TJ_DDG!$D$5),"",IF(ISERROR(ETPT_TJ!Z6),"",IF(ETPT_TJ!Z6=0,"",ETPT_TJ!Z6)))</f>
      </c>
      <c r="AA6" s="183">
        <f>IF(ISBLANK(ETPT_TJ_DDG!$D$5),"",IF(ISERROR(ETPT_TJ!AA6),"",IF(ETPT_TJ!AA6=0,"",ETPT_TJ!AA6)))</f>
      </c>
      <c r="AB6" s="183">
        <f>IF(ISBLANK(ETPT_TJ_DDG!$D$5),"",IF(ISERROR(ETPT_TJ!AB6),"",IF(ETPT_TJ!AB6=0,"",ETPT_TJ!AB6)))</f>
      </c>
      <c r="AC6" s="183">
        <f>IF(ISBLANK(ETPT_TJ_DDG!$D$5),"",IF(ISERROR(ETPT_TJ!AC6),"",IF(ETPT_TJ!AC6=0,"",ETPT_TJ!AC6)))</f>
      </c>
      <c r="AD6" s="183">
        <f>IF(ISBLANK(ETPT_TJ_DDG!$D$5),"",IF(ISERROR(ETPT_TJ!AD6),"",IF(ETPT_TJ!AD6=0,"",ETPT_TJ!AD6)))</f>
      </c>
      <c r="AE6" s="183">
        <f>IF(ISBLANK(ETPT_TJ_DDG!$D$5),"",IF(ISERROR(ETPT_TJ!AE6),"",IF(ETPT_TJ!AE6=0,"",ETPT_TJ!AE6)))</f>
      </c>
      <c r="AF6" s="183">
        <f>IF(ISBLANK(ETPT_TJ_DDG!$D$5),"",IF(ISERROR(ETPT_TJ!AF6),"",IF(ETPT_TJ!AF6=0,"",ETPT_TJ!AF6)))</f>
      </c>
      <c r="AG6" s="98">
        <f t="shared" si="2"/>
        <v>0</v>
      </c>
      <c r="AH6" s="183">
        <f>IF(ISBLANK(ETPT_TJ_DDG!$D$5),"",IF(ISERROR(ETPT_TJ!AH6),"",IF(ETPT_TJ!AH6=0,"",ETPT_TJ!AH6)))</f>
      </c>
      <c r="AI6" s="183">
        <f>IF(ISBLANK(ETPT_TJ_DDG!$D$5),"",IF(ISERROR(ETPT_TJ!AI6),"",IF(ETPT_TJ!AI6=0,"",ETPT_TJ!AI6)))</f>
      </c>
      <c r="AJ6" s="183">
        <f>IF(ISBLANK(ETPT_TJ_DDG!$D$5),"",IF(ISERROR(ETPT_TJ!AJ6),"",IF(ETPT_TJ!AJ6=0,"",ETPT_TJ!AJ6)))</f>
      </c>
      <c r="AK6" s="183">
        <f>IF(ISBLANK(ETPT_TJ_DDG!$D$5),"",IF(ISERROR(ETPT_TJ!AK6),"",IF(ETPT_TJ!AK6=0,"",ETPT_TJ!AK6)))</f>
      </c>
      <c r="AL6" s="183">
        <f>IF(ISBLANK(ETPT_TJ_DDG!$D$5),"",IF(ISERROR(ETPT_TJ!AL6),"",IF(ETPT_TJ!AL6=0,"",ETPT_TJ!AL6)))</f>
      </c>
      <c r="AM6" s="183">
        <f>IF(ISBLANK(ETPT_TJ_DDG!$D$5),"",IF(ISERROR(ETPT_TJ!AM6),"",IF(ETPT_TJ!AM6=0,"",ETPT_TJ!AM6)))</f>
      </c>
      <c r="AN6" s="183">
        <f>IF(ISBLANK(ETPT_TJ_DDG!$D$5),"",IF(ISERROR(ETPT_TJ!AN6),"",IF(ETPT_TJ!AN6=0,"",ETPT_TJ!AN6)))</f>
      </c>
      <c r="AO6" s="183">
        <f>IF(ISBLANK(ETPT_TJ_DDG!$D$5),"",IF(ISERROR(ETPT_TJ!AO6),"",IF(ETPT_TJ!AO6=0,"",ETPT_TJ!AO6)))</f>
      </c>
      <c r="AP6" s="183">
        <f>IF(ISBLANK(ETPT_TJ_DDG!$D$5),"",IF(ISERROR(ETPT_TJ!AP6),"",IF(ETPT_TJ!AP6=0,"",ETPT_TJ!AP6)))</f>
      </c>
      <c r="AQ6" s="183">
        <f>IF(ISBLANK(ETPT_TJ_DDG!$D$5),"",IF(ISERROR(ETPT_TJ!AQ6),"",IF(ETPT_TJ!AQ6=0,"",ETPT_TJ!AQ6)))</f>
      </c>
      <c r="AR6" s="183">
        <f>IF(ISBLANK(ETPT_TJ_DDG!$D$5),"",IF(ISERROR(ETPT_TJ!AR6),"",IF(ETPT_TJ!AR6=0,"",ETPT_TJ!AR6)))</f>
      </c>
      <c r="AS6" s="183">
        <f>IF(ISBLANK(ETPT_TJ_DDG!$D$5),"",IF(ISERROR(ETPT_TJ!AS6),"",IF(ETPT_TJ!AS6=0,"",ETPT_TJ!AS6)))</f>
      </c>
      <c r="AT6" s="183">
        <f>IF(ISBLANK(ETPT_TJ_DDG!$D$5),"",IF(ISERROR(ETPT_TJ!AT6),"",IF(ETPT_TJ!AT6=0,"",ETPT_TJ!AT6)))</f>
      </c>
      <c r="AU6" s="98">
        <f t="shared" si="3"/>
        <v>0</v>
      </c>
      <c r="AV6" s="102"/>
      <c r="AW6" s="102"/>
      <c r="AX6" s="102"/>
      <c r="AY6" s="102"/>
      <c r="AZ6" s="102"/>
      <c r="BA6" s="102"/>
      <c r="BB6" s="102"/>
      <c r="BC6" s="103"/>
      <c r="BD6" s="102"/>
      <c r="BE6" s="98">
        <f t="shared" si="4"/>
        <v>0</v>
      </c>
    </row>
    <row r="7" ht="14.25" customHeight="1" spans="1:57" s="81" customFormat="1" x14ac:dyDescent="0.25">
      <c r="A7" s="91" t="s">
        <v>577</v>
      </c>
      <c r="B7" s="92"/>
      <c r="C7" s="92"/>
      <c r="D7" s="184">
        <f t="shared" si="5"/>
      </c>
      <c r="E7" s="92" t="s">
        <v>583</v>
      </c>
      <c r="F7" s="92" t="s">
        <v>584</v>
      </c>
      <c r="G7" s="183">
        <f>IF(ISBLANK(ETPT_TJ_DDG!$D$5),"",IF(ISERROR(ETPT_TJ!G7),"",IF(ETPT_TJ!G7=0,"",ETPT_TJ!G7)))</f>
      </c>
      <c r="H7" s="98">
        <f t="shared" si="0"/>
        <v>0</v>
      </c>
      <c r="I7" s="183">
        <f>IF(ISBLANK(ETPT_TJ_DDG!$D$5),"",IF(ISERROR(ETPT_TJ!I7),"",IF(ETPT_TJ!I7=0,"",ETPT_TJ!I7)))</f>
      </c>
      <c r="J7" s="183">
        <f>IF(ISBLANK(ETPT_TJ_DDG!$D$5),"",IF(ISERROR(ETPT_TJ!J7),"",IF(ETPT_TJ!J7=0,"",ETPT_TJ!J7)))</f>
      </c>
      <c r="K7" s="183">
        <f>IF(ISBLANK(ETPT_TJ_DDG!$D$5),"",IF(ISERROR(ETPT_TJ!K7),"",IF(ETPT_TJ!K7=0,"",ETPT_TJ!K7)))</f>
      </c>
      <c r="L7" s="183">
        <f>IF(ISBLANK(ETPT_TJ_DDG!$D$5),"",IF(ISERROR(ETPT_TJ!L7),"",IF(ETPT_TJ!L7=0,"",ETPT_TJ!L7)))</f>
      </c>
      <c r="M7" s="183">
        <f>IF(ISBLANK(ETPT_TJ_DDG!$D$5),"",IF(ISERROR(ETPT_TJ!M7),"",IF(ETPT_TJ!M7=0,"",ETPT_TJ!M7)))</f>
      </c>
      <c r="N7" s="183">
        <f>IF(ISBLANK(ETPT_TJ_DDG!$D$5),"",IF(ISERROR(ETPT_TJ!N7),"",IF(ETPT_TJ!N7=0,"",ETPT_TJ!N7)))</f>
      </c>
      <c r="O7" s="183">
        <f>IF(ISBLANK(ETPT_TJ_DDG!$D$5),"",IF(ISERROR(ETPT_TJ!O7),"",IF(ETPT_TJ!O7=0,"",ETPT_TJ!O7)))</f>
      </c>
      <c r="P7" s="183">
        <f>IF(ISBLANK(ETPT_TJ_DDG!$D$5),"",IF(ISERROR(ETPT_TJ!P7),"",IF(ETPT_TJ!P7=0,"",ETPT_TJ!P7)))</f>
      </c>
      <c r="Q7" s="183">
        <f>IF(ISBLANK(ETPT_TJ_DDG!$D$5),"",IF(ISERROR(ETPT_TJ!Q7),"",IF(ETPT_TJ!Q7=0,"",ETPT_TJ!Q7)))</f>
      </c>
      <c r="R7" s="183">
        <f>IF(ISBLANK(ETPT_TJ_DDG!$D$5),"",IF(ISERROR(ETPT_TJ!R7),"",IF(ETPT_TJ!R7=0,"",ETPT_TJ!R7)))</f>
      </c>
      <c r="S7" s="183">
        <f>IF(ISBLANK(ETPT_TJ_DDG!$D$5),"",IF(ISERROR(ETPT_TJ!S7),"",IF(ETPT_TJ!S7=0,"",ETPT_TJ!S7)))</f>
      </c>
      <c r="T7" s="183">
        <f>IF(ISBLANK(ETPT_TJ_DDG!$D$5),"",IF(ISERROR(ETPT_TJ!T7),"",IF(ETPT_TJ!T7=0,"",ETPT_TJ!T7)))</f>
      </c>
      <c r="U7" s="183">
        <f>IF(ISBLANK(ETPT_TJ_DDG!$D$5),"",IF(ISERROR(ETPT_TJ!U7),"",IF(ETPT_TJ!U7=0,"",ETPT_TJ!U7)))</f>
      </c>
      <c r="V7" s="183">
        <f>IF(ISBLANK(ETPT_TJ_DDG!$D$5),"",IF(ISERROR(ETPT_TJ!V7),"",IF(ETPT_TJ!V7=0,"",ETPT_TJ!V7)))</f>
      </c>
      <c r="W7" s="98">
        <f t="shared" si="1"/>
        <v>0</v>
      </c>
      <c r="X7" s="183">
        <f>IF(ISBLANK(ETPT_TJ_DDG!$D$5),"",IF(ISERROR(ETPT_TJ!X7),"",IF(ETPT_TJ!X7=0,"",ETPT_TJ!X7)))</f>
      </c>
      <c r="Y7" s="183">
        <f>IF(ISBLANK(ETPT_TJ_DDG!$D$5),"",IF(ISERROR(ETPT_TJ!Y7),"",IF(ETPT_TJ!Y7=0,"",ETPT_TJ!Y7)))</f>
      </c>
      <c r="Z7" s="183">
        <f>IF(ISBLANK(ETPT_TJ_DDG!$D$5),"",IF(ISERROR(ETPT_TJ!Z7),"",IF(ETPT_TJ!Z7=0,"",ETPT_TJ!Z7)))</f>
      </c>
      <c r="AA7" s="183">
        <f>IF(ISBLANK(ETPT_TJ_DDG!$D$5),"",IF(ISERROR(ETPT_TJ!AA7),"",IF(ETPT_TJ!AA7=0,"",ETPT_TJ!AA7)))</f>
      </c>
      <c r="AB7" s="183">
        <f>IF(ISBLANK(ETPT_TJ_DDG!$D$5),"",IF(ISERROR(ETPT_TJ!AB7),"",IF(ETPT_TJ!AB7=0,"",ETPT_TJ!AB7)))</f>
      </c>
      <c r="AC7" s="183">
        <f>IF(ISBLANK(ETPT_TJ_DDG!$D$5),"",IF(ISERROR(ETPT_TJ!AC7),"",IF(ETPT_TJ!AC7=0,"",ETPT_TJ!AC7)))</f>
      </c>
      <c r="AD7" s="183">
        <f>IF(ISBLANK(ETPT_TJ_DDG!$D$5),"",IF(ISERROR(ETPT_TJ!AD7),"",IF(ETPT_TJ!AD7=0,"",ETPT_TJ!AD7)))</f>
      </c>
      <c r="AE7" s="183">
        <f>IF(ISBLANK(ETPT_TJ_DDG!$D$5),"",IF(ISERROR(ETPT_TJ!AE7),"",IF(ETPT_TJ!AE7=0,"",ETPT_TJ!AE7)))</f>
      </c>
      <c r="AF7" s="183">
        <f>IF(ISBLANK(ETPT_TJ_DDG!$D$5),"",IF(ISERROR(ETPT_TJ!AF7),"",IF(ETPT_TJ!AF7=0,"",ETPT_TJ!AF7)))</f>
      </c>
      <c r="AG7" s="98">
        <f t="shared" si="2"/>
        <v>0</v>
      </c>
      <c r="AH7" s="183">
        <f>IF(ISBLANK(ETPT_TJ_DDG!$D$5),"",IF(ISERROR(ETPT_TJ!AH7),"",IF(ETPT_TJ!AH7=0,"",ETPT_TJ!AH7)))</f>
      </c>
      <c r="AI7" s="183">
        <f>IF(ISBLANK(ETPT_TJ_DDG!$D$5),"",IF(ISERROR(ETPT_TJ!AI7),"",IF(ETPT_TJ!AI7=0,"",ETPT_TJ!AI7)))</f>
      </c>
      <c r="AJ7" s="183">
        <f>IF(ISBLANK(ETPT_TJ_DDG!$D$5),"",IF(ISERROR(ETPT_TJ!AJ7),"",IF(ETPT_TJ!AJ7=0,"",ETPT_TJ!AJ7)))</f>
      </c>
      <c r="AK7" s="183">
        <f>IF(ISBLANK(ETPT_TJ_DDG!$D$5),"",IF(ISERROR(ETPT_TJ!AK7),"",IF(ETPT_TJ!AK7=0,"",ETPT_TJ!AK7)))</f>
      </c>
      <c r="AL7" s="183">
        <f>IF(ISBLANK(ETPT_TJ_DDG!$D$5),"",IF(ISERROR(ETPT_TJ!AL7),"",IF(ETPT_TJ!AL7=0,"",ETPT_TJ!AL7)))</f>
      </c>
      <c r="AM7" s="183">
        <f>IF(ISBLANK(ETPT_TJ_DDG!$D$5),"",IF(ISERROR(ETPT_TJ!AM7),"",IF(ETPT_TJ!AM7=0,"",ETPT_TJ!AM7)))</f>
      </c>
      <c r="AN7" s="183">
        <f>IF(ISBLANK(ETPT_TJ_DDG!$D$5),"",IF(ISERROR(ETPT_TJ!AN7),"",IF(ETPT_TJ!AN7=0,"",ETPT_TJ!AN7)))</f>
      </c>
      <c r="AO7" s="183">
        <f>IF(ISBLANK(ETPT_TJ_DDG!$D$5),"",IF(ISERROR(ETPT_TJ!AO7),"",IF(ETPT_TJ!AO7=0,"",ETPT_TJ!AO7)))</f>
      </c>
      <c r="AP7" s="183">
        <f>IF(ISBLANK(ETPT_TJ_DDG!$D$5),"",IF(ISERROR(ETPT_TJ!AP7),"",IF(ETPT_TJ!AP7=0,"",ETPT_TJ!AP7)))</f>
      </c>
      <c r="AQ7" s="183">
        <f>IF(ISBLANK(ETPT_TJ_DDG!$D$5),"",IF(ISERROR(ETPT_TJ!AQ7),"",IF(ETPT_TJ!AQ7=0,"",ETPT_TJ!AQ7)))</f>
      </c>
      <c r="AR7" s="183">
        <f>IF(ISBLANK(ETPT_TJ_DDG!$D$5),"",IF(ISERROR(ETPT_TJ!AR7),"",IF(ETPT_TJ!AR7=0,"",ETPT_TJ!AR7)))</f>
      </c>
      <c r="AS7" s="183">
        <f>IF(ISBLANK(ETPT_TJ_DDG!$D$5),"",IF(ISERROR(ETPT_TJ!AS7),"",IF(ETPT_TJ!AS7=0,"",ETPT_TJ!AS7)))</f>
      </c>
      <c r="AT7" s="183">
        <f>IF(ISBLANK(ETPT_TJ_DDG!$D$5),"",IF(ISERROR(ETPT_TJ!AT7),"",IF(ETPT_TJ!AT7=0,"",ETPT_TJ!AT7)))</f>
      </c>
      <c r="AU7" s="98">
        <f t="shared" si="3"/>
        <v>0</v>
      </c>
      <c r="AV7" s="102"/>
      <c r="AW7" s="102"/>
      <c r="AX7" s="102"/>
      <c r="AY7" s="102"/>
      <c r="AZ7" s="102"/>
      <c r="BA7" s="102"/>
      <c r="BB7" s="102"/>
      <c r="BC7" s="102"/>
      <c r="BD7" s="102"/>
      <c r="BE7" s="98">
        <f t="shared" si="4"/>
        <v>0</v>
      </c>
    </row>
    <row r="8" ht="14.25" customHeight="1" spans="1:57" s="81" customFormat="1" x14ac:dyDescent="0.25">
      <c r="A8" s="91" t="s">
        <v>577</v>
      </c>
      <c r="B8" s="92"/>
      <c r="C8" s="92"/>
      <c r="D8" s="184">
        <f t="shared" si="5"/>
      </c>
      <c r="E8" s="92" t="s">
        <v>587</v>
      </c>
      <c r="F8" s="92" t="s">
        <v>588</v>
      </c>
      <c r="G8" s="183">
        <f>IF(ISBLANK(ETPT_TJ_DDG!$D$5),"",IF(ISERROR(ETPT_TJ!G8),"",IF(ETPT_TJ!G8=0,"",ETPT_TJ!G8)))</f>
      </c>
      <c r="H8" s="98">
        <f t="shared" si="0"/>
        <v>0</v>
      </c>
      <c r="I8" s="183">
        <f>IF(ISBLANK(ETPT_TJ_DDG!$D$5),"",IF(ISERROR(ETPT_TJ!I8),"",IF(ETPT_TJ!I8=0,"",ETPT_TJ!I8)))</f>
      </c>
      <c r="J8" s="183">
        <f>IF(ISBLANK(ETPT_TJ_DDG!$D$5),"",IF(ISERROR(ETPT_TJ!J8),"",IF(ETPT_TJ!J8=0,"",ETPT_TJ!J8)))</f>
      </c>
      <c r="K8" s="183">
        <f>IF(ISBLANK(ETPT_TJ_DDG!$D$5),"",IF(ISERROR(ETPT_TJ!K8),"",IF(ETPT_TJ!K8=0,"",ETPT_TJ!K8)))</f>
      </c>
      <c r="L8" s="183">
        <f>IF(ISBLANK(ETPT_TJ_DDG!$D$5),"",IF(ISERROR(ETPT_TJ!L8),"",IF(ETPT_TJ!L8=0,"",ETPT_TJ!L8)))</f>
      </c>
      <c r="M8" s="183">
        <f>IF(ISBLANK(ETPT_TJ_DDG!$D$5),"",IF(ISERROR(ETPT_TJ!M8),"",IF(ETPT_TJ!M8=0,"",ETPT_TJ!M8)))</f>
      </c>
      <c r="N8" s="183">
        <f>IF(ISBLANK(ETPT_TJ_DDG!$D$5),"",IF(ISERROR(ETPT_TJ!N8),"",IF(ETPT_TJ!N8=0,"",ETPT_TJ!N8)))</f>
      </c>
      <c r="O8" s="183">
        <f>IF(ISBLANK(ETPT_TJ_DDG!$D$5),"",IF(ISERROR(ETPT_TJ!O8),"",IF(ETPT_TJ!O8=0,"",ETPT_TJ!O8)))</f>
      </c>
      <c r="P8" s="183">
        <f>IF(ISBLANK(ETPT_TJ_DDG!$D$5),"",IF(ISERROR(ETPT_TJ!P8),"",IF(ETPT_TJ!P8=0,"",ETPT_TJ!P8)))</f>
      </c>
      <c r="Q8" s="183">
        <f>IF(ISBLANK(ETPT_TJ_DDG!$D$5),"",IF(ISERROR(ETPT_TJ!Q8),"",IF(ETPT_TJ!Q8=0,"",ETPT_TJ!Q8)))</f>
      </c>
      <c r="R8" s="183">
        <f>IF(ISBLANK(ETPT_TJ_DDG!$D$5),"",IF(ISERROR(ETPT_TJ!R8),"",IF(ETPT_TJ!R8=0,"",ETPT_TJ!R8)))</f>
      </c>
      <c r="S8" s="183">
        <f>IF(ISBLANK(ETPT_TJ_DDG!$D$5),"",IF(ISERROR(ETPT_TJ!S8),"",IF(ETPT_TJ!S8=0,"",ETPT_TJ!S8)))</f>
      </c>
      <c r="T8" s="183">
        <f>IF(ISBLANK(ETPT_TJ_DDG!$D$5),"",IF(ISERROR(ETPT_TJ!T8),"",IF(ETPT_TJ!T8=0,"",ETPT_TJ!T8)))</f>
      </c>
      <c r="U8" s="183">
        <f>IF(ISBLANK(ETPT_TJ_DDG!$D$5),"",IF(ISERROR(ETPT_TJ!U8),"",IF(ETPT_TJ!U8=0,"",ETPT_TJ!U8)))</f>
      </c>
      <c r="V8" s="183">
        <f>IF(ISBLANK(ETPT_TJ_DDG!$D$5),"",IF(ISERROR(ETPT_TJ!V8),"",IF(ETPT_TJ!V8=0,"",ETPT_TJ!V8)))</f>
      </c>
      <c r="W8" s="98">
        <f t="shared" si="1"/>
        <v>0</v>
      </c>
      <c r="X8" s="183">
        <f>IF(ISBLANK(ETPT_TJ_DDG!$D$5),"",IF(ISERROR(ETPT_TJ!X8),"",IF(ETPT_TJ!X8=0,"",ETPT_TJ!X8)))</f>
      </c>
      <c r="Y8" s="183">
        <f>IF(ISBLANK(ETPT_TJ_DDG!$D$5),"",IF(ISERROR(ETPT_TJ!Y8),"",IF(ETPT_TJ!Y8=0,"",ETPT_TJ!Y8)))</f>
      </c>
      <c r="Z8" s="183">
        <f>IF(ISBLANK(ETPT_TJ_DDG!$D$5),"",IF(ISERROR(ETPT_TJ!Z8),"",IF(ETPT_TJ!Z8=0,"",ETPT_TJ!Z8)))</f>
      </c>
      <c r="AA8" s="183">
        <f>IF(ISBLANK(ETPT_TJ_DDG!$D$5),"",IF(ISERROR(ETPT_TJ!AA8),"",IF(ETPT_TJ!AA8=0,"",ETPT_TJ!AA8)))</f>
      </c>
      <c r="AB8" s="183">
        <f>IF(ISBLANK(ETPT_TJ_DDG!$D$5),"",IF(ISERROR(ETPT_TJ!AB8),"",IF(ETPT_TJ!AB8=0,"",ETPT_TJ!AB8)))</f>
      </c>
      <c r="AC8" s="183">
        <f>IF(ISBLANK(ETPT_TJ_DDG!$D$5),"",IF(ISERROR(ETPT_TJ!AC8),"",IF(ETPT_TJ!AC8=0,"",ETPT_TJ!AC8)))</f>
      </c>
      <c r="AD8" s="183">
        <f>IF(ISBLANK(ETPT_TJ_DDG!$D$5),"",IF(ISERROR(ETPT_TJ!AD8),"",IF(ETPT_TJ!AD8=0,"",ETPT_TJ!AD8)))</f>
      </c>
      <c r="AE8" s="183">
        <f>IF(ISBLANK(ETPT_TJ_DDG!$D$5),"",IF(ISERROR(ETPT_TJ!AE8),"",IF(ETPT_TJ!AE8=0,"",ETPT_TJ!AE8)))</f>
      </c>
      <c r="AF8" s="183">
        <f>IF(ISBLANK(ETPT_TJ_DDG!$D$5),"",IF(ISERROR(ETPT_TJ!AF8),"",IF(ETPT_TJ!AF8=0,"",ETPT_TJ!AF8)))</f>
      </c>
      <c r="AG8" s="98">
        <f t="shared" si="2"/>
        <v>0</v>
      </c>
      <c r="AH8" s="183">
        <f>IF(ISBLANK(ETPT_TJ_DDG!$D$5),"",IF(ISERROR(ETPT_TJ!AH8),"",IF(ETPT_TJ!AH8=0,"",ETPT_TJ!AH8)))</f>
      </c>
      <c r="AI8" s="183">
        <f>IF(ISBLANK(ETPT_TJ_DDG!$D$5),"",IF(ISERROR(ETPT_TJ!AI8),"",IF(ETPT_TJ!AI8=0,"",ETPT_TJ!AI8)))</f>
      </c>
      <c r="AJ8" s="183">
        <f>IF(ISBLANK(ETPT_TJ_DDG!$D$5),"",IF(ISERROR(ETPT_TJ!AJ8),"",IF(ETPT_TJ!AJ8=0,"",ETPT_TJ!AJ8)))</f>
      </c>
      <c r="AK8" s="183">
        <f>IF(ISBLANK(ETPT_TJ_DDG!$D$5),"",IF(ISERROR(ETPT_TJ!AK8),"",IF(ETPT_TJ!AK8=0,"",ETPT_TJ!AK8)))</f>
      </c>
      <c r="AL8" s="183">
        <f>IF(ISBLANK(ETPT_TJ_DDG!$D$5),"",IF(ISERROR(ETPT_TJ!AL8),"",IF(ETPT_TJ!AL8=0,"",ETPT_TJ!AL8)))</f>
      </c>
      <c r="AM8" s="183">
        <f>IF(ISBLANK(ETPT_TJ_DDG!$D$5),"",IF(ISERROR(ETPT_TJ!AM8),"",IF(ETPT_TJ!AM8=0,"",ETPT_TJ!AM8)))</f>
      </c>
      <c r="AN8" s="183">
        <f>IF(ISBLANK(ETPT_TJ_DDG!$D$5),"",IF(ISERROR(ETPT_TJ!AN8),"",IF(ETPT_TJ!AN8=0,"",ETPT_TJ!AN8)))</f>
      </c>
      <c r="AO8" s="183">
        <f>IF(ISBLANK(ETPT_TJ_DDG!$D$5),"",IF(ISERROR(ETPT_TJ!AO8),"",IF(ETPT_TJ!AO8=0,"",ETPT_TJ!AO8)))</f>
      </c>
      <c r="AP8" s="183">
        <f>IF(ISBLANK(ETPT_TJ_DDG!$D$5),"",IF(ISERROR(ETPT_TJ!AP8),"",IF(ETPT_TJ!AP8=0,"",ETPT_TJ!AP8)))</f>
      </c>
      <c r="AQ8" s="183">
        <f>IF(ISBLANK(ETPT_TJ_DDG!$D$5),"",IF(ISERROR(ETPT_TJ!AQ8),"",IF(ETPT_TJ!AQ8=0,"",ETPT_TJ!AQ8)))</f>
      </c>
      <c r="AR8" s="183">
        <f>IF(ISBLANK(ETPT_TJ_DDG!$D$5),"",IF(ISERROR(ETPT_TJ!AR8),"",IF(ETPT_TJ!AR8=0,"",ETPT_TJ!AR8)))</f>
      </c>
      <c r="AS8" s="183">
        <f>IF(ISBLANK(ETPT_TJ_DDG!$D$5),"",IF(ISERROR(ETPT_TJ!AS8),"",IF(ETPT_TJ!AS8=0,"",ETPT_TJ!AS8)))</f>
      </c>
      <c r="AT8" s="183">
        <f>IF(ISBLANK(ETPT_TJ_DDG!$D$5),"",IF(ISERROR(ETPT_TJ!AT8),"",IF(ETPT_TJ!AT8=0,"",ETPT_TJ!AT8)))</f>
      </c>
      <c r="AU8" s="98">
        <f t="shared" si="3"/>
        <v>0</v>
      </c>
      <c r="AV8" s="102"/>
      <c r="AW8" s="102"/>
      <c r="AX8" s="102"/>
      <c r="AY8" s="102"/>
      <c r="AZ8" s="102"/>
      <c r="BA8" s="102"/>
      <c r="BB8" s="102"/>
      <c r="BC8" s="102"/>
      <c r="BD8" s="102"/>
      <c r="BE8" s="98">
        <f t="shared" si="4"/>
        <v>0</v>
      </c>
    </row>
    <row r="9" ht="14.25" customHeight="1" spans="1:57" s="81" customFormat="1" x14ac:dyDescent="0.25">
      <c r="A9" s="91" t="s">
        <v>577</v>
      </c>
      <c r="B9" s="92"/>
      <c r="C9" s="92"/>
      <c r="D9" s="184">
        <f t="shared" si="5"/>
      </c>
      <c r="E9" s="92" t="s">
        <v>589</v>
      </c>
      <c r="F9" s="92" t="s">
        <v>590</v>
      </c>
      <c r="G9" s="183">
        <f>IF(ISBLANK(ETPT_TJ_DDG!$D$5),"",IF(ISERROR(ETPT_TJ!G9),"",IF(ETPT_TJ!G9=0,"",ETPT_TJ!G9)))</f>
      </c>
      <c r="H9" s="98">
        <f t="shared" si="0"/>
        <v>0</v>
      </c>
      <c r="I9" s="183">
        <f>IF(ISBLANK(ETPT_TJ_DDG!$D$5),"",IF(ISERROR(ETPT_TJ!I9),"",IF(ETPT_TJ!I9=0,"",ETPT_TJ!I9)))</f>
      </c>
      <c r="J9" s="183">
        <f>IF(ISBLANK(ETPT_TJ_DDG!$D$5),"",IF(ISERROR(ETPT_TJ!J9),"",IF(ETPT_TJ!J9=0,"",ETPT_TJ!J9)))</f>
      </c>
      <c r="K9" s="183">
        <f>IF(ISBLANK(ETPT_TJ_DDG!$D$5),"",IF(ISERROR(ETPT_TJ!K9),"",IF(ETPT_TJ!K9=0,"",ETPT_TJ!K9)))</f>
      </c>
      <c r="L9" s="183">
        <f>IF(ISBLANK(ETPT_TJ_DDG!$D$5),"",IF(ISERROR(ETPT_TJ!L9),"",IF(ETPT_TJ!L9=0,"",ETPT_TJ!L9)))</f>
      </c>
      <c r="M9" s="183">
        <f>IF(ISBLANK(ETPT_TJ_DDG!$D$5),"",IF(ISERROR(ETPT_TJ!M9),"",IF(ETPT_TJ!M9=0,"",ETPT_TJ!M9)))</f>
      </c>
      <c r="N9" s="183">
        <f>IF(ISBLANK(ETPT_TJ_DDG!$D$5),"",IF(ISERROR(ETPT_TJ!N9),"",IF(ETPT_TJ!N9=0,"",ETPT_TJ!N9)))</f>
      </c>
      <c r="O9" s="183">
        <f>IF(ISBLANK(ETPT_TJ_DDG!$D$5),"",IF(ISERROR(ETPT_TJ!O9),"",IF(ETPT_TJ!O9=0,"",ETPT_TJ!O9)))</f>
      </c>
      <c r="P9" s="183">
        <f>IF(ISBLANK(ETPT_TJ_DDG!$D$5),"",IF(ISERROR(ETPT_TJ!P9),"",IF(ETPT_TJ!P9=0,"",ETPT_TJ!P9)))</f>
      </c>
      <c r="Q9" s="183">
        <f>IF(ISBLANK(ETPT_TJ_DDG!$D$5),"",IF(ISERROR(ETPT_TJ!Q9),"",IF(ETPT_TJ!Q9=0,"",ETPT_TJ!Q9)))</f>
      </c>
      <c r="R9" s="183">
        <f>IF(ISBLANK(ETPT_TJ_DDG!$D$5),"",IF(ISERROR(ETPT_TJ!R9),"",IF(ETPT_TJ!R9=0,"",ETPT_TJ!R9)))</f>
      </c>
      <c r="S9" s="183">
        <f>IF(ISBLANK(ETPT_TJ_DDG!$D$5),"",IF(ISERROR(ETPT_TJ!S9),"",IF(ETPT_TJ!S9=0,"",ETPT_TJ!S9)))</f>
      </c>
      <c r="T9" s="183">
        <f>IF(ISBLANK(ETPT_TJ_DDG!$D$5),"",IF(ISERROR(ETPT_TJ!T9),"",IF(ETPT_TJ!T9=0,"",ETPT_TJ!T9)))</f>
      </c>
      <c r="U9" s="183">
        <f>IF(ISBLANK(ETPT_TJ_DDG!$D$5),"",IF(ISERROR(ETPT_TJ!U9),"",IF(ETPT_TJ!U9=0,"",ETPT_TJ!U9)))</f>
      </c>
      <c r="V9" s="183">
        <f>IF(ISBLANK(ETPT_TJ_DDG!$D$5),"",IF(ISERROR(ETPT_TJ!V9),"",IF(ETPT_TJ!V9=0,"",ETPT_TJ!V9)))</f>
      </c>
      <c r="W9" s="98">
        <f t="shared" si="1"/>
        <v>0</v>
      </c>
      <c r="X9" s="183">
        <f>IF(ISBLANK(ETPT_TJ_DDG!$D$5),"",IF(ISERROR(ETPT_TJ!X9),"",IF(ETPT_TJ!X9=0,"",ETPT_TJ!X9)))</f>
      </c>
      <c r="Y9" s="183">
        <f>IF(ISBLANK(ETPT_TJ_DDG!$D$5),"",IF(ISERROR(ETPT_TJ!Y9),"",IF(ETPT_TJ!Y9=0,"",ETPT_TJ!Y9)))</f>
      </c>
      <c r="Z9" s="183">
        <f>IF(ISBLANK(ETPT_TJ_DDG!$D$5),"",IF(ISERROR(ETPT_TJ!Z9),"",IF(ETPT_TJ!Z9=0,"",ETPT_TJ!Z9)))</f>
      </c>
      <c r="AA9" s="183">
        <f>IF(ISBLANK(ETPT_TJ_DDG!$D$5),"",IF(ISERROR(ETPT_TJ!AA9),"",IF(ETPT_TJ!AA9=0,"",ETPT_TJ!AA9)))</f>
      </c>
      <c r="AB9" s="183">
        <f>IF(ISBLANK(ETPT_TJ_DDG!$D$5),"",IF(ISERROR(ETPT_TJ!AB9),"",IF(ETPT_TJ!AB9=0,"",ETPT_TJ!AB9)))</f>
      </c>
      <c r="AC9" s="183">
        <f>IF(ISBLANK(ETPT_TJ_DDG!$D$5),"",IF(ISERROR(ETPT_TJ!AC9),"",IF(ETPT_TJ!AC9=0,"",ETPT_TJ!AC9)))</f>
      </c>
      <c r="AD9" s="183">
        <f>IF(ISBLANK(ETPT_TJ_DDG!$D$5),"",IF(ISERROR(ETPT_TJ!AD9),"",IF(ETPT_TJ!AD9=0,"",ETPT_TJ!AD9)))</f>
      </c>
      <c r="AE9" s="183">
        <f>IF(ISBLANK(ETPT_TJ_DDG!$D$5),"",IF(ISERROR(ETPT_TJ!AE9),"",IF(ETPT_TJ!AE9=0,"",ETPT_TJ!AE9)))</f>
      </c>
      <c r="AF9" s="183">
        <f>IF(ISBLANK(ETPT_TJ_DDG!$D$5),"",IF(ISERROR(ETPT_TJ!AF9),"",IF(ETPT_TJ!AF9=0,"",ETPT_TJ!AF9)))</f>
      </c>
      <c r="AG9" s="98">
        <f t="shared" si="2"/>
        <v>0</v>
      </c>
      <c r="AH9" s="183">
        <f>IF(ISBLANK(ETPT_TJ_DDG!$D$5),"",IF(ISERROR(ETPT_TJ!AH9),"",IF(ETPT_TJ!AH9=0,"",ETPT_TJ!AH9)))</f>
      </c>
      <c r="AI9" s="183">
        <f>IF(ISBLANK(ETPT_TJ_DDG!$D$5),"",IF(ISERROR(ETPT_TJ!AI9),"",IF(ETPT_TJ!AI9=0,"",ETPT_TJ!AI9)))</f>
      </c>
      <c r="AJ9" s="183">
        <f>IF(ISBLANK(ETPT_TJ_DDG!$D$5),"",IF(ISERROR(ETPT_TJ!AJ9),"",IF(ETPT_TJ!AJ9=0,"",ETPT_TJ!AJ9)))</f>
      </c>
      <c r="AK9" s="183">
        <f>IF(ISBLANK(ETPT_TJ_DDG!$D$5),"",IF(ISERROR(ETPT_TJ!AK9),"",IF(ETPT_TJ!AK9=0,"",ETPT_TJ!AK9)))</f>
      </c>
      <c r="AL9" s="183">
        <f>IF(ISBLANK(ETPT_TJ_DDG!$D$5),"",IF(ISERROR(ETPT_TJ!AL9),"",IF(ETPT_TJ!AL9=0,"",ETPT_TJ!AL9)))</f>
      </c>
      <c r="AM9" s="183">
        <f>IF(ISBLANK(ETPT_TJ_DDG!$D$5),"",IF(ISERROR(ETPT_TJ!AM9),"",IF(ETPT_TJ!AM9=0,"",ETPT_TJ!AM9)))</f>
      </c>
      <c r="AN9" s="183">
        <f>IF(ISBLANK(ETPT_TJ_DDG!$D$5),"",IF(ISERROR(ETPT_TJ!AN9),"",IF(ETPT_TJ!AN9=0,"",ETPT_TJ!AN9)))</f>
      </c>
      <c r="AO9" s="183">
        <f>IF(ISBLANK(ETPT_TJ_DDG!$D$5),"",IF(ISERROR(ETPT_TJ!AO9),"",IF(ETPT_TJ!AO9=0,"",ETPT_TJ!AO9)))</f>
      </c>
      <c r="AP9" s="183">
        <f>IF(ISBLANK(ETPT_TJ_DDG!$D$5),"",IF(ISERROR(ETPT_TJ!AP9),"",IF(ETPT_TJ!AP9=0,"",ETPT_TJ!AP9)))</f>
      </c>
      <c r="AQ9" s="183">
        <f>IF(ISBLANK(ETPT_TJ_DDG!$D$5),"",IF(ISERROR(ETPT_TJ!AQ9),"",IF(ETPT_TJ!AQ9=0,"",ETPT_TJ!AQ9)))</f>
      </c>
      <c r="AR9" s="183">
        <f>IF(ISBLANK(ETPT_TJ_DDG!$D$5),"",IF(ISERROR(ETPT_TJ!AR9),"",IF(ETPT_TJ!AR9=0,"",ETPT_TJ!AR9)))</f>
      </c>
      <c r="AS9" s="183">
        <f>IF(ISBLANK(ETPT_TJ_DDG!$D$5),"",IF(ISERROR(ETPT_TJ!AS9),"",IF(ETPT_TJ!AS9=0,"",ETPT_TJ!AS9)))</f>
      </c>
      <c r="AT9" s="183">
        <f>IF(ISBLANK(ETPT_TJ_DDG!$D$5),"",IF(ISERROR(ETPT_TJ!AT9),"",IF(ETPT_TJ!AT9=0,"",ETPT_TJ!AT9)))</f>
      </c>
      <c r="AU9" s="98">
        <f t="shared" si="3"/>
        <v>0</v>
      </c>
      <c r="AV9" s="102"/>
      <c r="AW9" s="102"/>
      <c r="AX9" s="102"/>
      <c r="AY9" s="102"/>
      <c r="AZ9" s="102"/>
      <c r="BA9" s="102"/>
      <c r="BB9" s="102"/>
      <c r="BC9" s="102"/>
      <c r="BD9" s="102"/>
      <c r="BE9" s="98">
        <f t="shared" si="4"/>
        <v>0</v>
      </c>
    </row>
    <row r="10" ht="14.25" customHeight="1" spans="1:57" s="81" customFormat="1" x14ac:dyDescent="0.25">
      <c r="A10" s="91" t="s">
        <v>577</v>
      </c>
      <c r="B10" s="92"/>
      <c r="C10" s="92"/>
      <c r="D10" s="184">
        <f t="shared" si="5"/>
      </c>
      <c r="E10" s="92" t="s">
        <v>591</v>
      </c>
      <c r="F10" s="92" t="s">
        <v>592</v>
      </c>
      <c r="G10" s="183">
        <f>IF(ISBLANK(ETPT_TJ_DDG!$D$5),"",IF(ISERROR(ETPT_TJ!G10),"",IF(ETPT_TJ!G10=0,"",ETPT_TJ!G10)))</f>
      </c>
      <c r="H10" s="98">
        <f t="shared" si="0"/>
        <v>0</v>
      </c>
      <c r="I10" s="183">
        <f>IF(ISBLANK(ETPT_TJ_DDG!$D$5),"",IF(ISERROR(ETPT_TJ!I10),"",IF(ETPT_TJ!I10=0,"",ETPT_TJ!I10)))</f>
      </c>
      <c r="J10" s="183">
        <f>IF(ISBLANK(ETPT_TJ_DDG!$D$5),"",IF(ISERROR(ETPT_TJ!J10),"",IF(ETPT_TJ!J10=0,"",ETPT_TJ!J10)))</f>
      </c>
      <c r="K10" s="183">
        <f>IF(ISBLANK(ETPT_TJ_DDG!$D$5),"",IF(ISERROR(ETPT_TJ!K10),"",IF(ETPT_TJ!K10=0,"",ETPT_TJ!K10)))</f>
      </c>
      <c r="L10" s="183">
        <f>IF(ISBLANK(ETPT_TJ_DDG!$D$5),"",IF(ISERROR(ETPT_TJ!L10),"",IF(ETPT_TJ!L10=0,"",ETPT_TJ!L10)))</f>
      </c>
      <c r="M10" s="183">
        <f>IF(ISBLANK(ETPT_TJ_DDG!$D$5),"",IF(ISERROR(ETPT_TJ!M10),"",IF(ETPT_TJ!M10=0,"",ETPT_TJ!M10)))</f>
      </c>
      <c r="N10" s="183">
        <f>IF(ISBLANK(ETPT_TJ_DDG!$D$5),"",IF(ISERROR(ETPT_TJ!N10),"",IF(ETPT_TJ!N10=0,"",ETPT_TJ!N10)))</f>
      </c>
      <c r="O10" s="183">
        <f>IF(ISBLANK(ETPT_TJ_DDG!$D$5),"",IF(ISERROR(ETPT_TJ!O10),"",IF(ETPT_TJ!O10=0,"",ETPT_TJ!O10)))</f>
      </c>
      <c r="P10" s="183">
        <f>IF(ISBLANK(ETPT_TJ_DDG!$D$5),"",IF(ISERROR(ETPT_TJ!P10),"",IF(ETPT_TJ!P10=0,"",ETPT_TJ!P10)))</f>
      </c>
      <c r="Q10" s="183">
        <f>IF(ISBLANK(ETPT_TJ_DDG!$D$5),"",IF(ISERROR(ETPT_TJ!Q10),"",IF(ETPT_TJ!Q10=0,"",ETPT_TJ!Q10)))</f>
      </c>
      <c r="R10" s="183">
        <f>IF(ISBLANK(ETPT_TJ_DDG!$D$5),"",IF(ISERROR(ETPT_TJ!R10),"",IF(ETPT_TJ!R10=0,"",ETPT_TJ!R10)))</f>
      </c>
      <c r="S10" s="183">
        <f>IF(ISBLANK(ETPT_TJ_DDG!$D$5),"",IF(ISERROR(ETPT_TJ!S10),"",IF(ETPT_TJ!S10=0,"",ETPT_TJ!S10)))</f>
      </c>
      <c r="T10" s="183">
        <f>IF(ISBLANK(ETPT_TJ_DDG!$D$5),"",IF(ISERROR(ETPT_TJ!T10),"",IF(ETPT_TJ!T10=0,"",ETPT_TJ!T10)))</f>
      </c>
      <c r="U10" s="183">
        <f>IF(ISBLANK(ETPT_TJ_DDG!$D$5),"",IF(ISERROR(ETPT_TJ!U10),"",IF(ETPT_TJ!U10=0,"",ETPT_TJ!U10)))</f>
      </c>
      <c r="V10" s="183">
        <f>IF(ISBLANK(ETPT_TJ_DDG!$D$5),"",IF(ISERROR(ETPT_TJ!V10),"",IF(ETPT_TJ!V10=0,"",ETPT_TJ!V10)))</f>
      </c>
      <c r="W10" s="98">
        <f t="shared" si="1"/>
        <v>0</v>
      </c>
      <c r="X10" s="183">
        <f>IF(ISBLANK(ETPT_TJ_DDG!$D$5),"",IF(ISERROR(ETPT_TJ!X10),"",IF(ETPT_TJ!X10=0,"",ETPT_TJ!X10)))</f>
      </c>
      <c r="Y10" s="183">
        <f>IF(ISBLANK(ETPT_TJ_DDG!$D$5),"",IF(ISERROR(ETPT_TJ!Y10),"",IF(ETPT_TJ!Y10=0,"",ETPT_TJ!Y10)))</f>
      </c>
      <c r="Z10" s="183">
        <f>IF(ISBLANK(ETPT_TJ_DDG!$D$5),"",IF(ISERROR(ETPT_TJ!Z10),"",IF(ETPT_TJ!Z10=0,"",ETPT_TJ!Z10)))</f>
      </c>
      <c r="AA10" s="183">
        <f>IF(ISBLANK(ETPT_TJ_DDG!$D$5),"",IF(ISERROR(ETPT_TJ!AA10),"",IF(ETPT_TJ!AA10=0,"",ETPT_TJ!AA10)))</f>
      </c>
      <c r="AB10" s="183">
        <f>IF(ISBLANK(ETPT_TJ_DDG!$D$5),"",IF(ISERROR(ETPT_TJ!AB10),"",IF(ETPT_TJ!AB10=0,"",ETPT_TJ!AB10)))</f>
      </c>
      <c r="AC10" s="183">
        <f>IF(ISBLANK(ETPT_TJ_DDG!$D$5),"",IF(ISERROR(ETPT_TJ!AC10),"",IF(ETPT_TJ!AC10=0,"",ETPT_TJ!AC10)))</f>
      </c>
      <c r="AD10" s="183">
        <f>IF(ISBLANK(ETPT_TJ_DDG!$D$5),"",IF(ISERROR(ETPT_TJ!AD10),"",IF(ETPT_TJ!AD10=0,"",ETPT_TJ!AD10)))</f>
      </c>
      <c r="AE10" s="183">
        <f>IF(ISBLANK(ETPT_TJ_DDG!$D$5),"",IF(ISERROR(ETPT_TJ!AE10),"",IF(ETPT_TJ!AE10=0,"",ETPT_TJ!AE10)))</f>
      </c>
      <c r="AF10" s="183">
        <f>IF(ISBLANK(ETPT_TJ_DDG!$D$5),"",IF(ISERROR(ETPT_TJ!AF10),"",IF(ETPT_TJ!AF10=0,"",ETPT_TJ!AF10)))</f>
      </c>
      <c r="AG10" s="98">
        <f t="shared" si="2"/>
        <v>0</v>
      </c>
      <c r="AH10" s="183">
        <f>IF(ISBLANK(ETPT_TJ_DDG!$D$5),"",IF(ISERROR(ETPT_TJ!AH10),"",IF(ETPT_TJ!AH10=0,"",ETPT_TJ!AH10)))</f>
      </c>
      <c r="AI10" s="183">
        <f>IF(ISBLANK(ETPT_TJ_DDG!$D$5),"",IF(ISERROR(ETPT_TJ!AI10),"",IF(ETPT_TJ!AI10=0,"",ETPT_TJ!AI10)))</f>
      </c>
      <c r="AJ10" s="183">
        <f>IF(ISBLANK(ETPT_TJ_DDG!$D$5),"",IF(ISERROR(ETPT_TJ!AJ10),"",IF(ETPT_TJ!AJ10=0,"",ETPT_TJ!AJ10)))</f>
      </c>
      <c r="AK10" s="183">
        <f>IF(ISBLANK(ETPT_TJ_DDG!$D$5),"",IF(ISERROR(ETPT_TJ!AK10),"",IF(ETPT_TJ!AK10=0,"",ETPT_TJ!AK10)))</f>
      </c>
      <c r="AL10" s="183">
        <f>IF(ISBLANK(ETPT_TJ_DDG!$D$5),"",IF(ISERROR(ETPT_TJ!AL10),"",IF(ETPT_TJ!AL10=0,"",ETPT_TJ!AL10)))</f>
      </c>
      <c r="AM10" s="183">
        <f>IF(ISBLANK(ETPT_TJ_DDG!$D$5),"",IF(ISERROR(ETPT_TJ!AM10),"",IF(ETPT_TJ!AM10=0,"",ETPT_TJ!AM10)))</f>
      </c>
      <c r="AN10" s="183">
        <f>IF(ISBLANK(ETPT_TJ_DDG!$D$5),"",IF(ISERROR(ETPT_TJ!AN10),"",IF(ETPT_TJ!AN10=0,"",ETPT_TJ!AN10)))</f>
      </c>
      <c r="AO10" s="183">
        <f>IF(ISBLANK(ETPT_TJ_DDG!$D$5),"",IF(ISERROR(ETPT_TJ!AO10),"",IF(ETPT_TJ!AO10=0,"",ETPT_TJ!AO10)))</f>
      </c>
      <c r="AP10" s="183">
        <f>IF(ISBLANK(ETPT_TJ_DDG!$D$5),"",IF(ISERROR(ETPT_TJ!AP10),"",IF(ETPT_TJ!AP10=0,"",ETPT_TJ!AP10)))</f>
      </c>
      <c r="AQ10" s="183">
        <f>IF(ISBLANK(ETPT_TJ_DDG!$D$5),"",IF(ISERROR(ETPT_TJ!AQ10),"",IF(ETPT_TJ!AQ10=0,"",ETPT_TJ!AQ10)))</f>
      </c>
      <c r="AR10" s="183">
        <f>IF(ISBLANK(ETPT_TJ_DDG!$D$5),"",IF(ISERROR(ETPT_TJ!AR10),"",IF(ETPT_TJ!AR10=0,"",ETPT_TJ!AR10)))</f>
      </c>
      <c r="AS10" s="183">
        <f>IF(ISBLANK(ETPT_TJ_DDG!$D$5),"",IF(ISERROR(ETPT_TJ!AS10),"",IF(ETPT_TJ!AS10=0,"",ETPT_TJ!AS10)))</f>
      </c>
      <c r="AT10" s="183">
        <f>IF(ISBLANK(ETPT_TJ_DDG!$D$5),"",IF(ISERROR(ETPT_TJ!AT10),"",IF(ETPT_TJ!AT10=0,"",ETPT_TJ!AT10)))</f>
      </c>
      <c r="AU10" s="98">
        <f t="shared" si="3"/>
        <v>0</v>
      </c>
      <c r="AV10" s="102"/>
      <c r="AW10" s="102"/>
      <c r="AX10" s="102"/>
      <c r="AY10" s="102"/>
      <c r="AZ10" s="102"/>
      <c r="BA10" s="102"/>
      <c r="BB10" s="102"/>
      <c r="BC10" s="102"/>
      <c r="BD10" s="102"/>
      <c r="BE10" s="98">
        <f t="shared" si="4"/>
        <v>0</v>
      </c>
    </row>
    <row r="11" ht="14.25" customHeight="1" spans="1:57" s="81" customFormat="1" x14ac:dyDescent="0.25">
      <c r="A11" s="91" t="s">
        <v>577</v>
      </c>
      <c r="B11" s="92"/>
      <c r="C11" s="92"/>
      <c r="D11" s="184">
        <f t="shared" si="5"/>
      </c>
      <c r="E11" s="92" t="s">
        <v>593</v>
      </c>
      <c r="F11" s="92" t="s">
        <v>594</v>
      </c>
      <c r="G11" s="183">
        <f>IF(ISBLANK(ETPT_TJ_DDG!$D$5),"",IF(ISERROR(ETPT_TJ!G11),"",IF(ETPT_TJ!G11=0,"",ETPT_TJ!G11)))</f>
      </c>
      <c r="H11" s="98">
        <f t="shared" si="0"/>
        <v>0</v>
      </c>
      <c r="I11" s="183">
        <f>IF(ISBLANK(ETPT_TJ_DDG!$D$5),"",IF(ISERROR(ETPT_TJ!I11),"",IF(ETPT_TJ!I11=0,"",ETPT_TJ!I11)))</f>
      </c>
      <c r="J11" s="183">
        <f>IF(ISBLANK(ETPT_TJ_DDG!$D$5),"",IF(ISERROR(ETPT_TJ!J11),"",IF(ETPT_TJ!J11=0,"",ETPT_TJ!J11)))</f>
      </c>
      <c r="K11" s="183">
        <f>IF(ISBLANK(ETPT_TJ_DDG!$D$5),"",IF(ISERROR(ETPT_TJ!K11),"",IF(ETPT_TJ!K11=0,"",ETPT_TJ!K11)))</f>
      </c>
      <c r="L11" s="183">
        <f>IF(ISBLANK(ETPT_TJ_DDG!$D$5),"",IF(ISERROR(ETPT_TJ!L11),"",IF(ETPT_TJ!L11=0,"",ETPT_TJ!L11)))</f>
      </c>
      <c r="M11" s="183">
        <f>IF(ISBLANK(ETPT_TJ_DDG!$D$5),"",IF(ISERROR(ETPT_TJ!M11),"",IF(ETPT_TJ!M11=0,"",ETPT_TJ!M11)))</f>
      </c>
      <c r="N11" s="183">
        <f>IF(ISBLANK(ETPT_TJ_DDG!$D$5),"",IF(ISERROR(ETPT_TJ!N11),"",IF(ETPT_TJ!N11=0,"",ETPT_TJ!N11)))</f>
      </c>
      <c r="O11" s="183">
        <f>IF(ISBLANK(ETPT_TJ_DDG!$D$5),"",IF(ISERROR(ETPT_TJ!O11),"",IF(ETPT_TJ!O11=0,"",ETPT_TJ!O11)))</f>
      </c>
      <c r="P11" s="183">
        <f>IF(ISBLANK(ETPT_TJ_DDG!$D$5),"",IF(ISERROR(ETPT_TJ!P11),"",IF(ETPT_TJ!P11=0,"",ETPT_TJ!P11)))</f>
      </c>
      <c r="Q11" s="183">
        <f>IF(ISBLANK(ETPT_TJ_DDG!$D$5),"",IF(ISERROR(ETPT_TJ!Q11),"",IF(ETPT_TJ!Q11=0,"",ETPT_TJ!Q11)))</f>
      </c>
      <c r="R11" s="183">
        <f>IF(ISBLANK(ETPT_TJ_DDG!$D$5),"",IF(ISERROR(ETPT_TJ!R11),"",IF(ETPT_TJ!R11=0,"",ETPT_TJ!R11)))</f>
      </c>
      <c r="S11" s="183">
        <f>IF(ISBLANK(ETPT_TJ_DDG!$D$5),"",IF(ISERROR(ETPT_TJ!S11),"",IF(ETPT_TJ!S11=0,"",ETPT_TJ!S11)))</f>
      </c>
      <c r="T11" s="183">
        <f>IF(ISBLANK(ETPT_TJ_DDG!$D$5),"",IF(ISERROR(ETPT_TJ!T11),"",IF(ETPT_TJ!T11=0,"",ETPT_TJ!T11)))</f>
      </c>
      <c r="U11" s="183">
        <f>IF(ISBLANK(ETPT_TJ_DDG!$D$5),"",IF(ISERROR(ETPT_TJ!U11),"",IF(ETPT_TJ!U11=0,"",ETPT_TJ!U11)))</f>
      </c>
      <c r="V11" s="183">
        <f>IF(ISBLANK(ETPT_TJ_DDG!$D$5),"",IF(ISERROR(ETPT_TJ!V11),"",IF(ETPT_TJ!V11=0,"",ETPT_TJ!V11)))</f>
      </c>
      <c r="W11" s="98">
        <f t="shared" si="1"/>
        <v>0</v>
      </c>
      <c r="X11" s="183">
        <f>IF(ISBLANK(ETPT_TJ_DDG!$D$5),"",IF(ISERROR(ETPT_TJ!X11),"",IF(ETPT_TJ!X11=0,"",ETPT_TJ!X11)))</f>
      </c>
      <c r="Y11" s="183">
        <f>IF(ISBLANK(ETPT_TJ_DDG!$D$5),"",IF(ISERROR(ETPT_TJ!Y11),"",IF(ETPT_TJ!Y11=0,"",ETPT_TJ!Y11)))</f>
      </c>
      <c r="Z11" s="183">
        <f>IF(ISBLANK(ETPT_TJ_DDG!$D$5),"",IF(ISERROR(ETPT_TJ!Z11),"",IF(ETPT_TJ!Z11=0,"",ETPT_TJ!Z11)))</f>
      </c>
      <c r="AA11" s="183">
        <f>IF(ISBLANK(ETPT_TJ_DDG!$D$5),"",IF(ISERROR(ETPT_TJ!AA11),"",IF(ETPT_TJ!AA11=0,"",ETPT_TJ!AA11)))</f>
      </c>
      <c r="AB11" s="183">
        <f>IF(ISBLANK(ETPT_TJ_DDG!$D$5),"",IF(ISERROR(ETPT_TJ!AB11),"",IF(ETPT_TJ!AB11=0,"",ETPT_TJ!AB11)))</f>
      </c>
      <c r="AC11" s="183">
        <f>IF(ISBLANK(ETPT_TJ_DDG!$D$5),"",IF(ISERROR(ETPT_TJ!AC11),"",IF(ETPT_TJ!AC11=0,"",ETPT_TJ!AC11)))</f>
      </c>
      <c r="AD11" s="183">
        <f>IF(ISBLANK(ETPT_TJ_DDG!$D$5),"",IF(ISERROR(ETPT_TJ!AD11),"",IF(ETPT_TJ!AD11=0,"",ETPT_TJ!AD11)))</f>
      </c>
      <c r="AE11" s="183">
        <f>IF(ISBLANK(ETPT_TJ_DDG!$D$5),"",IF(ISERROR(ETPT_TJ!AE11),"",IF(ETPT_TJ!AE11=0,"",ETPT_TJ!AE11)))</f>
      </c>
      <c r="AF11" s="183">
        <f>IF(ISBLANK(ETPT_TJ_DDG!$D$5),"",IF(ISERROR(ETPT_TJ!AF11),"",IF(ETPT_TJ!AF11=0,"",ETPT_TJ!AF11)))</f>
      </c>
      <c r="AG11" s="98">
        <f t="shared" si="2"/>
        <v>0</v>
      </c>
      <c r="AH11" s="183">
        <f>IF(ISBLANK(ETPT_TJ_DDG!$D$5),"",IF(ISERROR(ETPT_TJ!AH11),"",IF(ETPT_TJ!AH11=0,"",ETPT_TJ!AH11)))</f>
      </c>
      <c r="AI11" s="183">
        <f>IF(ISBLANK(ETPT_TJ_DDG!$D$5),"",IF(ISERROR(ETPT_TJ!AI11),"",IF(ETPT_TJ!AI11=0,"",ETPT_TJ!AI11)))</f>
      </c>
      <c r="AJ11" s="183">
        <f>IF(ISBLANK(ETPT_TJ_DDG!$D$5),"",IF(ISERROR(ETPT_TJ!AJ11),"",IF(ETPT_TJ!AJ11=0,"",ETPT_TJ!AJ11)))</f>
      </c>
      <c r="AK11" s="183">
        <f>IF(ISBLANK(ETPT_TJ_DDG!$D$5),"",IF(ISERROR(ETPT_TJ!AK11),"",IF(ETPT_TJ!AK11=0,"",ETPT_TJ!AK11)))</f>
      </c>
      <c r="AL11" s="183">
        <f>IF(ISBLANK(ETPT_TJ_DDG!$D$5),"",IF(ISERROR(ETPT_TJ!AL11),"",IF(ETPT_TJ!AL11=0,"",ETPT_TJ!AL11)))</f>
      </c>
      <c r="AM11" s="183">
        <f>IF(ISBLANK(ETPT_TJ_DDG!$D$5),"",IF(ISERROR(ETPT_TJ!AM11),"",IF(ETPT_TJ!AM11=0,"",ETPT_TJ!AM11)))</f>
      </c>
      <c r="AN11" s="183">
        <f>IF(ISBLANK(ETPT_TJ_DDG!$D$5),"",IF(ISERROR(ETPT_TJ!AN11),"",IF(ETPT_TJ!AN11=0,"",ETPT_TJ!AN11)))</f>
      </c>
      <c r="AO11" s="183">
        <f>IF(ISBLANK(ETPT_TJ_DDG!$D$5),"",IF(ISERROR(ETPT_TJ!AO11),"",IF(ETPT_TJ!AO11=0,"",ETPT_TJ!AO11)))</f>
      </c>
      <c r="AP11" s="183">
        <f>IF(ISBLANK(ETPT_TJ_DDG!$D$5),"",IF(ISERROR(ETPT_TJ!AP11),"",IF(ETPT_TJ!AP11=0,"",ETPT_TJ!AP11)))</f>
      </c>
      <c r="AQ11" s="183">
        <f>IF(ISBLANK(ETPT_TJ_DDG!$D$5),"",IF(ISERROR(ETPT_TJ!AQ11),"",IF(ETPT_TJ!AQ11=0,"",ETPT_TJ!AQ11)))</f>
      </c>
      <c r="AR11" s="183">
        <f>IF(ISBLANK(ETPT_TJ_DDG!$D$5),"",IF(ISERROR(ETPT_TJ!AR11),"",IF(ETPT_TJ!AR11=0,"",ETPT_TJ!AR11)))</f>
      </c>
      <c r="AS11" s="183">
        <f>IF(ISBLANK(ETPT_TJ_DDG!$D$5),"",IF(ISERROR(ETPT_TJ!AS11),"",IF(ETPT_TJ!AS11=0,"",ETPT_TJ!AS11)))</f>
      </c>
      <c r="AT11" s="183">
        <f>IF(ISBLANK(ETPT_TJ_DDG!$D$5),"",IF(ISERROR(ETPT_TJ!AT11),"",IF(ETPT_TJ!AT11=0,"",ETPT_TJ!AT11)))</f>
      </c>
      <c r="AU11" s="98">
        <f t="shared" si="3"/>
        <v>0</v>
      </c>
      <c r="AV11" s="102"/>
      <c r="AW11" s="102"/>
      <c r="AX11" s="102"/>
      <c r="AY11" s="102"/>
      <c r="AZ11" s="102"/>
      <c r="BA11" s="102"/>
      <c r="BB11" s="102"/>
      <c r="BC11" s="102"/>
      <c r="BD11" s="102"/>
      <c r="BE11" s="98">
        <f t="shared" si="4"/>
        <v>0</v>
      </c>
    </row>
    <row r="12" ht="14.25" customHeight="1" spans="1:57" s="81" customFormat="1" x14ac:dyDescent="0.25">
      <c r="A12" s="91" t="s">
        <v>577</v>
      </c>
      <c r="B12" s="92"/>
      <c r="C12" s="92"/>
      <c r="D12" s="184">
        <f t="shared" si="5"/>
      </c>
      <c r="E12" s="92" t="s">
        <v>595</v>
      </c>
      <c r="F12" s="92" t="s">
        <v>596</v>
      </c>
      <c r="G12" s="183">
        <f>IF(ISBLANK(ETPT_TJ_DDG!$D$5),"",IF(ISERROR(ETPT_TJ!G12),"",IF(ETPT_TJ!G12=0,"",ETPT_TJ!G12)))</f>
      </c>
      <c r="H12" s="98">
        <f t="shared" si="0"/>
        <v>0</v>
      </c>
      <c r="I12" s="183">
        <f>IF(ISBLANK(ETPT_TJ_DDG!$D$5),"",IF(ISERROR(ETPT_TJ!I12),"",IF(ETPT_TJ!I12=0,"",ETPT_TJ!I12)))</f>
      </c>
      <c r="J12" s="183">
        <f>IF(ISBLANK(ETPT_TJ_DDG!$D$5),"",IF(ISERROR(ETPT_TJ!J12),"",IF(ETPT_TJ!J12=0,"",ETPT_TJ!J12)))</f>
      </c>
      <c r="K12" s="183">
        <f>IF(ISBLANK(ETPT_TJ_DDG!$D$5),"",IF(ISERROR(ETPT_TJ!K12),"",IF(ETPT_TJ!K12=0,"",ETPT_TJ!K12)))</f>
      </c>
      <c r="L12" s="183">
        <f>IF(ISBLANK(ETPT_TJ_DDG!$D$5),"",IF(ISERROR(ETPT_TJ!L12),"",IF(ETPT_TJ!L12=0,"",ETPT_TJ!L12)))</f>
      </c>
      <c r="M12" s="183">
        <f>IF(ISBLANK(ETPT_TJ_DDG!$D$5),"",IF(ISERROR(ETPT_TJ!M12),"",IF(ETPT_TJ!M12=0,"",ETPT_TJ!M12)))</f>
      </c>
      <c r="N12" s="183">
        <f>IF(ISBLANK(ETPT_TJ_DDG!$D$5),"",IF(ISERROR(ETPT_TJ!N12),"",IF(ETPT_TJ!N12=0,"",ETPT_TJ!N12)))</f>
      </c>
      <c r="O12" s="183">
        <f>IF(ISBLANK(ETPT_TJ_DDG!$D$5),"",IF(ISERROR(ETPT_TJ!O12),"",IF(ETPT_TJ!O12=0,"",ETPT_TJ!O12)))</f>
      </c>
      <c r="P12" s="183">
        <f>IF(ISBLANK(ETPT_TJ_DDG!$D$5),"",IF(ISERROR(ETPT_TJ!P12),"",IF(ETPT_TJ!P12=0,"",ETPT_TJ!P12)))</f>
      </c>
      <c r="Q12" s="183">
        <f>IF(ISBLANK(ETPT_TJ_DDG!$D$5),"",IF(ISERROR(ETPT_TJ!Q12),"",IF(ETPT_TJ!Q12=0,"",ETPT_TJ!Q12)))</f>
      </c>
      <c r="R12" s="183">
        <f>IF(ISBLANK(ETPT_TJ_DDG!$D$5),"",IF(ISERROR(ETPT_TJ!R12),"",IF(ETPT_TJ!R12=0,"",ETPT_TJ!R12)))</f>
      </c>
      <c r="S12" s="183">
        <f>IF(ISBLANK(ETPT_TJ_DDG!$D$5),"",IF(ISERROR(ETPT_TJ!S12),"",IF(ETPT_TJ!S12=0,"",ETPT_TJ!S12)))</f>
      </c>
      <c r="T12" s="183">
        <f>IF(ISBLANK(ETPT_TJ_DDG!$D$5),"",IF(ISERROR(ETPT_TJ!T12),"",IF(ETPT_TJ!T12=0,"",ETPT_TJ!T12)))</f>
      </c>
      <c r="U12" s="183">
        <f>IF(ISBLANK(ETPT_TJ_DDG!$D$5),"",IF(ISERROR(ETPT_TJ!U12),"",IF(ETPT_TJ!U12=0,"",ETPT_TJ!U12)))</f>
      </c>
      <c r="V12" s="183">
        <f>IF(ISBLANK(ETPT_TJ_DDG!$D$5),"",IF(ISERROR(ETPT_TJ!V12),"",IF(ETPT_TJ!V12=0,"",ETPT_TJ!V12)))</f>
      </c>
      <c r="W12" s="98">
        <f t="shared" si="1"/>
        <v>0</v>
      </c>
      <c r="X12" s="183">
        <f>IF(ISBLANK(ETPT_TJ_DDG!$D$5),"",IF(ISERROR(ETPT_TJ!X12),"",IF(ETPT_TJ!X12=0,"",ETPT_TJ!X12)))</f>
      </c>
      <c r="Y12" s="183">
        <f>IF(ISBLANK(ETPT_TJ_DDG!$D$5),"",IF(ISERROR(ETPT_TJ!Y12),"",IF(ETPT_TJ!Y12=0,"",ETPT_TJ!Y12)))</f>
      </c>
      <c r="Z12" s="183">
        <f>IF(ISBLANK(ETPT_TJ_DDG!$D$5),"",IF(ISERROR(ETPT_TJ!Z12),"",IF(ETPT_TJ!Z12=0,"",ETPT_TJ!Z12)))</f>
      </c>
      <c r="AA12" s="183">
        <f>IF(ISBLANK(ETPT_TJ_DDG!$D$5),"",IF(ISERROR(ETPT_TJ!AA12),"",IF(ETPT_TJ!AA12=0,"",ETPT_TJ!AA12)))</f>
      </c>
      <c r="AB12" s="183">
        <f>IF(ISBLANK(ETPT_TJ_DDG!$D$5),"",IF(ISERROR(ETPT_TJ!AB12),"",IF(ETPT_TJ!AB12=0,"",ETPT_TJ!AB12)))</f>
      </c>
      <c r="AC12" s="183">
        <f>IF(ISBLANK(ETPT_TJ_DDG!$D$5),"",IF(ISERROR(ETPT_TJ!AC12),"",IF(ETPT_TJ!AC12=0,"",ETPT_TJ!AC12)))</f>
      </c>
      <c r="AD12" s="183">
        <f>IF(ISBLANK(ETPT_TJ_DDG!$D$5),"",IF(ISERROR(ETPT_TJ!AD12),"",IF(ETPT_TJ!AD12=0,"",ETPT_TJ!AD12)))</f>
      </c>
      <c r="AE12" s="183">
        <f>IF(ISBLANK(ETPT_TJ_DDG!$D$5),"",IF(ISERROR(ETPT_TJ!AE12),"",IF(ETPT_TJ!AE12=0,"",ETPT_TJ!AE12)))</f>
      </c>
      <c r="AF12" s="183">
        <f>IF(ISBLANK(ETPT_TJ_DDG!$D$5),"",IF(ISERROR(ETPT_TJ!AF12),"",IF(ETPT_TJ!AF12=0,"",ETPT_TJ!AF12)))</f>
      </c>
      <c r="AG12" s="98">
        <f t="shared" si="2"/>
        <v>0</v>
      </c>
      <c r="AH12" s="183">
        <f>IF(ISBLANK(ETPT_TJ_DDG!$D$5),"",IF(ISERROR(ETPT_TJ!AH12),"",IF(ETPT_TJ!AH12=0,"",ETPT_TJ!AH12)))</f>
      </c>
      <c r="AI12" s="183">
        <f>IF(ISBLANK(ETPT_TJ_DDG!$D$5),"",IF(ISERROR(ETPT_TJ!AI12),"",IF(ETPT_TJ!AI12=0,"",ETPT_TJ!AI12)))</f>
      </c>
      <c r="AJ12" s="183">
        <f>IF(ISBLANK(ETPT_TJ_DDG!$D$5),"",IF(ISERROR(ETPT_TJ!AJ12),"",IF(ETPT_TJ!AJ12=0,"",ETPT_TJ!AJ12)))</f>
      </c>
      <c r="AK12" s="183">
        <f>IF(ISBLANK(ETPT_TJ_DDG!$D$5),"",IF(ISERROR(ETPT_TJ!AK12),"",IF(ETPT_TJ!AK12=0,"",ETPT_TJ!AK12)))</f>
      </c>
      <c r="AL12" s="183">
        <f>IF(ISBLANK(ETPT_TJ_DDG!$D$5),"",IF(ISERROR(ETPT_TJ!AL12),"",IF(ETPT_TJ!AL12=0,"",ETPT_TJ!AL12)))</f>
      </c>
      <c r="AM12" s="183">
        <f>IF(ISBLANK(ETPT_TJ_DDG!$D$5),"",IF(ISERROR(ETPT_TJ!AM12),"",IF(ETPT_TJ!AM12=0,"",ETPT_TJ!AM12)))</f>
      </c>
      <c r="AN12" s="183">
        <f>IF(ISBLANK(ETPT_TJ_DDG!$D$5),"",IF(ISERROR(ETPT_TJ!AN12),"",IF(ETPT_TJ!AN12=0,"",ETPT_TJ!AN12)))</f>
      </c>
      <c r="AO12" s="183">
        <f>IF(ISBLANK(ETPT_TJ_DDG!$D$5),"",IF(ISERROR(ETPT_TJ!AO12),"",IF(ETPT_TJ!AO12=0,"",ETPT_TJ!AO12)))</f>
      </c>
      <c r="AP12" s="183">
        <f>IF(ISBLANK(ETPT_TJ_DDG!$D$5),"",IF(ISERROR(ETPT_TJ!AP12),"",IF(ETPT_TJ!AP12=0,"",ETPT_TJ!AP12)))</f>
      </c>
      <c r="AQ12" s="183">
        <f>IF(ISBLANK(ETPT_TJ_DDG!$D$5),"",IF(ISERROR(ETPT_TJ!AQ12),"",IF(ETPT_TJ!AQ12=0,"",ETPT_TJ!AQ12)))</f>
      </c>
      <c r="AR12" s="183">
        <f>IF(ISBLANK(ETPT_TJ_DDG!$D$5),"",IF(ISERROR(ETPT_TJ!AR12),"",IF(ETPT_TJ!AR12=0,"",ETPT_TJ!AR12)))</f>
      </c>
      <c r="AS12" s="183">
        <f>IF(ISBLANK(ETPT_TJ_DDG!$D$5),"",IF(ISERROR(ETPT_TJ!AS12),"",IF(ETPT_TJ!AS12=0,"",ETPT_TJ!AS12)))</f>
      </c>
      <c r="AT12" s="183">
        <f>IF(ISBLANK(ETPT_TJ_DDG!$D$5),"",IF(ISERROR(ETPT_TJ!AT12),"",IF(ETPT_TJ!AT12=0,"",ETPT_TJ!AT12)))</f>
      </c>
      <c r="AU12" s="98">
        <f t="shared" si="3"/>
        <v>0</v>
      </c>
      <c r="AV12" s="102"/>
      <c r="AW12" s="102"/>
      <c r="AX12" s="102"/>
      <c r="AY12" s="102"/>
      <c r="AZ12" s="102"/>
      <c r="BA12" s="102"/>
      <c r="BB12" s="102"/>
      <c r="BC12" s="102"/>
      <c r="BD12" s="102"/>
      <c r="BE12" s="98">
        <f t="shared" si="4"/>
        <v>0</v>
      </c>
    </row>
    <row r="13" ht="14.25" customHeight="1" spans="1:57" s="81" customFormat="1" x14ac:dyDescent="0.25">
      <c r="A13" s="91" t="s">
        <v>577</v>
      </c>
      <c r="B13" s="92"/>
      <c r="C13" s="92"/>
      <c r="D13" s="184">
        <f t="shared" si="5"/>
      </c>
      <c r="E13" s="92" t="s">
        <v>597</v>
      </c>
      <c r="F13" s="92" t="s">
        <v>598</v>
      </c>
      <c r="G13" s="183">
        <f>IF(ISBLANK(ETPT_TJ_DDG!$D$5),"",IF(ISERROR(ETPT_TJ!G13),"",IF(ETPT_TJ!G13=0,"",ETPT_TJ!G13)))</f>
      </c>
      <c r="H13" s="98">
        <f t="shared" si="0"/>
        <v>0</v>
      </c>
      <c r="I13" s="183">
        <f>IF(ISBLANK(ETPT_TJ_DDG!$D$5),"",IF(ISERROR(ETPT_TJ!I13),"",IF(ETPT_TJ!I13=0,"",ETPT_TJ!I13)))</f>
      </c>
      <c r="J13" s="183">
        <f>IF(ISBLANK(ETPT_TJ_DDG!$D$5),"",IF(ISERROR(ETPT_TJ!J13),"",IF(ETPT_TJ!J13=0,"",ETPT_TJ!J13)))</f>
      </c>
      <c r="K13" s="183">
        <f>IF(ISBLANK(ETPT_TJ_DDG!$D$5),"",IF(ISERROR(ETPT_TJ!K13),"",IF(ETPT_TJ!K13=0,"",ETPT_TJ!K13)))</f>
      </c>
      <c r="L13" s="183">
        <f>IF(ISBLANK(ETPT_TJ_DDG!$D$5),"",IF(ISERROR(ETPT_TJ!L13),"",IF(ETPT_TJ!L13=0,"",ETPT_TJ!L13)))</f>
      </c>
      <c r="M13" s="183">
        <f>IF(ISBLANK(ETPT_TJ_DDG!$D$5),"",IF(ISERROR(ETPT_TJ!M13),"",IF(ETPT_TJ!M13=0,"",ETPT_TJ!M13)))</f>
      </c>
      <c r="N13" s="183">
        <f>IF(ISBLANK(ETPT_TJ_DDG!$D$5),"",IF(ISERROR(ETPT_TJ!N13),"",IF(ETPT_TJ!N13=0,"",ETPT_TJ!N13)))</f>
      </c>
      <c r="O13" s="183">
        <f>IF(ISBLANK(ETPT_TJ_DDG!$D$5),"",IF(ISERROR(ETPT_TJ!O13),"",IF(ETPT_TJ!O13=0,"",ETPT_TJ!O13)))</f>
      </c>
      <c r="P13" s="183">
        <f>IF(ISBLANK(ETPT_TJ_DDG!$D$5),"",IF(ISERROR(ETPT_TJ!P13),"",IF(ETPT_TJ!P13=0,"",ETPT_TJ!P13)))</f>
      </c>
      <c r="Q13" s="183">
        <f>IF(ISBLANK(ETPT_TJ_DDG!$D$5),"",IF(ISERROR(ETPT_TJ!Q13),"",IF(ETPT_TJ!Q13=0,"",ETPT_TJ!Q13)))</f>
      </c>
      <c r="R13" s="183">
        <f>IF(ISBLANK(ETPT_TJ_DDG!$D$5),"",IF(ISERROR(ETPT_TJ!R13),"",IF(ETPT_TJ!R13=0,"",ETPT_TJ!R13)))</f>
      </c>
      <c r="S13" s="183">
        <f>IF(ISBLANK(ETPT_TJ_DDG!$D$5),"",IF(ISERROR(ETPT_TJ!S13),"",IF(ETPT_TJ!S13=0,"",ETPT_TJ!S13)))</f>
      </c>
      <c r="T13" s="183">
        <f>IF(ISBLANK(ETPT_TJ_DDG!$D$5),"",IF(ISERROR(ETPT_TJ!T13),"",IF(ETPT_TJ!T13=0,"",ETPT_TJ!T13)))</f>
      </c>
      <c r="U13" s="183">
        <f>IF(ISBLANK(ETPT_TJ_DDG!$D$5),"",IF(ISERROR(ETPT_TJ!U13),"",IF(ETPT_TJ!U13=0,"",ETPT_TJ!U13)))</f>
      </c>
      <c r="V13" s="183">
        <f>IF(ISBLANK(ETPT_TJ_DDG!$D$5),"",IF(ISERROR(ETPT_TJ!V13),"",IF(ETPT_TJ!V13=0,"",ETPT_TJ!V13)))</f>
      </c>
      <c r="W13" s="98">
        <f t="shared" si="1"/>
        <v>0</v>
      </c>
      <c r="X13" s="183">
        <f>IF(ISBLANK(ETPT_TJ_DDG!$D$5),"",IF(ISERROR(ETPT_TJ!X13),"",IF(ETPT_TJ!X13=0,"",ETPT_TJ!X13)))</f>
      </c>
      <c r="Y13" s="183">
        <f>IF(ISBLANK(ETPT_TJ_DDG!$D$5),"",IF(ISERROR(ETPT_TJ!Y13),"",IF(ETPT_TJ!Y13=0,"",ETPT_TJ!Y13)))</f>
      </c>
      <c r="Z13" s="183">
        <f>IF(ISBLANK(ETPT_TJ_DDG!$D$5),"",IF(ISERROR(ETPT_TJ!Z13),"",IF(ETPT_TJ!Z13=0,"",ETPT_TJ!Z13)))</f>
      </c>
      <c r="AA13" s="183">
        <f>IF(ISBLANK(ETPT_TJ_DDG!$D$5),"",IF(ISERROR(ETPT_TJ!AA13),"",IF(ETPT_TJ!AA13=0,"",ETPT_TJ!AA13)))</f>
      </c>
      <c r="AB13" s="183">
        <f>IF(ISBLANK(ETPT_TJ_DDG!$D$5),"",IF(ISERROR(ETPT_TJ!AB13),"",IF(ETPT_TJ!AB13=0,"",ETPT_TJ!AB13)))</f>
      </c>
      <c r="AC13" s="183">
        <f>IF(ISBLANK(ETPT_TJ_DDG!$D$5),"",IF(ISERROR(ETPT_TJ!AC13),"",IF(ETPT_TJ!AC13=0,"",ETPT_TJ!AC13)))</f>
      </c>
      <c r="AD13" s="183">
        <f>IF(ISBLANK(ETPT_TJ_DDG!$D$5),"",IF(ISERROR(ETPT_TJ!AD13),"",IF(ETPT_TJ!AD13=0,"",ETPT_TJ!AD13)))</f>
      </c>
      <c r="AE13" s="183">
        <f>IF(ISBLANK(ETPT_TJ_DDG!$D$5),"",IF(ISERROR(ETPT_TJ!AE13),"",IF(ETPT_TJ!AE13=0,"",ETPT_TJ!AE13)))</f>
      </c>
      <c r="AF13" s="183">
        <f>IF(ISBLANK(ETPT_TJ_DDG!$D$5),"",IF(ISERROR(ETPT_TJ!AF13),"",IF(ETPT_TJ!AF13=0,"",ETPT_TJ!AF13)))</f>
      </c>
      <c r="AG13" s="98">
        <f t="shared" si="2"/>
        <v>0</v>
      </c>
      <c r="AH13" s="183">
        <f>IF(ISBLANK(ETPT_TJ_DDG!$D$5),"",IF(ISERROR(ETPT_TJ!AH13),"",IF(ETPT_TJ!AH13=0,"",ETPT_TJ!AH13)))</f>
      </c>
      <c r="AI13" s="183">
        <f>IF(ISBLANK(ETPT_TJ_DDG!$D$5),"",IF(ISERROR(ETPT_TJ!AI13),"",IF(ETPT_TJ!AI13=0,"",ETPT_TJ!AI13)))</f>
      </c>
      <c r="AJ13" s="183">
        <f>IF(ISBLANK(ETPT_TJ_DDG!$D$5),"",IF(ISERROR(ETPT_TJ!AJ13),"",IF(ETPT_TJ!AJ13=0,"",ETPT_TJ!AJ13)))</f>
      </c>
      <c r="AK13" s="183">
        <f>IF(ISBLANK(ETPT_TJ_DDG!$D$5),"",IF(ISERROR(ETPT_TJ!AK13),"",IF(ETPT_TJ!AK13=0,"",ETPT_TJ!AK13)))</f>
      </c>
      <c r="AL13" s="183">
        <f>IF(ISBLANK(ETPT_TJ_DDG!$D$5),"",IF(ISERROR(ETPT_TJ!AL13),"",IF(ETPT_TJ!AL13=0,"",ETPT_TJ!AL13)))</f>
      </c>
      <c r="AM13" s="183">
        <f>IF(ISBLANK(ETPT_TJ_DDG!$D$5),"",IF(ISERROR(ETPT_TJ!AM13),"",IF(ETPT_TJ!AM13=0,"",ETPT_TJ!AM13)))</f>
      </c>
      <c r="AN13" s="183">
        <f>IF(ISBLANK(ETPT_TJ_DDG!$D$5),"",IF(ISERROR(ETPT_TJ!AN13),"",IF(ETPT_TJ!AN13=0,"",ETPT_TJ!AN13)))</f>
      </c>
      <c r="AO13" s="183">
        <f>IF(ISBLANK(ETPT_TJ_DDG!$D$5),"",IF(ISERROR(ETPT_TJ!AO13),"",IF(ETPT_TJ!AO13=0,"",ETPT_TJ!AO13)))</f>
      </c>
      <c r="AP13" s="183">
        <f>IF(ISBLANK(ETPT_TJ_DDG!$D$5),"",IF(ISERROR(ETPT_TJ!AP13),"",IF(ETPT_TJ!AP13=0,"",ETPT_TJ!AP13)))</f>
      </c>
      <c r="AQ13" s="183">
        <f>IF(ISBLANK(ETPT_TJ_DDG!$D$5),"",IF(ISERROR(ETPT_TJ!AQ13),"",IF(ETPT_TJ!AQ13=0,"",ETPT_TJ!AQ13)))</f>
      </c>
      <c r="AR13" s="183">
        <f>IF(ISBLANK(ETPT_TJ_DDG!$D$5),"",IF(ISERROR(ETPT_TJ!AR13),"",IF(ETPT_TJ!AR13=0,"",ETPT_TJ!AR13)))</f>
      </c>
      <c r="AS13" s="183">
        <f>IF(ISBLANK(ETPT_TJ_DDG!$D$5),"",IF(ISERROR(ETPT_TJ!AS13),"",IF(ETPT_TJ!AS13=0,"",ETPT_TJ!AS13)))</f>
      </c>
      <c r="AT13" s="183">
        <f>IF(ISBLANK(ETPT_TJ_DDG!$D$5),"",IF(ISERROR(ETPT_TJ!AT13),"",IF(ETPT_TJ!AT13=0,"",ETPT_TJ!AT13)))</f>
      </c>
      <c r="AU13" s="98">
        <f t="shared" si="3"/>
        <v>0</v>
      </c>
      <c r="AV13" s="102"/>
      <c r="AW13" s="102"/>
      <c r="AX13" s="102"/>
      <c r="AY13" s="102"/>
      <c r="AZ13" s="102"/>
      <c r="BA13" s="102"/>
      <c r="BB13" s="102"/>
      <c r="BC13" s="102"/>
      <c r="BD13" s="102"/>
      <c r="BE13" s="98">
        <f t="shared" si="4"/>
        <v>0</v>
      </c>
    </row>
    <row r="14" ht="14.25" customHeight="1" spans="1:57" s="81" customFormat="1" x14ac:dyDescent="0.25">
      <c r="A14" s="91" t="s">
        <v>577</v>
      </c>
      <c r="B14" s="92"/>
      <c r="C14" s="92"/>
      <c r="D14" s="184">
        <f t="shared" si="5"/>
      </c>
      <c r="E14" s="92" t="s">
        <v>599</v>
      </c>
      <c r="F14" s="92" t="s">
        <v>600</v>
      </c>
      <c r="G14" s="183">
        <f>IF(ISBLANK(ETPT_TJ_DDG!$D$5),"",IF(ISERROR(ETPT_TJ!G14),"",IF(ETPT_TJ!G14=0,"",ETPT_TJ!G14)))</f>
      </c>
      <c r="H14" s="98">
        <f t="shared" si="0"/>
        <v>0</v>
      </c>
      <c r="I14" s="183">
        <f>IF(ISBLANK(ETPT_TJ_DDG!$D$5),"",IF(ISERROR(ETPT_TJ!I14),"",IF(ETPT_TJ!I14=0,"",ETPT_TJ!I14)))</f>
      </c>
      <c r="J14" s="183">
        <f>IF(ISBLANK(ETPT_TJ_DDG!$D$5),"",IF(ISERROR(ETPT_TJ!J14),"",IF(ETPT_TJ!J14=0,"",ETPT_TJ!J14)))</f>
      </c>
      <c r="K14" s="183">
        <f>IF(ISBLANK(ETPT_TJ_DDG!$D$5),"",IF(ISERROR(ETPT_TJ!K14),"",IF(ETPT_TJ!K14=0,"",ETPT_TJ!K14)))</f>
      </c>
      <c r="L14" s="183">
        <f>IF(ISBLANK(ETPT_TJ_DDG!$D$5),"",IF(ISERROR(ETPT_TJ!L14),"",IF(ETPT_TJ!L14=0,"",ETPT_TJ!L14)))</f>
      </c>
      <c r="M14" s="183">
        <f>IF(ISBLANK(ETPT_TJ_DDG!$D$5),"",IF(ISERROR(ETPT_TJ!M14),"",IF(ETPT_TJ!M14=0,"",ETPT_TJ!M14)))</f>
      </c>
      <c r="N14" s="183">
        <f>IF(ISBLANK(ETPT_TJ_DDG!$D$5),"",IF(ISERROR(ETPT_TJ!N14),"",IF(ETPT_TJ!N14=0,"",ETPT_TJ!N14)))</f>
      </c>
      <c r="O14" s="183">
        <f>IF(ISBLANK(ETPT_TJ_DDG!$D$5),"",IF(ISERROR(ETPT_TJ!O14),"",IF(ETPT_TJ!O14=0,"",ETPT_TJ!O14)))</f>
      </c>
      <c r="P14" s="183">
        <f>IF(ISBLANK(ETPT_TJ_DDG!$D$5),"",IF(ISERROR(ETPT_TJ!P14),"",IF(ETPT_TJ!P14=0,"",ETPT_TJ!P14)))</f>
      </c>
      <c r="Q14" s="183">
        <f>IF(ISBLANK(ETPT_TJ_DDG!$D$5),"",IF(ISERROR(ETPT_TJ!Q14),"",IF(ETPT_TJ!Q14=0,"",ETPT_TJ!Q14)))</f>
      </c>
      <c r="R14" s="183">
        <f>IF(ISBLANK(ETPT_TJ_DDG!$D$5),"",IF(ISERROR(ETPT_TJ!R14),"",IF(ETPT_TJ!R14=0,"",ETPT_TJ!R14)))</f>
      </c>
      <c r="S14" s="183">
        <f>IF(ISBLANK(ETPT_TJ_DDG!$D$5),"",IF(ISERROR(ETPT_TJ!S14),"",IF(ETPT_TJ!S14=0,"",ETPT_TJ!S14)))</f>
      </c>
      <c r="T14" s="183">
        <f>IF(ISBLANK(ETPT_TJ_DDG!$D$5),"",IF(ISERROR(ETPT_TJ!T14),"",IF(ETPT_TJ!T14=0,"",ETPT_TJ!T14)))</f>
      </c>
      <c r="U14" s="183">
        <f>IF(ISBLANK(ETPT_TJ_DDG!$D$5),"",IF(ISERROR(ETPT_TJ!U14),"",IF(ETPT_TJ!U14=0,"",ETPT_TJ!U14)))</f>
      </c>
      <c r="V14" s="183">
        <f>IF(ISBLANK(ETPT_TJ_DDG!$D$5),"",IF(ISERROR(ETPT_TJ!V14),"",IF(ETPT_TJ!V14=0,"",ETPT_TJ!V14)))</f>
      </c>
      <c r="W14" s="98">
        <f t="shared" si="1"/>
        <v>0</v>
      </c>
      <c r="X14" s="183">
        <f>IF(ISBLANK(ETPT_TJ_DDG!$D$5),"",IF(ISERROR(ETPT_TJ!X14),"",IF(ETPT_TJ!X14=0,"",ETPT_TJ!X14)))</f>
      </c>
      <c r="Y14" s="183">
        <f>IF(ISBLANK(ETPT_TJ_DDG!$D$5),"",IF(ISERROR(ETPT_TJ!Y14),"",IF(ETPT_TJ!Y14=0,"",ETPT_TJ!Y14)))</f>
      </c>
      <c r="Z14" s="183">
        <f>IF(ISBLANK(ETPT_TJ_DDG!$D$5),"",IF(ISERROR(ETPT_TJ!Z14),"",IF(ETPT_TJ!Z14=0,"",ETPT_TJ!Z14)))</f>
      </c>
      <c r="AA14" s="183">
        <f>IF(ISBLANK(ETPT_TJ_DDG!$D$5),"",IF(ISERROR(ETPT_TJ!AA14),"",IF(ETPT_TJ!AA14=0,"",ETPT_TJ!AA14)))</f>
      </c>
      <c r="AB14" s="183">
        <f>IF(ISBLANK(ETPT_TJ_DDG!$D$5),"",IF(ISERROR(ETPT_TJ!AB14),"",IF(ETPT_TJ!AB14=0,"",ETPT_TJ!AB14)))</f>
      </c>
      <c r="AC14" s="183">
        <f>IF(ISBLANK(ETPT_TJ_DDG!$D$5),"",IF(ISERROR(ETPT_TJ!AC14),"",IF(ETPT_TJ!AC14=0,"",ETPT_TJ!AC14)))</f>
      </c>
      <c r="AD14" s="183">
        <f>IF(ISBLANK(ETPT_TJ_DDG!$D$5),"",IF(ISERROR(ETPT_TJ!AD14),"",IF(ETPT_TJ!AD14=0,"",ETPT_TJ!AD14)))</f>
      </c>
      <c r="AE14" s="183">
        <f>IF(ISBLANK(ETPT_TJ_DDG!$D$5),"",IF(ISERROR(ETPT_TJ!AE14),"",IF(ETPT_TJ!AE14=0,"",ETPT_TJ!AE14)))</f>
      </c>
      <c r="AF14" s="183">
        <f>IF(ISBLANK(ETPT_TJ_DDG!$D$5),"",IF(ISERROR(ETPT_TJ!AF14),"",IF(ETPT_TJ!AF14=0,"",ETPT_TJ!AF14)))</f>
      </c>
      <c r="AG14" s="98">
        <f t="shared" si="2"/>
        <v>0</v>
      </c>
      <c r="AH14" s="183">
        <f>IF(ISBLANK(ETPT_TJ_DDG!$D$5),"",IF(ISERROR(ETPT_TJ!AH14),"",IF(ETPT_TJ!AH14=0,"",ETPT_TJ!AH14)))</f>
      </c>
      <c r="AI14" s="183">
        <f>IF(ISBLANK(ETPT_TJ_DDG!$D$5),"",IF(ISERROR(ETPT_TJ!AI14),"",IF(ETPT_TJ!AI14=0,"",ETPT_TJ!AI14)))</f>
      </c>
      <c r="AJ14" s="183">
        <f>IF(ISBLANK(ETPT_TJ_DDG!$D$5),"",IF(ISERROR(ETPT_TJ!AJ14),"",IF(ETPT_TJ!AJ14=0,"",ETPT_TJ!AJ14)))</f>
      </c>
      <c r="AK14" s="183">
        <f>IF(ISBLANK(ETPT_TJ_DDG!$D$5),"",IF(ISERROR(ETPT_TJ!AK14),"",IF(ETPT_TJ!AK14=0,"",ETPT_TJ!AK14)))</f>
      </c>
      <c r="AL14" s="183">
        <f>IF(ISBLANK(ETPT_TJ_DDG!$D$5),"",IF(ISERROR(ETPT_TJ!AL14),"",IF(ETPT_TJ!AL14=0,"",ETPT_TJ!AL14)))</f>
      </c>
      <c r="AM14" s="183">
        <f>IF(ISBLANK(ETPT_TJ_DDG!$D$5),"",IF(ISERROR(ETPT_TJ!AM14),"",IF(ETPT_TJ!AM14=0,"",ETPT_TJ!AM14)))</f>
      </c>
      <c r="AN14" s="183">
        <f>IF(ISBLANK(ETPT_TJ_DDG!$D$5),"",IF(ISERROR(ETPT_TJ!AN14),"",IF(ETPT_TJ!AN14=0,"",ETPT_TJ!AN14)))</f>
      </c>
      <c r="AO14" s="183">
        <f>IF(ISBLANK(ETPT_TJ_DDG!$D$5),"",IF(ISERROR(ETPT_TJ!AO14),"",IF(ETPT_TJ!AO14=0,"",ETPT_TJ!AO14)))</f>
      </c>
      <c r="AP14" s="183">
        <f>IF(ISBLANK(ETPT_TJ_DDG!$D$5),"",IF(ISERROR(ETPT_TJ!AP14),"",IF(ETPT_TJ!AP14=0,"",ETPT_TJ!AP14)))</f>
      </c>
      <c r="AQ14" s="183">
        <f>IF(ISBLANK(ETPT_TJ_DDG!$D$5),"",IF(ISERROR(ETPT_TJ!AQ14),"",IF(ETPT_TJ!AQ14=0,"",ETPT_TJ!AQ14)))</f>
      </c>
      <c r="AR14" s="183">
        <f>IF(ISBLANK(ETPT_TJ_DDG!$D$5),"",IF(ISERROR(ETPT_TJ!AR14),"",IF(ETPT_TJ!AR14=0,"",ETPT_TJ!AR14)))</f>
      </c>
      <c r="AS14" s="183">
        <f>IF(ISBLANK(ETPT_TJ_DDG!$D$5),"",IF(ISERROR(ETPT_TJ!AS14),"",IF(ETPT_TJ!AS14=0,"",ETPT_TJ!AS14)))</f>
      </c>
      <c r="AT14" s="183">
        <f>IF(ISBLANK(ETPT_TJ_DDG!$D$5),"",IF(ISERROR(ETPT_TJ!AT14),"",IF(ETPT_TJ!AT14=0,"",ETPT_TJ!AT14)))</f>
      </c>
      <c r="AU14" s="98">
        <f t="shared" si="3"/>
        <v>0</v>
      </c>
      <c r="AV14" s="102"/>
      <c r="AW14" s="102"/>
      <c r="AX14" s="102"/>
      <c r="AY14" s="102"/>
      <c r="AZ14" s="102"/>
      <c r="BA14" s="102"/>
      <c r="BB14" s="102"/>
      <c r="BC14" s="102"/>
      <c r="BD14" s="102"/>
      <c r="BE14" s="98">
        <f t="shared" si="4"/>
        <v>0</v>
      </c>
    </row>
    <row r="15" ht="14.25" customHeight="1" spans="1:57" s="81" customFormat="1" x14ac:dyDescent="0.25">
      <c r="A15" s="91" t="s">
        <v>577</v>
      </c>
      <c r="B15" s="92"/>
      <c r="C15" s="92"/>
      <c r="D15" s="184">
        <f t="shared" si="5"/>
      </c>
      <c r="E15" s="92" t="s">
        <v>601</v>
      </c>
      <c r="F15" s="92" t="s">
        <v>602</v>
      </c>
      <c r="G15" s="183">
        <f>IF(ISBLANK(ETPT_TJ_DDG!$D$5),"",IF(ISERROR(ETPT_TJ!G15),"",IF(ETPT_TJ!G15=0,"",ETPT_TJ!G15)))</f>
      </c>
      <c r="H15" s="98">
        <f t="shared" si="0"/>
        <v>0</v>
      </c>
      <c r="I15" s="183">
        <f>IF(ISBLANK(ETPT_TJ_DDG!$D$5),"",IF(ISERROR(ETPT_TJ!I15),"",IF(ETPT_TJ!I15=0,"",ETPT_TJ!I15)))</f>
      </c>
      <c r="J15" s="183">
        <f>IF(ISBLANK(ETPT_TJ_DDG!$D$5),"",IF(ISERROR(ETPT_TJ!J15),"",IF(ETPT_TJ!J15=0,"",ETPT_TJ!J15)))</f>
      </c>
      <c r="K15" s="183">
        <f>IF(ISBLANK(ETPT_TJ_DDG!$D$5),"",IF(ISERROR(ETPT_TJ!K15),"",IF(ETPT_TJ!K15=0,"",ETPT_TJ!K15)))</f>
      </c>
      <c r="L15" s="183">
        <f>IF(ISBLANK(ETPT_TJ_DDG!$D$5),"",IF(ISERROR(ETPT_TJ!L15),"",IF(ETPT_TJ!L15=0,"",ETPT_TJ!L15)))</f>
      </c>
      <c r="M15" s="183">
        <f>IF(ISBLANK(ETPT_TJ_DDG!$D$5),"",IF(ISERROR(ETPT_TJ!M15),"",IF(ETPT_TJ!M15=0,"",ETPT_TJ!M15)))</f>
      </c>
      <c r="N15" s="183">
        <f>IF(ISBLANK(ETPT_TJ_DDG!$D$5),"",IF(ISERROR(ETPT_TJ!N15),"",IF(ETPT_TJ!N15=0,"",ETPT_TJ!N15)))</f>
      </c>
      <c r="O15" s="183">
        <f>IF(ISBLANK(ETPT_TJ_DDG!$D$5),"",IF(ISERROR(ETPT_TJ!O15),"",IF(ETPT_TJ!O15=0,"",ETPT_TJ!O15)))</f>
      </c>
      <c r="P15" s="183">
        <f>IF(ISBLANK(ETPT_TJ_DDG!$D$5),"",IF(ISERROR(ETPT_TJ!P15),"",IF(ETPT_TJ!P15=0,"",ETPT_TJ!P15)))</f>
      </c>
      <c r="Q15" s="183">
        <f>IF(ISBLANK(ETPT_TJ_DDG!$D$5),"",IF(ISERROR(ETPT_TJ!Q15),"",IF(ETPT_TJ!Q15=0,"",ETPT_TJ!Q15)))</f>
      </c>
      <c r="R15" s="183">
        <f>IF(ISBLANK(ETPT_TJ_DDG!$D$5),"",IF(ISERROR(ETPT_TJ!R15),"",IF(ETPT_TJ!R15=0,"",ETPT_TJ!R15)))</f>
      </c>
      <c r="S15" s="183">
        <f>IF(ISBLANK(ETPT_TJ_DDG!$D$5),"",IF(ISERROR(ETPT_TJ!S15),"",IF(ETPT_TJ!S15=0,"",ETPT_TJ!S15)))</f>
      </c>
      <c r="T15" s="183">
        <f>IF(ISBLANK(ETPT_TJ_DDG!$D$5),"",IF(ISERROR(ETPT_TJ!T15),"",IF(ETPT_TJ!T15=0,"",ETPT_TJ!T15)))</f>
      </c>
      <c r="U15" s="183">
        <f>IF(ISBLANK(ETPT_TJ_DDG!$D$5),"",IF(ISERROR(ETPT_TJ!U15),"",IF(ETPT_TJ!U15=0,"",ETPT_TJ!U15)))</f>
      </c>
      <c r="V15" s="183">
        <f>IF(ISBLANK(ETPT_TJ_DDG!$D$5),"",IF(ISERROR(ETPT_TJ!V15),"",IF(ETPT_TJ!V15=0,"",ETPT_TJ!V15)))</f>
      </c>
      <c r="W15" s="98">
        <f t="shared" si="1"/>
        <v>0</v>
      </c>
      <c r="X15" s="183">
        <f>IF(ISBLANK(ETPT_TJ_DDG!$D$5),"",IF(ISERROR(ETPT_TJ!X15),"",IF(ETPT_TJ!X15=0,"",ETPT_TJ!X15)))</f>
      </c>
      <c r="Y15" s="183">
        <f>IF(ISBLANK(ETPT_TJ_DDG!$D$5),"",IF(ISERROR(ETPT_TJ!Y15),"",IF(ETPT_TJ!Y15=0,"",ETPT_TJ!Y15)))</f>
      </c>
      <c r="Z15" s="183">
        <f>IF(ISBLANK(ETPT_TJ_DDG!$D$5),"",IF(ISERROR(ETPT_TJ!Z15),"",IF(ETPT_TJ!Z15=0,"",ETPT_TJ!Z15)))</f>
      </c>
      <c r="AA15" s="183">
        <f>IF(ISBLANK(ETPT_TJ_DDG!$D$5),"",IF(ISERROR(ETPT_TJ!AA15),"",IF(ETPT_TJ!AA15=0,"",ETPT_TJ!AA15)))</f>
      </c>
      <c r="AB15" s="183">
        <f>IF(ISBLANK(ETPT_TJ_DDG!$D$5),"",IF(ISERROR(ETPT_TJ!AB15),"",IF(ETPT_TJ!AB15=0,"",ETPT_TJ!AB15)))</f>
      </c>
      <c r="AC15" s="183">
        <f>IF(ISBLANK(ETPT_TJ_DDG!$D$5),"",IF(ISERROR(ETPT_TJ!AC15),"",IF(ETPT_TJ!AC15=0,"",ETPT_TJ!AC15)))</f>
      </c>
      <c r="AD15" s="183">
        <f>IF(ISBLANK(ETPT_TJ_DDG!$D$5),"",IF(ISERROR(ETPT_TJ!AD15),"",IF(ETPT_TJ!AD15=0,"",ETPT_TJ!AD15)))</f>
      </c>
      <c r="AE15" s="183">
        <f>IF(ISBLANK(ETPT_TJ_DDG!$D$5),"",IF(ISERROR(ETPT_TJ!AE15),"",IF(ETPT_TJ!AE15=0,"",ETPT_TJ!AE15)))</f>
      </c>
      <c r="AF15" s="183">
        <f>IF(ISBLANK(ETPT_TJ_DDG!$D$5),"",IF(ISERROR(ETPT_TJ!AF15),"",IF(ETPT_TJ!AF15=0,"",ETPT_TJ!AF15)))</f>
      </c>
      <c r="AG15" s="98">
        <f t="shared" si="2"/>
        <v>0</v>
      </c>
      <c r="AH15" s="183">
        <f>IF(ISBLANK(ETPT_TJ_DDG!$D$5),"",IF(ISERROR(ETPT_TJ!AH15),"",IF(ETPT_TJ!AH15=0,"",ETPT_TJ!AH15)))</f>
      </c>
      <c r="AI15" s="183">
        <f>IF(ISBLANK(ETPT_TJ_DDG!$D$5),"",IF(ISERROR(ETPT_TJ!AI15),"",IF(ETPT_TJ!AI15=0,"",ETPT_TJ!AI15)))</f>
      </c>
      <c r="AJ15" s="183">
        <f>IF(ISBLANK(ETPT_TJ_DDG!$D$5),"",IF(ISERROR(ETPT_TJ!AJ15),"",IF(ETPT_TJ!AJ15=0,"",ETPT_TJ!AJ15)))</f>
      </c>
      <c r="AK15" s="183">
        <f>IF(ISBLANK(ETPT_TJ_DDG!$D$5),"",IF(ISERROR(ETPT_TJ!AK15),"",IF(ETPT_TJ!AK15=0,"",ETPT_TJ!AK15)))</f>
      </c>
      <c r="AL15" s="183">
        <f>IF(ISBLANK(ETPT_TJ_DDG!$D$5),"",IF(ISERROR(ETPT_TJ!AL15),"",IF(ETPT_TJ!AL15=0,"",ETPT_TJ!AL15)))</f>
      </c>
      <c r="AM15" s="183">
        <f>IF(ISBLANK(ETPT_TJ_DDG!$D$5),"",IF(ISERROR(ETPT_TJ!AM15),"",IF(ETPT_TJ!AM15=0,"",ETPT_TJ!AM15)))</f>
      </c>
      <c r="AN15" s="183">
        <f>IF(ISBLANK(ETPT_TJ_DDG!$D$5),"",IF(ISERROR(ETPT_TJ!AN15),"",IF(ETPT_TJ!AN15=0,"",ETPT_TJ!AN15)))</f>
      </c>
      <c r="AO15" s="183">
        <f>IF(ISBLANK(ETPT_TJ_DDG!$D$5),"",IF(ISERROR(ETPT_TJ!AO15),"",IF(ETPT_TJ!AO15=0,"",ETPT_TJ!AO15)))</f>
      </c>
      <c r="AP15" s="183">
        <f>IF(ISBLANK(ETPT_TJ_DDG!$D$5),"",IF(ISERROR(ETPT_TJ!AP15),"",IF(ETPT_TJ!AP15=0,"",ETPT_TJ!AP15)))</f>
      </c>
      <c r="AQ15" s="183">
        <f>IF(ISBLANK(ETPT_TJ_DDG!$D$5),"",IF(ISERROR(ETPT_TJ!AQ15),"",IF(ETPT_TJ!AQ15=0,"",ETPT_TJ!AQ15)))</f>
      </c>
      <c r="AR15" s="183">
        <f>IF(ISBLANK(ETPT_TJ_DDG!$D$5),"",IF(ISERROR(ETPT_TJ!AR15),"",IF(ETPT_TJ!AR15=0,"",ETPT_TJ!AR15)))</f>
      </c>
      <c r="AS15" s="183">
        <f>IF(ISBLANK(ETPT_TJ_DDG!$D$5),"",IF(ISERROR(ETPT_TJ!AS15),"",IF(ETPT_TJ!AS15=0,"",ETPT_TJ!AS15)))</f>
      </c>
      <c r="AT15" s="183">
        <f>IF(ISBLANK(ETPT_TJ_DDG!$D$5),"",IF(ISERROR(ETPT_TJ!AT15),"",IF(ETPT_TJ!AT15=0,"",ETPT_TJ!AT15)))</f>
      </c>
      <c r="AU15" s="98">
        <f t="shared" si="3"/>
        <v>0</v>
      </c>
      <c r="AV15" s="102"/>
      <c r="AW15" s="102"/>
      <c r="AX15" s="102"/>
      <c r="AY15" s="102"/>
      <c r="AZ15" s="102"/>
      <c r="BA15" s="102"/>
      <c r="BB15" s="102"/>
      <c r="BC15" s="102"/>
      <c r="BD15" s="102"/>
      <c r="BE15" s="98">
        <f t="shared" si="4"/>
        <v>0</v>
      </c>
    </row>
    <row r="16" ht="14.25" customHeight="1" spans="1:57" s="81" customFormat="1" x14ac:dyDescent="0.25">
      <c r="A16" s="91"/>
      <c r="B16" s="115"/>
      <c r="C16" s="115"/>
      <c r="D16" s="115"/>
      <c r="E16" s="115"/>
      <c r="F16" s="116" t="s">
        <v>603</v>
      </c>
      <c r="G16" s="117">
        <f t="shared" ref="G16:AG16" si="6">SUM(G5:G15)</f>
        <v>0</v>
      </c>
      <c r="H16" s="98">
        <f t="shared" si="6"/>
        <v>0</v>
      </c>
      <c r="I16" s="117">
        <f t="shared" si="6"/>
        <v>0</v>
      </c>
      <c r="J16" s="117">
        <f t="shared" si="6"/>
        <v>0</v>
      </c>
      <c r="K16" s="117">
        <f t="shared" si="6"/>
        <v>0</v>
      </c>
      <c r="L16" s="117">
        <f t="shared" si="6"/>
        <v>0</v>
      </c>
      <c r="M16" s="117">
        <f t="shared" si="6"/>
        <v>0</v>
      </c>
      <c r="N16" s="117">
        <f t="shared" si="6"/>
        <v>0</v>
      </c>
      <c r="O16" s="117">
        <f t="shared" si="6"/>
        <v>0</v>
      </c>
      <c r="P16" s="117">
        <f t="shared" si="6"/>
        <v>0</v>
      </c>
      <c r="Q16" s="117">
        <f t="shared" si="6"/>
        <v>0</v>
      </c>
      <c r="R16" s="117">
        <f t="shared" si="6"/>
        <v>0</v>
      </c>
      <c r="S16" s="117">
        <f t="shared" si="6"/>
        <v>0</v>
      </c>
      <c r="T16" s="117">
        <f t="shared" si="6"/>
        <v>0</v>
      </c>
      <c r="U16" s="117">
        <f t="shared" si="6"/>
        <v>0</v>
      </c>
      <c r="V16" s="117">
        <f t="shared" si="6"/>
        <v>0</v>
      </c>
      <c r="W16" s="98">
        <f t="shared" si="6"/>
        <v>0</v>
      </c>
      <c r="X16" s="117">
        <f t="shared" si="6"/>
        <v>0</v>
      </c>
      <c r="Y16" s="117">
        <f t="shared" si="6"/>
        <v>0</v>
      </c>
      <c r="Z16" s="117">
        <f t="shared" si="6"/>
        <v>0</v>
      </c>
      <c r="AA16" s="117">
        <f t="shared" si="6"/>
        <v>0</v>
      </c>
      <c r="AB16" s="117">
        <f t="shared" si="6"/>
        <v>0</v>
      </c>
      <c r="AC16" s="117">
        <f t="shared" si="6"/>
        <v>0</v>
      </c>
      <c r="AD16" s="117">
        <f t="shared" si="6"/>
        <v>0</v>
      </c>
      <c r="AE16" s="117">
        <f t="shared" si="6"/>
        <v>0</v>
      </c>
      <c r="AF16" s="117">
        <f t="shared" si="6"/>
        <v>0</v>
      </c>
      <c r="AG16" s="98">
        <f t="shared" si="6"/>
        <v>0</v>
      </c>
      <c r="AH16" s="117">
        <f t="shared" ref="AH16:BE16" si="7">SUM(AH5:AH15)</f>
        <v>0</v>
      </c>
      <c r="AI16" s="117">
        <f t="shared" si="7"/>
        <v>0</v>
      </c>
      <c r="AJ16" s="117">
        <f t="shared" si="7"/>
        <v>0</v>
      </c>
      <c r="AK16" s="117">
        <f t="shared" si="7"/>
        <v>0</v>
      </c>
      <c r="AL16" s="117">
        <f t="shared" si="7"/>
        <v>0</v>
      </c>
      <c r="AM16" s="117">
        <f t="shared" si="7"/>
        <v>0</v>
      </c>
      <c r="AN16" s="117">
        <f t="shared" si="7"/>
        <v>0</v>
      </c>
      <c r="AO16" s="117">
        <f t="shared" si="7"/>
        <v>0</v>
      </c>
      <c r="AP16" s="117">
        <f t="shared" si="7"/>
        <v>0</v>
      </c>
      <c r="AQ16" s="117">
        <f t="shared" si="7"/>
        <v>0</v>
      </c>
      <c r="AR16" s="117">
        <f t="shared" si="7"/>
        <v>0</v>
      </c>
      <c r="AS16" s="117">
        <f t="shared" si="7"/>
        <v>0</v>
      </c>
      <c r="AT16" s="117">
        <f t="shared" si="7"/>
        <v>0</v>
      </c>
      <c r="AU16" s="98">
        <f t="shared" si="7"/>
        <v>0</v>
      </c>
      <c r="AV16" s="117">
        <f t="shared" si="7"/>
        <v>0</v>
      </c>
      <c r="AW16" s="117">
        <f t="shared" si="7"/>
        <v>0</v>
      </c>
      <c r="AX16" s="117">
        <f t="shared" si="7"/>
        <v>0</v>
      </c>
      <c r="AY16" s="117">
        <f t="shared" si="7"/>
        <v>0</v>
      </c>
      <c r="AZ16" s="117">
        <f t="shared" si="7"/>
        <v>0</v>
      </c>
      <c r="BA16" s="117">
        <f t="shared" si="7"/>
        <v>0</v>
      </c>
      <c r="BB16" s="117">
        <f t="shared" si="7"/>
        <v>0</v>
      </c>
      <c r="BC16" s="117">
        <f t="shared" si="7"/>
        <v>0</v>
      </c>
      <c r="BD16" s="117">
        <f t="shared" si="7"/>
        <v>0</v>
      </c>
      <c r="BE16" s="98">
        <f t="shared" si="7"/>
        <v>0</v>
      </c>
    </row>
    <row r="17" ht="15" customHeight="1" spans="4:57" x14ac:dyDescent="0.25">
      <c r="D17" s="181"/>
      <c r="E17" s="181"/>
      <c r="F17" s="181"/>
      <c r="G17" s="181"/>
      <c r="H17" s="181"/>
      <c r="I17" s="181"/>
      <c r="J17" s="181"/>
      <c r="K17" s="181"/>
      <c r="L17" s="181"/>
      <c r="M17" s="181"/>
      <c r="N17" s="181"/>
      <c r="O17" s="181"/>
      <c r="P17" s="181"/>
      <c r="Q17" s="181"/>
      <c r="R17" s="181"/>
      <c r="S17" s="181"/>
      <c r="T17" s="181"/>
      <c r="U17" s="181"/>
      <c r="V17" s="181"/>
      <c r="W17" s="185"/>
      <c r="X17" s="181"/>
      <c r="Y17" s="181"/>
      <c r="Z17" s="181"/>
      <c r="AA17" s="181"/>
      <c r="AB17" s="181"/>
      <c r="AC17" s="181"/>
      <c r="AD17" s="181"/>
      <c r="AE17" s="181"/>
      <c r="AF17" s="181"/>
      <c r="AG17" s="181"/>
      <c r="AH17" s="181"/>
      <c r="AI17" s="181"/>
      <c r="AJ17" s="181"/>
      <c r="AK17" s="181"/>
      <c r="AL17" s="181"/>
      <c r="AM17" s="181"/>
      <c r="AN17" s="181"/>
      <c r="AO17" s="181"/>
      <c r="AP17" s="181"/>
      <c r="AQ17" s="181"/>
      <c r="AR17" s="181"/>
      <c r="AS17" s="181"/>
      <c r="AT17" s="181"/>
      <c r="AU17" s="185"/>
      <c r="AV17" s="181"/>
      <c r="AW17" s="181"/>
      <c r="AX17" s="181"/>
      <c r="AY17" s="181"/>
      <c r="AZ17" s="181"/>
      <c r="BA17" s="181"/>
      <c r="BB17" s="181"/>
      <c r="BC17" s="181"/>
      <c r="BD17" s="181"/>
      <c r="BE17" s="181"/>
    </row>
    <row r="18" hidden="1" spans="4:57" x14ac:dyDescent="0.25">
      <c r="D18" s="181"/>
      <c r="E18" s="181"/>
      <c r="F18" s="181"/>
      <c r="G18" s="181"/>
      <c r="H18" s="181"/>
      <c r="I18" s="181"/>
      <c r="J18" s="181"/>
      <c r="K18" s="181"/>
      <c r="L18" s="181"/>
      <c r="M18" s="181"/>
      <c r="N18" s="181"/>
      <c r="O18" s="181"/>
      <c r="P18" s="181"/>
      <c r="Q18" s="181"/>
      <c r="R18" s="181"/>
      <c r="S18" s="181"/>
      <c r="T18" s="181"/>
      <c r="U18" s="181"/>
      <c r="V18" s="181"/>
      <c r="W18" s="186"/>
      <c r="X18" s="181"/>
      <c r="Y18" s="181"/>
      <c r="Z18" s="181"/>
      <c r="AA18" s="181"/>
      <c r="AB18" s="181"/>
      <c r="AC18" s="181"/>
      <c r="AD18" s="181"/>
      <c r="AE18" s="181"/>
      <c r="AF18" s="181"/>
      <c r="AG18" s="181"/>
      <c r="AH18" s="181"/>
      <c r="AI18" s="181"/>
      <c r="AJ18" s="181"/>
      <c r="AK18" s="181"/>
      <c r="AL18" s="181"/>
      <c r="AM18" s="181"/>
      <c r="AN18" s="181"/>
      <c r="AO18" s="181"/>
      <c r="AP18" s="181"/>
      <c r="AQ18" s="181"/>
      <c r="AR18" s="181"/>
      <c r="AS18" s="181"/>
      <c r="AT18" s="181"/>
      <c r="AU18" s="186">
        <f>AU16+AG16-AU14-AG14-AU13-AU12-AG13-AG12</f>
        <v>0</v>
      </c>
      <c r="AV18" s="181"/>
      <c r="AW18" s="181"/>
      <c r="AX18" s="181"/>
      <c r="AY18" s="181"/>
      <c r="AZ18" s="181"/>
      <c r="BA18" s="181"/>
      <c r="BB18" s="181"/>
      <c r="BC18" s="181"/>
      <c r="BD18" s="181"/>
      <c r="BE18" s="181"/>
    </row>
    <row r="19" spans="4:57" x14ac:dyDescent="0.25">
      <c r="D19" s="181"/>
      <c r="E19" s="181"/>
      <c r="F19" s="181"/>
      <c r="G19" s="181"/>
      <c r="H19" s="181"/>
      <c r="I19" s="181"/>
      <c r="J19" s="181"/>
      <c r="K19" s="181"/>
      <c r="L19" s="181"/>
      <c r="M19" s="181"/>
      <c r="N19" s="181"/>
      <c r="O19" s="181"/>
      <c r="P19" s="181"/>
      <c r="Q19" s="181"/>
      <c r="R19" s="181"/>
      <c r="S19" s="181"/>
      <c r="T19" s="181"/>
      <c r="U19" s="181"/>
      <c r="V19" s="181"/>
      <c r="W19" s="181"/>
      <c r="X19" s="181"/>
      <c r="Y19" s="181"/>
      <c r="Z19" s="181"/>
      <c r="AA19" s="181"/>
      <c r="AB19" s="181"/>
      <c r="AC19" s="181"/>
      <c r="AD19" s="181"/>
      <c r="AE19" s="181"/>
      <c r="AF19" s="181"/>
      <c r="AG19" s="181"/>
      <c r="AH19" s="181"/>
      <c r="AI19" s="181"/>
      <c r="AJ19" s="181"/>
      <c r="AK19" s="181"/>
      <c r="AL19" s="181"/>
      <c r="AM19" s="181"/>
      <c r="AN19" s="181"/>
      <c r="AO19" s="181"/>
      <c r="AP19" s="181"/>
      <c r="AQ19" s="181"/>
      <c r="AR19" s="181"/>
      <c r="AS19" s="181"/>
      <c r="AT19" s="181"/>
      <c r="AU19" s="181"/>
      <c r="AV19" s="181"/>
      <c r="AW19" s="181"/>
      <c r="AX19" s="181"/>
      <c r="AY19" s="181"/>
      <c r="AZ19" s="181"/>
      <c r="BA19" s="181"/>
      <c r="BB19" s="181"/>
      <c r="BC19" s="181"/>
      <c r="BD19" s="181"/>
      <c r="BE19" s="181"/>
    </row>
    <row r="20" ht="24" customHeight="1" spans="4:57" x14ac:dyDescent="0.25">
      <c r="D20" s="181"/>
      <c r="E20" s="181"/>
      <c r="F20" s="187" t="s">
        <v>605</v>
      </c>
      <c r="G20" s="188">
        <f>IF(ISBLANK(ETPT_TJ_DDG!$D$5),"",IF(ISERROR(ETPT_TJ!G20),"",IF(ETPT_TJ!G20=0,"",ETPT_TJ!G20)))</f>
      </c>
      <c r="H20" s="181"/>
      <c r="I20" s="181"/>
      <c r="J20" s="181"/>
      <c r="K20" s="181"/>
      <c r="L20" s="181"/>
      <c r="M20" s="181"/>
      <c r="N20" s="181"/>
      <c r="O20" s="181"/>
      <c r="P20" s="181"/>
      <c r="Q20" s="181"/>
      <c r="R20" s="181"/>
      <c r="S20" s="181"/>
      <c r="T20" s="181"/>
      <c r="U20" s="189" t="s">
        <v>606</v>
      </c>
      <c r="V20" s="188">
        <f>IF(ISBLANK(ETPT_TJ_DDG!$D$5),"",IF(ISERROR(ETPT_TJ!V20),"",IF(ETPT_TJ!V20=0,"",ETPT_TJ!V20)))</f>
      </c>
      <c r="W20" s="181"/>
      <c r="X20" s="181"/>
      <c r="Y20" s="181"/>
      <c r="Z20" s="181"/>
      <c r="AA20" s="181"/>
      <c r="AB20" s="181"/>
      <c r="AC20" s="190"/>
      <c r="AD20" s="181"/>
      <c r="AE20" s="181"/>
      <c r="AF20" s="181"/>
      <c r="AG20" s="181"/>
      <c r="AH20" s="181"/>
      <c r="AI20" s="181"/>
      <c r="AJ20" s="181"/>
      <c r="AK20" s="181"/>
      <c r="AL20" s="181"/>
      <c r="AM20" s="181"/>
      <c r="AN20" s="181"/>
      <c r="AO20" s="181"/>
      <c r="AP20" s="181"/>
      <c r="AQ20" s="181"/>
      <c r="AR20" s="181"/>
      <c r="AS20" s="189" t="s">
        <v>607</v>
      </c>
      <c r="AT20" s="188">
        <f>IF(ISBLANK(ETPT_TJ_DDG!$D$5),"",IF(ISERROR(ETPT_TJ!AT20),"",IF(ETPT_TJ!AT20=0,"",ETPT_TJ!AT20)))</f>
      </c>
      <c r="AU20" s="181"/>
      <c r="AV20" s="181"/>
      <c r="AW20" s="181"/>
      <c r="AX20" s="181"/>
      <c r="AY20" s="181"/>
      <c r="AZ20" s="181"/>
      <c r="BA20" s="181"/>
      <c r="BB20" s="181"/>
      <c r="BC20" s="181"/>
      <c r="BD20" s="181"/>
      <c r="BE20" s="181"/>
    </row>
    <row r="21" ht="17" customHeight="1" spans="5:5" x14ac:dyDescent="0.25">
      <c r="E21" s="123"/>
    </row>
    <row r="22" ht="69" customHeight="1" spans="5:24" x14ac:dyDescent="0.25">
      <c r="E22" s="191" t="s">
        <v>687</v>
      </c>
      <c r="F22" s="192"/>
      <c r="G22" s="192"/>
      <c r="H22" s="192"/>
      <c r="I22" s="192"/>
      <c r="J22" s="192"/>
      <c r="K22" s="192"/>
      <c r="L22" s="192"/>
      <c r="M22" s="192"/>
      <c r="N22" s="192"/>
      <c r="O22" s="192"/>
      <c r="P22" s="192"/>
      <c r="Q22" s="192"/>
      <c r="R22" s="192"/>
      <c r="S22" s="192"/>
      <c r="T22" s="192"/>
      <c r="U22" s="192"/>
      <c r="V22" s="192"/>
      <c r="W22" s="192"/>
      <c r="X22" s="193"/>
    </row>
  </sheetData>
  <mergeCells count="6">
    <mergeCell ref="H2:H4"/>
    <mergeCell ref="W2:W4"/>
    <mergeCell ref="AG2:AG4"/>
    <mergeCell ref="AU2:AU4"/>
    <mergeCell ref="BE2:BE4"/>
    <mergeCell ref="E22:X22"/>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7EF2D"/>
  </sheetPr>
  <dimension ref="A1:BH22"/>
  <sheetViews>
    <sheetView workbookViewId="0" showGridLines="0" zoomScale="100" zoomScaleNormal="100">
      <selection activeCell="D5" sqref="D5"/>
    </sheetView>
  </sheetViews>
  <sheetFormatPr defaultRowHeight="16" outlineLevelRow="0" outlineLevelCol="0" x14ac:dyDescent="0.2" defaultColWidth="11" customHeight="1"/>
  <cols>
    <col min="1" max="3" width="11" style="80" hidden="1" customWidth="1"/>
    <col min="4" max="4" width="13.5" style="80" customWidth="1"/>
    <col min="5" max="5" width="11" style="80" customWidth="1"/>
    <col min="6" max="6" width="48.1640625" style="80" customWidth="1"/>
    <col min="7" max="16384" width="11" style="80" customWidth="1"/>
  </cols>
  <sheetData>
    <row r="1" ht="80" customHeight="1" spans="1:60" s="40" customFormat="1" x14ac:dyDescent="0.25">
      <c r="A1" s="41" t="s">
        <v>657</v>
      </c>
      <c r="B1" s="42"/>
      <c r="C1" s="42"/>
      <c r="D1" s="41" t="s">
        <v>688</v>
      </c>
      <c r="E1" s="43"/>
      <c r="F1" s="44"/>
      <c r="G1" s="44"/>
      <c r="H1" s="43"/>
      <c r="I1" s="43"/>
      <c r="J1" s="43"/>
      <c r="K1" s="43"/>
      <c r="L1" s="43"/>
      <c r="M1" s="43"/>
      <c r="N1" s="43"/>
      <c r="O1" s="43"/>
      <c r="P1" s="43"/>
      <c r="Q1" s="43"/>
      <c r="R1" s="43"/>
      <c r="S1" s="43"/>
      <c r="T1" s="43"/>
      <c r="U1" s="43"/>
      <c r="V1" s="43"/>
      <c r="W1" s="43"/>
      <c r="X1" s="43"/>
      <c r="Y1" s="43"/>
      <c r="Z1" s="43"/>
      <c r="AA1" s="43"/>
      <c r="AB1" s="43"/>
      <c r="AC1" s="43"/>
      <c r="AD1" s="43"/>
      <c r="AE1" s="43"/>
      <c r="AF1" s="43"/>
      <c r="AG1" s="43"/>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row>
    <row r="2" ht="16" customHeight="1" hidden="1" spans="1:33" x14ac:dyDescent="0.25">
      <c r="A2" s="83"/>
      <c r="B2" s="83"/>
      <c r="C2" s="83"/>
      <c r="D2" s="181"/>
      <c r="E2" s="181"/>
      <c r="F2" s="181"/>
      <c r="G2" s="166" t="s">
        <v>532</v>
      </c>
      <c r="H2" s="194" t="s">
        <v>476</v>
      </c>
      <c r="I2" s="166" t="s">
        <v>631</v>
      </c>
      <c r="J2" s="166" t="s">
        <v>632</v>
      </c>
      <c r="K2" s="166" t="s">
        <v>633</v>
      </c>
      <c r="L2" s="166" t="s">
        <v>634</v>
      </c>
      <c r="M2" s="166" t="s">
        <v>635</v>
      </c>
      <c r="N2" s="166" t="s">
        <v>636</v>
      </c>
      <c r="O2" s="166" t="s">
        <v>637</v>
      </c>
      <c r="P2" s="166" t="s">
        <v>638</v>
      </c>
      <c r="Q2" s="166" t="s">
        <v>639</v>
      </c>
      <c r="R2" s="166" t="s">
        <v>689</v>
      </c>
      <c r="S2" s="194" t="s">
        <v>478</v>
      </c>
      <c r="T2" s="166" t="s">
        <v>640</v>
      </c>
      <c r="U2" s="166" t="s">
        <v>641</v>
      </c>
      <c r="V2" s="166" t="s">
        <v>690</v>
      </c>
      <c r="W2" s="166" t="s">
        <v>643</v>
      </c>
      <c r="X2" s="166" t="s">
        <v>644</v>
      </c>
      <c r="Y2" s="166" t="s">
        <v>645</v>
      </c>
      <c r="Z2" s="166" t="s">
        <v>646</v>
      </c>
      <c r="AA2" s="166" t="s">
        <v>647</v>
      </c>
      <c r="AB2" s="166" t="s">
        <v>648</v>
      </c>
      <c r="AC2" s="194" t="s">
        <v>609</v>
      </c>
      <c r="AD2" s="166" t="s">
        <v>691</v>
      </c>
      <c r="AE2" s="166" t="s">
        <v>561</v>
      </c>
      <c r="AF2" s="166" t="s">
        <v>567</v>
      </c>
      <c r="AG2" s="194" t="s">
        <v>611</v>
      </c>
    </row>
    <row r="3" ht="36" customHeight="1" hidden="1" spans="1:33" x14ac:dyDescent="0.25">
      <c r="A3" s="83"/>
      <c r="B3" s="83"/>
      <c r="C3" s="83"/>
      <c r="D3" s="181"/>
      <c r="E3" s="181"/>
      <c r="F3" s="181"/>
      <c r="G3" s="166" t="s">
        <v>532</v>
      </c>
      <c r="H3" s="194" t="s">
        <v>476</v>
      </c>
      <c r="I3" s="166" t="s">
        <v>631</v>
      </c>
      <c r="J3" s="166" t="s">
        <v>632</v>
      </c>
      <c r="K3" s="166" t="s">
        <v>633</v>
      </c>
      <c r="L3" s="166" t="s">
        <v>634</v>
      </c>
      <c r="M3" s="166" t="s">
        <v>635</v>
      </c>
      <c r="N3" s="166" t="s">
        <v>636</v>
      </c>
      <c r="O3" s="166" t="s">
        <v>637</v>
      </c>
      <c r="P3" s="166" t="s">
        <v>638</v>
      </c>
      <c r="Q3" s="166" t="s">
        <v>639</v>
      </c>
      <c r="R3" s="166" t="s">
        <v>689</v>
      </c>
      <c r="S3" s="194" t="s">
        <v>478</v>
      </c>
      <c r="T3" s="166" t="s">
        <v>640</v>
      </c>
      <c r="U3" s="166" t="s">
        <v>641</v>
      </c>
      <c r="V3" s="166" t="s">
        <v>690</v>
      </c>
      <c r="W3" s="166" t="s">
        <v>643</v>
      </c>
      <c r="X3" s="166" t="s">
        <v>644</v>
      </c>
      <c r="Y3" s="166" t="s">
        <v>645</v>
      </c>
      <c r="Z3" s="166" t="s">
        <v>646</v>
      </c>
      <c r="AA3" s="166" t="s">
        <v>647</v>
      </c>
      <c r="AB3" s="166" t="s">
        <v>648</v>
      </c>
      <c r="AC3" s="194" t="s">
        <v>609</v>
      </c>
      <c r="AD3" s="166" t="s">
        <v>691</v>
      </c>
      <c r="AE3" s="166" t="s">
        <v>561</v>
      </c>
      <c r="AF3" s="166" t="s">
        <v>567</v>
      </c>
      <c r="AG3" s="194" t="s">
        <v>611</v>
      </c>
    </row>
    <row r="4" ht="60" customHeight="1" spans="1:33" x14ac:dyDescent="0.25">
      <c r="A4" s="83"/>
      <c r="B4" s="90" t="s">
        <v>528</v>
      </c>
      <c r="C4" s="90" t="s">
        <v>529</v>
      </c>
      <c r="D4" s="90" t="s">
        <v>37</v>
      </c>
      <c r="E4" s="90" t="s">
        <v>530</v>
      </c>
      <c r="F4" s="90" t="s">
        <v>531</v>
      </c>
      <c r="G4" s="166" t="s">
        <v>532</v>
      </c>
      <c r="H4" s="194" t="s">
        <v>476</v>
      </c>
      <c r="I4" s="166" t="s">
        <v>631</v>
      </c>
      <c r="J4" s="166" t="s">
        <v>632</v>
      </c>
      <c r="K4" s="166" t="s">
        <v>633</v>
      </c>
      <c r="L4" s="166" t="s">
        <v>634</v>
      </c>
      <c r="M4" s="166" t="s">
        <v>635</v>
      </c>
      <c r="N4" s="166" t="s">
        <v>636</v>
      </c>
      <c r="O4" s="166" t="s">
        <v>637</v>
      </c>
      <c r="P4" s="166" t="s">
        <v>638</v>
      </c>
      <c r="Q4" s="166" t="s">
        <v>639</v>
      </c>
      <c r="R4" s="166" t="s">
        <v>689</v>
      </c>
      <c r="S4" s="194" t="s">
        <v>478</v>
      </c>
      <c r="T4" s="166" t="s">
        <v>640</v>
      </c>
      <c r="U4" s="166" t="s">
        <v>641</v>
      </c>
      <c r="V4" s="166" t="s">
        <v>690</v>
      </c>
      <c r="W4" s="166" t="s">
        <v>643</v>
      </c>
      <c r="X4" s="166" t="s">
        <v>644</v>
      </c>
      <c r="Y4" s="166" t="s">
        <v>645</v>
      </c>
      <c r="Z4" s="166" t="s">
        <v>646</v>
      </c>
      <c r="AA4" s="166" t="s">
        <v>647</v>
      </c>
      <c r="AB4" s="166" t="s">
        <v>648</v>
      </c>
      <c r="AC4" s="194" t="s">
        <v>609</v>
      </c>
      <c r="AD4" s="166" t="s">
        <v>691</v>
      </c>
      <c r="AE4" s="166" t="s">
        <v>561</v>
      </c>
      <c r="AF4" s="166" t="s">
        <v>567</v>
      </c>
      <c r="AG4" s="194" t="s">
        <v>611</v>
      </c>
    </row>
    <row r="5" spans="1:33" x14ac:dyDescent="0.25">
      <c r="A5" s="133" t="s">
        <v>650</v>
      </c>
      <c r="B5" s="104"/>
      <c r="C5" s="104"/>
      <c r="D5" s="195" t="s">
        <v>157</v>
      </c>
      <c r="E5" s="104" t="s">
        <v>578</v>
      </c>
      <c r="F5" s="196" t="s">
        <v>579</v>
      </c>
      <c r="G5" s="141">
        <f>IF(ISBLANK(ETPT_TPRX_DDG!$D$5),"",IF(ISERROR(ETPT_TPRX!G5),"",IF(ETPT_TPRX!G5=0,"",ETPT_TPRX!G5)))</f>
      </c>
      <c r="H5" s="134">
        <f t="shared" ref="H5:H15" si="0">SUM(G5)</f>
        <v>0</v>
      </c>
      <c r="I5" s="141">
        <f>IF(ISBLANK(ETPT_TPRX_DDG!$D$5),"",IF(ISERROR(ETPT_TPRX!I5),"",IF(ETPT_TPRX!I5=0,"",ETPT_TPRX!I5)))</f>
      </c>
      <c r="J5" s="141">
        <f>IF(ISBLANK(ETPT_TPRX_DDG!$D$5),"",IF(ISERROR(ETPT_TPRX!J5),"",IF(ETPT_TPRX!J5=0,"",ETPT_TPRX!J5)))</f>
      </c>
      <c r="K5" s="141">
        <f>IF(ISBLANK(ETPT_TPRX_DDG!$D$5),"",IF(ISERROR(ETPT_TPRX!K5),"",IF(ETPT_TPRX!K5=0,"",ETPT_TPRX!K5)))</f>
      </c>
      <c r="L5" s="141">
        <f>IF(ISBLANK(ETPT_TPRX_DDG!$D$5),"",IF(ISERROR(ETPT_TPRX!L5),"",IF(ETPT_TPRX!L5=0,"",ETPT_TPRX!L5)))</f>
      </c>
      <c r="M5" s="141">
        <f>IF(ISBLANK(ETPT_TPRX_DDG!$D$5),"",IF(ISERROR(ETPT_TPRX!M5),"",IF(ETPT_TPRX!M5=0,"",ETPT_TPRX!M5)))</f>
      </c>
      <c r="N5" s="141">
        <f>IF(ISBLANK(ETPT_TPRX_DDG!$D$5),"",IF(ISERROR(ETPT_TPRX!N5),"",IF(ETPT_TPRX!N5=0,"",ETPT_TPRX!N5)))</f>
      </c>
      <c r="O5" s="141">
        <f>IF(ISBLANK(ETPT_TPRX_DDG!$D$5),"",IF(ISERROR(ETPT_TPRX!O5),"",IF(ETPT_TPRX!O5=0,"",ETPT_TPRX!O5)))</f>
      </c>
      <c r="P5" s="141">
        <f>IF(ISBLANK(ETPT_TPRX_DDG!$D$5),"",IF(ISERROR(ETPT_TPRX!P5),"",IF(ETPT_TPRX!P5=0,"",ETPT_TPRX!P5)))</f>
      </c>
      <c r="Q5" s="141">
        <f>IF(ISBLANK(ETPT_TPRX_DDG!$D$5),"",IF(ISERROR(ETPT_TPRX!Q5),"",IF(ETPT_TPRX!Q5=0,"",ETPT_TPRX!Q5)))</f>
      </c>
      <c r="R5" s="141">
        <f>IF(ISBLANK(ETPT_TPRX_DDG!$D$5),"",IF(ISERROR(ETPT_TPRX!R5),"",IF(ETPT_TPRX!R5=0,"",ETPT_TPRX!R5)))</f>
      </c>
      <c r="S5" s="134">
        <f t="shared" ref="S5:S15" si="1">SUM(I5:R5)</f>
        <v>0</v>
      </c>
      <c r="T5" s="141">
        <f>IF(ISBLANK(ETPT_TPRX_DDG!$D$5),"",IF(ISERROR(ETPT_TPRX!T5),"",IF(ETPT_TPRX!T5=0,"",ETPT_TPRX!T5)))</f>
      </c>
      <c r="U5" s="141">
        <f>IF(ISBLANK(ETPT_TPRX_DDG!$D$5),"",IF(ISERROR(ETPT_TPRX!U5),"",IF(ETPT_TPRX!U5=0,"",ETPT_TPRX!U5)))</f>
      </c>
      <c r="V5" s="141">
        <f>IF(ISBLANK(ETPT_TPRX_DDG!$D$5),"",IF(ISERROR(ETPT_TPRX!V5),"",IF(ETPT_TPRX!V5=0,"",ETPT_TPRX!V5)))</f>
      </c>
      <c r="W5" s="141">
        <f>IF(ISBLANK(ETPT_TPRX_DDG!$D$5),"",IF(ISERROR(ETPT_TPRX!W5),"",IF(ETPT_TPRX!W5=0,"",ETPT_TPRX!W5)))</f>
      </c>
      <c r="X5" s="141">
        <f>IF(ISBLANK(ETPT_TPRX_DDG!$D$5),"",IF(ISERROR(ETPT_TPRX!X5),"",IF(ETPT_TPRX!X5=0,"",ETPT_TPRX!X5)))</f>
      </c>
      <c r="Y5" s="141">
        <f>IF(ISBLANK(ETPT_TPRX_DDG!$D$5),"",IF(ISERROR(ETPT_TPRX!Y5),"",IF(ETPT_TPRX!Y5=0,"",ETPT_TPRX!Y5)))</f>
      </c>
      <c r="Z5" s="141">
        <f>IF(ISBLANK(ETPT_TPRX_DDG!$D$5),"",IF(ISERROR(ETPT_TPRX!Z5),"",IF(ETPT_TPRX!Z5=0,"",ETPT_TPRX!Z5)))</f>
      </c>
      <c r="AA5" s="141">
        <f>IF(ISBLANK(ETPT_TPRX_DDG!$D$5),"",IF(ISERROR(ETPT_TPRX!AA5),"",IF(ETPT_TPRX!AA5=0,"",ETPT_TPRX!AA5)))</f>
      </c>
      <c r="AB5" s="141">
        <f>IF(ISBLANK(ETPT_TPRX_DDG!$D$5),"",IF(ISERROR(ETPT_TPRX!AB5),"",IF(ETPT_TPRX!AB5=0,"",ETPT_TPRX!AB5)))</f>
      </c>
      <c r="AC5" s="134">
        <f t="shared" ref="AC5:AC15" si="2">SUM(T5:AB5)</f>
        <v>0</v>
      </c>
      <c r="AD5" s="141">
        <f>IF(ISBLANK(ETPT_TPRX_DDG!$D$5),"",IF(ISERROR(ETPT_TPRX!AD5),"",IF(ETPT_TPRX!AD5=0,"",ETPT_TPRX!AD5)))</f>
      </c>
      <c r="AE5" s="141">
        <f>IF(ISBLANK(ETPT_TPRX_DDG!$D$5),"",IF(ISERROR(ETPT_TPRX!AE5),"",IF(ETPT_TPRX!AE5=0,"",ETPT_TPRX!AE5)))</f>
      </c>
      <c r="AF5" s="141">
        <f>IF(ISBLANK(ETPT_TPRX_DDG!$D$5),"",IF(ISERROR(ETPT_TPRX!AF5),"",IF(ETPT_TPRX!AF5=0,"",ETPT_TPRX!AF5)))</f>
      </c>
      <c r="AG5" s="134">
        <f t="shared" ref="AG5:AG15" si="3">SUM(AD5:AF5)</f>
        <v>0</v>
      </c>
    </row>
    <row r="6" spans="1:33" x14ac:dyDescent="0.25">
      <c r="A6" s="133" t="s">
        <v>650</v>
      </c>
      <c r="B6" s="104"/>
      <c r="C6" s="104"/>
      <c r="D6" s="104">
        <f t="shared" ref="D6:D15" si="4">IF(ISBLANK($D$5),"",$D$5)</f>
      </c>
      <c r="E6" s="104" t="s">
        <v>580</v>
      </c>
      <c r="F6" s="196" t="s">
        <v>581</v>
      </c>
      <c r="G6" s="141">
        <f>IF(ISBLANK(ETPT_TPRX_DDG!$D$5),"",IF(ISERROR(ETPT_TPRX!G6),"",IF(ETPT_TPRX!G6=0,"",ETPT_TPRX!G6)))</f>
      </c>
      <c r="H6" s="134">
        <f t="shared" si="0"/>
        <v>0</v>
      </c>
      <c r="I6" s="141">
        <f>IF(ISBLANK(ETPT_TPRX_DDG!$D$5),"",IF(ISERROR(ETPT_TPRX!I6),"",IF(ETPT_TPRX!I6=0,"",ETPT_TPRX!I6)))</f>
      </c>
      <c r="J6" s="141">
        <f>IF(ISBLANK(ETPT_TPRX_DDG!$D$5),"",IF(ISERROR(ETPT_TPRX!J6),"",IF(ETPT_TPRX!J6=0,"",ETPT_TPRX!J6)))</f>
      </c>
      <c r="K6" s="141">
        <f>IF(ISBLANK(ETPT_TPRX_DDG!$D$5),"",IF(ISERROR(ETPT_TPRX!K6),"",IF(ETPT_TPRX!K6=0,"",ETPT_TPRX!K6)))</f>
      </c>
      <c r="L6" s="141">
        <f>IF(ISBLANK(ETPT_TPRX_DDG!$D$5),"",IF(ISERROR(ETPT_TPRX!L6),"",IF(ETPT_TPRX!L6=0,"",ETPT_TPRX!L6)))</f>
      </c>
      <c r="M6" s="141">
        <f>IF(ISBLANK(ETPT_TPRX_DDG!$D$5),"",IF(ISERROR(ETPT_TPRX!M6),"",IF(ETPT_TPRX!M6=0,"",ETPT_TPRX!M6)))</f>
      </c>
      <c r="N6" s="141">
        <f>IF(ISBLANK(ETPT_TPRX_DDG!$D$5),"",IF(ISERROR(ETPT_TPRX!N6),"",IF(ETPT_TPRX!N6=0,"",ETPT_TPRX!N6)))</f>
      </c>
      <c r="O6" s="141">
        <f>IF(ISBLANK(ETPT_TPRX_DDG!$D$5),"",IF(ISERROR(ETPT_TPRX!O6),"",IF(ETPT_TPRX!O6=0,"",ETPT_TPRX!O6)))</f>
      </c>
      <c r="P6" s="141">
        <f>IF(ISBLANK(ETPT_TPRX_DDG!$D$5),"",IF(ISERROR(ETPT_TPRX!P6),"",IF(ETPT_TPRX!P6=0,"",ETPT_TPRX!P6)))</f>
      </c>
      <c r="Q6" s="141">
        <f>IF(ISBLANK(ETPT_TPRX_DDG!$D$5),"",IF(ISERROR(ETPT_TPRX!Q6),"",IF(ETPT_TPRX!Q6=0,"",ETPT_TPRX!Q6)))</f>
      </c>
      <c r="R6" s="141">
        <f>IF(ISBLANK(ETPT_TPRX_DDG!$D$5),"",IF(ISERROR(ETPT_TPRX!R6),"",IF(ETPT_TPRX!R6=0,"",ETPT_TPRX!R6)))</f>
      </c>
      <c r="S6" s="134">
        <f t="shared" si="1"/>
        <v>0</v>
      </c>
      <c r="T6" s="141">
        <f>IF(ISBLANK(ETPT_TPRX_DDG!$D$5),"",IF(ISERROR(ETPT_TPRX!T6),"",IF(ETPT_TPRX!T6=0,"",ETPT_TPRX!T6)))</f>
      </c>
      <c r="U6" s="141">
        <f>IF(ISBLANK(ETPT_TPRX_DDG!$D$5),"",IF(ISERROR(ETPT_TPRX!U6),"",IF(ETPT_TPRX!U6=0,"",ETPT_TPRX!U6)))</f>
      </c>
      <c r="V6" s="141">
        <f>IF(ISBLANK(ETPT_TPRX_DDG!$D$5),"",IF(ISERROR(ETPT_TPRX!V6),"",IF(ETPT_TPRX!V6=0,"",ETPT_TPRX!V6)))</f>
      </c>
      <c r="W6" s="141">
        <f>IF(ISBLANK(ETPT_TPRX_DDG!$D$5),"",IF(ISERROR(ETPT_TPRX!W6),"",IF(ETPT_TPRX!W6=0,"",ETPT_TPRX!W6)))</f>
      </c>
      <c r="X6" s="141">
        <f>IF(ISBLANK(ETPT_TPRX_DDG!$D$5),"",IF(ISERROR(ETPT_TPRX!X6),"",IF(ETPT_TPRX!X6=0,"",ETPT_TPRX!X6)))</f>
      </c>
      <c r="Y6" s="141">
        <f>IF(ISBLANK(ETPT_TPRX_DDG!$D$5),"",IF(ISERROR(ETPT_TPRX!Y6),"",IF(ETPT_TPRX!Y6=0,"",ETPT_TPRX!Y6)))</f>
      </c>
      <c r="Z6" s="141">
        <f>IF(ISBLANK(ETPT_TPRX_DDG!$D$5),"",IF(ISERROR(ETPT_TPRX!Z6),"",IF(ETPT_TPRX!Z6=0,"",ETPT_TPRX!Z6)))</f>
      </c>
      <c r="AA6" s="141">
        <f>IF(ISBLANK(ETPT_TPRX_DDG!$D$5),"",IF(ISERROR(ETPT_TPRX!AA6),"",IF(ETPT_TPRX!AA6=0,"",ETPT_TPRX!AA6)))</f>
      </c>
      <c r="AB6" s="141">
        <f>IF(ISBLANK(ETPT_TPRX_DDG!$D$5),"",IF(ISERROR(ETPT_TPRX!AB6),"",IF(ETPT_TPRX!AB6=0,"",ETPT_TPRX!AB6)))</f>
      </c>
      <c r="AC6" s="134">
        <f t="shared" si="2"/>
        <v>0</v>
      </c>
      <c r="AD6" s="141">
        <f>IF(ISBLANK(ETPT_TPRX_DDG!$D$5),"",IF(ISERROR(ETPT_TPRX!AD6),"",IF(ETPT_TPRX!AD6=0,"",ETPT_TPRX!AD6)))</f>
      </c>
      <c r="AE6" s="141">
        <f>IF(ISBLANK(ETPT_TPRX_DDG!$D$5),"",IF(ISERROR(ETPT_TPRX!AE6),"",IF(ETPT_TPRX!AE6=0,"",ETPT_TPRX!AE6)))</f>
      </c>
      <c r="AF6" s="141">
        <f>IF(ISBLANK(ETPT_TPRX_DDG!$D$5),"",IF(ISERROR(ETPT_TPRX!AF6),"",IF(ETPT_TPRX!AF6=0,"",ETPT_TPRX!AF6)))</f>
      </c>
      <c r="AG6" s="134">
        <f t="shared" si="3"/>
        <v>0</v>
      </c>
    </row>
    <row r="7" spans="1:33" x14ac:dyDescent="0.25">
      <c r="A7" s="133" t="s">
        <v>650</v>
      </c>
      <c r="B7" s="104"/>
      <c r="C7" s="104"/>
      <c r="D7" s="104">
        <f t="shared" si="4"/>
      </c>
      <c r="E7" s="104" t="s">
        <v>583</v>
      </c>
      <c r="F7" s="196" t="s">
        <v>584</v>
      </c>
      <c r="G7" s="141">
        <f>IF(ISBLANK(ETPT_TPRX_DDG!$D$5),"",IF(ISERROR(ETPT_TPRX!G7),"",IF(ETPT_TPRX!G7=0,"",ETPT_TPRX!G7)))</f>
      </c>
      <c r="H7" s="134">
        <f t="shared" si="0"/>
        <v>0</v>
      </c>
      <c r="I7" s="141">
        <f>IF(ISBLANK(ETPT_TPRX_DDG!$D$5),"",IF(ISERROR(ETPT_TPRX!I7),"",IF(ETPT_TPRX!I7=0,"",ETPT_TPRX!I7)))</f>
      </c>
      <c r="J7" s="141">
        <f>IF(ISBLANK(ETPT_TPRX_DDG!$D$5),"",IF(ISERROR(ETPT_TPRX!J7),"",IF(ETPT_TPRX!J7=0,"",ETPT_TPRX!J7)))</f>
      </c>
      <c r="K7" s="141">
        <f>IF(ISBLANK(ETPT_TPRX_DDG!$D$5),"",IF(ISERROR(ETPT_TPRX!K7),"",IF(ETPT_TPRX!K7=0,"",ETPT_TPRX!K7)))</f>
      </c>
      <c r="L7" s="141">
        <f>IF(ISBLANK(ETPT_TPRX_DDG!$D$5),"",IF(ISERROR(ETPT_TPRX!L7),"",IF(ETPT_TPRX!L7=0,"",ETPT_TPRX!L7)))</f>
      </c>
      <c r="M7" s="141">
        <f>IF(ISBLANK(ETPT_TPRX_DDG!$D$5),"",IF(ISERROR(ETPT_TPRX!M7),"",IF(ETPT_TPRX!M7=0,"",ETPT_TPRX!M7)))</f>
      </c>
      <c r="N7" s="141">
        <f>IF(ISBLANK(ETPT_TPRX_DDG!$D$5),"",IF(ISERROR(ETPT_TPRX!N7),"",IF(ETPT_TPRX!N7=0,"",ETPT_TPRX!N7)))</f>
      </c>
      <c r="O7" s="141">
        <f>IF(ISBLANK(ETPT_TPRX_DDG!$D$5),"",IF(ISERROR(ETPT_TPRX!O7),"",IF(ETPT_TPRX!O7=0,"",ETPT_TPRX!O7)))</f>
      </c>
      <c r="P7" s="141">
        <f>IF(ISBLANK(ETPT_TPRX_DDG!$D$5),"",IF(ISERROR(ETPT_TPRX!P7),"",IF(ETPT_TPRX!P7=0,"",ETPT_TPRX!P7)))</f>
      </c>
      <c r="Q7" s="141">
        <f>IF(ISBLANK(ETPT_TPRX_DDG!$D$5),"",IF(ISERROR(ETPT_TPRX!Q7),"",IF(ETPT_TPRX!Q7=0,"",ETPT_TPRX!Q7)))</f>
      </c>
      <c r="R7" s="141">
        <f>IF(ISBLANK(ETPT_TPRX_DDG!$D$5),"",IF(ISERROR(ETPT_TPRX!R7),"",IF(ETPT_TPRX!R7=0,"",ETPT_TPRX!R7)))</f>
      </c>
      <c r="S7" s="134">
        <f t="shared" si="1"/>
        <v>0</v>
      </c>
      <c r="T7" s="141">
        <f>IF(ISBLANK(ETPT_TPRX_DDG!$D$5),"",IF(ISERROR(ETPT_TPRX!T7),"",IF(ETPT_TPRX!T7=0,"",ETPT_TPRX!T7)))</f>
      </c>
      <c r="U7" s="141">
        <f>IF(ISBLANK(ETPT_TPRX_DDG!$D$5),"",IF(ISERROR(ETPT_TPRX!U7),"",IF(ETPT_TPRX!U7=0,"",ETPT_TPRX!U7)))</f>
      </c>
      <c r="V7" s="141">
        <f>IF(ISBLANK(ETPT_TPRX_DDG!$D$5),"",IF(ISERROR(ETPT_TPRX!V7),"",IF(ETPT_TPRX!V7=0,"",ETPT_TPRX!V7)))</f>
      </c>
      <c r="W7" s="141">
        <f>IF(ISBLANK(ETPT_TPRX_DDG!$D$5),"",IF(ISERROR(ETPT_TPRX!W7),"",IF(ETPT_TPRX!W7=0,"",ETPT_TPRX!W7)))</f>
      </c>
      <c r="X7" s="141">
        <f>IF(ISBLANK(ETPT_TPRX_DDG!$D$5),"",IF(ISERROR(ETPT_TPRX!X7),"",IF(ETPT_TPRX!X7=0,"",ETPT_TPRX!X7)))</f>
      </c>
      <c r="Y7" s="141">
        <f>IF(ISBLANK(ETPT_TPRX_DDG!$D$5),"",IF(ISERROR(ETPT_TPRX!Y7),"",IF(ETPT_TPRX!Y7=0,"",ETPT_TPRX!Y7)))</f>
      </c>
      <c r="Z7" s="141">
        <f>IF(ISBLANK(ETPT_TPRX_DDG!$D$5),"",IF(ISERROR(ETPT_TPRX!Z7),"",IF(ETPT_TPRX!Z7=0,"",ETPT_TPRX!Z7)))</f>
      </c>
      <c r="AA7" s="141">
        <f>IF(ISBLANK(ETPT_TPRX_DDG!$D$5),"",IF(ISERROR(ETPT_TPRX!AA7),"",IF(ETPT_TPRX!AA7=0,"",ETPT_TPRX!AA7)))</f>
      </c>
      <c r="AB7" s="141">
        <f>IF(ISBLANK(ETPT_TPRX_DDG!$D$5),"",IF(ISERROR(ETPT_TPRX!AB7),"",IF(ETPT_TPRX!AB7=0,"",ETPT_TPRX!AB7)))</f>
      </c>
      <c r="AC7" s="134">
        <f t="shared" si="2"/>
        <v>0</v>
      </c>
      <c r="AD7" s="141">
        <f>IF(ISBLANK(ETPT_TPRX_DDG!$D$5),"",IF(ISERROR(ETPT_TPRX!AD7),"",IF(ETPT_TPRX!AD7=0,"",ETPT_TPRX!AD7)))</f>
      </c>
      <c r="AE7" s="141">
        <f>IF(ISBLANK(ETPT_TPRX_DDG!$D$5),"",IF(ISERROR(ETPT_TPRX!AE7),"",IF(ETPT_TPRX!AE7=0,"",ETPT_TPRX!AE7)))</f>
      </c>
      <c r="AF7" s="141">
        <f>IF(ISBLANK(ETPT_TPRX_DDG!$D$5),"",IF(ISERROR(ETPT_TPRX!AF7),"",IF(ETPT_TPRX!AF7=0,"",ETPT_TPRX!AF7)))</f>
      </c>
      <c r="AG7" s="134">
        <f t="shared" si="3"/>
        <v>0</v>
      </c>
    </row>
    <row r="8" spans="1:33" x14ac:dyDescent="0.25">
      <c r="A8" s="133" t="s">
        <v>650</v>
      </c>
      <c r="B8" s="104"/>
      <c r="C8" s="104"/>
      <c r="D8" s="104">
        <f t="shared" si="4"/>
      </c>
      <c r="E8" s="104" t="s">
        <v>587</v>
      </c>
      <c r="F8" s="196" t="s">
        <v>588</v>
      </c>
      <c r="G8" s="141">
        <f>IF(ISBLANK(ETPT_TPRX_DDG!$D$5),"",IF(ISERROR(ETPT_TPRX!G8),"",IF(ETPT_TPRX!G8=0,"",ETPT_TPRX!G8)))</f>
      </c>
      <c r="H8" s="134">
        <f t="shared" si="0"/>
        <v>0</v>
      </c>
      <c r="I8" s="141">
        <f>IF(ISBLANK(ETPT_TPRX_DDG!$D$5),"",IF(ISERROR(ETPT_TPRX!I8),"",IF(ETPT_TPRX!I8=0,"",ETPT_TPRX!I8)))</f>
      </c>
      <c r="J8" s="141">
        <f>IF(ISBLANK(ETPT_TPRX_DDG!$D$5),"",IF(ISERROR(ETPT_TPRX!J8),"",IF(ETPT_TPRX!J8=0,"",ETPT_TPRX!J8)))</f>
      </c>
      <c r="K8" s="141">
        <f>IF(ISBLANK(ETPT_TPRX_DDG!$D$5),"",IF(ISERROR(ETPT_TPRX!K8),"",IF(ETPT_TPRX!K8=0,"",ETPT_TPRX!K8)))</f>
      </c>
      <c r="L8" s="141">
        <f>IF(ISBLANK(ETPT_TPRX_DDG!$D$5),"",IF(ISERROR(ETPT_TPRX!L8),"",IF(ETPT_TPRX!L8=0,"",ETPT_TPRX!L8)))</f>
      </c>
      <c r="M8" s="141">
        <f>IF(ISBLANK(ETPT_TPRX_DDG!$D$5),"",IF(ISERROR(ETPT_TPRX!M8),"",IF(ETPT_TPRX!M8=0,"",ETPT_TPRX!M8)))</f>
      </c>
      <c r="N8" s="141">
        <f>IF(ISBLANK(ETPT_TPRX_DDG!$D$5),"",IF(ISERROR(ETPT_TPRX!N8),"",IF(ETPT_TPRX!N8=0,"",ETPT_TPRX!N8)))</f>
      </c>
      <c r="O8" s="141">
        <f>IF(ISBLANK(ETPT_TPRX_DDG!$D$5),"",IF(ISERROR(ETPT_TPRX!O8),"",IF(ETPT_TPRX!O8=0,"",ETPT_TPRX!O8)))</f>
      </c>
      <c r="P8" s="141">
        <f>IF(ISBLANK(ETPT_TPRX_DDG!$D$5),"",IF(ISERROR(ETPT_TPRX!P8),"",IF(ETPT_TPRX!P8=0,"",ETPT_TPRX!P8)))</f>
      </c>
      <c r="Q8" s="141">
        <f>IF(ISBLANK(ETPT_TPRX_DDG!$D$5),"",IF(ISERROR(ETPT_TPRX!Q8),"",IF(ETPT_TPRX!Q8=0,"",ETPT_TPRX!Q8)))</f>
      </c>
      <c r="R8" s="141">
        <f>IF(ISBLANK(ETPT_TPRX_DDG!$D$5),"",IF(ISERROR(ETPT_TPRX!R8),"",IF(ETPT_TPRX!R8=0,"",ETPT_TPRX!R8)))</f>
      </c>
      <c r="S8" s="134">
        <f t="shared" si="1"/>
        <v>0</v>
      </c>
      <c r="T8" s="141">
        <f>IF(ISBLANK(ETPT_TPRX_DDG!$D$5),"",IF(ISERROR(ETPT_TPRX!T8),"",IF(ETPT_TPRX!T8=0,"",ETPT_TPRX!T8)))</f>
      </c>
      <c r="U8" s="141">
        <f>IF(ISBLANK(ETPT_TPRX_DDG!$D$5),"",IF(ISERROR(ETPT_TPRX!U8),"",IF(ETPT_TPRX!U8=0,"",ETPT_TPRX!U8)))</f>
      </c>
      <c r="V8" s="141">
        <f>IF(ISBLANK(ETPT_TPRX_DDG!$D$5),"",IF(ISERROR(ETPT_TPRX!V8),"",IF(ETPT_TPRX!V8=0,"",ETPT_TPRX!V8)))</f>
      </c>
      <c r="W8" s="141">
        <f>IF(ISBLANK(ETPT_TPRX_DDG!$D$5),"",IF(ISERROR(ETPT_TPRX!W8),"",IF(ETPT_TPRX!W8=0,"",ETPT_TPRX!W8)))</f>
      </c>
      <c r="X8" s="141">
        <f>IF(ISBLANK(ETPT_TPRX_DDG!$D$5),"",IF(ISERROR(ETPT_TPRX!X8),"",IF(ETPT_TPRX!X8=0,"",ETPT_TPRX!X8)))</f>
      </c>
      <c r="Y8" s="141">
        <f>IF(ISBLANK(ETPT_TPRX_DDG!$D$5),"",IF(ISERROR(ETPT_TPRX!Y8),"",IF(ETPT_TPRX!Y8=0,"",ETPT_TPRX!Y8)))</f>
      </c>
      <c r="Z8" s="141">
        <f>IF(ISBLANK(ETPT_TPRX_DDG!$D$5),"",IF(ISERROR(ETPT_TPRX!Z8),"",IF(ETPT_TPRX!Z8=0,"",ETPT_TPRX!Z8)))</f>
      </c>
      <c r="AA8" s="141">
        <f>IF(ISBLANK(ETPT_TPRX_DDG!$D$5),"",IF(ISERROR(ETPT_TPRX!AA8),"",IF(ETPT_TPRX!AA8=0,"",ETPT_TPRX!AA8)))</f>
      </c>
      <c r="AB8" s="141">
        <f>IF(ISBLANK(ETPT_TPRX_DDG!$D$5),"",IF(ISERROR(ETPT_TPRX!AB8),"",IF(ETPT_TPRX!AB8=0,"",ETPT_TPRX!AB8)))</f>
      </c>
      <c r="AC8" s="134">
        <f t="shared" si="2"/>
        <v>0</v>
      </c>
      <c r="AD8" s="141">
        <f>IF(ISBLANK(ETPT_TPRX_DDG!$D$5),"",IF(ISERROR(ETPT_TPRX!AD8),"",IF(ETPT_TPRX!AD8=0,"",ETPT_TPRX!AD8)))</f>
      </c>
      <c r="AE8" s="141">
        <f>IF(ISBLANK(ETPT_TPRX_DDG!$D$5),"",IF(ISERROR(ETPT_TPRX!AE8),"",IF(ETPT_TPRX!AE8=0,"",ETPT_TPRX!AE8)))</f>
      </c>
      <c r="AF8" s="141">
        <f>IF(ISBLANK(ETPT_TPRX_DDG!$D$5),"",IF(ISERROR(ETPT_TPRX!AF8),"",IF(ETPT_TPRX!AF8=0,"",ETPT_TPRX!AF8)))</f>
      </c>
      <c r="AG8" s="134">
        <f t="shared" si="3"/>
        <v>0</v>
      </c>
    </row>
    <row r="9" spans="1:33" x14ac:dyDescent="0.25">
      <c r="A9" s="133" t="s">
        <v>650</v>
      </c>
      <c r="B9" s="104"/>
      <c r="C9" s="104"/>
      <c r="D9" s="104">
        <f t="shared" si="4"/>
      </c>
      <c r="E9" s="104" t="s">
        <v>589</v>
      </c>
      <c r="F9" s="196" t="s">
        <v>590</v>
      </c>
      <c r="G9" s="141">
        <f>IF(ISBLANK(ETPT_TPRX_DDG!$D$5),"",IF(ISERROR(ETPT_TPRX!G9),"",IF(ETPT_TPRX!G9=0,"",ETPT_TPRX!G9)))</f>
      </c>
      <c r="H9" s="134">
        <f t="shared" si="0"/>
        <v>0</v>
      </c>
      <c r="I9" s="141">
        <f>IF(ISBLANK(ETPT_TPRX_DDG!$D$5),"",IF(ISERROR(ETPT_TPRX!I9),"",IF(ETPT_TPRX!I9=0,"",ETPT_TPRX!I9)))</f>
      </c>
      <c r="J9" s="141">
        <f>IF(ISBLANK(ETPT_TPRX_DDG!$D$5),"",IF(ISERROR(ETPT_TPRX!J9),"",IF(ETPT_TPRX!J9=0,"",ETPT_TPRX!J9)))</f>
      </c>
      <c r="K9" s="141">
        <f>IF(ISBLANK(ETPT_TPRX_DDG!$D$5),"",IF(ISERROR(ETPT_TPRX!K9),"",IF(ETPT_TPRX!K9=0,"",ETPT_TPRX!K9)))</f>
      </c>
      <c r="L9" s="141">
        <f>IF(ISBLANK(ETPT_TPRX_DDG!$D$5),"",IF(ISERROR(ETPT_TPRX!L9),"",IF(ETPT_TPRX!L9=0,"",ETPT_TPRX!L9)))</f>
      </c>
      <c r="M9" s="141">
        <f>IF(ISBLANK(ETPT_TPRX_DDG!$D$5),"",IF(ISERROR(ETPT_TPRX!M9),"",IF(ETPT_TPRX!M9=0,"",ETPT_TPRX!M9)))</f>
      </c>
      <c r="N9" s="141">
        <f>IF(ISBLANK(ETPT_TPRX_DDG!$D$5),"",IF(ISERROR(ETPT_TPRX!N9),"",IF(ETPT_TPRX!N9=0,"",ETPT_TPRX!N9)))</f>
      </c>
      <c r="O9" s="141">
        <f>IF(ISBLANK(ETPT_TPRX_DDG!$D$5),"",IF(ISERROR(ETPT_TPRX!O9),"",IF(ETPT_TPRX!O9=0,"",ETPT_TPRX!O9)))</f>
      </c>
      <c r="P9" s="141">
        <f>IF(ISBLANK(ETPT_TPRX_DDG!$D$5),"",IF(ISERROR(ETPT_TPRX!P9),"",IF(ETPT_TPRX!P9=0,"",ETPT_TPRX!P9)))</f>
      </c>
      <c r="Q9" s="141">
        <f>IF(ISBLANK(ETPT_TPRX_DDG!$D$5),"",IF(ISERROR(ETPT_TPRX!Q9),"",IF(ETPT_TPRX!Q9=0,"",ETPT_TPRX!Q9)))</f>
      </c>
      <c r="R9" s="141">
        <f>IF(ISBLANK(ETPT_TPRX_DDG!$D$5),"",IF(ISERROR(ETPT_TPRX!R9),"",IF(ETPT_TPRX!R9=0,"",ETPT_TPRX!R9)))</f>
      </c>
      <c r="S9" s="134">
        <f t="shared" si="1"/>
        <v>0</v>
      </c>
      <c r="T9" s="141">
        <f>IF(ISBLANK(ETPT_TPRX_DDG!$D$5),"",IF(ISERROR(ETPT_TPRX!T9),"",IF(ETPT_TPRX!T9=0,"",ETPT_TPRX!T9)))</f>
      </c>
      <c r="U9" s="141">
        <f>IF(ISBLANK(ETPT_TPRX_DDG!$D$5),"",IF(ISERROR(ETPT_TPRX!U9),"",IF(ETPT_TPRX!U9=0,"",ETPT_TPRX!U9)))</f>
      </c>
      <c r="V9" s="141">
        <f>IF(ISBLANK(ETPT_TPRX_DDG!$D$5),"",IF(ISERROR(ETPT_TPRX!V9),"",IF(ETPT_TPRX!V9=0,"",ETPT_TPRX!V9)))</f>
      </c>
      <c r="W9" s="141">
        <f>IF(ISBLANK(ETPT_TPRX_DDG!$D$5),"",IF(ISERROR(ETPT_TPRX!W9),"",IF(ETPT_TPRX!W9=0,"",ETPT_TPRX!W9)))</f>
      </c>
      <c r="X9" s="141">
        <f>IF(ISBLANK(ETPT_TPRX_DDG!$D$5),"",IF(ISERROR(ETPT_TPRX!X9),"",IF(ETPT_TPRX!X9=0,"",ETPT_TPRX!X9)))</f>
      </c>
      <c r="Y9" s="141">
        <f>IF(ISBLANK(ETPT_TPRX_DDG!$D$5),"",IF(ISERROR(ETPT_TPRX!Y9),"",IF(ETPT_TPRX!Y9=0,"",ETPT_TPRX!Y9)))</f>
      </c>
      <c r="Z9" s="141">
        <f>IF(ISBLANK(ETPT_TPRX_DDG!$D$5),"",IF(ISERROR(ETPT_TPRX!Z9),"",IF(ETPT_TPRX!Z9=0,"",ETPT_TPRX!Z9)))</f>
      </c>
      <c r="AA9" s="141">
        <f>IF(ISBLANK(ETPT_TPRX_DDG!$D$5),"",IF(ISERROR(ETPT_TPRX!AA9),"",IF(ETPT_TPRX!AA9=0,"",ETPT_TPRX!AA9)))</f>
      </c>
      <c r="AB9" s="141">
        <f>IF(ISBLANK(ETPT_TPRX_DDG!$D$5),"",IF(ISERROR(ETPT_TPRX!AB9),"",IF(ETPT_TPRX!AB9=0,"",ETPT_TPRX!AB9)))</f>
      </c>
      <c r="AC9" s="134">
        <f t="shared" si="2"/>
        <v>0</v>
      </c>
      <c r="AD9" s="141">
        <f>IF(ISBLANK(ETPT_TPRX_DDG!$D$5),"",IF(ISERROR(ETPT_TPRX!AD9),"",IF(ETPT_TPRX!AD9=0,"",ETPT_TPRX!AD9)))</f>
      </c>
      <c r="AE9" s="141">
        <f>IF(ISBLANK(ETPT_TPRX_DDG!$D$5),"",IF(ISERROR(ETPT_TPRX!AE9),"",IF(ETPT_TPRX!AE9=0,"",ETPT_TPRX!AE9)))</f>
      </c>
      <c r="AF9" s="141">
        <f>IF(ISBLANK(ETPT_TPRX_DDG!$D$5),"",IF(ISERROR(ETPT_TPRX!AF9),"",IF(ETPT_TPRX!AF9=0,"",ETPT_TPRX!AF9)))</f>
      </c>
      <c r="AG9" s="134">
        <f t="shared" si="3"/>
        <v>0</v>
      </c>
    </row>
    <row r="10" spans="1:33" x14ac:dyDescent="0.25">
      <c r="A10" s="133" t="s">
        <v>650</v>
      </c>
      <c r="B10" s="104"/>
      <c r="C10" s="104"/>
      <c r="D10" s="104">
        <f t="shared" si="4"/>
      </c>
      <c r="E10" s="104" t="s">
        <v>591</v>
      </c>
      <c r="F10" s="196" t="s">
        <v>592</v>
      </c>
      <c r="G10" s="141">
        <f>IF(ISBLANK(ETPT_TPRX_DDG!$D$5),"",IF(ISERROR(ETPT_TPRX!G10),"",IF(ETPT_TPRX!G10=0,"",ETPT_TPRX!G10)))</f>
      </c>
      <c r="H10" s="134">
        <f t="shared" si="0"/>
        <v>0</v>
      </c>
      <c r="I10" s="141">
        <f>IF(ISBLANK(ETPT_TPRX_DDG!$D$5),"",IF(ISERROR(ETPT_TPRX!I10),"",IF(ETPT_TPRX!I10=0,"",ETPT_TPRX!I10)))</f>
      </c>
      <c r="J10" s="141">
        <f>IF(ISBLANK(ETPT_TPRX_DDG!$D$5),"",IF(ISERROR(ETPT_TPRX!J10),"",IF(ETPT_TPRX!J10=0,"",ETPT_TPRX!J10)))</f>
      </c>
      <c r="K10" s="141">
        <f>IF(ISBLANK(ETPT_TPRX_DDG!$D$5),"",IF(ISERROR(ETPT_TPRX!K10),"",IF(ETPT_TPRX!K10=0,"",ETPT_TPRX!K10)))</f>
      </c>
      <c r="L10" s="141">
        <f>IF(ISBLANK(ETPT_TPRX_DDG!$D$5),"",IF(ISERROR(ETPT_TPRX!L10),"",IF(ETPT_TPRX!L10=0,"",ETPT_TPRX!L10)))</f>
      </c>
      <c r="M10" s="141">
        <f>IF(ISBLANK(ETPT_TPRX_DDG!$D$5),"",IF(ISERROR(ETPT_TPRX!M10),"",IF(ETPT_TPRX!M10=0,"",ETPT_TPRX!M10)))</f>
      </c>
      <c r="N10" s="141">
        <f>IF(ISBLANK(ETPT_TPRX_DDG!$D$5),"",IF(ISERROR(ETPT_TPRX!N10),"",IF(ETPT_TPRX!N10=0,"",ETPT_TPRX!N10)))</f>
      </c>
      <c r="O10" s="141">
        <f>IF(ISBLANK(ETPT_TPRX_DDG!$D$5),"",IF(ISERROR(ETPT_TPRX!O10),"",IF(ETPT_TPRX!O10=0,"",ETPT_TPRX!O10)))</f>
      </c>
      <c r="P10" s="141">
        <f>IF(ISBLANK(ETPT_TPRX_DDG!$D$5),"",IF(ISERROR(ETPT_TPRX!P10),"",IF(ETPT_TPRX!P10=0,"",ETPT_TPRX!P10)))</f>
      </c>
      <c r="Q10" s="141">
        <f>IF(ISBLANK(ETPT_TPRX_DDG!$D$5),"",IF(ISERROR(ETPT_TPRX!Q10),"",IF(ETPT_TPRX!Q10=0,"",ETPT_TPRX!Q10)))</f>
      </c>
      <c r="R10" s="141">
        <f>IF(ISBLANK(ETPT_TPRX_DDG!$D$5),"",IF(ISERROR(ETPT_TPRX!R10),"",IF(ETPT_TPRX!R10=0,"",ETPT_TPRX!R10)))</f>
      </c>
      <c r="S10" s="134">
        <f t="shared" si="1"/>
        <v>0</v>
      </c>
      <c r="T10" s="141">
        <f>IF(ISBLANK(ETPT_TPRX_DDG!$D$5),"",IF(ISERROR(ETPT_TPRX!T10),"",IF(ETPT_TPRX!T10=0,"",ETPT_TPRX!T10)))</f>
      </c>
      <c r="U10" s="141">
        <f>IF(ISBLANK(ETPT_TPRX_DDG!$D$5),"",IF(ISERROR(ETPT_TPRX!U10),"",IF(ETPT_TPRX!U10=0,"",ETPT_TPRX!U10)))</f>
      </c>
      <c r="V10" s="141">
        <f>IF(ISBLANK(ETPT_TPRX_DDG!$D$5),"",IF(ISERROR(ETPT_TPRX!V10),"",IF(ETPT_TPRX!V10=0,"",ETPT_TPRX!V10)))</f>
      </c>
      <c r="W10" s="141">
        <f>IF(ISBLANK(ETPT_TPRX_DDG!$D$5),"",IF(ISERROR(ETPT_TPRX!W10),"",IF(ETPT_TPRX!W10=0,"",ETPT_TPRX!W10)))</f>
      </c>
      <c r="X10" s="141">
        <f>IF(ISBLANK(ETPT_TPRX_DDG!$D$5),"",IF(ISERROR(ETPT_TPRX!X10),"",IF(ETPT_TPRX!X10=0,"",ETPT_TPRX!X10)))</f>
      </c>
      <c r="Y10" s="141">
        <f>IF(ISBLANK(ETPT_TPRX_DDG!$D$5),"",IF(ISERROR(ETPT_TPRX!Y10),"",IF(ETPT_TPRX!Y10=0,"",ETPT_TPRX!Y10)))</f>
      </c>
      <c r="Z10" s="141">
        <f>IF(ISBLANK(ETPT_TPRX_DDG!$D$5),"",IF(ISERROR(ETPT_TPRX!Z10),"",IF(ETPT_TPRX!Z10=0,"",ETPT_TPRX!Z10)))</f>
      </c>
      <c r="AA10" s="141">
        <f>IF(ISBLANK(ETPT_TPRX_DDG!$D$5),"",IF(ISERROR(ETPT_TPRX!AA10),"",IF(ETPT_TPRX!AA10=0,"",ETPT_TPRX!AA10)))</f>
      </c>
      <c r="AB10" s="141">
        <f>IF(ISBLANK(ETPT_TPRX_DDG!$D$5),"",IF(ISERROR(ETPT_TPRX!AB10),"",IF(ETPT_TPRX!AB10=0,"",ETPT_TPRX!AB10)))</f>
      </c>
      <c r="AC10" s="134">
        <f t="shared" si="2"/>
        <v>0</v>
      </c>
      <c r="AD10" s="141">
        <f>IF(ISBLANK(ETPT_TPRX_DDG!$D$5),"",IF(ISERROR(ETPT_TPRX!AD10),"",IF(ETPT_TPRX!AD10=0,"",ETPT_TPRX!AD10)))</f>
      </c>
      <c r="AE10" s="141">
        <f>IF(ISBLANK(ETPT_TPRX_DDG!$D$5),"",IF(ISERROR(ETPT_TPRX!AE10),"",IF(ETPT_TPRX!AE10=0,"",ETPT_TPRX!AE10)))</f>
      </c>
      <c r="AF10" s="141">
        <f>IF(ISBLANK(ETPT_TPRX_DDG!$D$5),"",IF(ISERROR(ETPT_TPRX!AF10),"",IF(ETPT_TPRX!AF10=0,"",ETPT_TPRX!AF10)))</f>
      </c>
      <c r="AG10" s="134">
        <f t="shared" si="3"/>
        <v>0</v>
      </c>
    </row>
    <row r="11" spans="1:33" x14ac:dyDescent="0.25">
      <c r="A11" s="133" t="s">
        <v>650</v>
      </c>
      <c r="B11" s="104"/>
      <c r="C11" s="104"/>
      <c r="D11" s="104">
        <f t="shared" si="4"/>
      </c>
      <c r="E11" s="104" t="s">
        <v>593</v>
      </c>
      <c r="F11" s="196" t="s">
        <v>594</v>
      </c>
      <c r="G11" s="141">
        <f>IF(ISBLANK(ETPT_TPRX_DDG!$D$5),"",IF(ISERROR(ETPT_TPRX!G11),"",IF(ETPT_TPRX!G11=0,"",ETPT_TPRX!G11)))</f>
      </c>
      <c r="H11" s="134">
        <f t="shared" si="0"/>
        <v>0</v>
      </c>
      <c r="I11" s="141">
        <f>IF(ISBLANK(ETPT_TPRX_DDG!$D$5),"",IF(ISERROR(ETPT_TPRX!I11),"",IF(ETPT_TPRX!I11=0,"",ETPT_TPRX!I11)))</f>
      </c>
      <c r="J11" s="141">
        <f>IF(ISBLANK(ETPT_TPRX_DDG!$D$5),"",IF(ISERROR(ETPT_TPRX!J11),"",IF(ETPT_TPRX!J11=0,"",ETPT_TPRX!J11)))</f>
      </c>
      <c r="K11" s="141">
        <f>IF(ISBLANK(ETPT_TPRX_DDG!$D$5),"",IF(ISERROR(ETPT_TPRX!K11),"",IF(ETPT_TPRX!K11=0,"",ETPT_TPRX!K11)))</f>
      </c>
      <c r="L11" s="141">
        <f>IF(ISBLANK(ETPT_TPRX_DDG!$D$5),"",IF(ISERROR(ETPT_TPRX!L11),"",IF(ETPT_TPRX!L11=0,"",ETPT_TPRX!L11)))</f>
      </c>
      <c r="M11" s="141">
        <f>IF(ISBLANK(ETPT_TPRX_DDG!$D$5),"",IF(ISERROR(ETPT_TPRX!M11),"",IF(ETPT_TPRX!M11=0,"",ETPT_TPRX!M11)))</f>
      </c>
      <c r="N11" s="141">
        <f>IF(ISBLANK(ETPT_TPRX_DDG!$D$5),"",IF(ISERROR(ETPT_TPRX!N11),"",IF(ETPT_TPRX!N11=0,"",ETPT_TPRX!N11)))</f>
      </c>
      <c r="O11" s="141">
        <f>IF(ISBLANK(ETPT_TPRX_DDG!$D$5),"",IF(ISERROR(ETPT_TPRX!O11),"",IF(ETPT_TPRX!O11=0,"",ETPT_TPRX!O11)))</f>
      </c>
      <c r="P11" s="141">
        <f>IF(ISBLANK(ETPT_TPRX_DDG!$D$5),"",IF(ISERROR(ETPT_TPRX!P11),"",IF(ETPT_TPRX!P11=0,"",ETPT_TPRX!P11)))</f>
      </c>
      <c r="Q11" s="141">
        <f>IF(ISBLANK(ETPT_TPRX_DDG!$D$5),"",IF(ISERROR(ETPT_TPRX!Q11),"",IF(ETPT_TPRX!Q11=0,"",ETPT_TPRX!Q11)))</f>
      </c>
      <c r="R11" s="141">
        <f>IF(ISBLANK(ETPT_TPRX_DDG!$D$5),"",IF(ISERROR(ETPT_TPRX!R11),"",IF(ETPT_TPRX!R11=0,"",ETPT_TPRX!R11)))</f>
      </c>
      <c r="S11" s="134">
        <f t="shared" si="1"/>
        <v>0</v>
      </c>
      <c r="T11" s="141">
        <f>IF(ISBLANK(ETPT_TPRX_DDG!$D$5),"",IF(ISERROR(ETPT_TPRX!T11),"",IF(ETPT_TPRX!T11=0,"",ETPT_TPRX!T11)))</f>
      </c>
      <c r="U11" s="141">
        <f>IF(ISBLANK(ETPT_TPRX_DDG!$D$5),"",IF(ISERROR(ETPT_TPRX!U11),"",IF(ETPT_TPRX!U11=0,"",ETPT_TPRX!U11)))</f>
      </c>
      <c r="V11" s="141">
        <f>IF(ISBLANK(ETPT_TPRX_DDG!$D$5),"",IF(ISERROR(ETPT_TPRX!V11),"",IF(ETPT_TPRX!V11=0,"",ETPT_TPRX!V11)))</f>
      </c>
      <c r="W11" s="141">
        <f>IF(ISBLANK(ETPT_TPRX_DDG!$D$5),"",IF(ISERROR(ETPT_TPRX!W11),"",IF(ETPT_TPRX!W11=0,"",ETPT_TPRX!W11)))</f>
      </c>
      <c r="X11" s="141">
        <f>IF(ISBLANK(ETPT_TPRX_DDG!$D$5),"",IF(ISERROR(ETPT_TPRX!X11),"",IF(ETPT_TPRX!X11=0,"",ETPT_TPRX!X11)))</f>
      </c>
      <c r="Y11" s="141">
        <f>IF(ISBLANK(ETPT_TPRX_DDG!$D$5),"",IF(ISERROR(ETPT_TPRX!Y11),"",IF(ETPT_TPRX!Y11=0,"",ETPT_TPRX!Y11)))</f>
      </c>
      <c r="Z11" s="141">
        <f>IF(ISBLANK(ETPT_TPRX_DDG!$D$5),"",IF(ISERROR(ETPT_TPRX!Z11),"",IF(ETPT_TPRX!Z11=0,"",ETPT_TPRX!Z11)))</f>
      </c>
      <c r="AA11" s="141">
        <f>IF(ISBLANK(ETPT_TPRX_DDG!$D$5),"",IF(ISERROR(ETPT_TPRX!AA11),"",IF(ETPT_TPRX!AA11=0,"",ETPT_TPRX!AA11)))</f>
      </c>
      <c r="AB11" s="141">
        <f>IF(ISBLANK(ETPT_TPRX_DDG!$D$5),"",IF(ISERROR(ETPT_TPRX!AB11),"",IF(ETPT_TPRX!AB11=0,"",ETPT_TPRX!AB11)))</f>
      </c>
      <c r="AC11" s="134">
        <f t="shared" si="2"/>
        <v>0</v>
      </c>
      <c r="AD11" s="141">
        <f>IF(ISBLANK(ETPT_TPRX_DDG!$D$5),"",IF(ISERROR(ETPT_TPRX!AD11),"",IF(ETPT_TPRX!AD11=0,"",ETPT_TPRX!AD11)))</f>
      </c>
      <c r="AE11" s="141">
        <f>IF(ISBLANK(ETPT_TPRX_DDG!$D$5),"",IF(ISERROR(ETPT_TPRX!AE11),"",IF(ETPT_TPRX!AE11=0,"",ETPT_TPRX!AE11)))</f>
      </c>
      <c r="AF11" s="141">
        <f>IF(ISBLANK(ETPT_TPRX_DDG!$D$5),"",IF(ISERROR(ETPT_TPRX!AF11),"",IF(ETPT_TPRX!AF11=0,"",ETPT_TPRX!AF11)))</f>
      </c>
      <c r="AG11" s="134">
        <f t="shared" si="3"/>
        <v>0</v>
      </c>
    </row>
    <row r="12" spans="1:33" x14ac:dyDescent="0.25">
      <c r="A12" s="133" t="s">
        <v>650</v>
      </c>
      <c r="B12" s="104"/>
      <c r="C12" s="104"/>
      <c r="D12" s="104">
        <f t="shared" si="4"/>
      </c>
      <c r="E12" s="104" t="s">
        <v>595</v>
      </c>
      <c r="F12" s="196" t="s">
        <v>596</v>
      </c>
      <c r="G12" s="141">
        <f>IF(ISBLANK(ETPT_TPRX_DDG!$D$5),"",IF(ISERROR(ETPT_TPRX!G12),"",IF(ETPT_TPRX!G12=0,"",ETPT_TPRX!G12)))</f>
      </c>
      <c r="H12" s="134">
        <f t="shared" si="0"/>
        <v>0</v>
      </c>
      <c r="I12" s="141">
        <f>IF(ISBLANK(ETPT_TPRX_DDG!$D$5),"",IF(ISERROR(ETPT_TPRX!I12),"",IF(ETPT_TPRX!I12=0,"",ETPT_TPRX!I12)))</f>
      </c>
      <c r="J12" s="141">
        <f>IF(ISBLANK(ETPT_TPRX_DDG!$D$5),"",IF(ISERROR(ETPT_TPRX!J12),"",IF(ETPT_TPRX!J12=0,"",ETPT_TPRX!J12)))</f>
      </c>
      <c r="K12" s="141">
        <f>IF(ISBLANK(ETPT_TPRX_DDG!$D$5),"",IF(ISERROR(ETPT_TPRX!K12),"",IF(ETPT_TPRX!K12=0,"",ETPT_TPRX!K12)))</f>
      </c>
      <c r="L12" s="141">
        <f>IF(ISBLANK(ETPT_TPRX_DDG!$D$5),"",IF(ISERROR(ETPT_TPRX!L12),"",IF(ETPT_TPRX!L12=0,"",ETPT_TPRX!L12)))</f>
      </c>
      <c r="M12" s="141">
        <f>IF(ISBLANK(ETPT_TPRX_DDG!$D$5),"",IF(ISERROR(ETPT_TPRX!M12),"",IF(ETPT_TPRX!M12=0,"",ETPT_TPRX!M12)))</f>
      </c>
      <c r="N12" s="141">
        <f>IF(ISBLANK(ETPT_TPRX_DDG!$D$5),"",IF(ISERROR(ETPT_TPRX!N12),"",IF(ETPT_TPRX!N12=0,"",ETPT_TPRX!N12)))</f>
      </c>
      <c r="O12" s="141">
        <f>IF(ISBLANK(ETPT_TPRX_DDG!$D$5),"",IF(ISERROR(ETPT_TPRX!O12),"",IF(ETPT_TPRX!O12=0,"",ETPT_TPRX!O12)))</f>
      </c>
      <c r="P12" s="141">
        <f>IF(ISBLANK(ETPT_TPRX_DDG!$D$5),"",IF(ISERROR(ETPT_TPRX!P12),"",IF(ETPT_TPRX!P12=0,"",ETPT_TPRX!P12)))</f>
      </c>
      <c r="Q12" s="141">
        <f>IF(ISBLANK(ETPT_TPRX_DDG!$D$5),"",IF(ISERROR(ETPT_TPRX!Q12),"",IF(ETPT_TPRX!Q12=0,"",ETPT_TPRX!Q12)))</f>
      </c>
      <c r="R12" s="141">
        <f>IF(ISBLANK(ETPT_TPRX_DDG!$D$5),"",IF(ISERROR(ETPT_TPRX!R12),"",IF(ETPT_TPRX!R12=0,"",ETPT_TPRX!R12)))</f>
      </c>
      <c r="S12" s="134">
        <f t="shared" si="1"/>
        <v>0</v>
      </c>
      <c r="T12" s="141">
        <f>IF(ISBLANK(ETPT_TPRX_DDG!$D$5),"",IF(ISERROR(ETPT_TPRX!T12),"",IF(ETPT_TPRX!T12=0,"",ETPT_TPRX!T12)))</f>
      </c>
      <c r="U12" s="141">
        <f>IF(ISBLANK(ETPT_TPRX_DDG!$D$5),"",IF(ISERROR(ETPT_TPRX!U12),"",IF(ETPT_TPRX!U12=0,"",ETPT_TPRX!U12)))</f>
      </c>
      <c r="V12" s="141">
        <f>IF(ISBLANK(ETPT_TPRX_DDG!$D$5),"",IF(ISERROR(ETPT_TPRX!V12),"",IF(ETPT_TPRX!V12=0,"",ETPT_TPRX!V12)))</f>
      </c>
      <c r="W12" s="141">
        <f>IF(ISBLANK(ETPT_TPRX_DDG!$D$5),"",IF(ISERROR(ETPT_TPRX!W12),"",IF(ETPT_TPRX!W12=0,"",ETPT_TPRX!W12)))</f>
      </c>
      <c r="X12" s="141">
        <f>IF(ISBLANK(ETPT_TPRX_DDG!$D$5),"",IF(ISERROR(ETPT_TPRX!X12),"",IF(ETPT_TPRX!X12=0,"",ETPT_TPRX!X12)))</f>
      </c>
      <c r="Y12" s="141">
        <f>IF(ISBLANK(ETPT_TPRX_DDG!$D$5),"",IF(ISERROR(ETPT_TPRX!Y12),"",IF(ETPT_TPRX!Y12=0,"",ETPT_TPRX!Y12)))</f>
      </c>
      <c r="Z12" s="141">
        <f>IF(ISBLANK(ETPT_TPRX_DDG!$D$5),"",IF(ISERROR(ETPT_TPRX!Z12),"",IF(ETPT_TPRX!Z12=0,"",ETPT_TPRX!Z12)))</f>
      </c>
      <c r="AA12" s="141">
        <f>IF(ISBLANK(ETPT_TPRX_DDG!$D$5),"",IF(ISERROR(ETPT_TPRX!AA12),"",IF(ETPT_TPRX!AA12=0,"",ETPT_TPRX!AA12)))</f>
      </c>
      <c r="AB12" s="141">
        <f>IF(ISBLANK(ETPT_TPRX_DDG!$D$5),"",IF(ISERROR(ETPT_TPRX!AB12),"",IF(ETPT_TPRX!AB12=0,"",ETPT_TPRX!AB12)))</f>
      </c>
      <c r="AC12" s="134">
        <f t="shared" si="2"/>
        <v>0</v>
      </c>
      <c r="AD12" s="141">
        <f>IF(ISBLANK(ETPT_TPRX_DDG!$D$5),"",IF(ISERROR(ETPT_TPRX!AD12),"",IF(ETPT_TPRX!AD12=0,"",ETPT_TPRX!AD12)))</f>
      </c>
      <c r="AE12" s="141">
        <f>IF(ISBLANK(ETPT_TPRX_DDG!$D$5),"",IF(ISERROR(ETPT_TPRX!AE12),"",IF(ETPT_TPRX!AE12=0,"",ETPT_TPRX!AE12)))</f>
      </c>
      <c r="AF12" s="141">
        <f>IF(ISBLANK(ETPT_TPRX_DDG!$D$5),"",IF(ISERROR(ETPT_TPRX!AF12),"",IF(ETPT_TPRX!AF12=0,"",ETPT_TPRX!AF12)))</f>
      </c>
      <c r="AG12" s="134">
        <f t="shared" si="3"/>
        <v>0</v>
      </c>
    </row>
    <row r="13" spans="1:33" x14ac:dyDescent="0.25">
      <c r="A13" s="133" t="s">
        <v>650</v>
      </c>
      <c r="B13" s="104"/>
      <c r="C13" s="104"/>
      <c r="D13" s="104">
        <f t="shared" si="4"/>
      </c>
      <c r="E13" s="104" t="s">
        <v>597</v>
      </c>
      <c r="F13" s="196" t="s">
        <v>598</v>
      </c>
      <c r="G13" s="141">
        <f>IF(ISBLANK(ETPT_TPRX_DDG!$D$5),"",IF(ISERROR(ETPT_TPRX!G13),"",IF(ETPT_TPRX!G13=0,"",ETPT_TPRX!G13)))</f>
      </c>
      <c r="H13" s="134">
        <f t="shared" si="0"/>
        <v>0</v>
      </c>
      <c r="I13" s="141">
        <f>IF(ISBLANK(ETPT_TPRX_DDG!$D$5),"",IF(ISERROR(ETPT_TPRX!I13),"",IF(ETPT_TPRX!I13=0,"",ETPT_TPRX!I13)))</f>
      </c>
      <c r="J13" s="141">
        <f>IF(ISBLANK(ETPT_TPRX_DDG!$D$5),"",IF(ISERROR(ETPT_TPRX!J13),"",IF(ETPT_TPRX!J13=0,"",ETPT_TPRX!J13)))</f>
      </c>
      <c r="K13" s="141">
        <f>IF(ISBLANK(ETPT_TPRX_DDG!$D$5),"",IF(ISERROR(ETPT_TPRX!K13),"",IF(ETPT_TPRX!K13=0,"",ETPT_TPRX!K13)))</f>
      </c>
      <c r="L13" s="141">
        <f>IF(ISBLANK(ETPT_TPRX_DDG!$D$5),"",IF(ISERROR(ETPT_TPRX!L13),"",IF(ETPT_TPRX!L13=0,"",ETPT_TPRX!L13)))</f>
      </c>
      <c r="M13" s="141">
        <f>IF(ISBLANK(ETPT_TPRX_DDG!$D$5),"",IF(ISERROR(ETPT_TPRX!M13),"",IF(ETPT_TPRX!M13=0,"",ETPT_TPRX!M13)))</f>
      </c>
      <c r="N13" s="141">
        <f>IF(ISBLANK(ETPT_TPRX_DDG!$D$5),"",IF(ISERROR(ETPT_TPRX!N13),"",IF(ETPT_TPRX!N13=0,"",ETPT_TPRX!N13)))</f>
      </c>
      <c r="O13" s="141">
        <f>IF(ISBLANK(ETPT_TPRX_DDG!$D$5),"",IF(ISERROR(ETPT_TPRX!O13),"",IF(ETPT_TPRX!O13=0,"",ETPT_TPRX!O13)))</f>
      </c>
      <c r="P13" s="141">
        <f>IF(ISBLANK(ETPT_TPRX_DDG!$D$5),"",IF(ISERROR(ETPT_TPRX!P13),"",IF(ETPT_TPRX!P13=0,"",ETPT_TPRX!P13)))</f>
      </c>
      <c r="Q13" s="141">
        <f>IF(ISBLANK(ETPT_TPRX_DDG!$D$5),"",IF(ISERROR(ETPT_TPRX!Q13),"",IF(ETPT_TPRX!Q13=0,"",ETPT_TPRX!Q13)))</f>
      </c>
      <c r="R13" s="141">
        <f>IF(ISBLANK(ETPT_TPRX_DDG!$D$5),"",IF(ISERROR(ETPT_TPRX!R13),"",IF(ETPT_TPRX!R13=0,"",ETPT_TPRX!R13)))</f>
      </c>
      <c r="S13" s="134">
        <f t="shared" si="1"/>
        <v>0</v>
      </c>
      <c r="T13" s="141">
        <f>IF(ISBLANK(ETPT_TPRX_DDG!$D$5),"",IF(ISERROR(ETPT_TPRX!T13),"",IF(ETPT_TPRX!T13=0,"",ETPT_TPRX!T13)))</f>
      </c>
      <c r="U13" s="141">
        <f>IF(ISBLANK(ETPT_TPRX_DDG!$D$5),"",IF(ISERROR(ETPT_TPRX!U13),"",IF(ETPT_TPRX!U13=0,"",ETPT_TPRX!U13)))</f>
      </c>
      <c r="V13" s="141">
        <f>IF(ISBLANK(ETPT_TPRX_DDG!$D$5),"",IF(ISERROR(ETPT_TPRX!V13),"",IF(ETPT_TPRX!V13=0,"",ETPT_TPRX!V13)))</f>
      </c>
      <c r="W13" s="141">
        <f>IF(ISBLANK(ETPT_TPRX_DDG!$D$5),"",IF(ISERROR(ETPT_TPRX!W13),"",IF(ETPT_TPRX!W13=0,"",ETPT_TPRX!W13)))</f>
      </c>
      <c r="X13" s="141">
        <f>IF(ISBLANK(ETPT_TPRX_DDG!$D$5),"",IF(ISERROR(ETPT_TPRX!X13),"",IF(ETPT_TPRX!X13=0,"",ETPT_TPRX!X13)))</f>
      </c>
      <c r="Y13" s="141">
        <f>IF(ISBLANK(ETPT_TPRX_DDG!$D$5),"",IF(ISERROR(ETPT_TPRX!Y13),"",IF(ETPT_TPRX!Y13=0,"",ETPT_TPRX!Y13)))</f>
      </c>
      <c r="Z13" s="141">
        <f>IF(ISBLANK(ETPT_TPRX_DDG!$D$5),"",IF(ISERROR(ETPT_TPRX!Z13),"",IF(ETPT_TPRX!Z13=0,"",ETPT_TPRX!Z13)))</f>
      </c>
      <c r="AA13" s="141">
        <f>IF(ISBLANK(ETPT_TPRX_DDG!$D$5),"",IF(ISERROR(ETPT_TPRX!AA13),"",IF(ETPT_TPRX!AA13=0,"",ETPT_TPRX!AA13)))</f>
      </c>
      <c r="AB13" s="141">
        <f>IF(ISBLANK(ETPT_TPRX_DDG!$D$5),"",IF(ISERROR(ETPT_TPRX!AB13),"",IF(ETPT_TPRX!AB13=0,"",ETPT_TPRX!AB13)))</f>
      </c>
      <c r="AC13" s="134">
        <f t="shared" si="2"/>
        <v>0</v>
      </c>
      <c r="AD13" s="141">
        <f>IF(ISBLANK(ETPT_TPRX_DDG!$D$5),"",IF(ISERROR(ETPT_TPRX!AD13),"",IF(ETPT_TPRX!AD13=0,"",ETPT_TPRX!AD13)))</f>
      </c>
      <c r="AE13" s="141">
        <f>IF(ISBLANK(ETPT_TPRX_DDG!$D$5),"",IF(ISERROR(ETPT_TPRX!AE13),"",IF(ETPT_TPRX!AE13=0,"",ETPT_TPRX!AE13)))</f>
      </c>
      <c r="AF13" s="141">
        <f>IF(ISBLANK(ETPT_TPRX_DDG!$D$5),"",IF(ISERROR(ETPT_TPRX!AF13),"",IF(ETPT_TPRX!AF13=0,"",ETPT_TPRX!AF13)))</f>
      </c>
      <c r="AG13" s="134">
        <f t="shared" si="3"/>
        <v>0</v>
      </c>
    </row>
    <row r="14" spans="1:33" x14ac:dyDescent="0.25">
      <c r="A14" s="133" t="s">
        <v>650</v>
      </c>
      <c r="B14" s="104"/>
      <c r="C14" s="104"/>
      <c r="D14" s="104">
        <f t="shared" si="4"/>
      </c>
      <c r="E14" s="104" t="s">
        <v>599</v>
      </c>
      <c r="F14" s="196" t="s">
        <v>600</v>
      </c>
      <c r="G14" s="141">
        <f>IF(ISBLANK(ETPT_TPRX_DDG!$D$5),"",IF(ISERROR(ETPT_TPRX!G14),"",IF(ETPT_TPRX!G14=0,"",ETPT_TPRX!G14)))</f>
      </c>
      <c r="H14" s="134">
        <f t="shared" si="0"/>
        <v>0</v>
      </c>
      <c r="I14" s="141">
        <f>IF(ISBLANK(ETPT_TPRX_DDG!$D$5),"",IF(ISERROR(ETPT_TPRX!I14),"",IF(ETPT_TPRX!I14=0,"",ETPT_TPRX!I14)))</f>
      </c>
      <c r="J14" s="141">
        <f>IF(ISBLANK(ETPT_TPRX_DDG!$D$5),"",IF(ISERROR(ETPT_TPRX!J14),"",IF(ETPT_TPRX!J14=0,"",ETPT_TPRX!J14)))</f>
      </c>
      <c r="K14" s="141">
        <f>IF(ISBLANK(ETPT_TPRX_DDG!$D$5),"",IF(ISERROR(ETPT_TPRX!K14),"",IF(ETPT_TPRX!K14=0,"",ETPT_TPRX!K14)))</f>
      </c>
      <c r="L14" s="141">
        <f>IF(ISBLANK(ETPT_TPRX_DDG!$D$5),"",IF(ISERROR(ETPT_TPRX!L14),"",IF(ETPT_TPRX!L14=0,"",ETPT_TPRX!L14)))</f>
      </c>
      <c r="M14" s="141">
        <f>IF(ISBLANK(ETPT_TPRX_DDG!$D$5),"",IF(ISERROR(ETPT_TPRX!M14),"",IF(ETPT_TPRX!M14=0,"",ETPT_TPRX!M14)))</f>
      </c>
      <c r="N14" s="141">
        <f>IF(ISBLANK(ETPT_TPRX_DDG!$D$5),"",IF(ISERROR(ETPT_TPRX!N14),"",IF(ETPT_TPRX!N14=0,"",ETPT_TPRX!N14)))</f>
      </c>
      <c r="O14" s="141">
        <f>IF(ISBLANK(ETPT_TPRX_DDG!$D$5),"",IF(ISERROR(ETPT_TPRX!O14),"",IF(ETPT_TPRX!O14=0,"",ETPT_TPRX!O14)))</f>
      </c>
      <c r="P14" s="141">
        <f>IF(ISBLANK(ETPT_TPRX_DDG!$D$5),"",IF(ISERROR(ETPT_TPRX!P14),"",IF(ETPT_TPRX!P14=0,"",ETPT_TPRX!P14)))</f>
      </c>
      <c r="Q14" s="141">
        <f>IF(ISBLANK(ETPT_TPRX_DDG!$D$5),"",IF(ISERROR(ETPT_TPRX!Q14),"",IF(ETPT_TPRX!Q14=0,"",ETPT_TPRX!Q14)))</f>
      </c>
      <c r="R14" s="141">
        <f>IF(ISBLANK(ETPT_TPRX_DDG!$D$5),"",IF(ISERROR(ETPT_TPRX!R14),"",IF(ETPT_TPRX!R14=0,"",ETPT_TPRX!R14)))</f>
      </c>
      <c r="S14" s="134">
        <f t="shared" si="1"/>
        <v>0</v>
      </c>
      <c r="T14" s="141">
        <f>IF(ISBLANK(ETPT_TPRX_DDG!$D$5),"",IF(ISERROR(ETPT_TPRX!T14),"",IF(ETPT_TPRX!T14=0,"",ETPT_TPRX!T14)))</f>
      </c>
      <c r="U14" s="141">
        <f>IF(ISBLANK(ETPT_TPRX_DDG!$D$5),"",IF(ISERROR(ETPT_TPRX!U14),"",IF(ETPT_TPRX!U14=0,"",ETPT_TPRX!U14)))</f>
      </c>
      <c r="V14" s="141">
        <f>IF(ISBLANK(ETPT_TPRX_DDG!$D$5),"",IF(ISERROR(ETPT_TPRX!V14),"",IF(ETPT_TPRX!V14=0,"",ETPT_TPRX!V14)))</f>
      </c>
      <c r="W14" s="141">
        <f>IF(ISBLANK(ETPT_TPRX_DDG!$D$5),"",IF(ISERROR(ETPT_TPRX!W14),"",IF(ETPT_TPRX!W14=0,"",ETPT_TPRX!W14)))</f>
      </c>
      <c r="X14" s="141">
        <f>IF(ISBLANK(ETPT_TPRX_DDG!$D$5),"",IF(ISERROR(ETPT_TPRX!X14),"",IF(ETPT_TPRX!X14=0,"",ETPT_TPRX!X14)))</f>
      </c>
      <c r="Y14" s="141">
        <f>IF(ISBLANK(ETPT_TPRX_DDG!$D$5),"",IF(ISERROR(ETPT_TPRX!Y14),"",IF(ETPT_TPRX!Y14=0,"",ETPT_TPRX!Y14)))</f>
      </c>
      <c r="Z14" s="141">
        <f>IF(ISBLANK(ETPT_TPRX_DDG!$D$5),"",IF(ISERROR(ETPT_TPRX!Z14),"",IF(ETPT_TPRX!Z14=0,"",ETPT_TPRX!Z14)))</f>
      </c>
      <c r="AA14" s="141">
        <f>IF(ISBLANK(ETPT_TPRX_DDG!$D$5),"",IF(ISERROR(ETPT_TPRX!AA14),"",IF(ETPT_TPRX!AA14=0,"",ETPT_TPRX!AA14)))</f>
      </c>
      <c r="AB14" s="141">
        <f>IF(ISBLANK(ETPT_TPRX_DDG!$D$5),"",IF(ISERROR(ETPT_TPRX!AB14),"",IF(ETPT_TPRX!AB14=0,"",ETPT_TPRX!AB14)))</f>
      </c>
      <c r="AC14" s="134">
        <f t="shared" si="2"/>
        <v>0</v>
      </c>
      <c r="AD14" s="141">
        <f>IF(ISBLANK(ETPT_TPRX_DDG!$D$5),"",IF(ISERROR(ETPT_TPRX!AD14),"",IF(ETPT_TPRX!AD14=0,"",ETPT_TPRX!AD14)))</f>
      </c>
      <c r="AE14" s="141">
        <f>IF(ISBLANK(ETPT_TPRX_DDG!$D$5),"",IF(ISERROR(ETPT_TPRX!AE14),"",IF(ETPT_TPRX!AE14=0,"",ETPT_TPRX!AE14)))</f>
      </c>
      <c r="AF14" s="141">
        <f>IF(ISBLANK(ETPT_TPRX_DDG!$D$5),"",IF(ISERROR(ETPT_TPRX!AF14),"",IF(ETPT_TPRX!AF14=0,"",ETPT_TPRX!AF14)))</f>
      </c>
      <c r="AG14" s="134">
        <f t="shared" si="3"/>
        <v>0</v>
      </c>
    </row>
    <row r="15" spans="1:33" x14ac:dyDescent="0.25">
      <c r="A15" s="133" t="s">
        <v>650</v>
      </c>
      <c r="B15" s="104"/>
      <c r="C15" s="104"/>
      <c r="D15" s="104">
        <f t="shared" si="4"/>
      </c>
      <c r="E15" s="104" t="s">
        <v>601</v>
      </c>
      <c r="F15" s="196" t="s">
        <v>602</v>
      </c>
      <c r="G15" s="141">
        <f>IF(ISBLANK(ETPT_TPRX_DDG!$D$5),"",IF(ISERROR(ETPT_TPRX!G15),"",IF(ETPT_TPRX!G15=0,"",ETPT_TPRX!G15)))</f>
      </c>
      <c r="H15" s="134">
        <f t="shared" si="0"/>
        <v>0</v>
      </c>
      <c r="I15" s="141">
        <f>IF(ISBLANK(ETPT_TPRX_DDG!$D$5),"",IF(ISERROR(ETPT_TPRX!I15),"",IF(ETPT_TPRX!I15=0,"",ETPT_TPRX!I15)))</f>
      </c>
      <c r="J15" s="141">
        <f>IF(ISBLANK(ETPT_TPRX_DDG!$D$5),"",IF(ISERROR(ETPT_TPRX!J15),"",IF(ETPT_TPRX!J15=0,"",ETPT_TPRX!J15)))</f>
      </c>
      <c r="K15" s="141">
        <f>IF(ISBLANK(ETPT_TPRX_DDG!$D$5),"",IF(ISERROR(ETPT_TPRX!K15),"",IF(ETPT_TPRX!K15=0,"",ETPT_TPRX!K15)))</f>
      </c>
      <c r="L15" s="141">
        <f>IF(ISBLANK(ETPT_TPRX_DDG!$D$5),"",IF(ISERROR(ETPT_TPRX!L15),"",IF(ETPT_TPRX!L15=0,"",ETPT_TPRX!L15)))</f>
      </c>
      <c r="M15" s="141">
        <f>IF(ISBLANK(ETPT_TPRX_DDG!$D$5),"",IF(ISERROR(ETPT_TPRX!M15),"",IF(ETPT_TPRX!M15=0,"",ETPT_TPRX!M15)))</f>
      </c>
      <c r="N15" s="141">
        <f>IF(ISBLANK(ETPT_TPRX_DDG!$D$5),"",IF(ISERROR(ETPT_TPRX!N15),"",IF(ETPT_TPRX!N15=0,"",ETPT_TPRX!N15)))</f>
      </c>
      <c r="O15" s="141">
        <f>IF(ISBLANK(ETPT_TPRX_DDG!$D$5),"",IF(ISERROR(ETPT_TPRX!O15),"",IF(ETPT_TPRX!O15=0,"",ETPT_TPRX!O15)))</f>
      </c>
      <c r="P15" s="141">
        <f>IF(ISBLANK(ETPT_TPRX_DDG!$D$5),"",IF(ISERROR(ETPT_TPRX!P15),"",IF(ETPT_TPRX!P15=0,"",ETPT_TPRX!P15)))</f>
      </c>
      <c r="Q15" s="141">
        <f>IF(ISBLANK(ETPT_TPRX_DDG!$D$5),"",IF(ISERROR(ETPT_TPRX!Q15),"",IF(ETPT_TPRX!Q15=0,"",ETPT_TPRX!Q15)))</f>
      </c>
      <c r="R15" s="141">
        <f>IF(ISBLANK(ETPT_TPRX_DDG!$D$5),"",IF(ISERROR(ETPT_TPRX!R15),"",IF(ETPT_TPRX!R15=0,"",ETPT_TPRX!R15)))</f>
      </c>
      <c r="S15" s="134">
        <f t="shared" si="1"/>
        <v>0</v>
      </c>
      <c r="T15" s="141">
        <f>IF(ISBLANK(ETPT_TPRX_DDG!$D$5),"",IF(ISERROR(ETPT_TPRX!T15),"",IF(ETPT_TPRX!T15=0,"",ETPT_TPRX!T15)))</f>
      </c>
      <c r="U15" s="141">
        <f>IF(ISBLANK(ETPT_TPRX_DDG!$D$5),"",IF(ISERROR(ETPT_TPRX!U15),"",IF(ETPT_TPRX!U15=0,"",ETPT_TPRX!U15)))</f>
      </c>
      <c r="V15" s="141">
        <f>IF(ISBLANK(ETPT_TPRX_DDG!$D$5),"",IF(ISERROR(ETPT_TPRX!V15),"",IF(ETPT_TPRX!V15=0,"",ETPT_TPRX!V15)))</f>
      </c>
      <c r="W15" s="141">
        <f>IF(ISBLANK(ETPT_TPRX_DDG!$D$5),"",IF(ISERROR(ETPT_TPRX!W15),"",IF(ETPT_TPRX!W15=0,"",ETPT_TPRX!W15)))</f>
      </c>
      <c r="X15" s="141">
        <f>IF(ISBLANK(ETPT_TPRX_DDG!$D$5),"",IF(ISERROR(ETPT_TPRX!X15),"",IF(ETPT_TPRX!X15=0,"",ETPT_TPRX!X15)))</f>
      </c>
      <c r="Y15" s="141">
        <f>IF(ISBLANK(ETPT_TPRX_DDG!$D$5),"",IF(ISERROR(ETPT_TPRX!Y15),"",IF(ETPT_TPRX!Y15=0,"",ETPT_TPRX!Y15)))</f>
      </c>
      <c r="Z15" s="141">
        <f>IF(ISBLANK(ETPT_TPRX_DDG!$D$5),"",IF(ISERROR(ETPT_TPRX!Z15),"",IF(ETPT_TPRX!Z15=0,"",ETPT_TPRX!Z15)))</f>
      </c>
      <c r="AA15" s="141">
        <f>IF(ISBLANK(ETPT_TPRX_DDG!$D$5),"",IF(ISERROR(ETPT_TPRX!AA15),"",IF(ETPT_TPRX!AA15=0,"",ETPT_TPRX!AA15)))</f>
      </c>
      <c r="AB15" s="141">
        <f>IF(ISBLANK(ETPT_TPRX_DDG!$D$5),"",IF(ISERROR(ETPT_TPRX!AB15),"",IF(ETPT_TPRX!AB15=0,"",ETPT_TPRX!AB15)))</f>
      </c>
      <c r="AC15" s="134">
        <f t="shared" si="2"/>
        <v>0</v>
      </c>
      <c r="AD15" s="141">
        <f>IF(ISBLANK(ETPT_TPRX_DDG!$D$5),"",IF(ISERROR(ETPT_TPRX!AD15),"",IF(ETPT_TPRX!AD15=0,"",ETPT_TPRX!AD15)))</f>
      </c>
      <c r="AE15" s="141">
        <f>IF(ISBLANK(ETPT_TPRX_DDG!$D$5),"",IF(ISERROR(ETPT_TPRX!AE15),"",IF(ETPT_TPRX!AE15=0,"",ETPT_TPRX!AE15)))</f>
      </c>
      <c r="AF15" s="141">
        <f>IF(ISBLANK(ETPT_TPRX_DDG!$D$5),"",IF(ISERROR(ETPT_TPRX!AF15),"",IF(ETPT_TPRX!AF15=0,"",ETPT_TPRX!AF15)))</f>
      </c>
      <c r="AG15" s="134">
        <f t="shared" si="3"/>
        <v>0</v>
      </c>
    </row>
    <row r="16" spans="1:33" x14ac:dyDescent="0.25">
      <c r="A16" s="133"/>
      <c r="B16" s="143"/>
      <c r="C16" s="143"/>
      <c r="D16" s="143"/>
      <c r="E16" s="143"/>
      <c r="F16" s="197" t="s">
        <v>603</v>
      </c>
      <c r="G16" s="98">
        <f t="shared" ref="G16:AG16" si="5">SUM(G5:G15)</f>
        <v>0</v>
      </c>
      <c r="H16" s="98">
        <f t="shared" si="5"/>
        <v>0</v>
      </c>
      <c r="I16" s="98">
        <f t="shared" si="5"/>
        <v>0</v>
      </c>
      <c r="J16" s="98">
        <f t="shared" si="5"/>
        <v>0</v>
      </c>
      <c r="K16" s="98">
        <f t="shared" si="5"/>
        <v>0</v>
      </c>
      <c r="L16" s="98">
        <f t="shared" si="5"/>
        <v>0</v>
      </c>
      <c r="M16" s="98">
        <f t="shared" si="5"/>
        <v>0</v>
      </c>
      <c r="N16" s="98">
        <f t="shared" si="5"/>
        <v>0</v>
      </c>
      <c r="O16" s="98">
        <f t="shared" si="5"/>
        <v>0</v>
      </c>
      <c r="P16" s="98">
        <f t="shared" si="5"/>
        <v>0</v>
      </c>
      <c r="Q16" s="98">
        <f t="shared" si="5"/>
        <v>0</v>
      </c>
      <c r="R16" s="98">
        <f t="shared" si="5"/>
        <v>0</v>
      </c>
      <c r="S16" s="98">
        <f t="shared" si="5"/>
        <v>0</v>
      </c>
      <c r="T16" s="98">
        <f t="shared" si="5"/>
        <v>0</v>
      </c>
      <c r="U16" s="98">
        <f t="shared" si="5"/>
        <v>0</v>
      </c>
      <c r="V16" s="98">
        <f t="shared" si="5"/>
        <v>0</v>
      </c>
      <c r="W16" s="98">
        <f t="shared" si="5"/>
        <v>0</v>
      </c>
      <c r="X16" s="98">
        <f t="shared" si="5"/>
        <v>0</v>
      </c>
      <c r="Y16" s="98">
        <f t="shared" si="5"/>
        <v>0</v>
      </c>
      <c r="Z16" s="98">
        <f t="shared" si="5"/>
        <v>0</v>
      </c>
      <c r="AA16" s="98">
        <f t="shared" si="5"/>
        <v>0</v>
      </c>
      <c r="AB16" s="98">
        <f t="shared" si="5"/>
        <v>0</v>
      </c>
      <c r="AC16" s="98">
        <f t="shared" si="5"/>
        <v>0</v>
      </c>
      <c r="AD16" s="98">
        <f t="shared" si="5"/>
        <v>0</v>
      </c>
      <c r="AE16" s="98">
        <f t="shared" si="5"/>
        <v>0</v>
      </c>
      <c r="AF16" s="98">
        <f t="shared" si="5"/>
        <v>0</v>
      </c>
      <c r="AG16" s="98">
        <f t="shared" si="5"/>
        <v>0</v>
      </c>
    </row>
    <row r="17" spans="4:33" x14ac:dyDescent="0.25">
      <c r="D17" s="181"/>
      <c r="E17" s="181"/>
      <c r="F17" s="181"/>
      <c r="G17" s="181"/>
      <c r="H17" s="181"/>
      <c r="I17" s="181"/>
      <c r="J17" s="181"/>
      <c r="K17" s="181"/>
      <c r="L17" s="181"/>
      <c r="M17" s="181"/>
      <c r="N17" s="181"/>
      <c r="O17" s="181"/>
      <c r="P17" s="181"/>
      <c r="Q17" s="181"/>
      <c r="R17" s="181"/>
      <c r="S17" s="185"/>
      <c r="T17" s="181"/>
      <c r="U17" s="181"/>
      <c r="V17" s="181"/>
      <c r="W17" s="181"/>
      <c r="X17" s="181"/>
      <c r="Y17" s="181"/>
      <c r="Z17" s="181"/>
      <c r="AA17" s="181"/>
      <c r="AB17" s="181"/>
      <c r="AC17" s="181"/>
      <c r="AD17" s="181"/>
      <c r="AE17" s="181"/>
      <c r="AF17" s="181"/>
      <c r="AG17" s="181"/>
    </row>
    <row r="18" ht="24" customHeight="1" spans="4:33" x14ac:dyDescent="0.25">
      <c r="D18" s="198"/>
      <c r="E18" s="199"/>
      <c r="F18" s="187" t="s">
        <v>605</v>
      </c>
      <c r="G18" s="188">
        <f>IF(ISBLANK(ETPT_TPRX_DDG!$D$5),"",IF(ISERROR(ETPT_TPRX!G18),"",IF(ETPT_TPRX!G18=0,"",ETPT_TPRX!G18)))</f>
      </c>
      <c r="H18" s="199"/>
      <c r="I18" s="199"/>
      <c r="J18" s="199"/>
      <c r="K18" s="199"/>
      <c r="L18" s="181"/>
      <c r="M18" s="181"/>
      <c r="N18" s="181"/>
      <c r="O18" s="181"/>
      <c r="P18" s="181"/>
      <c r="Q18" s="189" t="s">
        <v>606</v>
      </c>
      <c r="R18" s="188">
        <f>IF(ISBLANK(ETPT_TPRX_DDG!$D$5),"",IF(ISERROR(ETPT_TPRX!R18),"",IF(ETPT_TPRX!R18=0,"",ETPT_TPRX!R18)))</f>
      </c>
      <c r="S18" s="181"/>
      <c r="T18" s="181"/>
      <c r="U18" s="181"/>
      <c r="V18" s="181"/>
      <c r="W18" s="181"/>
      <c r="X18" s="181"/>
      <c r="Y18" s="181"/>
      <c r="Z18" s="181"/>
      <c r="AA18" s="181"/>
      <c r="AB18" s="181"/>
      <c r="AC18" s="181"/>
      <c r="AD18" s="199"/>
      <c r="AE18" s="189" t="s">
        <v>607</v>
      </c>
      <c r="AF18" s="188">
        <f>IF(ISBLANK(ETPT_TPRX_DDG!$D$5),"",IF(ISERROR(ETPT_TPRX!AF18),"",IF(ETPT_TPRX!AF18=0,"",ETPT_TPRX!AF18)))</f>
      </c>
      <c r="AG18" s="181"/>
    </row>
    <row r="20" spans="5:11" x14ac:dyDescent="0.25">
      <c r="E20" s="200" t="s">
        <v>692</v>
      </c>
      <c r="F20" s="80"/>
      <c r="G20" s="80"/>
      <c r="H20" s="80"/>
      <c r="I20" s="80"/>
      <c r="J20" s="80"/>
      <c r="K20" s="80"/>
    </row>
    <row r="21" ht="17" customHeight="1" spans="5:11" x14ac:dyDescent="0.25">
      <c r="E21" s="200"/>
      <c r="F21" s="80"/>
      <c r="G21" s="80"/>
      <c r="H21" s="80"/>
      <c r="I21" s="80"/>
      <c r="J21" s="80"/>
      <c r="K21" s="80"/>
    </row>
    <row r="22" ht="50" customHeight="1" spans="5:28" x14ac:dyDescent="0.25">
      <c r="E22" s="191" t="s">
        <v>693</v>
      </c>
      <c r="F22" s="192"/>
      <c r="G22" s="192"/>
      <c r="H22" s="192"/>
      <c r="I22" s="192"/>
      <c r="J22" s="192"/>
      <c r="K22" s="192"/>
      <c r="L22" s="192"/>
      <c r="M22" s="192"/>
      <c r="N22" s="192"/>
      <c r="O22" s="192"/>
      <c r="P22" s="192"/>
      <c r="Q22" s="192"/>
      <c r="R22" s="192"/>
      <c r="S22" s="192"/>
      <c r="T22" s="192"/>
      <c r="U22" s="192"/>
      <c r="V22" s="192"/>
      <c r="W22" s="192"/>
      <c r="X22" s="192"/>
      <c r="Y22" s="192"/>
      <c r="Z22" s="192"/>
      <c r="AA22" s="192"/>
      <c r="AB22" s="193"/>
    </row>
  </sheetData>
  <mergeCells count="1">
    <mergeCell ref="E22:AB22"/>
  </mergeCells>
  <dataValidations count="1">
    <dataValidation type="list" showInputMessage="1" prompt="Aucun TPROX n'est disponible pour cette juridiction" showErrorMessage="1" error="Veuillez selectionner une valeur dans le menu déroulant" sqref="D5">
      <formula1>""</formula1>
    </dataValidation>
  </dataValidations>
  <pageMargins left="0.7" right="0.7" top="0.75" bottom="0.75" header="0.3" footer="0.3"/>
  <pageSetup paperSize="9" orientation="portrait" horizontalDpi="0" verticalDpi="0" scale="100" fitToWidth="1" fitToHeight="1" firstPageNumber="1" useFirstPageNumber="1" copies="1"/>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1A94F"/>
  </sheetPr>
  <dimension ref="A1:BJ18"/>
  <sheetViews>
    <sheetView workbookViewId="0" showGridLines="0" zoomScale="100" zoomScaleNormal="100">
      <selection activeCell="D5" sqref="D5"/>
    </sheetView>
  </sheetViews>
  <sheetFormatPr defaultRowHeight="16" outlineLevelRow="0" outlineLevelCol="0" x14ac:dyDescent="0.2" defaultColWidth="11" customHeight="1"/>
  <cols>
    <col min="1" max="3" width="11" style="80" hidden="1" customWidth="1"/>
    <col min="4" max="4" width="16.83203125" style="80" customWidth="1"/>
    <col min="5" max="5" width="11" style="80" customWidth="1"/>
    <col min="6" max="6" width="47.83203125" style="80" customWidth="1"/>
    <col min="7" max="10" width="11" style="80" customWidth="1"/>
    <col min="11" max="11" width="18.6640625" style="80" customWidth="1"/>
    <col min="12" max="16384" width="11" style="80" customWidth="1"/>
  </cols>
  <sheetData>
    <row r="1" ht="80" customHeight="1" spans="1:62" s="40" customFormat="1" x14ac:dyDescent="0.25">
      <c r="A1" s="41" t="s">
        <v>657</v>
      </c>
      <c r="B1" s="42"/>
      <c r="C1" s="42"/>
      <c r="D1" s="41" t="s">
        <v>694</v>
      </c>
      <c r="E1" s="43"/>
      <c r="F1" s="44"/>
      <c r="G1" s="44"/>
      <c r="H1" s="43"/>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row>
    <row r="2" ht="16" customHeight="1" hidden="1" spans="1:8" x14ac:dyDescent="0.25">
      <c r="A2" s="151"/>
      <c r="B2" s="151"/>
      <c r="C2" s="151"/>
      <c r="D2" s="151"/>
      <c r="E2" s="151"/>
      <c r="F2" s="151"/>
      <c r="G2" s="84" t="s">
        <v>477</v>
      </c>
      <c r="H2" s="85" t="s">
        <v>478</v>
      </c>
    </row>
    <row r="3" ht="36" customHeight="1" hidden="1" spans="1:8" x14ac:dyDescent="0.25">
      <c r="A3" s="151"/>
      <c r="B3" s="151"/>
      <c r="C3" s="151"/>
      <c r="D3" s="151"/>
      <c r="E3" s="151"/>
      <c r="F3" s="151"/>
      <c r="G3" s="84" t="s">
        <v>498</v>
      </c>
      <c r="H3" s="85"/>
    </row>
    <row r="4" ht="36" customHeight="1" spans="1:8" x14ac:dyDescent="0.25">
      <c r="A4" s="152"/>
      <c r="B4" s="153" t="s">
        <v>528</v>
      </c>
      <c r="C4" s="153" t="s">
        <v>529</v>
      </c>
      <c r="D4" s="153" t="s">
        <v>37</v>
      </c>
      <c r="E4" s="153" t="s">
        <v>530</v>
      </c>
      <c r="F4" s="153" t="s">
        <v>531</v>
      </c>
      <c r="G4" s="84" t="s">
        <v>546</v>
      </c>
      <c r="H4" s="85"/>
    </row>
    <row r="5" spans="1:8" x14ac:dyDescent="0.25">
      <c r="A5" s="154" t="s">
        <v>656</v>
      </c>
      <c r="B5" s="155"/>
      <c r="C5" s="155"/>
      <c r="D5" s="201" t="s">
        <v>175</v>
      </c>
      <c r="E5" s="155" t="s">
        <v>578</v>
      </c>
      <c r="F5" s="172" t="s">
        <v>579</v>
      </c>
      <c r="G5" s="142">
        <f>IF(ISBLANK(ETPT_CPH_DDG!$D$5),"",IF(ISERROR(ETPT_CPH!G5),"",IF(ETPT_CPH!G5=0,"",ETPT_CPH!G5)))</f>
      </c>
      <c r="H5" s="202">
        <f t="shared" ref="H5:H13" si="0">SUM(G5)</f>
        <v>0</v>
      </c>
    </row>
    <row r="6" spans="1:8" x14ac:dyDescent="0.25">
      <c r="A6" s="154" t="s">
        <v>656</v>
      </c>
      <c r="B6" s="155"/>
      <c r="C6" s="155"/>
      <c r="D6" s="104">
        <f t="shared" ref="D6:D13" si="1">IF(ISBLANK($D$5),"",$D$5)</f>
      </c>
      <c r="E6" s="155" t="s">
        <v>587</v>
      </c>
      <c r="F6" s="172" t="s">
        <v>588</v>
      </c>
      <c r="G6" s="142">
        <f>IF(ISBLANK(ETPT_CPH_DDG!$D$5),"",IF(ISERROR(ETPT_CPH!G6),"",IF(ETPT_CPH!G6=0,"",ETPT_CPH!G6)))</f>
      </c>
      <c r="H6" s="202">
        <f t="shared" si="0"/>
        <v>0</v>
      </c>
    </row>
    <row r="7" spans="1:8" x14ac:dyDescent="0.25">
      <c r="A7" s="154" t="s">
        <v>656</v>
      </c>
      <c r="B7" s="155"/>
      <c r="C7" s="155"/>
      <c r="D7" s="104">
        <f t="shared" si="1"/>
      </c>
      <c r="E7" s="155" t="s">
        <v>589</v>
      </c>
      <c r="F7" s="172" t="s">
        <v>590</v>
      </c>
      <c r="G7" s="142">
        <f>IF(ISBLANK(ETPT_CPH_DDG!$D$5),"",IF(ISERROR(ETPT_CPH!G7),"",IF(ETPT_CPH!G7=0,"",ETPT_CPH!G7)))</f>
      </c>
      <c r="H7" s="202">
        <f t="shared" si="0"/>
        <v>0</v>
      </c>
    </row>
    <row r="8" spans="1:8" x14ac:dyDescent="0.25">
      <c r="A8" s="154" t="s">
        <v>656</v>
      </c>
      <c r="B8" s="155"/>
      <c r="C8" s="155"/>
      <c r="D8" s="104">
        <f t="shared" si="1"/>
      </c>
      <c r="E8" s="155" t="s">
        <v>591</v>
      </c>
      <c r="F8" s="172" t="s">
        <v>592</v>
      </c>
      <c r="G8" s="142">
        <f>IF(ISBLANK(ETPT_CPH_DDG!$D$5),"",IF(ISERROR(ETPT_CPH!G8),"",IF(ETPT_CPH!G8=0,"",ETPT_CPH!G8)))</f>
      </c>
      <c r="H8" s="202">
        <f t="shared" si="0"/>
        <v>0</v>
      </c>
    </row>
    <row r="9" spans="1:8" x14ac:dyDescent="0.25">
      <c r="A9" s="154" t="s">
        <v>656</v>
      </c>
      <c r="B9" s="155"/>
      <c r="C9" s="155"/>
      <c r="D9" s="104">
        <f t="shared" si="1"/>
      </c>
      <c r="E9" s="155" t="s">
        <v>593</v>
      </c>
      <c r="F9" s="172" t="s">
        <v>594</v>
      </c>
      <c r="G9" s="142">
        <f>IF(ISBLANK(ETPT_CPH_DDG!$D$5),"",IF(ISERROR(ETPT_CPH!G9),"",IF(ETPT_CPH!G9=0,"",ETPT_CPH!G9)))</f>
      </c>
      <c r="H9" s="202">
        <f t="shared" si="0"/>
        <v>0</v>
      </c>
    </row>
    <row r="10" spans="1:8" x14ac:dyDescent="0.25">
      <c r="A10" s="154" t="s">
        <v>656</v>
      </c>
      <c r="B10" s="155"/>
      <c r="C10" s="155"/>
      <c r="D10" s="104">
        <f t="shared" si="1"/>
      </c>
      <c r="E10" s="155" t="s">
        <v>595</v>
      </c>
      <c r="F10" s="172" t="s">
        <v>596</v>
      </c>
      <c r="G10" s="142">
        <f>IF(ISBLANK(ETPT_CPH_DDG!$D$5),"",IF(ISERROR(ETPT_CPH!G10),"",IF(ETPT_CPH!G10=0,"",ETPT_CPH!G10)))</f>
      </c>
      <c r="H10" s="202">
        <f t="shared" si="0"/>
        <v>0</v>
      </c>
    </row>
    <row r="11" spans="1:8" x14ac:dyDescent="0.25">
      <c r="A11" s="154" t="s">
        <v>656</v>
      </c>
      <c r="B11" s="155"/>
      <c r="C11" s="155"/>
      <c r="D11" s="104">
        <f t="shared" si="1"/>
      </c>
      <c r="E11" s="155" t="s">
        <v>597</v>
      </c>
      <c r="F11" s="172" t="s">
        <v>598</v>
      </c>
      <c r="G11" s="142">
        <f>IF(ISBLANK(ETPT_CPH_DDG!$D$5),"",IF(ISERROR(ETPT_CPH!G11),"",IF(ETPT_CPH!G11=0,"",ETPT_CPH!G11)))</f>
      </c>
      <c r="H11" s="202">
        <f t="shared" si="0"/>
        <v>0</v>
      </c>
    </row>
    <row r="12" spans="1:8" x14ac:dyDescent="0.25">
      <c r="A12" s="154" t="s">
        <v>656</v>
      </c>
      <c r="B12" s="155"/>
      <c r="C12" s="155"/>
      <c r="D12" s="104">
        <f t="shared" si="1"/>
      </c>
      <c r="E12" s="155" t="s">
        <v>599</v>
      </c>
      <c r="F12" s="172" t="s">
        <v>600</v>
      </c>
      <c r="G12" s="142">
        <f>IF(ISBLANK(ETPT_CPH_DDG!$D$5),"",IF(ISERROR(ETPT_CPH!G12),"",IF(ETPT_CPH!G12=0,"",ETPT_CPH!G12)))</f>
      </c>
      <c r="H12" s="202">
        <f t="shared" si="0"/>
        <v>0</v>
      </c>
    </row>
    <row r="13" spans="1:8" x14ac:dyDescent="0.25">
      <c r="A13" s="154" t="s">
        <v>656</v>
      </c>
      <c r="B13" s="155"/>
      <c r="C13" s="155"/>
      <c r="D13" s="104">
        <f t="shared" si="1"/>
      </c>
      <c r="E13" s="155" t="s">
        <v>601</v>
      </c>
      <c r="F13" s="172" t="s">
        <v>602</v>
      </c>
      <c r="G13" s="142">
        <f>IF(ISBLANK(ETPT_CPH_DDG!$D$5),"",IF(ISERROR(ETPT_CPH!G13),"",IF(ETPT_CPH!G13=0,"",ETPT_CPH!G13)))</f>
      </c>
      <c r="H13" s="202">
        <f t="shared" si="0"/>
        <v>0</v>
      </c>
    </row>
    <row r="14" spans="1:8" x14ac:dyDescent="0.25">
      <c r="A14" s="162"/>
      <c r="B14" s="104"/>
      <c r="C14" s="104"/>
      <c r="D14" s="104"/>
      <c r="E14" s="143"/>
      <c r="F14" s="203" t="s">
        <v>603</v>
      </c>
      <c r="G14" s="202">
        <f>SUM(G5:G13)</f>
        <v>0</v>
      </c>
      <c r="H14" s="202">
        <f>SUM(H5:H13)</f>
        <v>0</v>
      </c>
    </row>
    <row r="16" spans="5:10" x14ac:dyDescent="0.25">
      <c r="E16" s="200" t="s">
        <v>692</v>
      </c>
      <c r="F16" s="1"/>
      <c r="G16" s="1"/>
      <c r="H16" s="1"/>
      <c r="I16" s="1"/>
      <c r="J16" s="1"/>
    </row>
    <row r="17" ht="17" customHeight="1" spans="4:10" x14ac:dyDescent="0.25">
      <c r="D17" s="200"/>
      <c r="F17" s="1"/>
      <c r="G17" s="1"/>
      <c r="H17" s="1"/>
      <c r="I17" s="1"/>
      <c r="J17" s="1"/>
    </row>
    <row r="18" ht="91" customHeight="1" spans="4:11" x14ac:dyDescent="0.25">
      <c r="D18" s="200"/>
      <c r="E18" s="191" t="s">
        <v>695</v>
      </c>
      <c r="F18" s="192"/>
      <c r="G18" s="192"/>
      <c r="H18" s="192"/>
      <c r="I18" s="192"/>
      <c r="J18" s="192"/>
      <c r="K18" s="193"/>
    </row>
  </sheetData>
  <mergeCells count="2">
    <mergeCell ref="H2:H4"/>
    <mergeCell ref="E18:K18"/>
  </mergeCells>
  <dataValidations count="1">
    <dataValidation type="list" showInputMessage="1" prompt="Selectionner une juridiction" showErrorMessage="1" error="Veuillez selectionner une valeur dans le menu déroulant" sqref="D5">
      <formula1>"TEST010"</formula1>
    </dataValidation>
  </dataValidation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H16"/>
  <sheetViews>
    <sheetView workbookViewId="0" showGridLines="0" zoomScale="78" zoomScaleNormal="78">
      <selection activeCell="V118" sqref="V118"/>
    </sheetView>
  </sheetViews>
  <sheetFormatPr defaultRowHeight="15" outlineLevelRow="0" outlineLevelCol="0" x14ac:dyDescent="0.2" defaultColWidth="10.83203125"/>
  <cols>
    <col min="1" max="1" width="1.1640625" style="1" customWidth="1"/>
    <col min="2" max="2" width="30" style="1" customWidth="1"/>
    <col min="3" max="3" width="102.1640625" style="1" customWidth="1"/>
    <col min="4" max="4" width="56.33203125" style="1" customWidth="1"/>
    <col min="5" max="5" width="14" style="1" customWidth="1"/>
    <col min="6" max="6" width="37.83203125" style="2" customWidth="1"/>
    <col min="7" max="16384" width="10.83203125" style="1" customWidth="1"/>
  </cols>
  <sheetData>
    <row r="1" ht="60" customHeight="1" spans="1:8" s="3" customFormat="1" x14ac:dyDescent="0.25">
      <c r="A1" s="4"/>
      <c r="B1" s="5" t="s">
        <v>0</v>
      </c>
      <c r="C1" s="6" t="s">
        <v>1</v>
      </c>
      <c r="D1" s="6"/>
      <c r="E1" s="6"/>
      <c r="F1" s="7"/>
      <c r="G1" s="3"/>
      <c r="H1" s="3"/>
    </row>
    <row r="2" ht="20" customHeight="1" spans="1:8" s="8" customFormat="1" x14ac:dyDescent="0.25">
      <c r="A2" s="9"/>
      <c r="B2" s="10"/>
      <c r="C2" s="11" t="s">
        <v>2</v>
      </c>
      <c r="D2" s="11"/>
      <c r="E2" s="11"/>
      <c r="F2" s="12"/>
      <c r="G2" s="8"/>
      <c r="H2" s="3"/>
    </row>
    <row r="3" ht="6.5" customHeight="1" spans="1:8" s="3" customFormat="1" x14ac:dyDescent="0.25">
      <c r="A3" s="13"/>
      <c r="B3" s="3"/>
      <c r="C3" s="3"/>
      <c r="D3" s="3"/>
      <c r="E3" s="3"/>
      <c r="F3" s="2"/>
      <c r="G3" s="3"/>
      <c r="H3" s="3"/>
    </row>
    <row r="4" ht="32.25" customHeight="1" spans="1:8" s="14" customFormat="1" x14ac:dyDescent="0.25">
      <c r="A4" s="15"/>
      <c r="B4" s="16" t="s">
        <v>3</v>
      </c>
      <c r="C4" s="17" t="s">
        <v>4</v>
      </c>
      <c r="D4" s="17" t="s">
        <v>5</v>
      </c>
      <c r="E4" s="18" t="s">
        <v>6</v>
      </c>
      <c r="F4" s="18"/>
      <c r="G4" s="19"/>
      <c r="H4" s="3"/>
    </row>
    <row r="5" ht="48" customHeight="1" spans="1:8" s="3" customFormat="1" x14ac:dyDescent="0.25">
      <c r="A5" s="13"/>
      <c r="B5" s="20" t="s">
        <v>7</v>
      </c>
      <c r="C5" s="21" t="s">
        <v>8</v>
      </c>
      <c r="D5" s="21" t="s">
        <v>9</v>
      </c>
      <c r="E5" s="22" t="s">
        <v>10</v>
      </c>
      <c r="F5" s="22"/>
      <c r="G5" s="23"/>
      <c r="H5" s="3"/>
    </row>
    <row r="6" ht="48" customHeight="1" spans="1:8" s="3" customFormat="1" x14ac:dyDescent="0.25">
      <c r="A6" s="13"/>
      <c r="B6" s="24" t="s">
        <v>11</v>
      </c>
      <c r="C6" s="25" t="s">
        <v>12</v>
      </c>
      <c r="D6" s="25" t="s">
        <v>13</v>
      </c>
      <c r="E6" s="26" t="s">
        <v>14</v>
      </c>
      <c r="F6" s="26"/>
      <c r="G6" s="23"/>
      <c r="H6" s="3"/>
    </row>
    <row r="7" ht="48" customHeight="1" spans="1:8" s="3" customFormat="1" x14ac:dyDescent="0.25">
      <c r="A7" s="13"/>
      <c r="B7" s="27" t="s">
        <v>15</v>
      </c>
      <c r="C7" s="25" t="s">
        <v>16</v>
      </c>
      <c r="D7" s="25" t="s">
        <v>17</v>
      </c>
      <c r="E7" s="26" t="s">
        <v>10</v>
      </c>
      <c r="F7" s="26"/>
      <c r="G7" s="23"/>
      <c r="H7" s="3"/>
    </row>
    <row r="8" ht="23" customHeight="1" spans="1:8" s="3" customFormat="1" x14ac:dyDescent="0.25">
      <c r="A8" s="13"/>
      <c r="B8" s="28" t="s">
        <v>18</v>
      </c>
      <c r="C8" s="29" t="s">
        <v>19</v>
      </c>
      <c r="D8" s="29" t="s">
        <v>20</v>
      </c>
      <c r="E8" s="30" t="s">
        <v>21</v>
      </c>
      <c r="F8" s="30"/>
      <c r="G8" s="23"/>
      <c r="H8" s="3"/>
    </row>
    <row r="9" ht="23" customHeight="1" spans="1:8" s="3" customFormat="1" x14ac:dyDescent="0.25">
      <c r="A9" s="13"/>
      <c r="B9" s="31" t="s">
        <v>22</v>
      </c>
      <c r="C9" s="29"/>
      <c r="D9" s="29"/>
      <c r="E9" s="30"/>
      <c r="F9" s="30"/>
      <c r="G9" s="23"/>
      <c r="H9" s="3"/>
    </row>
    <row r="10" ht="23" customHeight="1" spans="1:8" s="3" customFormat="1" x14ac:dyDescent="0.25">
      <c r="A10" s="13"/>
      <c r="B10" s="32" t="s">
        <v>23</v>
      </c>
      <c r="C10" s="29"/>
      <c r="D10" s="29"/>
      <c r="E10" s="30"/>
      <c r="F10" s="30"/>
      <c r="G10" s="23"/>
      <c r="H10" s="3"/>
    </row>
    <row r="11" ht="23" customHeight="1" spans="1:8" s="3" customFormat="1" x14ac:dyDescent="0.25">
      <c r="A11" s="13"/>
      <c r="B11" s="33" t="s">
        <v>24</v>
      </c>
      <c r="C11" s="29"/>
      <c r="D11" s="29"/>
      <c r="E11" s="30"/>
      <c r="F11" s="30"/>
      <c r="G11" s="23"/>
      <c r="H11" s="3"/>
    </row>
    <row r="12" ht="5" customHeight="1" spans="1:8" s="3" customFormat="1" x14ac:dyDescent="0.25">
      <c r="A12" s="13"/>
      <c r="B12" s="34"/>
      <c r="C12" s="34"/>
      <c r="D12" s="34"/>
      <c r="E12" s="34"/>
      <c r="F12" s="34"/>
      <c r="G12" s="3"/>
      <c r="H12" s="3"/>
    </row>
    <row r="13" ht="72" customHeight="1" spans="1:8" s="3" customFormat="1" x14ac:dyDescent="0.25">
      <c r="A13" s="13"/>
      <c r="B13" s="35"/>
      <c r="C13" s="36" t="s">
        <v>25</v>
      </c>
      <c r="D13" s="36"/>
      <c r="E13" s="36"/>
      <c r="F13" s="37"/>
      <c r="G13" s="3"/>
      <c r="H13" s="3"/>
    </row>
    <row r="14" ht="6" customHeight="1" spans="1:8" s="3" customFormat="1" x14ac:dyDescent="0.25">
      <c r="A14" s="38"/>
      <c r="B14" s="3"/>
      <c r="C14" s="3"/>
      <c r="D14" s="3"/>
      <c r="E14" s="3"/>
      <c r="F14" s="2"/>
      <c r="G14" s="3"/>
      <c r="H14" s="3"/>
    </row>
    <row r="15" ht="27" customHeight="1" spans="1:8" s="3" customFormat="1" x14ac:dyDescent="0.25">
      <c r="A15" s="39" t="s">
        <v>26</v>
      </c>
      <c r="B15" s="39"/>
      <c r="C15" s="39"/>
      <c r="D15" s="39"/>
      <c r="E15" s="39"/>
      <c r="F15" s="39"/>
      <c r="G15" s="3"/>
      <c r="H15" s="3"/>
    </row>
    <row r="16" ht="16" customHeight="1" spans="1:8" x14ac:dyDescent="0.25">
      <c r="A16" s="1"/>
      <c r="B16" s="1"/>
      <c r="C16" s="1"/>
      <c r="D16" s="1"/>
      <c r="E16" s="1"/>
      <c r="F16" s="2"/>
      <c r="G16" s="1"/>
      <c r="H16" s="1"/>
    </row>
  </sheetData>
  <mergeCells count="11">
    <mergeCell ref="C1:E1"/>
    <mergeCell ref="C2:E2"/>
    <mergeCell ref="E4:F4"/>
    <mergeCell ref="E5:F5"/>
    <mergeCell ref="E6:F6"/>
    <mergeCell ref="E7:F7"/>
    <mergeCell ref="E8:F11"/>
    <mergeCell ref="C8:C11"/>
    <mergeCell ref="D8:D11"/>
    <mergeCell ref="C13:E13"/>
    <mergeCell ref="A15:F15"/>
  </mergeCells>
  <hyperlinks>
    <hyperlink ref="E5" r:id="rId1"/>
    <hyperlink ref="E6" r:id="rId2"/>
    <hyperlink ref="E7" r:id="rId3"/>
    <hyperlink ref="E8" r:id="rId4"/>
  </hyperlinks>
  <pageMargins left="0.7" right="0.7" top="0.75" bottom="0.75" header="0.3" footer="0.3"/>
  <pageSetup paperSize="9" orientation="portrait" horizontalDpi="4294967295" verticalDpi="4294967295" scale="100" fitToWidth="1" fitToHeight="1" firstPageNumber="1" useFirstPageNumber="1" copies="1"/>
  <drawing r:id="rId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workbookViewId="0" zoomScale="113" zoomScaleNormal="100">
      <selection activeCell="O26" sqref="O26"/>
    </sheetView>
  </sheetViews>
  <sheetFormatPr defaultRowHeight="15" outlineLevelRow="0" outlineLevelCol="0" x14ac:dyDescent="0.2"/>
  <cols>
    <col min="2" max="2" hidden="1" customWidth="1"/>
    <col min="6" max="6" width="52.6640625" customWidth="1"/>
  </cols>
  <sheetData>
    <row r="1" ht="31" customHeight="1" spans="1:20" x14ac:dyDescent="0.25">
      <c r="A1" s="262" t="s">
        <v>608</v>
      </c>
      <c r="B1" s="262"/>
      <c r="C1" s="262"/>
      <c r="D1" s="262"/>
      <c r="E1" s="262"/>
      <c r="F1" s="262"/>
      <c r="G1" s="263"/>
      <c r="H1" s="263"/>
      <c r="I1" s="263"/>
      <c r="J1" s="263"/>
      <c r="K1" s="263"/>
      <c r="L1" s="263"/>
      <c r="M1" s="263"/>
      <c r="N1" s="263"/>
      <c r="O1" s="263"/>
      <c r="P1" s="263"/>
      <c r="Q1" s="263"/>
      <c r="R1" s="263"/>
      <c r="S1" s="263"/>
      <c r="T1" s="263"/>
    </row>
    <row r="2" ht="15" customHeight="1" spans="1:20" x14ac:dyDescent="0.25">
      <c r="A2" s="264"/>
      <c r="B2" s="264"/>
      <c r="C2" s="264"/>
      <c r="D2" s="264"/>
      <c r="E2" s="264"/>
      <c r="F2" s="264"/>
      <c r="G2" s="132" t="s">
        <v>479</v>
      </c>
      <c r="H2" s="132" t="s">
        <v>479</v>
      </c>
      <c r="I2" s="132" t="s">
        <v>479</v>
      </c>
      <c r="J2" s="132" t="s">
        <v>479</v>
      </c>
      <c r="K2" s="132" t="s">
        <v>479</v>
      </c>
      <c r="L2" s="132" t="s">
        <v>479</v>
      </c>
      <c r="M2" s="132" t="s">
        <v>479</v>
      </c>
      <c r="N2" s="132" t="s">
        <v>479</v>
      </c>
      <c r="O2" s="132" t="s">
        <v>479</v>
      </c>
      <c r="P2" s="265" t="s">
        <v>609</v>
      </c>
      <c r="Q2" s="132" t="s">
        <v>610</v>
      </c>
      <c r="R2" s="132" t="s">
        <v>610</v>
      </c>
      <c r="S2" s="132" t="s">
        <v>610</v>
      </c>
      <c r="T2" s="265" t="s">
        <v>611</v>
      </c>
    </row>
    <row r="3" ht="24" customHeight="1" spans="1:20" x14ac:dyDescent="0.25">
      <c r="A3" s="264"/>
      <c r="B3" s="264"/>
      <c r="C3" s="264"/>
      <c r="D3" s="264"/>
      <c r="E3" s="264"/>
      <c r="F3" s="264"/>
      <c r="G3" s="132" t="s">
        <v>621</v>
      </c>
      <c r="H3" s="132" t="s">
        <v>622</v>
      </c>
      <c r="I3" s="132" t="s">
        <v>623</v>
      </c>
      <c r="J3" s="132" t="s">
        <v>624</v>
      </c>
      <c r="K3" s="132" t="s">
        <v>625</v>
      </c>
      <c r="L3" s="132" t="s">
        <v>626</v>
      </c>
      <c r="M3" s="132" t="s">
        <v>627</v>
      </c>
      <c r="N3" s="132" t="s">
        <v>628</v>
      </c>
      <c r="O3" s="132" t="s">
        <v>629</v>
      </c>
      <c r="P3" s="265"/>
      <c r="Q3" s="132" t="s">
        <v>630</v>
      </c>
      <c r="R3" s="132" t="s">
        <v>512</v>
      </c>
      <c r="S3" s="132" t="s">
        <v>518</v>
      </c>
      <c r="T3" s="265"/>
    </row>
    <row r="4" ht="60" customHeight="1" spans="1:20" x14ac:dyDescent="0.25">
      <c r="A4" s="264"/>
      <c r="B4" s="266" t="s">
        <v>528</v>
      </c>
      <c r="C4" s="266" t="s">
        <v>529</v>
      </c>
      <c r="D4" s="266" t="s">
        <v>37</v>
      </c>
      <c r="E4" s="266" t="s">
        <v>530</v>
      </c>
      <c r="F4" s="266" t="s">
        <v>531</v>
      </c>
      <c r="G4" s="132" t="s">
        <v>640</v>
      </c>
      <c r="H4" s="132" t="s">
        <v>641</v>
      </c>
      <c r="I4" s="132" t="s">
        <v>642</v>
      </c>
      <c r="J4" s="132" t="s">
        <v>643</v>
      </c>
      <c r="K4" s="132" t="s">
        <v>644</v>
      </c>
      <c r="L4" s="132" t="s">
        <v>645</v>
      </c>
      <c r="M4" s="132" t="s">
        <v>646</v>
      </c>
      <c r="N4" s="132" t="s">
        <v>647</v>
      </c>
      <c r="O4" s="132" t="s">
        <v>648</v>
      </c>
      <c r="P4" s="265"/>
      <c r="Q4" s="132" t="s">
        <v>649</v>
      </c>
      <c r="R4" s="132" t="s">
        <v>561</v>
      </c>
      <c r="S4" s="132" t="s">
        <v>567</v>
      </c>
      <c r="T4" s="265"/>
    </row>
    <row r="5" ht="204" customHeight="1" spans="1:20" x14ac:dyDescent="0.25">
      <c r="A5" s="267" t="s">
        <v>650</v>
      </c>
      <c r="B5" s="268"/>
      <c r="C5" s="268"/>
      <c r="D5" s="268"/>
      <c r="E5" s="268" t="s">
        <v>578</v>
      </c>
      <c r="F5" s="268" t="s">
        <v>579</v>
      </c>
      <c r="G5" s="269"/>
      <c r="H5" s="241" t="s">
        <v>815</v>
      </c>
      <c r="I5" s="241" t="s">
        <v>816</v>
      </c>
      <c r="J5" s="241" t="s">
        <v>817</v>
      </c>
      <c r="K5" s="270" t="s">
        <v>818</v>
      </c>
      <c r="L5" s="270" t="s">
        <v>818</v>
      </c>
      <c r="M5" s="270"/>
      <c r="N5" s="270"/>
      <c r="O5" s="270" t="s">
        <v>819</v>
      </c>
      <c r="P5" s="271">
        <f t="shared" ref="P5:P15" si="0">SUM(G5:O5)</f>
        <v>0</v>
      </c>
      <c r="Q5" s="270" t="s">
        <v>820</v>
      </c>
      <c r="R5" s="241" t="s">
        <v>821</v>
      </c>
      <c r="S5" s="270" t="s">
        <v>822</v>
      </c>
      <c r="T5" s="271">
        <f t="shared" ref="T5:T15" si="1">SUM(Q5:S5)</f>
        <v>0</v>
      </c>
    </row>
    <row r="6" ht="228" customHeight="1" spans="1:20" x14ac:dyDescent="0.25">
      <c r="A6" s="267" t="s">
        <v>650</v>
      </c>
      <c r="B6" s="268"/>
      <c r="C6" s="268"/>
      <c r="D6" s="268"/>
      <c r="E6" s="268" t="s">
        <v>580</v>
      </c>
      <c r="F6" s="268" t="s">
        <v>581</v>
      </c>
      <c r="G6" s="269"/>
      <c r="H6" s="272"/>
      <c r="I6" s="272"/>
      <c r="J6" s="272"/>
      <c r="K6" s="272"/>
      <c r="L6" s="272"/>
      <c r="M6" s="270" t="s">
        <v>823</v>
      </c>
      <c r="N6" s="270" t="s">
        <v>824</v>
      </c>
      <c r="O6" s="270" t="s">
        <v>819</v>
      </c>
      <c r="P6" s="271">
        <f t="shared" si="0"/>
        <v>0</v>
      </c>
      <c r="Q6" s="270" t="s">
        <v>825</v>
      </c>
      <c r="R6" s="272"/>
      <c r="S6" s="270"/>
      <c r="T6" s="271">
        <f t="shared" si="1"/>
        <v>0</v>
      </c>
    </row>
    <row r="7" ht="108" customHeight="1" spans="1:20" x14ac:dyDescent="0.25">
      <c r="A7" s="267" t="s">
        <v>650</v>
      </c>
      <c r="B7" s="268"/>
      <c r="C7" s="268"/>
      <c r="D7" s="268"/>
      <c r="E7" s="268" t="s">
        <v>583</v>
      </c>
      <c r="F7" s="268" t="s">
        <v>584</v>
      </c>
      <c r="G7" s="269"/>
      <c r="H7" s="272"/>
      <c r="I7" s="272"/>
      <c r="J7" s="272"/>
      <c r="K7" s="272"/>
      <c r="L7" s="272"/>
      <c r="M7" s="272"/>
      <c r="N7" s="273"/>
      <c r="O7" s="274"/>
      <c r="P7" s="271">
        <f>SUM(G7:O7)</f>
        <v>0</v>
      </c>
      <c r="Q7" s="272"/>
      <c r="R7" s="272"/>
      <c r="S7" s="241" t="s">
        <v>826</v>
      </c>
      <c r="T7" s="271">
        <f>SUM(Q7:S7)</f>
        <v>0</v>
      </c>
    </row>
    <row r="8" ht="120" customHeight="1" spans="1:20" x14ac:dyDescent="0.25">
      <c r="A8" s="267" t="s">
        <v>650</v>
      </c>
      <c r="B8" s="268"/>
      <c r="C8" s="268"/>
      <c r="D8" s="268"/>
      <c r="E8" s="268" t="s">
        <v>587</v>
      </c>
      <c r="F8" s="268" t="s">
        <v>588</v>
      </c>
      <c r="G8" s="269"/>
      <c r="H8" s="272"/>
      <c r="I8" s="272"/>
      <c r="J8" s="272"/>
      <c r="K8" s="272"/>
      <c r="L8" s="272"/>
      <c r="M8" s="272"/>
      <c r="N8" s="272"/>
      <c r="O8" s="272"/>
      <c r="P8" s="271">
        <f t="shared" si="0"/>
        <v>0</v>
      </c>
      <c r="Q8" s="272"/>
      <c r="R8" s="241"/>
      <c r="S8" s="241" t="s">
        <v>827</v>
      </c>
      <c r="T8" s="271">
        <f>SUM(Q8:R8)</f>
        <v>0</v>
      </c>
    </row>
    <row r="9" ht="168" customHeight="1" spans="1:20" x14ac:dyDescent="0.25">
      <c r="A9" s="267" t="s">
        <v>650</v>
      </c>
      <c r="B9" s="268"/>
      <c r="C9" s="268"/>
      <c r="D9" s="268"/>
      <c r="E9" s="268" t="s">
        <v>589</v>
      </c>
      <c r="F9" s="268" t="s">
        <v>590</v>
      </c>
      <c r="G9" s="269"/>
      <c r="H9" s="272"/>
      <c r="I9" s="272"/>
      <c r="J9" s="272"/>
      <c r="K9" s="272"/>
      <c r="L9" s="272"/>
      <c r="M9" s="272"/>
      <c r="N9" s="272"/>
      <c r="O9" s="272"/>
      <c r="P9" s="271">
        <f t="shared" si="0"/>
        <v>0</v>
      </c>
      <c r="Q9" s="272"/>
      <c r="R9" s="241"/>
      <c r="S9" s="241" t="s">
        <v>828</v>
      </c>
      <c r="T9" s="271">
        <f>SUM(Q9:R9)</f>
        <v>0</v>
      </c>
    </row>
    <row r="10" ht="120" customHeight="1" spans="1:20" x14ac:dyDescent="0.25">
      <c r="A10" s="267" t="s">
        <v>650</v>
      </c>
      <c r="B10" s="268"/>
      <c r="C10" s="268"/>
      <c r="D10" s="268"/>
      <c r="E10" s="268" t="s">
        <v>591</v>
      </c>
      <c r="F10" s="268" t="s">
        <v>592</v>
      </c>
      <c r="G10" s="269"/>
      <c r="H10" s="272"/>
      <c r="I10" s="272"/>
      <c r="J10" s="272"/>
      <c r="K10" s="272"/>
      <c r="L10" s="272"/>
      <c r="M10" s="272"/>
      <c r="N10" s="272"/>
      <c r="O10" s="272"/>
      <c r="P10" s="271">
        <f t="shared" si="0"/>
        <v>0</v>
      </c>
      <c r="Q10" s="272"/>
      <c r="R10" s="272"/>
      <c r="S10" s="241" t="s">
        <v>829</v>
      </c>
      <c r="T10" s="271">
        <f t="shared" si="1"/>
        <v>0</v>
      </c>
    </row>
    <row r="11" ht="120" customHeight="1" spans="1:20" x14ac:dyDescent="0.25">
      <c r="A11" s="267" t="s">
        <v>650</v>
      </c>
      <c r="B11" s="268"/>
      <c r="C11" s="268"/>
      <c r="D11" s="268"/>
      <c r="E11" s="268" t="s">
        <v>593</v>
      </c>
      <c r="F11" s="268" t="s">
        <v>594</v>
      </c>
      <c r="G11" s="269"/>
      <c r="H11" s="272"/>
      <c r="I11" s="272"/>
      <c r="J11" s="272"/>
      <c r="K11" s="272"/>
      <c r="L11" s="272"/>
      <c r="M11" s="272"/>
      <c r="N11" s="272"/>
      <c r="O11" s="272"/>
      <c r="P11" s="271">
        <f t="shared" si="0"/>
        <v>0</v>
      </c>
      <c r="Q11" s="272"/>
      <c r="R11" s="241"/>
      <c r="S11" s="241" t="s">
        <v>830</v>
      </c>
      <c r="T11" s="271">
        <f>SUM(Q11:R11)</f>
        <v>0</v>
      </c>
    </row>
    <row r="12" ht="180" customHeight="1" spans="1:20" x14ac:dyDescent="0.25">
      <c r="A12" s="267" t="s">
        <v>650</v>
      </c>
      <c r="B12" s="268"/>
      <c r="C12" s="268"/>
      <c r="D12" s="268"/>
      <c r="E12" s="268" t="s">
        <v>595</v>
      </c>
      <c r="F12" s="268" t="s">
        <v>596</v>
      </c>
      <c r="G12" s="269"/>
      <c r="H12" s="272"/>
      <c r="I12" s="272"/>
      <c r="J12" s="272"/>
      <c r="K12" s="272"/>
      <c r="L12" s="272"/>
      <c r="M12" s="272"/>
      <c r="N12" s="272"/>
      <c r="O12" s="272"/>
      <c r="P12" s="271">
        <f t="shared" si="0"/>
        <v>0</v>
      </c>
      <c r="Q12" s="272"/>
      <c r="R12" s="272"/>
      <c r="S12" s="241" t="s">
        <v>831</v>
      </c>
      <c r="T12" s="271">
        <f t="shared" si="1"/>
        <v>0</v>
      </c>
    </row>
    <row r="13" ht="144" customHeight="1" spans="1:20" x14ac:dyDescent="0.25">
      <c r="A13" s="267" t="s">
        <v>650</v>
      </c>
      <c r="B13" s="268"/>
      <c r="C13" s="268"/>
      <c r="D13" s="268"/>
      <c r="E13" s="268" t="s">
        <v>597</v>
      </c>
      <c r="F13" s="268" t="s">
        <v>598</v>
      </c>
      <c r="G13" s="275" t="s">
        <v>832</v>
      </c>
      <c r="H13" s="272"/>
      <c r="I13" s="272"/>
      <c r="J13" s="272"/>
      <c r="K13" s="272"/>
      <c r="L13" s="272"/>
      <c r="M13" s="272"/>
      <c r="N13" s="272"/>
      <c r="O13" s="272"/>
      <c r="P13" s="271">
        <f t="shared" si="0"/>
        <v>0</v>
      </c>
      <c r="Q13" s="272"/>
      <c r="R13" s="272"/>
      <c r="S13" s="241" t="s">
        <v>833</v>
      </c>
      <c r="T13" s="271">
        <f t="shared" si="1"/>
        <v>0</v>
      </c>
    </row>
    <row r="14" ht="240" customHeight="1" spans="1:20" x14ac:dyDescent="0.25">
      <c r="A14" s="267" t="s">
        <v>650</v>
      </c>
      <c r="B14" s="268"/>
      <c r="C14" s="268"/>
      <c r="D14" s="268"/>
      <c r="E14" s="268" t="s">
        <v>599</v>
      </c>
      <c r="F14" s="268" t="s">
        <v>600</v>
      </c>
      <c r="G14" s="275" t="s">
        <v>834</v>
      </c>
      <c r="H14" s="241" t="s">
        <v>835</v>
      </c>
      <c r="I14" s="241" t="s">
        <v>836</v>
      </c>
      <c r="J14" s="241" t="s">
        <v>837</v>
      </c>
      <c r="K14" s="276"/>
      <c r="L14" s="276"/>
      <c r="M14" s="272"/>
      <c r="N14" s="272"/>
      <c r="O14" s="272"/>
      <c r="P14" s="271">
        <f t="shared" si="0"/>
        <v>0</v>
      </c>
      <c r="Q14" s="272"/>
      <c r="R14" s="241" t="s">
        <v>838</v>
      </c>
      <c r="S14" s="241" t="s">
        <v>839</v>
      </c>
      <c r="T14" s="271">
        <f t="shared" si="1"/>
        <v>0</v>
      </c>
    </row>
    <row r="15" ht="240" customHeight="1" spans="1:20" x14ac:dyDescent="0.25">
      <c r="A15" s="267" t="s">
        <v>650</v>
      </c>
      <c r="B15" s="268"/>
      <c r="C15" s="268"/>
      <c r="D15" s="268"/>
      <c r="E15" s="268" t="s">
        <v>601</v>
      </c>
      <c r="F15" s="268" t="s">
        <v>602</v>
      </c>
      <c r="G15" s="275" t="s">
        <v>840</v>
      </c>
      <c r="H15" s="241" t="s">
        <v>841</v>
      </c>
      <c r="I15" s="241" t="s">
        <v>842</v>
      </c>
      <c r="J15" s="241" t="s">
        <v>843</v>
      </c>
      <c r="K15" s="276"/>
      <c r="L15" s="276"/>
      <c r="M15" s="272"/>
      <c r="N15" s="272"/>
      <c r="O15" s="272"/>
      <c r="P15" s="271">
        <f t="shared" si="0"/>
        <v>0</v>
      </c>
      <c r="Q15" s="272"/>
      <c r="R15" s="241" t="s">
        <v>844</v>
      </c>
      <c r="S15" s="241" t="s">
        <v>845</v>
      </c>
      <c r="T15" s="271">
        <f t="shared" si="1"/>
        <v>0</v>
      </c>
    </row>
    <row r="16" spans="1:20" x14ac:dyDescent="0.25">
      <c r="A16" s="267"/>
      <c r="B16" s="277"/>
      <c r="C16" s="277"/>
      <c r="D16" s="277"/>
      <c r="E16" s="277"/>
      <c r="F16" s="278" t="s">
        <v>603</v>
      </c>
      <c r="G16" s="279">
        <f t="shared" ref="G16:T16" si="2">SUM(G5:G15)</f>
        <v>0</v>
      </c>
      <c r="H16" s="279">
        <f t="shared" si="2"/>
        <v>0</v>
      </c>
      <c r="I16" s="279">
        <f t="shared" si="2"/>
        <v>0</v>
      </c>
      <c r="J16" s="279">
        <f t="shared" si="2"/>
        <v>0</v>
      </c>
      <c r="K16" s="279">
        <f t="shared" si="2"/>
        <v>0</v>
      </c>
      <c r="L16" s="279">
        <f t="shared" si="2"/>
        <v>0</v>
      </c>
      <c r="M16" s="279">
        <f t="shared" si="2"/>
        <v>0</v>
      </c>
      <c r="N16" s="279">
        <f t="shared" si="2"/>
        <v>0</v>
      </c>
      <c r="O16" s="279">
        <f t="shared" si="2"/>
        <v>0</v>
      </c>
      <c r="P16" s="279">
        <f t="shared" si="2"/>
        <v>0</v>
      </c>
      <c r="Q16" s="279">
        <f t="shared" si="2"/>
        <v>0</v>
      </c>
      <c r="R16" s="279">
        <f t="shared" si="2"/>
        <v>0</v>
      </c>
      <c r="S16" s="279">
        <f t="shared" si="2"/>
        <v>0</v>
      </c>
      <c r="T16" s="279">
        <f t="shared" si="2"/>
        <v>0</v>
      </c>
    </row>
    <row r="17" spans="1:20" x14ac:dyDescent="0.25">
      <c r="A17" s="3"/>
      <c r="B17" s="3"/>
      <c r="C17" s="3"/>
      <c r="D17" s="3"/>
      <c r="E17" s="3"/>
      <c r="F17" s="3"/>
      <c r="G17" s="3"/>
      <c r="H17" s="3"/>
      <c r="I17" s="3"/>
      <c r="J17" s="3"/>
      <c r="K17" s="3"/>
      <c r="L17" s="3"/>
      <c r="M17" s="3"/>
      <c r="N17" s="3"/>
      <c r="O17" s="3"/>
      <c r="P17" s="3"/>
      <c r="Q17" s="3"/>
      <c r="R17" s="3"/>
      <c r="S17" s="3"/>
      <c r="T17" s="3"/>
    </row>
    <row r="18" spans="1:20" x14ac:dyDescent="0.25">
      <c r="A18" s="3"/>
      <c r="B18" s="3"/>
      <c r="C18" s="3"/>
      <c r="D18" s="3"/>
      <c r="E18" s="3"/>
      <c r="F18" s="3"/>
      <c r="G18" s="3"/>
      <c r="H18" s="3"/>
      <c r="I18" s="3"/>
      <c r="J18" s="3"/>
      <c r="K18" s="3"/>
      <c r="L18" s="3"/>
      <c r="M18" s="3"/>
      <c r="N18" s="3"/>
      <c r="O18" s="3"/>
      <c r="P18" s="3"/>
      <c r="Q18" s="3"/>
      <c r="R18" s="3"/>
      <c r="S18" s="3"/>
      <c r="T18" s="3"/>
    </row>
    <row r="19" ht="192" customHeight="1" spans="1:20" x14ac:dyDescent="0.25">
      <c r="A19" s="3"/>
      <c r="B19" s="3"/>
      <c r="C19" s="3"/>
      <c r="D19" s="3"/>
      <c r="E19" s="3"/>
      <c r="F19" s="3"/>
      <c r="G19" s="3"/>
      <c r="H19" s="3"/>
      <c r="I19" s="3"/>
      <c r="J19" s="3"/>
      <c r="K19" s="3"/>
      <c r="L19" s="3"/>
      <c r="M19" s="3"/>
      <c r="N19" s="3"/>
      <c r="O19" s="3"/>
      <c r="P19" s="3"/>
      <c r="Q19" s="280"/>
      <c r="R19" s="261" t="s">
        <v>607</v>
      </c>
      <c r="S19" s="241" t="s">
        <v>814</v>
      </c>
      <c r="T19" s="3"/>
    </row>
  </sheetData>
  <mergeCells count="3">
    <mergeCell ref="A1:F1"/>
    <mergeCell ref="P2:P4"/>
    <mergeCell ref="T2:T4"/>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
  <sheetViews>
    <sheetView workbookViewId="0" zoomScale="100" zoomScaleNormal="100"/>
  </sheetViews>
  <sheetFormatPr defaultRowHeight="15" outlineLevelRow="0" outlineLevelCol="0" x14ac:dyDescent="0.2"/>
  <cols>
    <col min="2" max="2" hidden="1" customWidth="1"/>
    <col min="6" max="6" width="42.83203125" customWidth="1"/>
    <col min="7" max="7" width="26.1640625" customWidth="1"/>
  </cols>
  <sheetData>
    <row r="1" ht="23" customHeight="1" spans="1:23" x14ac:dyDescent="0.25">
      <c r="A1" s="281"/>
      <c r="B1" s="282" t="s">
        <v>474</v>
      </c>
      <c r="C1" s="282"/>
      <c r="D1" s="282"/>
      <c r="E1" s="282"/>
      <c r="F1" s="282"/>
      <c r="G1" s="282"/>
      <c r="H1" s="282"/>
      <c r="I1" s="282"/>
      <c r="J1" s="283"/>
      <c r="K1" s="283"/>
      <c r="L1" s="283"/>
      <c r="M1" s="283"/>
      <c r="N1" s="283"/>
      <c r="O1" s="283"/>
      <c r="P1" s="283"/>
      <c r="Q1" s="283"/>
      <c r="R1" s="283"/>
      <c r="S1" s="283"/>
      <c r="T1" s="283"/>
      <c r="U1" s="283"/>
      <c r="V1" s="283"/>
      <c r="W1" s="283"/>
    </row>
    <row r="2" ht="28" customHeight="1" spans="1:23" x14ac:dyDescent="0.25">
      <c r="A2" s="284"/>
      <c r="B2" s="284"/>
      <c r="C2" s="284"/>
      <c r="D2" s="284"/>
      <c r="E2" s="284"/>
      <c r="F2" s="284"/>
      <c r="G2" s="285" t="s">
        <v>475</v>
      </c>
      <c r="H2" s="286" t="s">
        <v>476</v>
      </c>
      <c r="I2" s="285" t="s">
        <v>477</v>
      </c>
      <c r="J2" s="285" t="s">
        <v>477</v>
      </c>
      <c r="K2" s="285" t="s">
        <v>477</v>
      </c>
      <c r="L2" s="285" t="s">
        <v>477</v>
      </c>
      <c r="M2" s="285" t="s">
        <v>477</v>
      </c>
      <c r="N2" s="285" t="s">
        <v>477</v>
      </c>
      <c r="O2" s="285" t="s">
        <v>477</v>
      </c>
      <c r="P2" s="285" t="s">
        <v>477</v>
      </c>
      <c r="Q2" s="285" t="s">
        <v>477</v>
      </c>
      <c r="R2" s="285" t="s">
        <v>477</v>
      </c>
      <c r="S2" s="285" t="s">
        <v>477</v>
      </c>
      <c r="T2" s="285" t="s">
        <v>477</v>
      </c>
      <c r="U2" s="285" t="s">
        <v>477</v>
      </c>
      <c r="V2" s="285" t="s">
        <v>477</v>
      </c>
      <c r="W2" s="286" t="s">
        <v>478</v>
      </c>
    </row>
    <row r="3" ht="56" customHeight="1" spans="1:23" x14ac:dyDescent="0.25">
      <c r="A3" s="284"/>
      <c r="B3" s="284"/>
      <c r="C3" s="284"/>
      <c r="D3" s="284"/>
      <c r="E3" s="284"/>
      <c r="F3" s="284"/>
      <c r="G3" s="285" t="s">
        <v>485</v>
      </c>
      <c r="H3" s="286"/>
      <c r="I3" s="285" t="s">
        <v>486</v>
      </c>
      <c r="J3" s="285" t="s">
        <v>487</v>
      </c>
      <c r="K3" s="285" t="s">
        <v>488</v>
      </c>
      <c r="L3" s="285" t="s">
        <v>489</v>
      </c>
      <c r="M3" s="285" t="s">
        <v>490</v>
      </c>
      <c r="N3" s="285" t="s">
        <v>491</v>
      </c>
      <c r="O3" s="285" t="s">
        <v>492</v>
      </c>
      <c r="P3" s="285" t="s">
        <v>493</v>
      </c>
      <c r="Q3" s="285" t="s">
        <v>494</v>
      </c>
      <c r="R3" s="285"/>
      <c r="S3" s="285" t="s">
        <v>495</v>
      </c>
      <c r="T3" s="285" t="s">
        <v>496</v>
      </c>
      <c r="U3" s="285" t="s">
        <v>497</v>
      </c>
      <c r="V3" s="285" t="s">
        <v>498</v>
      </c>
      <c r="W3" s="286"/>
    </row>
    <row r="4" ht="98" customHeight="1" spans="1:23" x14ac:dyDescent="0.25">
      <c r="A4" s="287"/>
      <c r="B4" s="288" t="s">
        <v>528</v>
      </c>
      <c r="C4" s="288" t="s">
        <v>529</v>
      </c>
      <c r="D4" s="288" t="s">
        <v>37</v>
      </c>
      <c r="E4" s="288" t="s">
        <v>530</v>
      </c>
      <c r="F4" s="288" t="s">
        <v>531</v>
      </c>
      <c r="G4" s="285" t="s">
        <v>532</v>
      </c>
      <c r="H4" s="286"/>
      <c r="I4" s="285" t="s">
        <v>533</v>
      </c>
      <c r="J4" s="289" t="s">
        <v>534</v>
      </c>
      <c r="K4" s="285" t="s">
        <v>535</v>
      </c>
      <c r="L4" s="285" t="s">
        <v>536</v>
      </c>
      <c r="M4" s="285" t="s">
        <v>537</v>
      </c>
      <c r="N4" s="285" t="s">
        <v>538</v>
      </c>
      <c r="O4" s="285" t="s">
        <v>539</v>
      </c>
      <c r="P4" s="285" t="s">
        <v>540</v>
      </c>
      <c r="Q4" s="285" t="s">
        <v>541</v>
      </c>
      <c r="R4" s="289" t="s">
        <v>542</v>
      </c>
      <c r="S4" s="285" t="s">
        <v>543</v>
      </c>
      <c r="T4" s="285" t="s">
        <v>544</v>
      </c>
      <c r="U4" s="285" t="s">
        <v>545</v>
      </c>
      <c r="V4" s="289" t="s">
        <v>546</v>
      </c>
      <c r="W4" s="286"/>
    </row>
    <row r="5" ht="345" customHeight="1" spans="1:23" x14ac:dyDescent="0.25">
      <c r="A5" s="290" t="s">
        <v>577</v>
      </c>
      <c r="B5" s="291"/>
      <c r="C5" s="291"/>
      <c r="D5" s="292"/>
      <c r="E5" s="292" t="s">
        <v>578</v>
      </c>
      <c r="F5" s="292" t="s">
        <v>579</v>
      </c>
      <c r="G5" s="293" t="s">
        <v>846</v>
      </c>
      <c r="H5" s="294">
        <f>SUMIF($G$2:G$2,G$2,$G5:G5)</f>
        <v>0</v>
      </c>
      <c r="I5" s="293" t="s">
        <v>847</v>
      </c>
      <c r="J5" s="295"/>
      <c r="K5" s="296"/>
      <c r="L5" s="296"/>
      <c r="M5" s="296"/>
      <c r="N5" s="296"/>
      <c r="O5" s="296"/>
      <c r="P5" s="293" t="s">
        <v>848</v>
      </c>
      <c r="Q5" s="293" t="s">
        <v>849</v>
      </c>
      <c r="R5" s="293" t="s">
        <v>850</v>
      </c>
      <c r="S5" s="293" t="s">
        <v>851</v>
      </c>
      <c r="T5" s="293" t="s">
        <v>852</v>
      </c>
      <c r="U5" s="293" t="s">
        <v>853</v>
      </c>
      <c r="V5" s="293" t="s">
        <v>854</v>
      </c>
      <c r="W5" s="294">
        <f>SUMIF($G$2:V$2,V$2,$G5:V5)</f>
        <v>0</v>
      </c>
    </row>
    <row r="6" ht="409.6" customHeight="1" spans="1:23" x14ac:dyDescent="0.25">
      <c r="A6" s="290" t="s">
        <v>577</v>
      </c>
      <c r="B6" s="291"/>
      <c r="C6" s="291"/>
      <c r="D6" s="292"/>
      <c r="E6" s="292" t="s">
        <v>580</v>
      </c>
      <c r="F6" s="292" t="s">
        <v>581</v>
      </c>
      <c r="G6" s="293" t="s">
        <v>855</v>
      </c>
      <c r="H6" s="294">
        <f>SUMIF($G$2:G$2,G$2,$G6:G6)</f>
        <v>0</v>
      </c>
      <c r="I6" s="295"/>
      <c r="J6" s="293" t="s">
        <v>856</v>
      </c>
      <c r="K6" s="293" t="s">
        <v>857</v>
      </c>
      <c r="L6" s="293" t="s">
        <v>858</v>
      </c>
      <c r="M6" s="293" t="s">
        <v>859</v>
      </c>
      <c r="N6" s="293" t="s">
        <v>860</v>
      </c>
      <c r="O6" s="293" t="s">
        <v>861</v>
      </c>
      <c r="P6" s="296"/>
      <c r="Q6" s="296"/>
      <c r="R6" s="293" t="s">
        <v>862</v>
      </c>
      <c r="S6" s="296"/>
      <c r="T6" s="296"/>
      <c r="U6" s="296"/>
      <c r="V6" s="297" t="s">
        <v>863</v>
      </c>
      <c r="W6" s="294">
        <f>SUMIF($G$2:V$2,V$2,$G6:V6)</f>
        <v>0</v>
      </c>
    </row>
    <row r="7" spans="1:23" x14ac:dyDescent="0.25">
      <c r="A7" s="290" t="s">
        <v>577</v>
      </c>
      <c r="B7" s="291"/>
      <c r="C7" s="291"/>
      <c r="D7" s="292"/>
      <c r="E7" s="292" t="s">
        <v>583</v>
      </c>
      <c r="F7" s="292" t="s">
        <v>584</v>
      </c>
      <c r="G7" s="298"/>
      <c r="H7" s="294">
        <f>SUMIF($G$2:G$2,G$2,$G7:G7)</f>
        <v>0</v>
      </c>
      <c r="I7" s="299"/>
      <c r="J7" s="299"/>
      <c r="K7" s="299"/>
      <c r="L7" s="299"/>
      <c r="M7" s="299"/>
      <c r="N7" s="299"/>
      <c r="O7" s="299"/>
      <c r="P7" s="299"/>
      <c r="Q7" s="299"/>
      <c r="R7" s="299"/>
      <c r="S7" s="299"/>
      <c r="T7" s="299"/>
      <c r="U7" s="299"/>
      <c r="V7" s="298"/>
      <c r="W7" s="294">
        <f>SUMIF($G$2:V$2,V$2,$G7:V7)</f>
        <v>0</v>
      </c>
    </row>
    <row r="8" ht="196" customHeight="1" spans="1:23" x14ac:dyDescent="0.25">
      <c r="A8" s="290" t="s">
        <v>577</v>
      </c>
      <c r="B8" s="291"/>
      <c r="C8" s="291"/>
      <c r="D8" s="292"/>
      <c r="E8" s="292" t="s">
        <v>587</v>
      </c>
      <c r="F8" s="292" t="s">
        <v>588</v>
      </c>
      <c r="G8" s="293" t="s">
        <v>864</v>
      </c>
      <c r="H8" s="294">
        <f>SUMIF($G$2:G$2,G$2,$G8:G8)</f>
        <v>0</v>
      </c>
      <c r="I8" s="299"/>
      <c r="J8" s="299"/>
      <c r="K8" s="299"/>
      <c r="L8" s="299"/>
      <c r="M8" s="299"/>
      <c r="N8" s="299"/>
      <c r="O8" s="299"/>
      <c r="P8" s="299"/>
      <c r="Q8" s="299"/>
      <c r="R8" s="299"/>
      <c r="S8" s="299"/>
      <c r="T8" s="299"/>
      <c r="U8" s="299"/>
      <c r="V8" s="293" t="s">
        <v>865</v>
      </c>
      <c r="W8" s="294">
        <f>SUMIF($G$2:V$2,V$2,$G8:V8)</f>
        <v>0</v>
      </c>
    </row>
    <row r="9" ht="280" customHeight="1" spans="1:23" x14ac:dyDescent="0.25">
      <c r="A9" s="290" t="s">
        <v>577</v>
      </c>
      <c r="B9" s="291"/>
      <c r="C9" s="291"/>
      <c r="D9" s="292"/>
      <c r="E9" s="292" t="s">
        <v>589</v>
      </c>
      <c r="F9" s="292" t="s">
        <v>590</v>
      </c>
      <c r="G9" s="293" t="s">
        <v>866</v>
      </c>
      <c r="H9" s="294">
        <f>SUMIF($G$2:G$2,G$2,$G9:G9)</f>
        <v>0</v>
      </c>
      <c r="I9" s="299"/>
      <c r="J9" s="299"/>
      <c r="K9" s="299"/>
      <c r="L9" s="299"/>
      <c r="M9" s="299"/>
      <c r="N9" s="299"/>
      <c r="O9" s="299"/>
      <c r="P9" s="299"/>
      <c r="Q9" s="299"/>
      <c r="R9" s="299"/>
      <c r="S9" s="299"/>
      <c r="T9" s="299"/>
      <c r="U9" s="299"/>
      <c r="V9" s="293" t="s">
        <v>867</v>
      </c>
      <c r="W9" s="294">
        <f>SUMIF($G$2:V$2,V$2,$G9:V9)</f>
        <v>0</v>
      </c>
    </row>
    <row r="10" ht="196" customHeight="1" spans="1:23" x14ac:dyDescent="0.25">
      <c r="A10" s="290" t="s">
        <v>577</v>
      </c>
      <c r="B10" s="291"/>
      <c r="C10" s="291"/>
      <c r="D10" s="292"/>
      <c r="E10" s="292" t="s">
        <v>591</v>
      </c>
      <c r="F10" s="292" t="s">
        <v>592</v>
      </c>
      <c r="G10" s="293" t="s">
        <v>868</v>
      </c>
      <c r="H10" s="294">
        <f>SUMIF($G$2:G$2,G$2,$G10:G10)</f>
        <v>0</v>
      </c>
      <c r="I10" s="299"/>
      <c r="J10" s="299"/>
      <c r="K10" s="299"/>
      <c r="L10" s="299"/>
      <c r="M10" s="299"/>
      <c r="N10" s="299"/>
      <c r="O10" s="299"/>
      <c r="P10" s="299"/>
      <c r="Q10" s="299"/>
      <c r="S10" s="299"/>
      <c r="T10" s="299"/>
      <c r="U10" s="299"/>
      <c r="V10" s="293" t="s">
        <v>869</v>
      </c>
      <c r="W10" s="294">
        <f>SUMIF($G$2:V$2,V$2,$G10:V10)</f>
        <v>0</v>
      </c>
    </row>
    <row r="11" ht="196" customHeight="1" spans="1:23" x14ac:dyDescent="0.25">
      <c r="A11" s="290" t="s">
        <v>577</v>
      </c>
      <c r="B11" s="291"/>
      <c r="C11" s="291"/>
      <c r="D11" s="292"/>
      <c r="E11" s="292" t="s">
        <v>593</v>
      </c>
      <c r="F11" s="292" t="s">
        <v>594</v>
      </c>
      <c r="G11" s="293" t="s">
        <v>870</v>
      </c>
      <c r="H11" s="294">
        <f>SUMIF($G$2:G$2,G$2,$G11:G11)</f>
        <v>0</v>
      </c>
      <c r="I11" s="299"/>
      <c r="J11" s="299"/>
      <c r="K11" s="299"/>
      <c r="L11" s="299"/>
      <c r="M11" s="299"/>
      <c r="N11" s="299"/>
      <c r="O11" s="299"/>
      <c r="P11" s="299"/>
      <c r="Q11" s="299"/>
      <c r="R11" s="299"/>
      <c r="S11" s="299"/>
      <c r="T11" s="299"/>
      <c r="U11" s="299"/>
      <c r="V11" s="293" t="s">
        <v>871</v>
      </c>
      <c r="W11" s="294">
        <f>SUMIF($G$2:V$2,V$2,$G11:V11)</f>
        <v>0</v>
      </c>
    </row>
    <row r="12" ht="266" customHeight="1" spans="1:23" x14ac:dyDescent="0.25">
      <c r="A12" s="290" t="s">
        <v>577</v>
      </c>
      <c r="B12" s="291"/>
      <c r="C12" s="291"/>
      <c r="D12" s="292"/>
      <c r="E12" s="292" t="s">
        <v>595</v>
      </c>
      <c r="F12" s="292" t="s">
        <v>596</v>
      </c>
      <c r="G12" s="293" t="s">
        <v>872</v>
      </c>
      <c r="H12" s="294">
        <f>SUMIF($G$2:G$2,G$2,$G12:G12)</f>
        <v>0</v>
      </c>
      <c r="I12" s="299"/>
      <c r="J12" s="299"/>
      <c r="K12" s="299"/>
      <c r="L12" s="299"/>
      <c r="M12" s="299"/>
      <c r="N12" s="299"/>
      <c r="O12" s="299"/>
      <c r="P12" s="299"/>
      <c r="Q12" s="299"/>
      <c r="R12" s="299"/>
      <c r="S12" s="299"/>
      <c r="T12" s="299"/>
      <c r="U12" s="299"/>
      <c r="V12" s="293" t="s">
        <v>873</v>
      </c>
      <c r="W12" s="294">
        <f>SUMIF($G$2:V$2,V$2,$G12:V12)</f>
        <v>0</v>
      </c>
    </row>
    <row r="13" ht="238" customHeight="1" spans="1:23" x14ac:dyDescent="0.25">
      <c r="A13" s="290" t="s">
        <v>577</v>
      </c>
      <c r="B13" s="291"/>
      <c r="C13" s="291"/>
      <c r="D13" s="292"/>
      <c r="E13" s="292" t="s">
        <v>597</v>
      </c>
      <c r="F13" s="292" t="s">
        <v>598</v>
      </c>
      <c r="G13" s="293" t="s">
        <v>874</v>
      </c>
      <c r="H13" s="294">
        <f>SUMIF($G$2:G$2,G$2,$G13:G13)</f>
        <v>0</v>
      </c>
      <c r="I13" s="299"/>
      <c r="J13" s="299"/>
      <c r="K13" s="299"/>
      <c r="L13" s="299"/>
      <c r="M13" s="299"/>
      <c r="N13" s="299"/>
      <c r="O13" s="299"/>
      <c r="P13" s="299"/>
      <c r="Q13" s="299"/>
      <c r="R13" s="299"/>
      <c r="S13" s="299"/>
      <c r="T13" s="299"/>
      <c r="U13" s="299"/>
      <c r="V13" s="293" t="s">
        <v>875</v>
      </c>
      <c r="W13" s="294">
        <f>SUMIF($G$2:V$2,V$2,$G13:V13)</f>
        <v>0</v>
      </c>
    </row>
    <row r="14" ht="409.6" customHeight="1" spans="1:23" x14ac:dyDescent="0.25">
      <c r="A14" s="290" t="s">
        <v>577</v>
      </c>
      <c r="B14" s="291"/>
      <c r="C14" s="291"/>
      <c r="D14" s="292"/>
      <c r="E14" s="292" t="s">
        <v>599</v>
      </c>
      <c r="F14" s="292" t="s">
        <v>600</v>
      </c>
      <c r="G14" s="293" t="s">
        <v>876</v>
      </c>
      <c r="H14" s="294">
        <f>SUMIF($G$2:G$2,G$2,$G14:G14)</f>
        <v>0</v>
      </c>
      <c r="I14" s="293" t="s">
        <v>877</v>
      </c>
      <c r="J14" s="293" t="s">
        <v>878</v>
      </c>
      <c r="K14" s="293" t="s">
        <v>879</v>
      </c>
      <c r="L14" s="293" t="s">
        <v>880</v>
      </c>
      <c r="M14" s="293" t="s">
        <v>881</v>
      </c>
      <c r="N14" s="293" t="s">
        <v>882</v>
      </c>
      <c r="O14" s="293" t="s">
        <v>883</v>
      </c>
      <c r="P14" s="293" t="s">
        <v>884</v>
      </c>
      <c r="Q14" s="293" t="s">
        <v>885</v>
      </c>
      <c r="R14" s="300" t="s">
        <v>886</v>
      </c>
      <c r="S14" s="293" t="s">
        <v>887</v>
      </c>
      <c r="T14" s="293" t="s">
        <v>888</v>
      </c>
      <c r="U14" s="293" t="s">
        <v>889</v>
      </c>
      <c r="V14" s="293" t="s">
        <v>890</v>
      </c>
      <c r="W14" s="294">
        <f>SUMIF($G$2:V$2,V$2,$G14:V14)</f>
        <v>0</v>
      </c>
    </row>
    <row r="15" ht="409.6" customHeight="1" spans="1:23" x14ac:dyDescent="0.25">
      <c r="A15" s="290" t="s">
        <v>577</v>
      </c>
      <c r="B15" s="291"/>
      <c r="C15" s="291"/>
      <c r="D15" s="292"/>
      <c r="E15" s="292" t="s">
        <v>601</v>
      </c>
      <c r="F15" s="292" t="s">
        <v>602</v>
      </c>
      <c r="G15" s="293" t="s">
        <v>891</v>
      </c>
      <c r="H15" s="294">
        <f>SUMIF($G$2:G$2,G$2,$G15:G15)</f>
        <v>0</v>
      </c>
      <c r="I15" s="293" t="s">
        <v>892</v>
      </c>
      <c r="J15" s="293" t="s">
        <v>893</v>
      </c>
      <c r="K15" s="293" t="s">
        <v>894</v>
      </c>
      <c r="L15" s="293" t="s">
        <v>895</v>
      </c>
      <c r="M15" s="293" t="s">
        <v>896</v>
      </c>
      <c r="N15" s="293" t="s">
        <v>897</v>
      </c>
      <c r="O15" s="293" t="s">
        <v>898</v>
      </c>
      <c r="P15" s="293" t="s">
        <v>899</v>
      </c>
      <c r="Q15" s="293" t="s">
        <v>900</v>
      </c>
      <c r="R15" s="300" t="s">
        <v>901</v>
      </c>
      <c r="S15" s="293" t="s">
        <v>902</v>
      </c>
      <c r="T15" s="293" t="s">
        <v>903</v>
      </c>
      <c r="U15" s="293" t="s">
        <v>904</v>
      </c>
      <c r="V15" s="293" t="s">
        <v>905</v>
      </c>
      <c r="W15" s="294">
        <f>SUMIF($G$2:V$2,V$2,$G15:V15)</f>
        <v>0</v>
      </c>
    </row>
    <row r="16" spans="1:23" x14ac:dyDescent="0.25">
      <c r="A16" s="290"/>
      <c r="B16" s="301"/>
      <c r="C16" s="301"/>
      <c r="D16" s="302"/>
      <c r="E16" s="302"/>
      <c r="F16" s="303" t="s">
        <v>603</v>
      </c>
      <c r="G16" s="294">
        <f>SUMIF($C$5:$C15,$C15,G$5:G15)</f>
        <v>0</v>
      </c>
      <c r="H16" s="304">
        <f>SUMIF($C$5:$C15,$C15,H$5:H15)</f>
        <v>0</v>
      </c>
      <c r="I16" s="294">
        <f>SUMIF($C$5:$C15,$C15,I$5:I15)</f>
        <v>0</v>
      </c>
      <c r="J16" s="294">
        <f>SUMIF($C$5:$C15,$C15,J$5:J15)</f>
        <v>0</v>
      </c>
      <c r="K16" s="294">
        <f>SUMIF($C$5:$C15,$C15,K$5:K15)</f>
        <v>0</v>
      </c>
      <c r="L16" s="294">
        <f>SUMIF($C$5:$C15,$C15,L$5:L15)</f>
        <v>0</v>
      </c>
      <c r="M16" s="294">
        <f>SUMIF($C$5:$C15,$C15,M$5:M15)</f>
        <v>0</v>
      </c>
      <c r="N16" s="294">
        <f>SUMIF($C$5:$C15,$C15,N$5:N15)</f>
        <v>0</v>
      </c>
      <c r="O16" s="294">
        <f>SUMIF($C$5:$C15,$C15,O$5:O15)</f>
        <v>0</v>
      </c>
      <c r="P16" s="294">
        <f>SUMIF($C$5:$C15,$C15,P$5:P15)</f>
        <v>0</v>
      </c>
      <c r="Q16" s="294">
        <f>SUMIF($C$5:$C15,$C15,Q$5:Q15)</f>
        <v>0</v>
      </c>
      <c r="R16" s="294"/>
      <c r="S16" s="294">
        <f>SUMIF($C$5:$C15,$C15,S$5:S15)</f>
        <v>0</v>
      </c>
      <c r="T16" s="294">
        <f>SUMIF($C$5:$C15,$C15,T$5:T15)</f>
        <v>0</v>
      </c>
      <c r="U16" s="294">
        <f>SUMIF($C$5:$C15,$C15,U$5:U15)</f>
        <v>0</v>
      </c>
      <c r="V16" s="294">
        <f>SUMIF($C$5:$C15,$C15,V$5:V15)</f>
        <v>0</v>
      </c>
      <c r="W16" s="294">
        <f>SUMIF($C$5:$C15,$C15,W$5:W15)</f>
        <v>0</v>
      </c>
    </row>
    <row r="17" spans="1:23" x14ac:dyDescent="0.25">
      <c r="A17" s="305"/>
      <c r="B17" s="305"/>
      <c r="C17" s="305"/>
      <c r="D17" s="305"/>
      <c r="E17" s="305"/>
      <c r="F17" s="305"/>
      <c r="G17" s="306"/>
      <c r="H17" s="306"/>
      <c r="I17" s="306"/>
      <c r="J17" s="306"/>
      <c r="K17" s="306"/>
      <c r="L17" s="306"/>
      <c r="M17" s="306"/>
      <c r="N17" s="306"/>
      <c r="O17" s="306"/>
      <c r="P17" s="306"/>
      <c r="Q17" s="306"/>
      <c r="R17" s="306"/>
      <c r="S17" s="306"/>
      <c r="T17" s="306"/>
      <c r="U17" s="306"/>
      <c r="V17" s="306"/>
      <c r="W17" s="306"/>
    </row>
    <row r="18" spans="1:23" x14ac:dyDescent="0.25">
      <c r="A18" s="305"/>
      <c r="B18" s="305"/>
      <c r="C18" s="305"/>
      <c r="D18" s="305"/>
      <c r="E18" s="305"/>
      <c r="F18" s="305"/>
      <c r="G18" s="306"/>
      <c r="H18" s="306"/>
      <c r="I18" s="306"/>
      <c r="J18" s="306"/>
      <c r="K18" s="306"/>
      <c r="L18" s="306"/>
      <c r="M18" s="306"/>
      <c r="N18" s="306"/>
      <c r="O18" s="306"/>
      <c r="P18" s="306"/>
      <c r="Q18" s="306"/>
      <c r="R18" s="306"/>
      <c r="S18" s="306"/>
      <c r="T18" s="306"/>
      <c r="U18" s="306"/>
      <c r="V18" s="306"/>
      <c r="W18" s="306"/>
    </row>
    <row r="19" ht="345" customHeight="1" spans="1:23" x14ac:dyDescent="0.25">
      <c r="A19" s="305"/>
      <c r="B19" s="305"/>
      <c r="C19" s="305"/>
      <c r="D19" s="305"/>
      <c r="E19" s="305"/>
      <c r="F19" s="307" t="s">
        <v>605</v>
      </c>
      <c r="G19" s="293" t="s">
        <v>906</v>
      </c>
      <c r="H19" s="306"/>
      <c r="I19" s="306"/>
      <c r="J19" s="306"/>
      <c r="K19" s="306"/>
      <c r="L19" s="306"/>
      <c r="M19" s="306"/>
      <c r="N19" s="306"/>
      <c r="O19" s="306"/>
      <c r="P19" s="306"/>
      <c r="Q19" s="306"/>
      <c r="R19" s="306"/>
      <c r="S19" s="306"/>
      <c r="T19" s="306"/>
      <c r="U19" s="307" t="s">
        <v>606</v>
      </c>
      <c r="V19" s="293" t="s">
        <v>907</v>
      </c>
      <c r="W19" s="306"/>
    </row>
  </sheetData>
  <mergeCells count="3">
    <mergeCell ref="B1:I1"/>
    <mergeCell ref="H2:H4"/>
    <mergeCell ref="W2:W4"/>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workbookViewId="0" zoomScale="100" zoomScaleNormal="100">
      <selection activeCell="A2" sqref="A2"/>
    </sheetView>
  </sheetViews>
  <sheetFormatPr defaultRowHeight="15" outlineLevelRow="0" outlineLevelCol="0" x14ac:dyDescent="0.2"/>
  <cols>
    <col min="2" max="2" hidden="1" customWidth="1"/>
    <col min="18" max="18" width="13.83203125" customWidth="1"/>
  </cols>
  <sheetData>
    <row r="1" ht="42" customHeight="1" spans="1:21" x14ac:dyDescent="0.25">
      <c r="A1" s="308" t="s">
        <v>608</v>
      </c>
      <c r="B1" s="308"/>
      <c r="C1" s="308"/>
      <c r="D1" s="308"/>
      <c r="E1" s="308"/>
      <c r="F1" s="308"/>
      <c r="G1" s="308"/>
      <c r="H1" s="308"/>
      <c r="I1" s="309"/>
      <c r="J1" s="309"/>
      <c r="K1" s="309"/>
      <c r="L1" s="309"/>
      <c r="M1" s="309"/>
      <c r="N1" s="309"/>
      <c r="O1" s="309"/>
      <c r="P1" s="309"/>
      <c r="Q1" s="309"/>
      <c r="R1" s="309"/>
      <c r="S1" s="309"/>
      <c r="T1" s="310"/>
      <c r="U1" s="310"/>
    </row>
    <row r="2" ht="28" customHeight="1" spans="1:19" x14ac:dyDescent="0.25">
      <c r="A2" s="308"/>
      <c r="B2" s="308"/>
      <c r="C2" s="308"/>
      <c r="D2" s="308"/>
      <c r="E2" s="308"/>
      <c r="F2" s="308"/>
      <c r="G2" s="311" t="s">
        <v>475</v>
      </c>
      <c r="H2" s="312" t="s">
        <v>476</v>
      </c>
      <c r="I2" s="311" t="s">
        <v>477</v>
      </c>
      <c r="J2" s="311" t="s">
        <v>477</v>
      </c>
      <c r="K2" s="311" t="s">
        <v>477</v>
      </c>
      <c r="L2" s="311" t="s">
        <v>477</v>
      </c>
      <c r="M2" s="311" t="s">
        <v>477</v>
      </c>
      <c r="N2" s="311" t="s">
        <v>477</v>
      </c>
      <c r="O2" s="311" t="s">
        <v>477</v>
      </c>
      <c r="P2" s="311" t="s">
        <v>477</v>
      </c>
      <c r="Q2" s="311" t="s">
        <v>477</v>
      </c>
      <c r="R2" s="311" t="s">
        <v>477</v>
      </c>
      <c r="S2" s="312" t="s">
        <v>478</v>
      </c>
    </row>
    <row r="3" ht="56" customHeight="1" spans="1:19" x14ac:dyDescent="0.25">
      <c r="A3" s="308"/>
      <c r="B3" s="308"/>
      <c r="C3" s="308"/>
      <c r="D3" s="308"/>
      <c r="E3" s="308"/>
      <c r="F3" s="308"/>
      <c r="G3" s="311" t="s">
        <v>485</v>
      </c>
      <c r="H3" s="312"/>
      <c r="I3" s="311" t="s">
        <v>612</v>
      </c>
      <c r="J3" s="311" t="s">
        <v>613</v>
      </c>
      <c r="K3" s="311" t="s">
        <v>614</v>
      </c>
      <c r="L3" s="311" t="s">
        <v>615</v>
      </c>
      <c r="M3" s="311" t="s">
        <v>616</v>
      </c>
      <c r="N3" s="311" t="s">
        <v>617</v>
      </c>
      <c r="O3" s="311" t="s">
        <v>618</v>
      </c>
      <c r="P3" s="311" t="s">
        <v>619</v>
      </c>
      <c r="Q3" s="311" t="s">
        <v>620</v>
      </c>
      <c r="R3" s="311" t="s">
        <v>498</v>
      </c>
      <c r="S3" s="312"/>
    </row>
    <row r="4" ht="112" customHeight="1" spans="1:19" x14ac:dyDescent="0.25">
      <c r="A4" s="308"/>
      <c r="B4" s="313" t="s">
        <v>528</v>
      </c>
      <c r="C4" s="313" t="s">
        <v>529</v>
      </c>
      <c r="D4" s="313" t="s">
        <v>37</v>
      </c>
      <c r="E4" s="313" t="s">
        <v>530</v>
      </c>
      <c r="F4" s="313" t="s">
        <v>531</v>
      </c>
      <c r="G4" s="311" t="s">
        <v>532</v>
      </c>
      <c r="H4" s="312"/>
      <c r="I4" s="311" t="s">
        <v>631</v>
      </c>
      <c r="J4" s="311" t="s">
        <v>632</v>
      </c>
      <c r="K4" s="311" t="s">
        <v>633</v>
      </c>
      <c r="L4" s="311" t="s">
        <v>634</v>
      </c>
      <c r="M4" s="311" t="s">
        <v>635</v>
      </c>
      <c r="N4" s="311" t="s">
        <v>636</v>
      </c>
      <c r="O4" s="311" t="s">
        <v>637</v>
      </c>
      <c r="P4" s="311" t="s">
        <v>638</v>
      </c>
      <c r="Q4" s="311" t="s">
        <v>639</v>
      </c>
      <c r="R4" s="311" t="s">
        <v>546</v>
      </c>
      <c r="S4" s="312"/>
    </row>
    <row r="5" ht="409.6" customHeight="1" spans="1:19" x14ac:dyDescent="0.25">
      <c r="A5" s="314" t="s">
        <v>650</v>
      </c>
      <c r="B5" s="315"/>
      <c r="C5" s="315"/>
      <c r="D5" s="315"/>
      <c r="E5" s="315" t="s">
        <v>578</v>
      </c>
      <c r="F5" s="316" t="s">
        <v>579</v>
      </c>
      <c r="G5" s="293" t="s">
        <v>908</v>
      </c>
      <c r="H5" s="317">
        <f t="shared" ref="H5:H15" si="0">SUM(G5)</f>
        <v>0</v>
      </c>
      <c r="I5" s="318"/>
      <c r="J5" s="293" t="s">
        <v>909</v>
      </c>
      <c r="K5" s="293" t="s">
        <v>910</v>
      </c>
      <c r="L5" s="293" t="s">
        <v>911</v>
      </c>
      <c r="M5" s="319" t="s">
        <v>819</v>
      </c>
      <c r="N5" s="319" t="s">
        <v>819</v>
      </c>
      <c r="O5" s="320"/>
      <c r="P5" s="320"/>
      <c r="Q5" s="319" t="s">
        <v>819</v>
      </c>
      <c r="R5" s="293" t="s">
        <v>912</v>
      </c>
      <c r="S5" s="317">
        <f t="shared" ref="S5:S15" si="1">SUM(I5:R5)</f>
        <v>0</v>
      </c>
    </row>
    <row r="6" ht="132" customHeight="1" spans="1:19" x14ac:dyDescent="0.25">
      <c r="A6" s="314" t="s">
        <v>650</v>
      </c>
      <c r="B6" s="315"/>
      <c r="C6" s="315"/>
      <c r="D6" s="315"/>
      <c r="E6" s="315" t="s">
        <v>580</v>
      </c>
      <c r="F6" s="316" t="s">
        <v>581</v>
      </c>
      <c r="G6" s="321"/>
      <c r="H6" s="317">
        <f t="shared" si="0"/>
        <v>0</v>
      </c>
      <c r="I6" s="318"/>
      <c r="J6" s="322"/>
      <c r="K6" s="322"/>
      <c r="L6" s="322"/>
      <c r="M6" s="323"/>
      <c r="N6" s="324"/>
      <c r="O6" s="319" t="s">
        <v>819</v>
      </c>
      <c r="P6" s="319" t="s">
        <v>819</v>
      </c>
      <c r="Q6" s="319" t="s">
        <v>819</v>
      </c>
      <c r="R6" s="270" t="s">
        <v>819</v>
      </c>
      <c r="S6" s="317">
        <f t="shared" si="1"/>
        <v>0</v>
      </c>
    </row>
    <row r="7" ht="70" customHeight="1" spans="1:19" x14ac:dyDescent="0.25">
      <c r="A7" s="314" t="s">
        <v>650</v>
      </c>
      <c r="B7" s="315"/>
      <c r="C7" s="315"/>
      <c r="D7" s="315"/>
      <c r="E7" s="315" t="s">
        <v>583</v>
      </c>
      <c r="F7" s="316" t="s">
        <v>584</v>
      </c>
      <c r="G7" s="321"/>
      <c r="H7" s="317">
        <f t="shared" si="0"/>
        <v>0</v>
      </c>
      <c r="I7" s="318"/>
      <c r="J7" s="322"/>
      <c r="K7" s="322"/>
      <c r="L7" s="322"/>
      <c r="M7" s="322"/>
      <c r="N7" s="321"/>
      <c r="O7" s="322"/>
      <c r="P7" s="322"/>
      <c r="Q7" s="322"/>
      <c r="R7" s="322"/>
      <c r="S7" s="317">
        <f t="shared" si="1"/>
        <v>0</v>
      </c>
    </row>
    <row r="8" ht="168" customHeight="1" spans="1:19" x14ac:dyDescent="0.25">
      <c r="A8" s="314" t="s">
        <v>650</v>
      </c>
      <c r="B8" s="315"/>
      <c r="C8" s="315"/>
      <c r="D8" s="315"/>
      <c r="E8" s="315" t="s">
        <v>587</v>
      </c>
      <c r="F8" s="316" t="s">
        <v>588</v>
      </c>
      <c r="G8" s="293" t="s">
        <v>913</v>
      </c>
      <c r="H8" s="317">
        <f t="shared" si="0"/>
        <v>0</v>
      </c>
      <c r="I8" s="318"/>
      <c r="J8" s="322"/>
      <c r="K8" s="322"/>
      <c r="L8" s="322"/>
      <c r="M8" s="322"/>
      <c r="N8" s="321"/>
      <c r="O8" s="322"/>
      <c r="P8" s="322"/>
      <c r="Q8" s="322"/>
      <c r="R8" s="293" t="s">
        <v>914</v>
      </c>
      <c r="S8" s="317">
        <f t="shared" si="1"/>
        <v>0</v>
      </c>
    </row>
    <row r="9" ht="252" customHeight="1" spans="1:19" x14ac:dyDescent="0.25">
      <c r="A9" s="314" t="s">
        <v>650</v>
      </c>
      <c r="B9" s="315"/>
      <c r="C9" s="315"/>
      <c r="D9" s="315"/>
      <c r="E9" s="315" t="s">
        <v>589</v>
      </c>
      <c r="F9" s="316" t="s">
        <v>590</v>
      </c>
      <c r="G9" s="293" t="s">
        <v>915</v>
      </c>
      <c r="H9" s="317">
        <f t="shared" si="0"/>
        <v>0</v>
      </c>
      <c r="I9" s="318"/>
      <c r="J9" s="322"/>
      <c r="K9" s="322"/>
      <c r="L9" s="322"/>
      <c r="M9" s="322"/>
      <c r="N9" s="321"/>
      <c r="O9" s="322"/>
      <c r="P9" s="322"/>
      <c r="Q9" s="322"/>
      <c r="R9" s="293" t="s">
        <v>916</v>
      </c>
      <c r="S9" s="317">
        <f t="shared" si="1"/>
        <v>0</v>
      </c>
    </row>
    <row r="10" ht="168" customHeight="1" spans="1:19" x14ac:dyDescent="0.25">
      <c r="A10" s="314" t="s">
        <v>650</v>
      </c>
      <c r="B10" s="315"/>
      <c r="C10" s="315"/>
      <c r="D10" s="315"/>
      <c r="E10" s="315" t="s">
        <v>591</v>
      </c>
      <c r="F10" s="316" t="s">
        <v>592</v>
      </c>
      <c r="G10" s="293" t="s">
        <v>917</v>
      </c>
      <c r="H10" s="317">
        <f>SUM(G10)</f>
        <v>0</v>
      </c>
      <c r="I10" s="318"/>
      <c r="J10" s="322"/>
      <c r="K10" s="322"/>
      <c r="L10" s="322"/>
      <c r="M10" s="322"/>
      <c r="N10" s="321"/>
      <c r="O10" s="322"/>
      <c r="P10" s="322"/>
      <c r="Q10" s="322"/>
      <c r="R10" s="293" t="s">
        <v>918</v>
      </c>
      <c r="S10" s="317">
        <f t="shared" si="1"/>
        <v>0</v>
      </c>
    </row>
    <row r="11" ht="168" customHeight="1" spans="1:19" x14ac:dyDescent="0.25">
      <c r="A11" s="314" t="s">
        <v>650</v>
      </c>
      <c r="B11" s="315"/>
      <c r="C11" s="315"/>
      <c r="D11" s="315"/>
      <c r="E11" s="315" t="s">
        <v>593</v>
      </c>
      <c r="F11" s="316" t="s">
        <v>594</v>
      </c>
      <c r="G11" s="293" t="s">
        <v>919</v>
      </c>
      <c r="H11" s="317">
        <f>SUM(G11)</f>
        <v>0</v>
      </c>
      <c r="I11" s="318"/>
      <c r="J11" s="322"/>
      <c r="K11" s="322"/>
      <c r="L11" s="322"/>
      <c r="M11" s="322"/>
      <c r="N11" s="321"/>
      <c r="O11" s="322"/>
      <c r="P11" s="322"/>
      <c r="Q11" s="322"/>
      <c r="R11" s="293" t="s">
        <v>920</v>
      </c>
      <c r="S11" s="317">
        <f t="shared" si="1"/>
        <v>0</v>
      </c>
    </row>
    <row r="12" ht="196" customHeight="1" spans="1:19" x14ac:dyDescent="0.25">
      <c r="A12" s="314" t="s">
        <v>650</v>
      </c>
      <c r="B12" s="315"/>
      <c r="C12" s="315"/>
      <c r="D12" s="315"/>
      <c r="E12" s="315" t="s">
        <v>595</v>
      </c>
      <c r="F12" s="316" t="s">
        <v>596</v>
      </c>
      <c r="G12" s="293" t="s">
        <v>921</v>
      </c>
      <c r="H12" s="317">
        <f t="shared" si="0"/>
        <v>0</v>
      </c>
      <c r="I12" s="318"/>
      <c r="J12" s="322"/>
      <c r="K12" s="322"/>
      <c r="L12" s="322"/>
      <c r="M12" s="322"/>
      <c r="N12" s="321"/>
      <c r="O12" s="322"/>
      <c r="P12" s="322"/>
      <c r="Q12" s="322"/>
      <c r="R12" s="293" t="s">
        <v>922</v>
      </c>
      <c r="S12" s="317">
        <f t="shared" si="1"/>
        <v>0</v>
      </c>
    </row>
    <row r="13" ht="210" customHeight="1" spans="1:19" x14ac:dyDescent="0.25">
      <c r="A13" s="314" t="s">
        <v>650</v>
      </c>
      <c r="B13" s="315"/>
      <c r="C13" s="315"/>
      <c r="D13" s="315"/>
      <c r="E13" s="315" t="s">
        <v>597</v>
      </c>
      <c r="F13" s="316" t="s">
        <v>598</v>
      </c>
      <c r="G13" s="293" t="s">
        <v>923</v>
      </c>
      <c r="H13" s="317">
        <f t="shared" si="0"/>
        <v>0</v>
      </c>
      <c r="I13" s="293" t="s">
        <v>924</v>
      </c>
      <c r="J13" s="322"/>
      <c r="K13" s="322"/>
      <c r="L13" s="322"/>
      <c r="M13" s="322"/>
      <c r="N13" s="321"/>
      <c r="O13" s="322"/>
      <c r="P13" s="322"/>
      <c r="Q13" s="322"/>
      <c r="R13" s="293" t="s">
        <v>925</v>
      </c>
      <c r="S13" s="317">
        <f t="shared" si="1"/>
        <v>0</v>
      </c>
    </row>
    <row r="14" ht="409.6" customHeight="1" spans="1:19" x14ac:dyDescent="0.25">
      <c r="A14" s="314" t="s">
        <v>650</v>
      </c>
      <c r="B14" s="315"/>
      <c r="C14" s="315"/>
      <c r="D14" s="315"/>
      <c r="E14" s="315" t="s">
        <v>599</v>
      </c>
      <c r="F14" s="316" t="s">
        <v>600</v>
      </c>
      <c r="G14" s="293" t="s">
        <v>926</v>
      </c>
      <c r="H14" s="317">
        <f t="shared" si="0"/>
        <v>0</v>
      </c>
      <c r="I14" s="293" t="s">
        <v>927</v>
      </c>
      <c r="J14" s="293" t="s">
        <v>928</v>
      </c>
      <c r="K14" s="293" t="s">
        <v>929</v>
      </c>
      <c r="L14" s="293" t="s">
        <v>930</v>
      </c>
      <c r="M14" s="321"/>
      <c r="N14" s="321"/>
      <c r="O14" s="322"/>
      <c r="P14" s="322"/>
      <c r="Q14" s="322"/>
      <c r="R14" s="293" t="s">
        <v>931</v>
      </c>
      <c r="S14" s="317">
        <f t="shared" si="1"/>
        <v>0</v>
      </c>
    </row>
    <row r="15" ht="409.6" customHeight="1" spans="1:19" x14ac:dyDescent="0.25">
      <c r="A15" s="314" t="s">
        <v>650</v>
      </c>
      <c r="B15" s="315"/>
      <c r="C15" s="315"/>
      <c r="D15" s="315"/>
      <c r="E15" s="315" t="s">
        <v>601</v>
      </c>
      <c r="F15" s="316" t="s">
        <v>602</v>
      </c>
      <c r="G15" s="293" t="s">
        <v>932</v>
      </c>
      <c r="H15" s="317">
        <f t="shared" si="0"/>
        <v>0</v>
      </c>
      <c r="I15" s="293" t="s">
        <v>933</v>
      </c>
      <c r="J15" s="293" t="s">
        <v>934</v>
      </c>
      <c r="K15" s="293" t="s">
        <v>935</v>
      </c>
      <c r="L15" s="293" t="s">
        <v>936</v>
      </c>
      <c r="M15" s="321"/>
      <c r="N15" s="321"/>
      <c r="O15" s="322"/>
      <c r="P15" s="322"/>
      <c r="Q15" s="322"/>
      <c r="R15" s="293" t="s">
        <v>937</v>
      </c>
      <c r="S15" s="317">
        <f t="shared" si="1"/>
        <v>0</v>
      </c>
    </row>
    <row r="16" ht="28" customHeight="1" spans="1:19" x14ac:dyDescent="0.25">
      <c r="A16" s="314"/>
      <c r="B16" s="325"/>
      <c r="C16" s="325"/>
      <c r="D16" s="325"/>
      <c r="E16" s="325"/>
      <c r="F16" s="312" t="s">
        <v>603</v>
      </c>
      <c r="G16" s="317">
        <f t="shared" ref="G16:S16" si="2">SUM(G5:G15)</f>
        <v>0</v>
      </c>
      <c r="H16" s="317">
        <f t="shared" si="2"/>
        <v>0</v>
      </c>
      <c r="I16" s="317">
        <f t="shared" si="2"/>
        <v>0</v>
      </c>
      <c r="J16" s="317">
        <f t="shared" si="2"/>
        <v>0</v>
      </c>
      <c r="K16" s="317">
        <f t="shared" si="2"/>
        <v>0</v>
      </c>
      <c r="L16" s="317">
        <f t="shared" si="2"/>
        <v>0</v>
      </c>
      <c r="M16" s="317">
        <f t="shared" si="2"/>
        <v>0</v>
      </c>
      <c r="N16" s="317">
        <f t="shared" si="2"/>
        <v>0</v>
      </c>
      <c r="O16" s="317">
        <f>SUM(O6:O15)</f>
        <v>0</v>
      </c>
      <c r="P16" s="317">
        <f>SUM(P6:P15)</f>
        <v>0</v>
      </c>
      <c r="Q16" s="317">
        <f t="shared" si="2"/>
        <v>0</v>
      </c>
      <c r="R16" s="317">
        <f>SUM(R5:R15)</f>
        <v>0</v>
      </c>
      <c r="S16" s="317">
        <f t="shared" si="2"/>
        <v>0</v>
      </c>
    </row>
    <row r="17" spans="1:19" x14ac:dyDescent="0.25">
      <c r="A17" s="326"/>
      <c r="B17" s="326"/>
      <c r="C17" s="326"/>
      <c r="D17" s="326"/>
      <c r="E17" s="326"/>
      <c r="F17" s="327"/>
      <c r="G17" s="326"/>
      <c r="H17" s="326"/>
      <c r="I17" s="326"/>
      <c r="J17" s="326"/>
      <c r="K17" s="326"/>
      <c r="L17" s="326"/>
      <c r="M17" s="326"/>
      <c r="N17" s="326"/>
      <c r="O17" s="326"/>
      <c r="P17" s="326"/>
      <c r="Q17" s="326"/>
      <c r="R17" s="326"/>
      <c r="S17" s="328"/>
    </row>
    <row r="18" spans="1:21" x14ac:dyDescent="0.25">
      <c r="A18" s="326"/>
      <c r="B18" s="326"/>
      <c r="C18" s="326"/>
      <c r="D18" s="326"/>
      <c r="E18" s="326"/>
      <c r="F18" s="327"/>
      <c r="G18" s="326"/>
      <c r="H18" s="326"/>
      <c r="I18" s="326"/>
      <c r="J18" s="326"/>
      <c r="K18" s="326"/>
      <c r="L18" s="326"/>
      <c r="M18" s="326"/>
      <c r="N18" s="326"/>
      <c r="O18" s="326"/>
      <c r="P18" s="326"/>
      <c r="Q18" s="326"/>
      <c r="R18" s="326"/>
      <c r="S18" s="329"/>
      <c r="T18" s="326"/>
      <c r="U18" s="326"/>
    </row>
    <row r="19" ht="345" customHeight="1" spans="1:21" x14ac:dyDescent="0.25">
      <c r="A19" s="330"/>
      <c r="B19" s="330"/>
      <c r="C19" s="330"/>
      <c r="D19" s="331"/>
      <c r="E19" s="330"/>
      <c r="F19" s="307" t="s">
        <v>605</v>
      </c>
      <c r="G19" s="293" t="s">
        <v>938</v>
      </c>
      <c r="H19" s="330"/>
      <c r="I19" s="330"/>
      <c r="J19" s="330"/>
      <c r="K19" s="330"/>
      <c r="L19" s="330"/>
      <c r="M19" s="330"/>
      <c r="N19" s="330"/>
      <c r="O19" s="330"/>
      <c r="P19" s="330"/>
      <c r="Q19" s="307" t="s">
        <v>606</v>
      </c>
      <c r="R19" s="293" t="s">
        <v>939</v>
      </c>
      <c r="S19" s="330"/>
      <c r="T19" s="330"/>
      <c r="U19" s="330"/>
    </row>
  </sheetData>
  <mergeCells count="3">
    <mergeCell ref="A1:H1"/>
    <mergeCell ref="H2:H4"/>
    <mergeCell ref="S2:S4"/>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zoomScale="100" zoomScaleNormal="100">
      <selection activeCell="M15" sqref="M15"/>
    </sheetView>
  </sheetViews>
  <sheetFormatPr defaultRowHeight="37" outlineLevelRow="0" outlineLevelCol="0" x14ac:dyDescent="0.2" defaultColWidth="11" customHeight="1"/>
  <cols>
    <col min="1" max="3" style="80" hidden="1" customWidth="1"/>
    <col min="4" max="4" width="15.1640625" style="80" hidden="1" customWidth="1"/>
    <col min="5" max="5" width="11" style="80" customWidth="1"/>
    <col min="6" max="6" width="53.33203125" style="80" hidden="1" customWidth="1"/>
    <col min="7" max="7" width="13.5" style="80" customWidth="1"/>
    <col min="8" max="8" width="11" style="80" customWidth="1"/>
    <col min="9" max="9" width="13.5" style="80" customWidth="1"/>
    <col min="10" max="10" width="50.5" style="80" customWidth="1"/>
    <col min="11" max="11" width="15.1640625" style="80" customWidth="1"/>
    <col min="12" max="12" width="11" style="80" customWidth="1"/>
    <col min="13" max="13" width="15.1640625" style="80" customWidth="1"/>
    <col min="14" max="16384" width="11" style="80" customWidth="1"/>
  </cols>
  <sheetData>
    <row r="1" ht="37" customHeight="1" spans="1:14" x14ac:dyDescent="0.25">
      <c r="A1" s="81"/>
      <c r="C1" s="148"/>
      <c r="E1" s="131"/>
      <c r="F1" s="80"/>
      <c r="G1" s="332"/>
      <c r="H1" s="80"/>
      <c r="I1" s="332" t="s">
        <v>651</v>
      </c>
      <c r="J1" s="333"/>
      <c r="K1" s="131"/>
      <c r="L1" s="131"/>
      <c r="M1" s="81"/>
      <c r="N1" s="81"/>
    </row>
    <row r="2" ht="37" customHeight="1" spans="1:14" x14ac:dyDescent="0.25">
      <c r="A2" s="149"/>
      <c r="B2" s="150"/>
      <c r="C2" s="150"/>
      <c r="D2" s="150"/>
      <c r="E2" s="334"/>
      <c r="F2" s="335"/>
      <c r="G2" s="335"/>
      <c r="H2" s="335"/>
      <c r="I2" s="335"/>
      <c r="J2" s="335"/>
      <c r="K2" s="132" t="s">
        <v>477</v>
      </c>
      <c r="L2" s="336" t="s">
        <v>478</v>
      </c>
      <c r="M2" s="84" t="s">
        <v>652</v>
      </c>
      <c r="N2" s="85" t="s">
        <v>653</v>
      </c>
    </row>
    <row r="3" ht="37" customHeight="1" spans="1:14" x14ac:dyDescent="0.25">
      <c r="A3" s="149"/>
      <c r="B3" s="150"/>
      <c r="C3" s="150"/>
      <c r="D3" s="150"/>
      <c r="E3" s="334"/>
      <c r="F3" s="335"/>
      <c r="G3" s="335"/>
      <c r="H3" s="335"/>
      <c r="I3" s="335"/>
      <c r="J3" s="335"/>
      <c r="K3" s="132" t="s">
        <v>498</v>
      </c>
      <c r="L3" s="336"/>
      <c r="M3" s="84" t="s">
        <v>654</v>
      </c>
      <c r="N3" s="85"/>
    </row>
    <row r="4" ht="37" customHeight="1" spans="1:14" x14ac:dyDescent="0.25">
      <c r="A4" s="337"/>
      <c r="B4" s="153"/>
      <c r="C4" s="153"/>
      <c r="D4" s="153"/>
      <c r="E4" s="338"/>
      <c r="F4" s="339" t="s">
        <v>528</v>
      </c>
      <c r="G4" s="339" t="s">
        <v>529</v>
      </c>
      <c r="H4" s="339" t="s">
        <v>37</v>
      </c>
      <c r="I4" s="339" t="s">
        <v>530</v>
      </c>
      <c r="J4" s="339" t="s">
        <v>531</v>
      </c>
      <c r="K4" s="132" t="s">
        <v>546</v>
      </c>
      <c r="L4" s="336"/>
      <c r="M4" s="84" t="s">
        <v>655</v>
      </c>
      <c r="N4" s="85"/>
    </row>
    <row r="5" ht="37" customHeight="1" spans="1:14" x14ac:dyDescent="0.25">
      <c r="A5" s="154"/>
      <c r="B5" s="155"/>
      <c r="C5" s="155"/>
      <c r="D5" s="340"/>
      <c r="E5" s="341" t="s">
        <v>656</v>
      </c>
      <c r="F5" s="340"/>
      <c r="G5" s="340"/>
      <c r="H5" s="340"/>
      <c r="I5" s="340" t="s">
        <v>578</v>
      </c>
      <c r="J5" s="342" t="s">
        <v>579</v>
      </c>
      <c r="K5" s="343" t="s">
        <v>940</v>
      </c>
      <c r="L5" s="344">
        <f t="shared" ref="L5:L13" si="0">SUM(K5)</f>
        <v>0</v>
      </c>
      <c r="M5" s="345"/>
      <c r="N5" s="202">
        <f t="shared" ref="N5:N13" si="1">SUM(M5)</f>
        <v>0</v>
      </c>
    </row>
    <row r="6" ht="37" customHeight="1" spans="1:14" x14ac:dyDescent="0.25">
      <c r="A6" s="154"/>
      <c r="B6" s="155"/>
      <c r="C6" s="155"/>
      <c r="D6" s="140"/>
      <c r="E6" s="341" t="s">
        <v>656</v>
      </c>
      <c r="F6" s="340"/>
      <c r="G6" s="340"/>
      <c r="H6" s="140"/>
      <c r="I6" s="340" t="s">
        <v>587</v>
      </c>
      <c r="J6" s="342" t="s">
        <v>588</v>
      </c>
      <c r="K6" s="346"/>
      <c r="L6" s="344">
        <f t="shared" si="0"/>
        <v>0</v>
      </c>
      <c r="M6" s="345"/>
      <c r="N6" s="202">
        <f t="shared" si="1"/>
        <v>0</v>
      </c>
    </row>
    <row r="7" ht="37" customHeight="1" spans="1:14" x14ac:dyDescent="0.25">
      <c r="A7" s="154"/>
      <c r="B7" s="155"/>
      <c r="C7" s="155"/>
      <c r="D7" s="140"/>
      <c r="E7" s="341" t="s">
        <v>656</v>
      </c>
      <c r="F7" s="340"/>
      <c r="G7" s="340"/>
      <c r="H7" s="140"/>
      <c r="I7" s="340" t="s">
        <v>589</v>
      </c>
      <c r="J7" s="342" t="s">
        <v>590</v>
      </c>
      <c r="K7" s="346"/>
      <c r="L7" s="344">
        <f t="shared" si="0"/>
        <v>0</v>
      </c>
      <c r="M7" s="347"/>
      <c r="N7" s="202">
        <f t="shared" si="1"/>
        <v>0</v>
      </c>
    </row>
    <row r="8" ht="37" customHeight="1" spans="1:14" x14ac:dyDescent="0.25">
      <c r="A8" s="154"/>
      <c r="B8" s="155"/>
      <c r="C8" s="155"/>
      <c r="D8" s="140"/>
      <c r="E8" s="341" t="s">
        <v>656</v>
      </c>
      <c r="F8" s="340"/>
      <c r="G8" s="340"/>
      <c r="H8" s="140"/>
      <c r="I8" s="340" t="s">
        <v>591</v>
      </c>
      <c r="J8" s="342" t="s">
        <v>592</v>
      </c>
      <c r="K8" s="346"/>
      <c r="L8" s="344">
        <f t="shared" si="0"/>
        <v>0</v>
      </c>
      <c r="M8" s="345"/>
      <c r="N8" s="202">
        <f t="shared" si="1"/>
        <v>0</v>
      </c>
    </row>
    <row r="9" ht="37" customHeight="1" spans="1:14" x14ac:dyDescent="0.25">
      <c r="A9" s="154"/>
      <c r="B9" s="155"/>
      <c r="C9" s="155"/>
      <c r="D9" s="140"/>
      <c r="E9" s="341" t="s">
        <v>656</v>
      </c>
      <c r="F9" s="340"/>
      <c r="G9" s="340"/>
      <c r="H9" s="140"/>
      <c r="I9" s="340" t="s">
        <v>593</v>
      </c>
      <c r="J9" s="342" t="s">
        <v>594</v>
      </c>
      <c r="K9" s="346"/>
      <c r="L9" s="344">
        <f t="shared" si="0"/>
        <v>0</v>
      </c>
      <c r="M9" s="347"/>
      <c r="N9" s="202">
        <f t="shared" si="1"/>
        <v>0</v>
      </c>
    </row>
    <row r="10" ht="37" customHeight="1" spans="1:14" x14ac:dyDescent="0.25">
      <c r="A10" s="154"/>
      <c r="B10" s="155"/>
      <c r="C10" s="155"/>
      <c r="D10" s="140"/>
      <c r="E10" s="341" t="s">
        <v>656</v>
      </c>
      <c r="F10" s="340"/>
      <c r="G10" s="340"/>
      <c r="H10" s="140"/>
      <c r="I10" s="340" t="s">
        <v>595</v>
      </c>
      <c r="J10" s="342" t="s">
        <v>596</v>
      </c>
      <c r="K10" s="346"/>
      <c r="L10" s="344">
        <f t="shared" si="0"/>
        <v>0</v>
      </c>
      <c r="M10" s="345"/>
      <c r="N10" s="202">
        <f t="shared" si="1"/>
        <v>0</v>
      </c>
    </row>
    <row r="11" ht="37" customHeight="1" spans="1:14" x14ac:dyDescent="0.25">
      <c r="A11" s="154"/>
      <c r="B11" s="155"/>
      <c r="C11" s="155"/>
      <c r="D11" s="140"/>
      <c r="E11" s="341" t="s">
        <v>656</v>
      </c>
      <c r="F11" s="340"/>
      <c r="G11" s="340"/>
      <c r="H11" s="140"/>
      <c r="I11" s="340" t="s">
        <v>597</v>
      </c>
      <c r="J11" s="342" t="s">
        <v>598</v>
      </c>
      <c r="K11" s="346"/>
      <c r="L11" s="344">
        <f t="shared" si="0"/>
        <v>0</v>
      </c>
      <c r="M11" s="347"/>
      <c r="N11" s="202">
        <f t="shared" si="1"/>
        <v>0</v>
      </c>
    </row>
    <row r="12" ht="179" customHeight="1" spans="1:14" x14ac:dyDescent="0.25">
      <c r="A12" s="154"/>
      <c r="B12" s="155"/>
      <c r="C12" s="155"/>
      <c r="D12" s="140"/>
      <c r="E12" s="341" t="s">
        <v>656</v>
      </c>
      <c r="F12" s="340"/>
      <c r="G12" s="340"/>
      <c r="H12" s="140"/>
      <c r="I12" s="340" t="s">
        <v>599</v>
      </c>
      <c r="J12" s="342" t="s">
        <v>600</v>
      </c>
      <c r="K12" s="343" t="s">
        <v>941</v>
      </c>
      <c r="L12" s="344">
        <f t="shared" si="0"/>
        <v>0</v>
      </c>
      <c r="M12" s="183"/>
      <c r="N12" s="202">
        <f t="shared" si="1"/>
        <v>0</v>
      </c>
    </row>
    <row r="13" ht="167" customHeight="1" spans="1:14" x14ac:dyDescent="0.25">
      <c r="A13" s="154"/>
      <c r="B13" s="155"/>
      <c r="C13" s="155"/>
      <c r="D13" s="140"/>
      <c r="E13" s="341" t="s">
        <v>656</v>
      </c>
      <c r="F13" s="340"/>
      <c r="G13" s="340"/>
      <c r="H13" s="140"/>
      <c r="I13" s="340" t="s">
        <v>601</v>
      </c>
      <c r="J13" s="342" t="s">
        <v>602</v>
      </c>
      <c r="K13" s="343" t="s">
        <v>942</v>
      </c>
      <c r="L13" s="344">
        <f t="shared" si="0"/>
        <v>0</v>
      </c>
      <c r="M13" s="183"/>
      <c r="N13" s="202">
        <f t="shared" si="1"/>
        <v>0</v>
      </c>
    </row>
    <row r="14" ht="37" customHeight="1" spans="1:14" x14ac:dyDescent="0.25">
      <c r="A14" s="348"/>
      <c r="B14" s="349"/>
      <c r="C14" s="349"/>
      <c r="D14" s="349"/>
      <c r="E14" s="350"/>
      <c r="F14" s="351"/>
      <c r="G14" s="351"/>
      <c r="H14" s="351"/>
      <c r="I14" s="352"/>
      <c r="J14" s="353" t="s">
        <v>603</v>
      </c>
      <c r="K14" s="344">
        <f>SUM(K5:K13)</f>
        <v>0</v>
      </c>
      <c r="L14" s="344">
        <f>SUM(L5:L13)</f>
        <v>0</v>
      </c>
      <c r="M14" s="202">
        <f>SUM(M5:M13)</f>
        <v>0</v>
      </c>
      <c r="N14" s="202">
        <f>SUM(N5:N13)</f>
        <v>0</v>
      </c>
    </row>
    <row r="15" ht="37" customHeight="1" spans="5:14" x14ac:dyDescent="0.25">
      <c r="E15" s="80"/>
      <c r="F15" s="80"/>
      <c r="G15" s="80"/>
      <c r="H15" s="80"/>
      <c r="I15" s="80"/>
      <c r="J15" s="80"/>
      <c r="K15" s="80"/>
      <c r="L15" s="80"/>
      <c r="M15" s="80"/>
      <c r="N15" s="80"/>
    </row>
    <row r="16" ht="37" customHeight="1" spans="5:14" x14ac:dyDescent="0.25">
      <c r="E16" s="80"/>
      <c r="F16" s="80"/>
      <c r="G16" s="80"/>
      <c r="H16" s="80"/>
      <c r="I16" s="80"/>
      <c r="J16" s="80"/>
      <c r="K16" s="80"/>
      <c r="L16" s="80"/>
      <c r="M16" s="80"/>
      <c r="N16" s="80"/>
    </row>
    <row r="17" ht="37" customHeight="1" spans="4:4" x14ac:dyDescent="0.25">
      <c r="D17" s="123"/>
    </row>
  </sheetData>
  <mergeCells count="2">
    <mergeCell ref="L2:L4"/>
    <mergeCell ref="N2:N4"/>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BJ145"/>
  <sheetViews>
    <sheetView workbookViewId="0" zoomScale="100" zoomScaleNormal="100">
      <selection activeCell="H18" sqref="H18"/>
    </sheetView>
  </sheetViews>
  <sheetFormatPr defaultRowHeight="15" outlineLevelRow="0" outlineLevelCol="0" x14ac:dyDescent="0.2"/>
  <cols>
    <col min="1" max="2" width="10.83203125" hidden="1" customWidth="1"/>
    <col min="3" max="3" width="9.83203125" customWidth="1"/>
    <col min="6" max="6" width="73.83203125" customWidth="1"/>
    <col min="7" max="16" width="13.33203125" customWidth="1"/>
  </cols>
  <sheetData>
    <row r="1" ht="80" customHeight="1" spans="1:62" s="40" customFormat="1" x14ac:dyDescent="0.25">
      <c r="A1" s="41" t="s">
        <v>657</v>
      </c>
      <c r="B1" s="42"/>
      <c r="C1" s="42"/>
      <c r="D1" s="41" t="s">
        <v>658</v>
      </c>
      <c r="E1" s="43"/>
      <c r="F1" s="44"/>
      <c r="G1" s="44"/>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row>
    <row r="2" ht="15" customHeight="1" hidden="1" spans="1:17" x14ac:dyDescent="0.25">
      <c r="A2" s="164"/>
      <c r="B2" s="165"/>
      <c r="C2" s="165"/>
      <c r="D2" s="165"/>
      <c r="E2" s="165"/>
      <c r="F2" s="165"/>
      <c r="G2" s="166" t="s">
        <v>652</v>
      </c>
      <c r="H2" s="166" t="s">
        <v>652</v>
      </c>
      <c r="I2" s="166" t="s">
        <v>652</v>
      </c>
      <c r="J2" s="166" t="s">
        <v>652</v>
      </c>
      <c r="K2" s="166" t="s">
        <v>652</v>
      </c>
      <c r="L2" s="166" t="s">
        <v>652</v>
      </c>
      <c r="M2" s="166" t="s">
        <v>652</v>
      </c>
      <c r="N2" s="166" t="s">
        <v>652</v>
      </c>
      <c r="O2" s="166" t="s">
        <v>652</v>
      </c>
      <c r="P2" s="166" t="s">
        <v>652</v>
      </c>
      <c r="Q2" s="167" t="s">
        <v>659</v>
      </c>
    </row>
    <row r="3" ht="24" customHeight="1" hidden="1" spans="1:17" x14ac:dyDescent="0.25">
      <c r="A3" s="164"/>
      <c r="B3" s="165"/>
      <c r="C3" s="165"/>
      <c r="D3" s="165"/>
      <c r="E3" s="165"/>
      <c r="F3" s="165"/>
      <c r="G3" s="166" t="s">
        <v>660</v>
      </c>
      <c r="H3" s="166" t="s">
        <v>661</v>
      </c>
      <c r="I3" s="166" t="s">
        <v>654</v>
      </c>
      <c r="J3" s="166" t="s">
        <v>662</v>
      </c>
      <c r="K3" s="166" t="s">
        <v>663</v>
      </c>
      <c r="L3" s="166" t="s">
        <v>664</v>
      </c>
      <c r="M3" s="166" t="s">
        <v>665</v>
      </c>
      <c r="N3" s="166" t="s">
        <v>666</v>
      </c>
      <c r="O3" s="166" t="s">
        <v>667</v>
      </c>
      <c r="P3" s="166" t="s">
        <v>668</v>
      </c>
      <c r="Q3" s="167"/>
    </row>
    <row r="4" ht="36" customHeight="1" spans="1:17" x14ac:dyDescent="0.25">
      <c r="A4" s="168"/>
      <c r="B4" s="169" t="s">
        <v>528</v>
      </c>
      <c r="C4" s="169" t="s">
        <v>529</v>
      </c>
      <c r="D4" s="169" t="s">
        <v>37</v>
      </c>
      <c r="E4" s="169" t="s">
        <v>669</v>
      </c>
      <c r="F4" s="170" t="s">
        <v>531</v>
      </c>
      <c r="G4" s="166" t="s">
        <v>670</v>
      </c>
      <c r="H4" s="166" t="s">
        <v>671</v>
      </c>
      <c r="I4" s="166" t="s">
        <v>672</v>
      </c>
      <c r="J4" s="166" t="s">
        <v>655</v>
      </c>
      <c r="K4" s="166" t="s">
        <v>673</v>
      </c>
      <c r="L4" s="166" t="s">
        <v>674</v>
      </c>
      <c r="M4" s="166" t="s">
        <v>675</v>
      </c>
      <c r="N4" s="166" t="s">
        <v>676</v>
      </c>
      <c r="O4" s="166" t="s">
        <v>677</v>
      </c>
      <c r="P4" s="166" t="s">
        <v>678</v>
      </c>
      <c r="Q4" s="167"/>
    </row>
    <row r="5" spans="1:17" x14ac:dyDescent="0.25">
      <c r="A5" s="171" t="s">
        <v>679</v>
      </c>
      <c r="B5" s="172"/>
      <c r="C5" s="172"/>
      <c r="D5" s="172">
        <f>ETPT_JUR_ASS_DDG!D5</f>
        <v>0</v>
      </c>
      <c r="E5" s="172" t="s">
        <v>578</v>
      </c>
      <c r="F5" s="173" t="s">
        <v>579</v>
      </c>
      <c r="G5" s="174" t="e">
        <f t="array" ref="G5">SUM(SUMIFS(
INDEX( 'ETPT Format DDG'!$A:$ZZ,,MATCH("1. TOTAL CONTENTIEUX SOCIAL",'ETPT Format DDG'!2:2,0)),
INDEX( 'ETPT Format DDG'!$A:$ZZ,,MATCH("Fonction recodée",'ETPT Format DDG'!2:2,0)),{"CONT A JP Siège";"CONT A JP Parquet";"CONT A VIF Siège";"CONT A VIF Parquet"},
INDEX( 'ETPT Format DDG'!$A:$ZZ,,MATCH("Juridiction",'ETPT Format DDG'!2:2,0)),$D$5))+
SUM(SUMIFS(
INDEX( 'ETPT Format DDG'!$A:$ZZ,,MATCH("2. TOTAL CONTENTIEUX JAF",'ETPT Format DDG'!2:2,0)),
INDEX( 'ETPT Format DDG'!$A:$ZZ,,MATCH("Fonction recodée",'ETPT Format DDG'!2:2,0)),{"CONT A JP Siège";"CONT A JP Parquet";"CONT A VIF Siège";"CONT A VIF Parquet"},
INDEX( 'ETPT Format DDG'!$A:$ZZ,,MATCH("Juridiction",'ETPT Format DDG'!2:2,0)),$D$5))+
SUM(SUMIFS(
INDEX( 'ETPT Format DDG'!$A:$ZZ,,MATCH("3. TOTAL CONTENTIEUX DE LA PROTECTION",'ETPT Format DDG'!2:2,0)),
INDEX( 'ETPT Format DDG'!$A:$ZZ,,MATCH("Fonction recodée",'ETPT Format DDG'!2:2,0)),{"CONT A JP Siège";"CONT A JP Parquet";"CONT A VIF Siège";"CONT A VIF Parquet"},
INDEX( 'ETPT Format DDG'!$A:$ZZ,,MATCH("Juridiction",'ETPT Format DDG'!2:2,0)),$D$5))+
SUM(SUMIFS(
INDEX( 'ETPT Format DDG'!$A:$ZZ,,MATCH("4. TOTAL CIVIL NON SPÉCIALISÉ",'ETPT Format DDG'!2:2,0)),
INDEX( 'ETPT Format DDG'!$A:$ZZ,,MATCH("Fonction recodée",'ETPT Format DDG'!2:2,0)),{"CONT A JP Siège";"CONT A JP Parquet";"CONT A VIF Siège";"CONT A VIF Parquet"},
INDEX( 'ETPT Format DDG'!$A:$ZZ,,MATCH("Juridiction",'ETPT Format DDG'!2:2,0)),$D$5))+
SUM(SUMIFS(
INDEX( 'ETPT Format DDG'!$A:$ZZ,,MATCH("5. TOTAL JLD CIVIL",'ETPT Format DDG'!2:2,0)),
INDEX( 'ETPT Format DDG'!$A:$ZZ,,MATCH("Fonction recodée",'ETPT Format DDG'!2:2,0)),{"CONT A JP Siège";"CONT A JP Parquet";"CONT A VIF Siège";"CONT A VIF Parquet"},
INDEX( 'ETPT Format DDG'!$A:$ZZ,,MATCH("Juridiction",'ETPT Format DDG'!2:2,0)),$D$5))+
SUM(SUMIFS(
INDEX( 'ETPT Format DDG'!$A:$ZZ,,MATCH("6.1. ACTIVITÉ CIVILE",'ETPT Format DDG'!2:2,0)),
INDEX( 'ETPT Format DDG'!$A:$ZZ,,MATCH("Fonction recodée",'ETPT Format DDG'!2:2,0)),{"CONT A JP Siège";"CONT A JP Parquet";"CONT A VIF Siège";"CONT A VIF Parquet"},
INDEX( 'ETPT Format DDG'!$A:$ZZ,,MATCH("Juridiction",'ETPT Format DDG'!2:2,0)),$D$5))+
SUM(SUMIFS(
INDEX( 'ETPT Format DDG'!$A:$ZZ,,MATCH("11.7. FONCTIONNAIRES AFFECTÉS AU CPH",'ETPT Format DDG'!2:2,0)),
INDEX( 'ETPT Format DDG'!$A:$ZZ,,MATCH("Fonction recodée",'ETPT Format DDG'!2:2,0)),{"CONT A JP Siège";"CONT A JP Parquet";"CONT A VIF Siège";"CONT A VIF Parquet"},
INDEX( 'ETPT Format DDG'!$A:$ZZ,,MATCH("Juridiction",'ETPT Format DDG'!2:2,0)),$D$5))</f>
        <v>#N/A</v>
      </c>
      <c r="H5" s="174" t="e">
        <f t="array" ref="H5">SUM(SUMIFS(
INDEX( 'ETPT Format DDG'!$A:$ZZ,,MATCH("11.8. FONCTIONNAIRES AFFECTÉS AUX ACTIVITÉS CIVILES ET COMMERCIALES DU PARQUET",'ETPT Format DDG'!2:2,0)),
INDEX( 'ETPT Format DDG'!$A:$ZZ,,MATCH("Fonction recodée",'ETPT Format DDG'!2:2,0)),{"CONT A JP Siège";"CONT A JP Parquet";"CONT A VIF Siège";"CONT A VIF Parquet"},
INDEX( 'ETPT Format DDG'!$A:$ZZ,,MATCH("Juridiction",'ETPT Format DDG'!2:2,0)),$D$5))</f>
        <v>#N/A</v>
      </c>
      <c r="I5" s="175"/>
      <c r="J5" s="176" t="e">
        <f t="array" ref="J5">SUM(SUMIFS(
INDEX( 'ETPT Format DDG'!$A:$ZZ,,MATCH("2. TOTAL CONTENTIEUX JAF",'ETPT Format DDG'!2:2,0)),
INDEX( 'ETPT Format DDG'!$A:$ZZ,,MATCH("Fonction recodée",'ETPT Format DDG'!2:2,0)),{"JA/AttJ JAP";"JA/AttJ JE";"JA/AttJ JI";"JA/AttJ JLD";"JA/AttJ Parquet";"JA/AttJ Siège autres";"JA/AttJ Social"},
INDEX( 'ETPT Format DDG'!$A:$ZZ,,MATCH("Juridiction",'ETPT Format DDG'!2:2,0)),$D$5))+
SUM(SUMIFS(
INDEX( 'ETPT Format DDG'!$A:$ZZ,,MATCH("3. TOTAL CONTENTIEUX DE LA PROTECTION",'ETPT Format DDG'!2:2,0)),
INDEX( 'ETPT Format DDG'!$A:$ZZ,,MATCH("Fonction recodée",'ETPT Format DDG'!2:2,0)),{"JA/AttJ JAP";"JA/AttJ JE";"JA/AttJ JI";"JA/AttJ JLD";"JA/AttJ Parquet";"JA/AttJ Siège autres";"JA/AttJ Social"},
INDEX( 'ETPT Format DDG'!$A:$ZZ,,MATCH("Juridiction",'ETPT Format DDG'!2:2,0)),$D$5))+
SUM(SUMIFS(
INDEX( 'ETPT Format DDG'!$A:$ZZ,,MATCH("4. TOTAL CIVIL NON SPÉCIALISÉ",'ETPT Format DDG'!2:2,0)),
INDEX( 'ETPT Format DDG'!$A:$ZZ,,MATCH("Fonction recodée",'ETPT Format DDG'!2:2,0)),{"JA/AttJ JAP";"JA/AttJ JE";"JA/AttJ JI";"JA/AttJ JLD";"JA/AttJ Parquet";"JA/AttJ Siège autres";"JA/AttJ Social"},
INDEX( 'ETPT Format DDG'!$A:$ZZ,,MATCH("Juridiction",'ETPT Format DDG'!2:2,0)),$D$5))+
SUM(SUMIFS(
INDEX( 'ETPT Format DDG'!$A:$ZZ,,MATCH("11.7. FONCTIONNAIRES AFFECTÉS AU CPH",'ETPT Format DDG'!2:2,0)),
INDEX( 'ETPT Format DDG'!$A:$ZZ,,MATCH("Fonction recodée",'ETPT Format DDG'!2:2,0)),{"JA/AttJ JAP";"JA/AttJ JE";"JA/AttJ JI";"JA/AttJ JLD";"JA/AttJ Parquet";"JA/AttJ Siège autres";"JA/AttJ Social"},
INDEX( 'ETPT Format DDG'!$A:$ZZ,,MATCH("Juridiction",'ETPT Format DDG'!2:2,0)),$D$5))</f>
        <v>#N/A</v>
      </c>
      <c r="K5" s="176" t="e">
        <f t="array" ref="K5">SUM(SUMIFS(
INDEX( 'ETPT Format DDG'!$A:$ZZ,,MATCH("11.8. FONCTIONNAIRES AFFECTÉS AUX ACTIVITÉS CIVILES ET COMMERCIALES DU PARQUET",'ETPT Format DDG'!2:2,0)),
INDEX( 'ETPT Format DDG'!$A:$ZZ,,MATCH("Fonction recodée",'ETPT Format DDG'!2:2,0)),{"JA/AttJ JAP";"JA/AttJ JE";"JA/AttJ JI";"JA/AttJ JLD";"JA/AttJ Parquet";"JA/AttJ Siège autres";"JA/AttJ Social"},
INDEX( 'ETPT Format DDG'!$A:$ZZ,,MATCH("Juridiction",'ETPT Format DDG'!2:2,0)),$D$5))</f>
        <v>#N/A</v>
      </c>
      <c r="L5" s="176" t="e">
        <f t="array" ref="L5">SUM(SUMIFS(
INDEX( 'ETPT Format DDG'!$A:$ZZ,,MATCH("1. TOTAL CONTENTIEUX SOCIAL",'ETPT Format DDG'!2:2,0)),
INDEX( 'ETPT Format DDG'!$A:$ZZ,,MATCH("Fonction recodée",'ETPT Format DDG'!2:2,0)),{"JA/AttJ JAP";"JA/AttJ JE";"JA/AttJ JI";"JA/AttJ JLD";"JA/AttJ Parquet";"JA/AttJ Siège autres";"JA/AttJ Social"},
INDEX( 'ETPT Format DDG'!$A:$ZZ,,MATCH("Juridiction",'ETPT Format DDG'!2:2,0)),$D$5))</f>
        <v>#N/A</v>
      </c>
      <c r="M5" s="176"/>
      <c r="N5" s="176" t="e">
        <f t="array" ref="N5">SUM(SUMIFS(
INDEX( 'ETPT Format DDG'!$A:$ZZ,,MATCH("6.1. ACTIVITÉ CIVILE",'ETPT Format DDG'!2:2,0)),
INDEX( 'ETPT Format DDG'!$A:$ZZ,,MATCH("Fonction recodée",'ETPT Format DDG'!2:2,0)),{"JA/AttJ JAP";"JA/AttJ JE";"JA/AttJ JI";"JA/AttJ JLD";"JA/AttJ Parquet";"JA/AttJ Siège autres";"JA/AttJ Social"},
INDEX( 'ETPT Format DDG'!$A:$ZZ,,MATCH("Juridiction",'ETPT Format DDG'!2:2,0)),$D$5))</f>
        <v>#N/A</v>
      </c>
      <c r="O5" s="176"/>
      <c r="P5" s="176" t="e">
        <f t="array" ref="P5">SUM(SUMIFS(
INDEX( 'ETPT Format DDG'!$A:$ZZ,,MATCH("5. TOTAL JLD CIVIL",'ETPT Format DDG'!2:2,0)),
INDEX( 'ETPT Format DDG'!$A:$ZZ,,MATCH("Fonction recodée",'ETPT Format DDG'!2:2,0)),{"JA/AttJ JAP";"JA/AttJ JE";"JA/AttJ JI";"JA/AttJ JLD";"JA/AttJ Parquet";"JA/AttJ Siège autres";"JA/AttJ Social"},
INDEX( 'ETPT Format DDG'!$A:$ZZ,,MATCH("Juridiction",'ETPT Format DDG'!2:2,0)),$D$5))</f>
        <v>#N/A</v>
      </c>
      <c r="Q5" s="177">
        <f>_xlfn.AGGREGATE(9,6,G5:P5)</f>
        <v>0</v>
      </c>
    </row>
    <row r="6" spans="1:17" x14ac:dyDescent="0.25">
      <c r="A6" s="171" t="s">
        <v>679</v>
      </c>
      <c r="B6" s="172"/>
      <c r="C6" s="172"/>
      <c r="D6" s="172">
        <f>ETPT_JUR_ASS_DDG!D6</f>
        <v>0</v>
      </c>
      <c r="E6" s="172" t="s">
        <v>580</v>
      </c>
      <c r="F6" s="173" t="s">
        <v>581</v>
      </c>
      <c r="G6" s="174" t="e">
        <f t="array" ref="G6">SUM(SUMIFS(
INDEX( 'ETPT Format DDG'!$A:$ZZ,,MATCH("6.2. ACTIVITÉ PÉNALE",'ETPT Format DDG'!2:2,0)),
INDEX( 'ETPT Format DDG'!$A:$ZZ,,MATCH("Fonction recodée",'ETPT Format DDG'!2:2,0)),{"CONT A JP Siège";"CONT A JP Parquet";"CONT A VIF Siège";"CONT A VIF Parquet"},
INDEX( 'ETPT Format DDG'!$A:$ZZ,,MATCH("Juridiction",'ETPT Format DDG'!2:2,0)),$D$5))+
SUM(SUMIFS(
INDEX( 'ETPT Format DDG'!$A:$ZZ,,MATCH("7. TOTAL SIÈGE PÉNAL",'ETPT Format DDG'!2:2,0)),
INDEX( 'ETPT Format DDG'!$A:$ZZ,,MATCH("Fonction recodée",'ETPT Format DDG'!2:2,0)),{"CONT A JP Siège";"CONT A JP Parquet";"CONT A VIF Siège";"CONT A VIF Parquet"},
INDEX( 'ETPT Format DDG'!$A:$ZZ,,MATCH("Juridiction",'ETPT Format DDG'!2:2,0)),$D$5))+
SUM(SUMIFS(
INDEX( 'ETPT Format DDG'!$A:$ZZ,,MATCH("8. TOTAL JUGES D'INSTRUCTION",'ETPT Format DDG'!2:2,0)),
INDEX( 'ETPT Format DDG'!$A:$ZZ,,MATCH("Fonction recodée",'ETPT Format DDG'!2:2,0)),{"CONT A JP Siège";"CONT A JP Parquet";"CONT A VIF Siège";"CONT A VIF Parquet"},
INDEX( 'ETPT Format DDG'!$A:$ZZ,,MATCH("Juridiction",'ETPT Format DDG'!2:2,0)),$D$5))+
SUM(SUMIFS(
INDEX( 'ETPT Format DDG'!$A:$ZZ,,MATCH("9. TOTAL JAP",'ETPT Format DDG'!2:2,0)),
INDEX( 'ETPT Format DDG'!$A:$ZZ,,MATCH("Fonction recodée",'ETPT Format DDG'!2:2,0)),{"CONT A JP Siège";"CONT A JP Parquet";"CONT A VIF Siège";"CONT A VIF Parquet"},
INDEX( 'ETPT Format DDG'!$A:$ZZ,,MATCH("Juridiction",'ETPT Format DDG'!2:2,0)),$D$5))+
SUM(SUMIFS(
INDEX( 'ETPT Format DDG'!$A:$ZZ,,MATCH("10. TOTAL JLD PÉNAL",'ETPT Format DDG'!2:2,0)),
INDEX( 'ETPT Format DDG'!$A:$ZZ,,MATCH("Fonction recodée",'ETPT Format DDG'!2:2,0)),{"CONT A JP Siège";"CONT A JP Parquet";"CONT A VIF Siège";"CONT A VIF Parquet"},
INDEX( 'ETPT Format DDG'!$A:$ZZ,,MATCH("Juridiction",'ETPT Format DDG'!2:2,0)),$D$5))</f>
        <v>#N/A</v>
      </c>
      <c r="H6" s="174" t="e">
        <f t="array" ref="H6">SUM(SUMIFS(
INDEX( 'ETPT Format DDG'!$A:$ZZ,,MATCH("11.9. FONCTIONNAIRES AFFECTÉS À L'EXÉCUTION DES PEINES",'ETPT Format DDG'!2:2,0)),
INDEX( 'ETPT Format DDG'!$A:$ZZ,,MATCH("Fonction recodée",'ETPT Format DDG'!2:2,0)),{"CONT A JP Siège";"CONT A JP Parquet";"CONT A VIF Siège";"CONT A VIF Parquet"},
INDEX( 'ETPT Format DDG'!$A:$ZZ,,MATCH("Juridiction",'ETPT Format DDG'!2:2,0)),$D$5))+
SUM(SUMIFS(
INDEX( 'ETPT Format DDG'!$A:$ZZ,,MATCH("11.10. AUTRES FONCTIONNAIRES AFFECTÉS AU PARQUET",'ETPT Format DDG'!2:2,0)),
INDEX( 'ETPT Format DDG'!$A:$ZZ,,MATCH("Fonction recodée",'ETPT Format DDG'!2:2,0)),{"CONT A JP Siège";"CONT A JP Parquet";"CONT A VIF Siège";"CONT A VIF Parquet"},
INDEX( 'ETPT Format DDG'!$A:$ZZ,,MATCH("Juridiction",'ETPT Format DDG'!2:2,0)),$D$5))</f>
        <v>#N/A</v>
      </c>
      <c r="I6" s="175"/>
      <c r="J6" s="176" t="e">
        <f t="array" ref="J6">SUM(SUMIFS(
INDEX( 'ETPT Format DDG'!$A:$ZZ,,MATCH("7. TOTAL SIÈGE PÉNAL",'ETPT Format DDG'!2:2,0)),
INDEX( 'ETPT Format DDG'!$A:$ZZ,,MATCH("Fonction recodée",'ETPT Format DDG'!2:2,0)),{"JA/AttJ JAP";"JA/AttJ JE";"JA/AttJ JI";"JA/AttJ JLD";"JA/AttJ Parquet";"JA/AttJ Siège autres";"JA/AttJ Social"},
INDEX( 'ETPT Format DDG'!$A:$ZZ,,MATCH("Juridiction",'ETPT Format DDG'!2:2,0)),$D$5))</f>
        <v>#N/A</v>
      </c>
      <c r="K6" s="176" t="e">
        <f t="array" ref="K6">SUM(SUMIFS(
INDEX( 'ETPT Format DDG'!$A:$ZZ,,MATCH("11.9. FONCTIONNAIRES AFFECTÉS À L'EXÉCUTION DES PEINES",'ETPT Format DDG'!2:2,0)),
INDEX( 'ETPT Format DDG'!$A:$ZZ,,MATCH("Fonction recodée",'ETPT Format DDG'!2:2,0)),{"JA/AttJ JAP";"JA/AttJ JE";"JA/AttJ JI";"JA/AttJ JLD";"JA/AttJ Parquet";"JA/AttJ Siège autres";"JA/AttJ Social"},
INDEX( 'ETPT Format DDG'!$A:$ZZ,,MATCH("Juridiction",'ETPT Format DDG'!2:2,0)),$D$5))+
SUM(SUMIFS(
INDEX( 'ETPT Format DDG'!$A:$ZZ,,MATCH("11.10. AUTRES FONCTIONNAIRES AFFECTÉS AU PARQUET",'ETPT Format DDG'!2:2,0)),
INDEX( 'ETPT Format DDG'!$A:$ZZ,,MATCH("Fonction recodée",'ETPT Format DDG'!2:2,0)),{"JA/AttJ JAP";"JA/AttJ JE";"JA/AttJ JI";"JA/AttJ JLD";"JA/AttJ Parquet";"JA/AttJ Siège autres";"JA/AttJ Social"},
INDEX( 'ETPT Format DDG'!$A:$ZZ,,MATCH("Juridiction",'ETPT Format DDG'!2:2,0)),$D$5))</f>
        <v>#N/A</v>
      </c>
      <c r="L6" s="176"/>
      <c r="M6" s="176" t="e">
        <f t="array" ref="M6">SUM(SUMIFS(
INDEX( 'ETPT Format DDG'!$A:$ZZ,,MATCH("9. TOTAL JAP",'ETPT Format DDG'!2:2,0)),
INDEX( 'ETPT Format DDG'!$A:$ZZ,,MATCH("Fonction recodée",'ETPT Format DDG'!2:2,0)),{"JA/AttJ JAP";"JA/AttJ JE";"JA/AttJ JI";"JA/AttJ JLD";"JA/AttJ Parquet";"JA/AttJ Siège autres";"JA/AttJ Social"},
INDEX( 'ETPT Format DDG'!$A:$ZZ,,MATCH("Juridiction",'ETPT Format DDG'!2:2,0)),$D$5))</f>
        <v>#N/A</v>
      </c>
      <c r="N6" s="176" t="e">
        <f t="array" ref="N6">SUM(SUMIFS(
INDEX( 'ETPT Format DDG'!$A:$ZZ,,MATCH("6.2. ACTIVITÉ PÉNALE",'ETPT Format DDG'!2:2,0)),
INDEX( 'ETPT Format DDG'!$A:$ZZ,,MATCH("Fonction recodée",'ETPT Format DDG'!2:2,0)),{"JA/AttJ JAP";"JA/AttJ JE";"JA/AttJ JI";"JA/AttJ JLD";"JA/AttJ Parquet";"JA/AttJ Siège autres";"JA/AttJ Social"},
INDEX( 'ETPT Format DDG'!$A:$ZZ,,MATCH("Juridiction",'ETPT Format DDG'!2:2,0)),$D$5))</f>
        <v>#N/A</v>
      </c>
      <c r="O6" s="176" t="e">
        <f t="array" ref="O6">SUM(SUMIFS(
INDEX( 'ETPT Format DDG'!$A:$ZZ,,MATCH("8. TOTAL JUGES D'INSTRUCTION",'ETPT Format DDG'!2:2,0)),
INDEX( 'ETPT Format DDG'!$A:$ZZ,,MATCH("Fonction recodée",'ETPT Format DDG'!2:2,0)),{"JA/AttJ JAP";"JA/AttJ JE";"JA/AttJ JI";"JA/AttJ JLD";"JA/AttJ Parquet";"JA/AttJ Siège autres";"JA/AttJ Social"},
INDEX( 'ETPT Format DDG'!$A:$ZZ,,MATCH("Juridiction",'ETPT Format DDG'!2:2,0)),$D$5))</f>
        <v>#N/A</v>
      </c>
      <c r="P6" s="176" t="e">
        <f t="array" ref="P6">SUM(SUMIFS(
INDEX( 'ETPT Format DDG'!$A:$ZZ,,MATCH("10. TOTAL JLD PÉNAL",'ETPT Format DDG'!2:2,0)),
INDEX( 'ETPT Format DDG'!$A:$ZZ,,MATCH("Fonction recodée",'ETPT Format DDG'!2:2,0)),{"JA/AttJ JAP";"JA/AttJ JE";"JA/AttJ JI";"JA/AttJ JLD";"JA/AttJ Parquet";"JA/AttJ Siège autres";"JA/AttJ Social"},
INDEX( 'ETPT Format DDG'!$A:$ZZ,,MATCH("Juridiction",'ETPT Format DDG'!2:2,0)),$D$5))</f>
        <v>#N/A</v>
      </c>
      <c r="Q6" s="177">
        <f t="shared" ref="Q6:Q11" si="0">_xlfn.AGGREGATE(9,6,G6:P6)</f>
        <v>0</v>
      </c>
    </row>
    <row r="7" spans="1:17" x14ac:dyDescent="0.25">
      <c r="A7" s="171" t="s">
        <v>679</v>
      </c>
      <c r="B7" s="172"/>
      <c r="C7" s="172"/>
      <c r="D7" s="172">
        <f>ETPT_JUR_ASS_DDG!D7</f>
        <v>0</v>
      </c>
      <c r="E7" s="172" t="s">
        <v>587</v>
      </c>
      <c r="F7" s="173" t="s">
        <v>588</v>
      </c>
      <c r="G7" s="174" t="e">
        <f t="array" ref="G7">SUM(SUMIFS(
INDEX( 'ETPT Format DDG'!$A:$ZZ,,MATCH("11.51. ACCUEIL DU JUSTICIABLE (DONT SAUJ)",'ETPT Format DDG'!2:2,0)),
INDEX( 'ETPT Format DDG'!$A:$ZZ,,MATCH("Fonction recodée",'ETPT Format DDG'!2:2,0)),{"CONT A JP Siège";"CONT A VIF Siège"},
INDEX( 'ETPT Format DDG'!$A:$ZZ,,MATCH("Juridiction",'ETPT Format DDG'!2:2,0)),$D$5))</f>
        <v>#N/A</v>
      </c>
      <c r="H7" s="174" t="e">
        <f t="array" ref="H7">SUM(SUMIFS(
INDEX( 'ETPT Format DDG'!$A:$ZZ,,MATCH("11.51. ACCUEIL DU JUSTICIABLE (DONT SAUJ)",'ETPT Format DDG'!2:2,0)),
INDEX( 'ETPT Format DDG'!$A:$ZZ,,MATCH("Fonction recodée",'ETPT Format DDG'!2:2,0)),{"CONT A JP Parquet";"CONT A VIF Parquet"},
INDEX( 'ETPT Format DDG'!$A:$ZZ,,MATCH("Juridiction",'ETPT Format DDG'!2:2,0)),$D$5))</f>
        <v>#N/A</v>
      </c>
      <c r="I7" s="175"/>
      <c r="J7" s="176" t="e">
        <f>SUM(SUMIFS(
INDEX( 'ETPT Format DDG'!$A:$ZZ,,MATCH("11.51. ACCUEIL DU JUSTICIABLE (DONT SAUJ)",'ETPT Format DDG'!2:2,0)),
INDEX( 'ETPT Format DDG'!$A:$ZZ,,MATCH("Fonction recodée",'ETPT Format DDG'!2:2,0)),"JA/AttJ Siège autres",
INDEX( 'ETPT Format DDG'!$A:$ZZ,,MATCH("Juridiction",'ETPT Format DDG'!2:2,0)),$D$5))</f>
        <v>#N/A</v>
      </c>
      <c r="K7" s="176" t="e">
        <f>SUM(SUMIFS(
INDEX( 'ETPT Format DDG'!$A:$ZZ,,MATCH("11.51. ACCUEIL DU JUSTICIABLE (DONT SAUJ)",'ETPT Format DDG'!2:2,0)),
INDEX( 'ETPT Format DDG'!$A:$ZZ,,MATCH("Fonction recodée",'ETPT Format DDG'!2:2,0)),"JA/AttJ Parquet",
INDEX( 'ETPT Format DDG'!$A:$ZZ,,MATCH("Juridiction",'ETPT Format DDG'!2:2,0)),$D$5))</f>
        <v>#N/A</v>
      </c>
      <c r="L7" s="176" t="e">
        <f>SUM(SUMIFS(
INDEX( 'ETPT Format DDG'!$A:$ZZ,,MATCH("11.51. ACCUEIL DU JUSTICIABLE (DONT SAUJ)",'ETPT Format DDG'!2:2,0)),
INDEX( 'ETPT Format DDG'!$A:$ZZ,,MATCH("Fonction recodée",'ETPT Format DDG'!2:2,0)),"JA/AttJ Social",
INDEX( 'ETPT Format DDG'!$A:$ZZ,,MATCH("Juridiction",'ETPT Format DDG'!2:2,0)),$D$5))</f>
        <v>#N/A</v>
      </c>
      <c r="M7" s="176" t="e">
        <f>SUM(SUMIFS(
INDEX( 'ETPT Format DDG'!$A:$ZZ,,MATCH("11.51. ACCUEIL DU JUSTICIABLE (DONT SAUJ)",'ETPT Format DDG'!2:2,0)),
INDEX( 'ETPT Format DDG'!$A:$ZZ,,MATCH("Fonction recodée",'ETPT Format DDG'!2:2,0)),"JA/AttJ JAP",
INDEX( 'ETPT Format DDG'!$A:$ZZ,,MATCH("Juridiction",'ETPT Format DDG'!2:2,0)),$D$5))</f>
        <v>#N/A</v>
      </c>
      <c r="N7" s="176" t="e">
        <f>SUM(SUMIFS(
INDEX( 'ETPT Format DDG'!$A:$ZZ,,MATCH("11.51. ACCUEIL DU JUSTICIABLE (DONT SAUJ)",'ETPT Format DDG'!2:2,0)),
INDEX( 'ETPT Format DDG'!$A:$ZZ,,MATCH("Fonction recodée",'ETPT Format DDG'!2:2,0)),"JA/AttJ JE",
INDEX( 'ETPT Format DDG'!$A:$ZZ,,MATCH("Juridiction",'ETPT Format DDG'!2:2,0)),$D$5))</f>
        <v>#N/A</v>
      </c>
      <c r="O7" s="176" t="e">
        <f>SUM(SUMIFS(
INDEX( 'ETPT Format DDG'!$A:$ZZ,,MATCH("11.51. ACCUEIL DU JUSTICIABLE (DONT SAUJ)",'ETPT Format DDG'!2:2,0)),
INDEX( 'ETPT Format DDG'!$A:$ZZ,,MATCH("Fonction recodée",'ETPT Format DDG'!2:2,0)),"JA/AttJ JI",
INDEX( 'ETPT Format DDG'!$A:$ZZ,,MATCH("Juridiction",'ETPT Format DDG'!2:2,0)),$D$5))</f>
        <v>#N/A</v>
      </c>
      <c r="P7" s="176" t="e">
        <f>SUM(SUMIFS(
INDEX( 'ETPT Format DDG'!$A:$ZZ,,MATCH("11.51. ACCUEIL DU JUSTICIABLE (DONT SAUJ)",'ETPT Format DDG'!2:2,0)),
INDEX( 'ETPT Format DDG'!$A:$ZZ,,MATCH("Fonction recodée",'ETPT Format DDG'!2:2,0)),"JA/AttJ JLD",
INDEX( 'ETPT Format DDG'!$A:$ZZ,,MATCH("Juridiction",'ETPT Format DDG'!2:2,0)),$D$5))</f>
        <v>#N/A</v>
      </c>
      <c r="Q7" s="177">
        <f t="shared" si="0"/>
        <v>0</v>
      </c>
    </row>
    <row r="8" spans="1:17" x14ac:dyDescent="0.25">
      <c r="A8" s="171" t="s">
        <v>679</v>
      </c>
      <c r="B8" s="172"/>
      <c r="C8" s="172"/>
      <c r="D8" s="172">
        <f>ETPT_JUR_ASS_DDG!D8</f>
        <v>0</v>
      </c>
      <c r="E8" s="172" t="s">
        <v>589</v>
      </c>
      <c r="F8" s="173" t="s">
        <v>590</v>
      </c>
      <c r="G8" s="174" t="e">
        <f t="array" ref="G8">SUM(SUMIFS(
INDEX( 'ETPT Format DDG'!$A:$ZZ,,MATCH("11.1. SOUTIEN (HORS FORMATIONS SUIVIES)",'ETPT Format DDG'!2:2,0)),
INDEX( 'ETPT Format DDG'!$A:$ZZ,,MATCH("Fonction recodée",'ETPT Format DDG'!2:2,0)),{"CONT A JP Siège";"CONT A VIF Siège"},
INDEX( 'ETPT Format DDG'!$A:$ZZ,,MATCH("Juridiction",'ETPT Format DDG'!2:2,0)),$D$5))+
SUM(SUMIFS(
INDEX( 'ETPT Format DDG'!$A:$ZZ,,MATCH("11.2. FORMATIONS SUIVIES",'ETPT Format DDG'!2:2,0)),
INDEX( 'ETPT Format DDG'!$A:$ZZ,,MATCH("Fonction recodée",'ETPT Format DDG'!2:2,0)),{"CONT A JP Siège";"CONT A VIF Siège"},
INDEX( 'ETPT Format DDG'!$A:$ZZ,,MATCH("Juridiction",'ETPT Format DDG'!2:2,0)),$D$5))+
SUM(SUMIFS(
INDEX( 'ETPT Format DDG'!$A:$ZZ,,MATCH("11.6. AUTRES ACTIVITÉS NON JURIDICTIONNELLES",'ETPT Format DDG'!2:2,0)),
INDEX( 'ETPT Format DDG'!$A:$ZZ,,MATCH("Fonction recodée",'ETPT Format DDG'!2:2,0)),{"CONT A JP Siège";"CONT A VIF Siège"},
INDEX( 'ETPT Format DDG'!$A:$ZZ,,MATCH("Juridiction",'ETPT Format DDG'!2:2,0)),$D$5))</f>
        <v>#N/A</v>
      </c>
      <c r="H8" s="174" t="e">
        <f t="array" ref="H8">SUM(SUMIFS(
INDEX( 'ETPT Format DDG'!$A:$ZZ,,MATCH("11.1. SOUTIEN (HORS FORMATIONS SUIVIES)",'ETPT Format DDG'!2:2,0)),
INDEX( 'ETPT Format DDG'!$A:$ZZ,,MATCH("Fonction recodée",'ETPT Format DDG'!2:2,0)),{"CONT A JP Parquet";"CONT A VIF Parquet"},
INDEX( 'ETPT Format DDG'!$A:$ZZ,,MATCH("Juridiction",'ETPT Format DDG'!2:2,0)),$D$5))+
SUM(SUMIFS(
INDEX( 'ETPT Format DDG'!$A:$ZZ,,MATCH("11.2. FORMATIONS SUIVIES",'ETPT Format DDG'!2:2,0)),
INDEX( 'ETPT Format DDG'!$A:$ZZ,,MATCH("Fonction recodée",'ETPT Format DDG'!2:2,0)),{"CONT A JP Parquet";"CONT A VIF Parquet"},
INDEX( 'ETPT Format DDG'!$A:$ZZ,,MATCH("Juridiction",'ETPT Format DDG'!2:2,0)),$D$5))+
SUM(SUMIFS(
INDEX( 'ETPT Format DDG'!$A:$ZZ,,MATCH("11.6. AUTRES ACTIVITÉS NON JURIDICTIONNELLES",'ETPT Format DDG'!2:2,0)),
INDEX( 'ETPT Format DDG'!$A:$ZZ,,MATCH("Fonction recodée",'ETPT Format DDG'!2:2,0)),{"CONT A JP Parquet";"CONT A VIF Parquet"},
INDEX( 'ETPT Format DDG'!$A:$ZZ,,MATCH("Juridiction",'ETPT Format DDG'!2:2,0)),$D$5))</f>
        <v>#N/A</v>
      </c>
      <c r="I8" s="175"/>
      <c r="J8" s="176" t="e">
        <f>SUM(SUMIFS(
INDEX( 'ETPT Format DDG'!$A:$ZZ,,MATCH("11.1. SOUTIEN (HORS FORMATIONS SUIVIES)",'ETPT Format DDG'!2:2,0)),
INDEX( 'ETPT Format DDG'!$A:$ZZ,,MATCH("Fonction recodée",'ETPT Format DDG'!2:2,0)),"JA/AttJ Siège autres",
INDEX( 'ETPT Format DDG'!$A:$ZZ,,MATCH("Juridiction",'ETPT Format DDG'!2:2,0)),$D$5))+
SUM(SUMIFS(
INDEX( 'ETPT Format DDG'!$A:$ZZ,,MATCH("11.2. FORMATIONS SUIVIES",'ETPT Format DDG'!2:2,0)),
INDEX( 'ETPT Format DDG'!$A:$ZZ,,MATCH("Fonction recodée",'ETPT Format DDG'!2:2,0)),"JA/AttJ Siège autres",
INDEX( 'ETPT Format DDG'!$A:$ZZ,,MATCH("Juridiction",'ETPT Format DDG'!2:2,0)),$D$5))+
SUM(SUMIFS(
INDEX( 'ETPT Format DDG'!$A:$ZZ,,MATCH("11.6. AUTRES ACTIVITÉS NON JURIDICTIONNELLES",'ETPT Format DDG'!2:2,0)),
INDEX( 'ETPT Format DDG'!$A:$ZZ,,MATCH("Fonction recodée",'ETPT Format DDG'!2:2,0)),"JA/AttJ Siège autres",
INDEX( 'ETPT Format DDG'!$A:$ZZ,,MATCH("Juridiction",'ETPT Format DDG'!2:2,0)),$D$5))</f>
        <v>#N/A</v>
      </c>
      <c r="K8" s="176" t="e">
        <f>SUM(SUMIFS(
INDEX( 'ETPT Format DDG'!$A:$ZZ,,MATCH("11.1. SOUTIEN (HORS FORMATIONS SUIVIES)",'ETPT Format DDG'!2:2,0)),
INDEX( 'ETPT Format DDG'!$A:$ZZ,,MATCH("Fonction recodée",'ETPT Format DDG'!2:2,0)),"JA/AttJ Parquet",
INDEX( 'ETPT Format DDG'!$A:$ZZ,,MATCH("Juridiction",'ETPT Format DDG'!2:2,0)),$D$5))+
SUM(SUMIFS(
INDEX( 'ETPT Format DDG'!$A:$ZZ,,MATCH("11.2. FORMATIONS SUIVIES",'ETPT Format DDG'!2:2,0)),
INDEX( 'ETPT Format DDG'!$A:$ZZ,,MATCH("Fonction recodée",'ETPT Format DDG'!2:2,0)),"JA/AttJ Parquet",
INDEX( 'ETPT Format DDG'!$A:$ZZ,,MATCH("Juridiction",'ETPT Format DDG'!2:2,0)),$D$5))+
SUM(SUMIFS(
INDEX( 'ETPT Format DDG'!$A:$ZZ,,MATCH("11.6. AUTRES ACTIVITÉS NON JURIDICTIONNELLES",'ETPT Format DDG'!2:2,0)),
INDEX( 'ETPT Format DDG'!$A:$ZZ,,MATCH("Fonction recodée",'ETPT Format DDG'!2:2,0)),"JA/AttJ Parquet",
INDEX( 'ETPT Format DDG'!$A:$ZZ,,MATCH("Juridiction",'ETPT Format DDG'!2:2,0)),$D$5))</f>
        <v>#N/A</v>
      </c>
      <c r="L8" s="176" t="e">
        <f>SUM(SUMIFS(
INDEX( 'ETPT Format DDG'!$A:$ZZ,,MATCH("11.1. SOUTIEN (HORS FORMATIONS SUIVIES)",'ETPT Format DDG'!2:2,0)),
INDEX( 'ETPT Format DDG'!$A:$ZZ,,MATCH("Fonction recodée",'ETPT Format DDG'!2:2,0)),"JA/AttJ Social",
INDEX( 'ETPT Format DDG'!$A:$ZZ,,MATCH("Juridiction",'ETPT Format DDG'!2:2,0)),$D$5))+
SUM(SUMIFS(
INDEX( 'ETPT Format DDG'!$A:$ZZ,,MATCH("11.2. FORMATIONS SUIVIES",'ETPT Format DDG'!2:2,0)),
INDEX( 'ETPT Format DDG'!$A:$ZZ,,MATCH("Fonction recodée",'ETPT Format DDG'!2:2,0)),"JA/AttJ Social",
INDEX( 'ETPT Format DDG'!$A:$ZZ,,MATCH("Juridiction",'ETPT Format DDG'!2:2,0)),$D$5))+
SUM(SUMIFS(
INDEX( 'ETPT Format DDG'!$A:$ZZ,,MATCH("11.6. AUTRES ACTIVITÉS NON JURIDICTIONNELLES",'ETPT Format DDG'!2:2,0)),
INDEX( 'ETPT Format DDG'!$A:$ZZ,,MATCH("Fonction recodée",'ETPT Format DDG'!2:2,0)),"JA/AttJ Social",
INDEX( 'ETPT Format DDG'!$A:$ZZ,,MATCH("Juridiction",'ETPT Format DDG'!2:2,0)),$D$5))</f>
        <v>#N/A</v>
      </c>
      <c r="M8" s="176" t="e">
        <f>SUM(SUMIFS(
INDEX( 'ETPT Format DDG'!$A:$ZZ,,MATCH("11.1. SOUTIEN (HORS FORMATIONS SUIVIES)",'ETPT Format DDG'!2:2,0)),
INDEX( 'ETPT Format DDG'!$A:$ZZ,,MATCH("Fonction recodée",'ETPT Format DDG'!2:2,0)),"JA/AttJ JAP",
INDEX( 'ETPT Format DDG'!$A:$ZZ,,MATCH("Juridiction",'ETPT Format DDG'!2:2,0)),$D$5))+
SUM(SUMIFS(
INDEX( 'ETPT Format DDG'!$A:$ZZ,,MATCH("11.2. FORMATIONS SUIVIES",'ETPT Format DDG'!2:2,0)),
INDEX( 'ETPT Format DDG'!$A:$ZZ,,MATCH("Fonction recodée",'ETPT Format DDG'!2:2,0)),"JA/AttJ JAP",
INDEX( 'ETPT Format DDG'!$A:$ZZ,,MATCH("Juridiction",'ETPT Format DDG'!2:2,0)),$D$5))+
SUM(SUMIFS(
INDEX( 'ETPT Format DDG'!$A:$ZZ,,MATCH("11.6. AUTRES ACTIVITÉS NON JURIDICTIONNELLES",'ETPT Format DDG'!2:2,0)),
INDEX( 'ETPT Format DDG'!$A:$ZZ,,MATCH("Fonction recodée",'ETPT Format DDG'!2:2,0)),"JA/AttJ JAP",
INDEX( 'ETPT Format DDG'!$A:$ZZ,,MATCH("Juridiction",'ETPT Format DDG'!2:2,0)),$D$5))</f>
        <v>#N/A</v>
      </c>
      <c r="N8" s="176" t="e">
        <f>SUM(SUMIFS(
INDEX( 'ETPT Format DDG'!$A:$ZZ,,MATCH("11.1. SOUTIEN (HORS FORMATIONS SUIVIES)",'ETPT Format DDG'!2:2,0)),
INDEX( 'ETPT Format DDG'!$A:$ZZ,,MATCH("Fonction recodée",'ETPT Format DDG'!2:2,0)),"JA/AttJ JE",
INDEX( 'ETPT Format DDG'!$A:$ZZ,,MATCH("Juridiction",'ETPT Format DDG'!2:2,0)),$D$5))+
SUM(SUMIFS(
INDEX( 'ETPT Format DDG'!$A:$ZZ,,MATCH("11.2. FORMATIONS SUIVIES",'ETPT Format DDG'!2:2,0)),
INDEX( 'ETPT Format DDG'!$A:$ZZ,,MATCH("Fonction recodée",'ETPT Format DDG'!2:2,0)),"JA/AttJ JE",
INDEX( 'ETPT Format DDG'!$A:$ZZ,,MATCH("Juridiction",'ETPT Format DDG'!2:2,0)),$D$5))+
SUM(SUMIFS(
INDEX( 'ETPT Format DDG'!$A:$ZZ,,MATCH("11.6. AUTRES ACTIVITÉS NON JURIDICTIONNELLES",'ETPT Format DDG'!2:2,0)),
INDEX( 'ETPT Format DDG'!$A:$ZZ,,MATCH("Fonction recodée",'ETPT Format DDG'!2:2,0)),"JA/AttJ JE",
INDEX( 'ETPT Format DDG'!$A:$ZZ,,MATCH("Juridiction",'ETPT Format DDG'!2:2,0)),$D$5))</f>
        <v>#N/A</v>
      </c>
      <c r="O8" s="176" t="e">
        <f>SUM(SUMIFS(
INDEX( 'ETPT Format DDG'!$A:$ZZ,,MATCH("11.1. SOUTIEN (HORS FORMATIONS SUIVIES)",'ETPT Format DDG'!2:2,0)),
INDEX( 'ETPT Format DDG'!$A:$ZZ,,MATCH("Fonction recodée",'ETPT Format DDG'!2:2,0)),"JA/AttJ JI",
INDEX( 'ETPT Format DDG'!$A:$ZZ,,MATCH("Juridiction",'ETPT Format DDG'!2:2,0)),$D$5))+
SUM(SUMIFS(
INDEX( 'ETPT Format DDG'!$A:$ZZ,,MATCH("11.2. FORMATIONS SUIVIES",'ETPT Format DDG'!2:2,0)),
INDEX( 'ETPT Format DDG'!$A:$ZZ,,MATCH("Fonction recodée",'ETPT Format DDG'!2:2,0)),"JA/AttJ JI",
INDEX( 'ETPT Format DDG'!$A:$ZZ,,MATCH("Juridiction",'ETPT Format DDG'!2:2,0)),$D$5))+
SUM(SUMIFS(
INDEX( 'ETPT Format DDG'!$A:$ZZ,,MATCH("11.6. AUTRES ACTIVITÉS NON JURIDICTIONNELLES",'ETPT Format DDG'!2:2,0)),
INDEX( 'ETPT Format DDG'!$A:$ZZ,,MATCH("Fonction recodée",'ETPT Format DDG'!2:2,0)),"JA/AttJ JI",
INDEX( 'ETPT Format DDG'!$A:$ZZ,,MATCH("Juridiction",'ETPT Format DDG'!2:2,0)),$D$5))</f>
        <v>#N/A</v>
      </c>
      <c r="P8" s="176" t="e">
        <f>SUM(SUMIFS(
INDEX( 'ETPT Format DDG'!$A:$ZZ,,MATCH("11.1. SOUTIEN (HORS FORMATIONS SUIVIES)",'ETPT Format DDG'!2:2,0)),
INDEX( 'ETPT Format DDG'!$A:$ZZ,,MATCH("Fonction recodée",'ETPT Format DDG'!2:2,0)),"JA/AttJ JLD",
INDEX( 'ETPT Format DDG'!$A:$ZZ,,MATCH("Juridiction",'ETPT Format DDG'!2:2,0)),$D$5))+
SUM(SUMIFS(
INDEX( 'ETPT Format DDG'!$A:$ZZ,,MATCH("11.2. FORMATIONS SUIVIES",'ETPT Format DDG'!2:2,0)),
INDEX( 'ETPT Format DDG'!$A:$ZZ,,MATCH("Fonction recodée",'ETPT Format DDG'!2:2,0)),"JA/AttJ JLD",
INDEX( 'ETPT Format DDG'!$A:$ZZ,,MATCH("Juridiction",'ETPT Format DDG'!2:2,0)),$D$5))+
SUM(SUMIFS(
INDEX( 'ETPT Format DDG'!$A:$ZZ,,MATCH("11.6. AUTRES ACTIVITÉS NON JURIDICTIONNELLES",'ETPT Format DDG'!2:2,0)),
INDEX( 'ETPT Format DDG'!$A:$ZZ,,MATCH("Fonction recodée",'ETPT Format DDG'!2:2,0)),"JA/AttJ JLD",
INDEX( 'ETPT Format DDG'!$A:$ZZ,,MATCH("Juridiction",'ETPT Format DDG'!2:2,0)),$D$5))</f>
        <v>#N/A</v>
      </c>
      <c r="Q8" s="177">
        <f t="shared" si="0"/>
        <v>0</v>
      </c>
    </row>
    <row r="9" spans="1:17" x14ac:dyDescent="0.25">
      <c r="A9" s="171" t="s">
        <v>679</v>
      </c>
      <c r="B9" s="172"/>
      <c r="C9" s="172"/>
      <c r="D9" s="172">
        <f>ETPT_JUR_ASS_DDG!D9</f>
        <v>0</v>
      </c>
      <c r="E9" s="172" t="s">
        <v>591</v>
      </c>
      <c r="F9" s="173" t="s">
        <v>592</v>
      </c>
      <c r="G9" s="174" t="e">
        <f t="array" ref="G9">SUM(SUMIFS(
INDEX( 'ETPT Format DDG'!$A:$ZZ,,MATCH("11.3. FORMATIONS DISPENSÉES",'ETPT Format DDG'!2:2,0)),
INDEX( 'ETPT Format DDG'!$A:$ZZ,,MATCH("Fonction recodée",'ETPT Format DDG'!2:2,0)),{"CONT A JP Siège";"CONT A VIF Siège"},
INDEX( 'ETPT Format DDG'!$A:$ZZ,,MATCH("Juridiction",'ETPT Format DDG'!2:2,0)),$D$5))</f>
        <v>#N/A</v>
      </c>
      <c r="H9" s="174" t="e">
        <f t="array" ref="H9">SUM(SUMIFS(
INDEX( 'ETPT Format DDG'!$A:$ZZ,,MATCH("11.3. FORMATIONS DISPENSÉES",'ETPT Format DDG'!2:2,0)),
INDEX( 'ETPT Format DDG'!$A:$ZZ,,MATCH("Fonction recodée",'ETPT Format DDG'!2:2,0)),{"CONT A JP Parquet";"CONT A VIF Parquet"},
INDEX( 'ETPT Format DDG'!$A:$ZZ,,MATCH("Juridiction",'ETPT Format DDG'!2:2,0)),$D$5))</f>
        <v>#N/A</v>
      </c>
      <c r="I9" s="175"/>
      <c r="J9" s="176" t="e">
        <f>SUM(SUMIFS(
INDEX( 'ETPT Format DDG'!$A:$ZZ,,MATCH("11.3. FORMATIONS DISPENSÉES",'ETPT Format DDG'!2:2,0)),
INDEX( 'ETPT Format DDG'!$A:$ZZ,,MATCH("Fonction recodée",'ETPT Format DDG'!2:2,0)),"JA/AttJ Siège autres",
INDEX( 'ETPT Format DDG'!$A:$ZZ,,MATCH("Juridiction",'ETPT Format DDG'!2:2,0)),$D$5))</f>
        <v>#N/A</v>
      </c>
      <c r="K9" s="176" t="e">
        <f>SUM(SUMIFS(
INDEX( 'ETPT Format DDG'!$A:$ZZ,,MATCH("11.3. FORMATIONS DISPENSÉES",'ETPT Format DDG'!2:2,0)),
INDEX( 'ETPT Format DDG'!$A:$ZZ,,MATCH("Fonction recodée",'ETPT Format DDG'!2:2,0)),"JA/AttJ Parquet",
INDEX( 'ETPT Format DDG'!$A:$ZZ,,MATCH("Juridiction",'ETPT Format DDG'!2:2,0)),$D$5))</f>
        <v>#N/A</v>
      </c>
      <c r="L9" s="176" t="e">
        <f>SUM(SUMIFS(
INDEX( 'ETPT Format DDG'!$A:$ZZ,,MATCH("11.3. FORMATIONS DISPENSÉES",'ETPT Format DDG'!2:2,0)),
INDEX( 'ETPT Format DDG'!$A:$ZZ,,MATCH("Fonction recodée",'ETPT Format DDG'!2:2,0)),"JA/AttJ Social",
INDEX( 'ETPT Format DDG'!$A:$ZZ,,MATCH("Juridiction",'ETPT Format DDG'!2:2,0)),$D$5))</f>
        <v>#N/A</v>
      </c>
      <c r="M9" s="176" t="e">
        <f>SUM(SUMIFS(
INDEX( 'ETPT Format DDG'!$A:$ZZ,,MATCH("11.3. FORMATIONS DISPENSÉES",'ETPT Format DDG'!2:2,0)),
INDEX( 'ETPT Format DDG'!$A:$ZZ,,MATCH("Fonction recodée",'ETPT Format DDG'!2:2,0)),"JA/AttJ JAP",
INDEX( 'ETPT Format DDG'!$A:$ZZ,,MATCH("Juridiction",'ETPT Format DDG'!2:2,0)),$D$5))</f>
        <v>#N/A</v>
      </c>
      <c r="N9" s="176" t="e">
        <f>SUM(SUMIFS(
INDEX( 'ETPT Format DDG'!$A:$ZZ,,MATCH("11.3. FORMATIONS DISPENSÉES",'ETPT Format DDG'!2:2,0)),
INDEX( 'ETPT Format DDG'!$A:$ZZ,,MATCH("Fonction recodée",'ETPT Format DDG'!2:2,0)),"JA/AttJ JE",
INDEX( 'ETPT Format DDG'!$A:$ZZ,,MATCH("Juridiction",'ETPT Format DDG'!2:2,0)),$D$5))</f>
        <v>#N/A</v>
      </c>
      <c r="O9" s="176" t="e">
        <f>SUM(SUMIFS(
INDEX( 'ETPT Format DDG'!$A:$ZZ,,MATCH("11.3. FORMATIONS DISPENSÉES",'ETPT Format DDG'!2:2,0)),
INDEX( 'ETPT Format DDG'!$A:$ZZ,,MATCH("Fonction recodée",'ETPT Format DDG'!2:2,0)),"JA/AttJ JI",
INDEX( 'ETPT Format DDG'!$A:$ZZ,,MATCH("Juridiction",'ETPT Format DDG'!2:2,0)),$D$5))</f>
        <v>#N/A</v>
      </c>
      <c r="P9" s="176" t="e">
        <f>SUM(SUMIFS(
INDEX( 'ETPT Format DDG'!$A:$ZZ,,MATCH("11.3. FORMATIONS DISPENSÉES",'ETPT Format DDG'!2:2,0)),
INDEX( 'ETPT Format DDG'!$A:$ZZ,,MATCH("Fonction recodée",'ETPT Format DDG'!2:2,0)),"JA/AttJ JLD",
INDEX( 'ETPT Format DDG'!$A:$ZZ,,MATCH("Juridiction",'ETPT Format DDG'!2:2,0)),$D$5))</f>
        <v>#N/A</v>
      </c>
      <c r="Q9" s="177">
        <f t="shared" si="0"/>
        <v>0</v>
      </c>
    </row>
    <row r="10" spans="1:17" x14ac:dyDescent="0.25">
      <c r="A10" s="171" t="s">
        <v>679</v>
      </c>
      <c r="B10" s="172"/>
      <c r="C10" s="172"/>
      <c r="D10" s="172">
        <f>ETPT_JUR_ASS_DDG!D10</f>
        <v>0</v>
      </c>
      <c r="E10" s="172" t="s">
        <v>593</v>
      </c>
      <c r="F10" s="173" t="s">
        <v>594</v>
      </c>
      <c r="G10" s="174" t="e">
        <f t="array" ref="G10">SUM(SUMIFS(
INDEX( 'ETPT Format DDG'!$A:$ZZ,,MATCH("11.4. ACCÈS AU DROIT ET À LA JUSTICE",'ETPT Format DDG'!2:2,0)),
INDEX( 'ETPT Format DDG'!$A:$ZZ,,MATCH("Fonction recodée",'ETPT Format DDG'!2:2,0)),{"CONT A JP Siège";"CONT A VIF Siège"},
INDEX( 'ETPT Format DDG'!$A:$ZZ,,MATCH("Juridiction",'ETPT Format DDG'!2:2,0)),$D$5))</f>
        <v>#N/A</v>
      </c>
      <c r="H10" s="174" t="e">
        <f t="array" ref="H10">SUM(SUMIFS(
INDEX( 'ETPT Format DDG'!$A:$ZZ,,MATCH("11.4. ACCÈS AU DROIT ET À LA JUSTICE",'ETPT Format DDG'!2:2,0)),
INDEX( 'ETPT Format DDG'!$A:$ZZ,,MATCH("Fonction recodée",'ETPT Format DDG'!2:2,0)),{"CONT A JP Parquet";"CONT A VIF Parquet"},
INDEX( 'ETPT Format DDG'!$A:$ZZ,,MATCH("Juridiction",'ETPT Format DDG'!2:2,0)),$D$5))</f>
        <v>#N/A</v>
      </c>
      <c r="I10" s="175"/>
      <c r="J10" s="176" t="e">
        <f>SUM(SUMIFS(
INDEX( 'ETPT Format DDG'!$A:$ZZ,,MATCH("11.4. ACCÈS AU DROIT ET À LA JUSTICE",'ETPT Format DDG'!2:2,0)),
INDEX( 'ETPT Format DDG'!$A:$ZZ,,MATCH("Fonction recodée",'ETPT Format DDG'!2:2,0)),"JA/AttJ Siège autres",
INDEX( 'ETPT Format DDG'!$A:$ZZ,,MATCH("Juridiction",'ETPT Format DDG'!2:2,0)),$D$5))</f>
        <v>#N/A</v>
      </c>
      <c r="K10" s="176" t="e">
        <f>SUM(SUMIFS(
INDEX( 'ETPT Format DDG'!$A:$ZZ,,MATCH("11.4. ACCÈS AU DROIT ET À LA JUSTICE",'ETPT Format DDG'!2:2,0)),
INDEX( 'ETPT Format DDG'!$A:$ZZ,,MATCH("Fonction recodée",'ETPT Format DDG'!2:2,0)),"JA/AttJ Parquet",
INDEX( 'ETPT Format DDG'!$A:$ZZ,,MATCH("Juridiction",'ETPT Format DDG'!2:2,0)),$D$5))</f>
        <v>#N/A</v>
      </c>
      <c r="L10" s="176" t="e">
        <f>SUM(SUMIFS(
INDEX( 'ETPT Format DDG'!$A:$ZZ,,MATCH("11.4. ACCÈS AU DROIT ET À LA JUSTICE",'ETPT Format DDG'!2:2,0)),
INDEX( 'ETPT Format DDG'!$A:$ZZ,,MATCH("Fonction recodée",'ETPT Format DDG'!2:2,0)),"JA/AttJ Social",
INDEX( 'ETPT Format DDG'!$A:$ZZ,,MATCH("Juridiction",'ETPT Format DDG'!2:2,0)),$D$5))</f>
        <v>#N/A</v>
      </c>
      <c r="M10" s="176" t="e">
        <f>SUM(SUMIFS(
INDEX( 'ETPT Format DDG'!$A:$ZZ,,MATCH("11.4. ACCÈS AU DROIT ET À LA JUSTICE",'ETPT Format DDG'!2:2,0)),
INDEX( 'ETPT Format DDG'!$A:$ZZ,,MATCH("Fonction recodée",'ETPT Format DDG'!2:2,0)),"JA/AttJ JAP",
INDEX( 'ETPT Format DDG'!$A:$ZZ,,MATCH("Juridiction",'ETPT Format DDG'!2:2,0)),$D$5))</f>
        <v>#N/A</v>
      </c>
      <c r="N10" s="176" t="e">
        <f>SUM(SUMIFS(
INDEX( 'ETPT Format DDG'!$A:$ZZ,,MATCH("11.4. ACCÈS AU DROIT ET À LA JUSTICE",'ETPT Format DDG'!2:2,0)),
INDEX( 'ETPT Format DDG'!$A:$ZZ,,MATCH("Fonction recodée",'ETPT Format DDG'!2:2,0)),"JA/AttJ JE",
INDEX( 'ETPT Format DDG'!$A:$ZZ,,MATCH("Juridiction",'ETPT Format DDG'!2:2,0)),$D$5))</f>
        <v>#N/A</v>
      </c>
      <c r="O10" s="176" t="e">
        <f>SUM(SUMIFS(
INDEX( 'ETPT Format DDG'!$A:$ZZ,,MATCH("11.4. ACCÈS AU DROIT ET À LA JUSTICE",'ETPT Format DDG'!2:2,0)),
INDEX( 'ETPT Format DDG'!$A:$ZZ,,MATCH("Fonction recodée",'ETPT Format DDG'!2:2,0)),"JA/AttJ JI",
INDEX( 'ETPT Format DDG'!$A:$ZZ,,MATCH("Juridiction",'ETPT Format DDG'!2:2,0)),$D$5))</f>
        <v>#N/A</v>
      </c>
      <c r="P10" s="176" t="e">
        <f>SUM(SUMIFS(
INDEX( 'ETPT Format DDG'!$A:$ZZ,,MATCH("11.4. ACCÈS AU DROIT ET À LA JUSTICE",'ETPT Format DDG'!2:2,0)),
INDEX( 'ETPT Format DDG'!$A:$ZZ,,MATCH("Fonction recodée",'ETPT Format DDG'!2:2,0)),"JA/AttJ JLD",
INDEX( 'ETPT Format DDG'!$A:$ZZ,,MATCH("Juridiction",'ETPT Format DDG'!2:2,0)),$D$5))</f>
        <v>#N/A</v>
      </c>
      <c r="Q10" s="177">
        <f t="shared" si="0"/>
        <v>0</v>
      </c>
    </row>
    <row r="11" spans="1:17" x14ac:dyDescent="0.25">
      <c r="A11" s="171" t="s">
        <v>679</v>
      </c>
      <c r="B11" s="172"/>
      <c r="C11" s="172"/>
      <c r="D11" s="172">
        <f>ETPT_JUR_ASS_DDG!D11</f>
        <v>0</v>
      </c>
      <c r="E11" s="172" t="s">
        <v>595</v>
      </c>
      <c r="F11" s="173" t="s">
        <v>596</v>
      </c>
      <c r="G11" s="174" t="e">
        <f t="array" ref="G11">SUM(SUMIFS(
INDEX( 'ETPT Format DDG'!$A:$ZZ,,MATCH("12. TOTAL des INDISPONIBILITÉS relevant de l'action 99",'ETPT Format DDG'!2:2,0)),
INDEX( 'ETPT Format DDG'!$A:$ZZ,,MATCH("Fonction recodée",'ETPT Format DDG'!2:2,0)),{"CONT A JP Siège";"CONT A VIF Siège"},
INDEX( 'ETPT Format DDG'!$A:$ZZ,,MATCH("Juridiction",'ETPT Format DDG'!2:2,0)),$D$5))-
SUM(SUMIFS(
INDEX( 'ETPT Format DDG'!$A:$ZZ,,MATCH("12.5. MISE À DISPOSITION",'ETPT Format DDG'!2:2,0)),
INDEX( 'ETPT Format DDG'!$A:$ZZ,,MATCH("Fonction recodée",'ETPT Format DDG'!2:2,0)),{"CONT A JP Siège";"CONT A VIF Siège"},
INDEX( 'ETPT Format DDG'!$A:$ZZ,,MATCH("Juridiction",'ETPT Format DDG'!2:2,0)),$D$5))</f>
        <v>#N/A</v>
      </c>
      <c r="H11" s="174" t="e">
        <f t="array" ref="H11">SUM(SUMIFS(
INDEX( 'ETPT Format DDG'!$A:$ZZ,,MATCH("12. TOTAL des INDISPONIBILITÉS relevant de l'action 99",'ETPT Format DDG'!2:2,0)),
INDEX( 'ETPT Format DDG'!$A:$ZZ,,MATCH("Fonction recodée",'ETPT Format DDG'!2:2,0)),{"CONT A JP Parquet";"CONT A VIF Parquet"},
INDEX( 'ETPT Format DDG'!$A:$ZZ,,MATCH("Juridiction",'ETPT Format DDG'!2:2,0)),$D$5))-
SUM(SUMIFS(
INDEX( 'ETPT Format DDG'!$A:$ZZ,,MATCH("12.5. MISE À DISPOSITION",'ETPT Format DDG'!2:2,0)),
INDEX( 'ETPT Format DDG'!$A:$ZZ,,MATCH("Fonction recodée",'ETPT Format DDG'!2:2,0)),{"CONT A JP Parquet";"CONT A VIF Parquet"},
INDEX( 'ETPT Format DDG'!$A:$ZZ,,MATCH("Juridiction",'ETPT Format DDG'!2:2,0)),$D$5))</f>
        <v>#N/A</v>
      </c>
      <c r="I11" s="175"/>
      <c r="J11" s="176" t="e">
        <f>SUM(SUMIFS(
INDEX( 'ETPT Format DDG'!$A:$ZZ,,MATCH("12. TOTAL des INDISPONIBILITÉS relevant de l'action 99",'ETPT Format DDG'!2:2,0)),
INDEX( 'ETPT Format DDG'!$A:$ZZ,,MATCH("Fonction recodée",'ETPT Format DDG'!2:2,0)),"JA/AttJ Siège autres",
INDEX( 'ETPT Format DDG'!$A:$ZZ,,MATCH("Juridiction",'ETPT Format DDG'!2:2,0)),$D$5))-
SUM(SUMIFS(
INDEX( 'ETPT Format DDG'!$A:$ZZ,,MATCH("12.5. MISE À DISPOSITION",'ETPT Format DDG'!2:2,0)),
INDEX( 'ETPT Format DDG'!$A:$ZZ,,MATCH("Fonction recodée",'ETPT Format DDG'!2:2,0)),"JA/AttJ Siège autres",
INDEX( 'ETPT Format DDG'!$A:$ZZ,,MATCH("Juridiction",'ETPT Format DDG'!2:2,0)),$D$5))</f>
        <v>#N/A</v>
      </c>
      <c r="K11" s="176" t="e">
        <f>SUM(SUMIFS(
INDEX( 'ETPT Format DDG'!$A:$ZZ,,MATCH("12. TOTAL des INDISPONIBILITÉS relevant de l'action 99",'ETPT Format DDG'!2:2,0)),
INDEX( 'ETPT Format DDG'!$A:$ZZ,,MATCH("Fonction recodée",'ETPT Format DDG'!2:2,0)),"JA/AttJ Parquet",
INDEX( 'ETPT Format DDG'!$A:$ZZ,,MATCH("Juridiction",'ETPT Format DDG'!2:2,0)),$D$5))-
SUM(SUMIFS(
INDEX( 'ETPT Format DDG'!$A:$ZZ,,MATCH("12.5. MISE À DISPOSITION",'ETPT Format DDG'!2:2,0)),
INDEX( 'ETPT Format DDG'!$A:$ZZ,,MATCH("Fonction recodée",'ETPT Format DDG'!2:2,0)),"JA/AttJ Parquet",
INDEX( 'ETPT Format DDG'!$A:$ZZ,,MATCH("Juridiction",'ETPT Format DDG'!2:2,0)),$D$5))</f>
        <v>#N/A</v>
      </c>
      <c r="L11" s="176" t="e">
        <f>SUM(SUMIFS(
INDEX( 'ETPT Format DDG'!$A:$ZZ,,MATCH("12. TOTAL des INDISPONIBILITÉS relevant de l'action 99",'ETPT Format DDG'!2:2,0)),
INDEX( 'ETPT Format DDG'!$A:$ZZ,,MATCH("Fonction recodée",'ETPT Format DDG'!2:2,0)),"JA/AttJ Social",
INDEX( 'ETPT Format DDG'!$A:$ZZ,,MATCH("Juridiction",'ETPT Format DDG'!2:2,0)),$D$5))-
SUM(SUMIFS(
INDEX( 'ETPT Format DDG'!$A:$ZZ,,MATCH("12.5. MISE À DISPOSITION",'ETPT Format DDG'!2:2,0)),
INDEX( 'ETPT Format DDG'!$A:$ZZ,,MATCH("Fonction recodée",'ETPT Format DDG'!2:2,0)),"JA/AttJ Social",
INDEX( 'ETPT Format DDG'!$A:$ZZ,,MATCH("Juridiction",'ETPT Format DDG'!2:2,0)),$D$5))</f>
        <v>#N/A</v>
      </c>
      <c r="M11" s="176" t="e">
        <f>SUM(SUMIFS(
INDEX( 'ETPT Format DDG'!$A:$ZZ,,MATCH("12. TOTAL des INDISPONIBILITÉS relevant de l'action 99",'ETPT Format DDG'!2:2,0)),
INDEX( 'ETPT Format DDG'!$A:$ZZ,,MATCH("Fonction recodée",'ETPT Format DDG'!2:2,0)),"JA/AttJ JAP",
INDEX( 'ETPT Format DDG'!$A:$ZZ,,MATCH("Juridiction",'ETPT Format DDG'!2:2,0)),$D$5))-
SUM(SUMIFS(
INDEX( 'ETPT Format DDG'!$A:$ZZ,,MATCH("12.5. MISE À DISPOSITION",'ETPT Format DDG'!2:2,0)),
INDEX( 'ETPT Format DDG'!$A:$ZZ,,MATCH("Fonction recodée",'ETPT Format DDG'!2:2,0)),"JA/AttJ JAP",
INDEX( 'ETPT Format DDG'!$A:$ZZ,,MATCH("Juridiction",'ETPT Format DDG'!2:2,0)),$D$5))</f>
        <v>#N/A</v>
      </c>
      <c r="N11" s="176" t="e">
        <f>SUM(SUMIFS(
INDEX( 'ETPT Format DDG'!$A:$ZZ,,MATCH("12. TOTAL des INDISPONIBILITÉS relevant de l'action 99",'ETPT Format DDG'!2:2,0)),
INDEX( 'ETPT Format DDG'!$A:$ZZ,,MATCH("Fonction recodée",'ETPT Format DDG'!2:2,0)),"JA/AttJ JE",
INDEX( 'ETPT Format DDG'!$A:$ZZ,,MATCH("Juridiction",'ETPT Format DDG'!2:2,0)),$D$5))-
SUM(SUMIFS(
INDEX( 'ETPT Format DDG'!$A:$ZZ,,MATCH("12.5. MISE À DISPOSITION",'ETPT Format DDG'!2:2,0)),
INDEX( 'ETPT Format DDG'!$A:$ZZ,,MATCH("Fonction recodée",'ETPT Format DDG'!2:2,0)),"JA/AttJ JE",
INDEX( 'ETPT Format DDG'!$A:$ZZ,,MATCH("Juridiction",'ETPT Format DDG'!2:2,0)),$D$5))</f>
        <v>#N/A</v>
      </c>
      <c r="O11" s="176" t="e">
        <f>SUM(SUMIFS(
INDEX( 'ETPT Format DDG'!$A:$ZZ,,MATCH("12. TOTAL des INDISPONIBILITÉS relevant de l'action 99",'ETPT Format DDG'!2:2,0)),
INDEX( 'ETPT Format DDG'!$A:$ZZ,,MATCH("Fonction recodée",'ETPT Format DDG'!2:2,0)),"JA/AttJ JI",
INDEX( 'ETPT Format DDG'!$A:$ZZ,,MATCH("Juridiction",'ETPT Format DDG'!2:2,0)),$D$5))-
SUM(SUMIFS(
INDEX( 'ETPT Format DDG'!$A:$ZZ,,MATCH("12.5. MISE À DISPOSITION",'ETPT Format DDG'!2:2,0)),
INDEX( 'ETPT Format DDG'!$A:$ZZ,,MATCH("Fonction recodée",'ETPT Format DDG'!2:2,0)),"JA/AttJ JI",
INDEX( 'ETPT Format DDG'!$A:$ZZ,,MATCH("Juridiction",'ETPT Format DDG'!2:2,0)),$D$5))</f>
        <v>#N/A</v>
      </c>
      <c r="P11" s="176" t="e">
        <f>SUM(SUMIFS(
INDEX( 'ETPT Format DDG'!$A:$ZZ,,MATCH("12. TOTAL des INDISPONIBILITÉS relevant de l'action 99",'ETPT Format DDG'!2:2,0)),
INDEX( 'ETPT Format DDG'!$A:$ZZ,,MATCH("Fonction recodée",'ETPT Format DDG'!2:2,0)),"JA/AttJ JLD",
INDEX( 'ETPT Format DDG'!$A:$ZZ,,MATCH("Juridiction",'ETPT Format DDG'!2:2,0)),$D$5))-
SUM(SUMIFS(
INDEX( 'ETPT Format DDG'!$A:$ZZ,,MATCH("12.5. MISE À DISPOSITION",'ETPT Format DDG'!2:2,0)),
INDEX( 'ETPT Format DDG'!$A:$ZZ,,MATCH("Fonction recodée",'ETPT Format DDG'!2:2,0)),"JA/AttJ JLD",
INDEX( 'ETPT Format DDG'!$A:$ZZ,,MATCH("Juridiction",'ETPT Format DDG'!2:2,0)),$D$5))</f>
        <v>#N/A</v>
      </c>
      <c r="Q11" s="177">
        <f t="shared" si="0"/>
        <v>0</v>
      </c>
    </row>
    <row r="12" spans="1:17" x14ac:dyDescent="0.25">
      <c r="A12" s="171" t="s">
        <v>679</v>
      </c>
      <c r="B12" s="172"/>
      <c r="C12" s="172"/>
      <c r="D12" s="172">
        <f>ETPT_JUR_ASS_DDG!D12</f>
        <v>0</v>
      </c>
      <c r="E12" s="172" t="s">
        <v>597</v>
      </c>
      <c r="F12" s="173" t="s">
        <v>598</v>
      </c>
      <c r="G12" s="174" t="e">
        <f t="array" ref="G12">SUM(SUMIFS(
INDEX( 'ETPT Format DDG'!$A:$ZZ,,MATCH("12.5. MISE À DISPOSITION",'ETPT Format DDG'!2:2,0)),
INDEX( 'ETPT Format DDG'!$A:$ZZ,,MATCH("Fonction recodée",'ETPT Format DDG'!2:2,0)),{"CONT A JP Siège";"CONT A VIF Siège"},
INDEX( 'ETPT Format DDG'!$A:$ZZ,,MATCH("Juridiction",'ETPT Format DDG'!2:2,0)),$D$5))+
_xlfn.IFNA(SUM(SUMIFS(
INDEX( 'ETPT Format DDG'!$A:$ZZ,,MATCH("13. TOTAL CONTENTIEUX LOCAUX SPÉCIFIQUES",'ETPT Format DDG'!2:2,0)),
INDEX( 'ETPT Format DDG'!$A:$ZZ,,MATCH("Fonction recodée",'ETPT Format DDG'!2:2,0)),{"CONT A JP Siège";"CONT A VIF Siège"},
INDEX( 'ETPT Format DDG'!$A:$ZZ,,MATCH("Juridiction",'ETPT Format DDG'!2:2,0)),$D$5)),0)</f>
        <v>#N/A</v>
      </c>
      <c r="H12" s="174" t="e">
        <f t="array" ref="H12">SUM(SUMIFS(
INDEX( 'ETPT Format DDG'!$A:$ZZ,,MATCH("12.5. MISE À DISPOSITION",'ETPT Format DDG'!2:2,0)),
INDEX( 'ETPT Format DDG'!$A:$ZZ,,MATCH("Fonction recodée",'ETPT Format DDG'!2:2,0)),{"CONT A JP Parquet";"CONT A VIF Parquet"},
INDEX( 'ETPT Format DDG'!$A:$ZZ,,MATCH("Juridiction",'ETPT Format DDG'!2:2,0)),$D$5))+
_xlfn.IFNA(SUM(SUMIFS(
INDEX( 'ETPT Format DDG'!$A:$ZZ,,MATCH("13. TOTAL CONTENTIEUX LOCAUX SPÉCIFIQUES",'ETPT Format DDG'!2:2,0)),
INDEX( 'ETPT Format DDG'!$A:$ZZ,,MATCH("Fonction recodée",'ETPT Format DDG'!2:2,0)),{"CONT A JP Parquet";"CONT A VIF Parquet"},
INDEX( 'ETPT Format DDG'!$A:$ZZ,,MATCH("Juridiction",'ETPT Format DDG'!2:2,0)),$D$5)),0)</f>
        <v>#N/A</v>
      </c>
      <c r="I12" s="175"/>
      <c r="J12" s="176" t="e">
        <f>SUM(SUMIFS(
INDEX( 'ETPT Format DDG'!$A:$ZZ,,MATCH("12.5. MISE À DISPOSITION",'ETPT Format DDG'!2:2,0)),
INDEX( 'ETPT Format DDG'!$A:$ZZ,,MATCH("Fonction recodée",'ETPT Format DDG'!2:2,0)),"JA/AttJ Siège autres",
INDEX( 'ETPT Format DDG'!$A:$ZZ,,MATCH("Juridiction",'ETPT Format DDG'!2:2,0)),$D$5))+
_xlfn.IFNA(SUM(SUMIFS(
INDEX( 'ETPT Format DDG'!$A:$ZZ,,MATCH("13. TOTAL CONTENTIEUX LOCAUX SPÉCIFIQUES",'ETPT Format DDG'!2:2,0)),
INDEX( 'ETPT Format DDG'!$A:$ZZ,,MATCH("Fonction recodée",'ETPT Format DDG'!2:2,0)),"JA/AttJ Siège autres",
INDEX( 'ETPT Format DDG'!$A:$ZZ,,MATCH("Juridiction",'ETPT Format DDG'!2:2,0)),$D$5)),0)</f>
        <v>#N/A</v>
      </c>
      <c r="K12" s="176" t="e">
        <f>SUM(SUMIFS(
INDEX( 'ETPT Format DDG'!$A:$ZZ,,MATCH("12.5. MISE À DISPOSITION",'ETPT Format DDG'!2:2,0)),
INDEX( 'ETPT Format DDG'!$A:$ZZ,,MATCH("Fonction recodée",'ETPT Format DDG'!2:2,0)),"JA/AttJ Parquet",
INDEX( 'ETPT Format DDG'!$A:$ZZ,,MATCH("Juridiction",'ETPT Format DDG'!2:2,0)),$D$5))+
_xlfn.IFNA(SUM(SUMIFS(
INDEX( 'ETPT Format DDG'!$A:$ZZ,,MATCH("13. TOTAL CONTENTIEUX LOCAUX SPÉCIFIQUES",'ETPT Format DDG'!2:2,0)),
INDEX( 'ETPT Format DDG'!$A:$ZZ,,MATCH("Fonction recodée",'ETPT Format DDG'!2:2,0)),"JA/AttJ Parquet",
INDEX( 'ETPT Format DDG'!$A:$ZZ,,MATCH("Juridiction",'ETPT Format DDG'!2:2,0)),$D$5)),0)</f>
        <v>#N/A</v>
      </c>
      <c r="L12" s="176" t="e">
        <f>SUM(SUMIFS(
INDEX( 'ETPT Format DDG'!$A:$ZZ,,MATCH("12.5. MISE À DISPOSITION",'ETPT Format DDG'!2:2,0)),
INDEX( 'ETPT Format DDG'!$A:$ZZ,,MATCH("Fonction recodée",'ETPT Format DDG'!2:2,0)),"JA/AttJ Social",
INDEX( 'ETPT Format DDG'!$A:$ZZ,,MATCH("Juridiction",'ETPT Format DDG'!2:2,0)),$D$5))+
_xlfn.IFNA(SUM(SUMIFS(
INDEX( 'ETPT Format DDG'!$A:$ZZ,,MATCH("13. TOTAL CONTENTIEUX LOCAUX SPÉCIFIQUES",'ETPT Format DDG'!2:2,0)),
INDEX( 'ETPT Format DDG'!$A:$ZZ,,MATCH("Fonction recodée",'ETPT Format DDG'!2:2,0)),"JA/AttJ Social",
INDEX( 'ETPT Format DDG'!$A:$ZZ,,MATCH("Juridiction",'ETPT Format DDG'!2:2,0)),$D$5)),0)</f>
        <v>#N/A</v>
      </c>
      <c r="M12" s="176" t="e">
        <f>SUM(SUMIFS(
INDEX( 'ETPT Format DDG'!$A:$ZZ,,MATCH("12.5. MISE À DISPOSITION",'ETPT Format DDG'!2:2,0)),
INDEX( 'ETPT Format DDG'!$A:$ZZ,,MATCH("Fonction recodée",'ETPT Format DDG'!2:2,0)),"JA/AttJ JAP",
INDEX( 'ETPT Format DDG'!$A:$ZZ,,MATCH("Juridiction",'ETPT Format DDG'!2:2,0)),$D$5))+
_xlfn.IFNA(SUM(SUMIFS(
INDEX( 'ETPT Format DDG'!$A:$ZZ,,MATCH("13. TOTAL CONTENTIEUX LOCAUX SPÉCIFIQUES",'ETPT Format DDG'!2:2,0)),
INDEX( 'ETPT Format DDG'!$A:$ZZ,,MATCH("Fonction recodée",'ETPT Format DDG'!2:2,0)),"JA/AttJ JAP",
INDEX( 'ETPT Format DDG'!$A:$ZZ,,MATCH("Juridiction",'ETPT Format DDG'!2:2,0)),$D$5)),0)</f>
        <v>#N/A</v>
      </c>
      <c r="N12" s="176" t="e">
        <f>SUM(SUMIFS(
INDEX( 'ETPT Format DDG'!$A:$ZZ,,MATCH("12.5. MISE À DISPOSITION",'ETPT Format DDG'!2:2,0)),
INDEX( 'ETPT Format DDG'!$A:$ZZ,,MATCH("Fonction recodée",'ETPT Format DDG'!2:2,0)),"JA/AttJ JE",
INDEX( 'ETPT Format DDG'!$A:$ZZ,,MATCH("Juridiction",'ETPT Format DDG'!2:2,0)),$D$5))+
_xlfn.IFNA(SUM(SUMIFS(
INDEX( 'ETPT Format DDG'!$A:$ZZ,,MATCH("13. TOTAL CONTENTIEUX LOCAUX SPÉCIFIQUES",'ETPT Format DDG'!2:2,0)),
INDEX( 'ETPT Format DDG'!$A:$ZZ,,MATCH("Fonction recodée",'ETPT Format DDG'!2:2,0)),"JA/AttJ JE",
INDEX( 'ETPT Format DDG'!$A:$ZZ,,MATCH("Juridiction",'ETPT Format DDG'!2:2,0)),$D$5)),0)</f>
        <v>#N/A</v>
      </c>
      <c r="O12" s="176" t="e">
        <f>SUM(SUMIFS(
INDEX( 'ETPT Format DDG'!$A:$ZZ,,MATCH("12.5. MISE À DISPOSITION",'ETPT Format DDG'!2:2,0)),
INDEX( 'ETPT Format DDG'!$A:$ZZ,,MATCH("Fonction recodée",'ETPT Format DDG'!2:2,0)),"JA/AttJ JI",
INDEX( 'ETPT Format DDG'!$A:$ZZ,,MATCH("Juridiction",'ETPT Format DDG'!2:2,0)),$D$5))+
_xlfn.IFNA(SUM(SUMIFS(
INDEX( 'ETPT Format DDG'!$A:$ZZ,,MATCH("13. TOTAL CONTENTIEUX LOCAUX SPÉCIFIQUES",'ETPT Format DDG'!2:2,0)),
INDEX( 'ETPT Format DDG'!$A:$ZZ,,MATCH("Fonction recodée",'ETPT Format DDG'!2:2,0)),"JA/AttJ JI",
INDEX( 'ETPT Format DDG'!$A:$ZZ,,MATCH("Juridiction",'ETPT Format DDG'!2:2,0)),$D$5)),0)</f>
        <v>#N/A</v>
      </c>
      <c r="P12" s="176" t="e">
        <f>SUM(SUMIFS(
INDEX( 'ETPT Format DDG'!$A:$ZZ,,MATCH("12.5. MISE À DISPOSITION",'ETPT Format DDG'!2:2,0)),
INDEX( 'ETPT Format DDG'!$A:$ZZ,,MATCH("Fonction recodée",'ETPT Format DDG'!2:2,0)),"JA/AttJ JLD",
INDEX( 'ETPT Format DDG'!$A:$ZZ,,MATCH("Juridiction",'ETPT Format DDG'!2:2,0)),$D$5))+
_xlfn.IFNA(SUM(SUMIFS(
INDEX( 'ETPT Format DDG'!$A:$ZZ,,MATCH("13. TOTAL CONTENTIEUX LOCAUX SPÉCIFIQUES",'ETPT Format DDG'!2:2,0)),
INDEX( 'ETPT Format DDG'!$A:$ZZ,,MATCH("Fonction recodée",'ETPT Format DDG'!2:2,0)),"JA/AttJ JLD",
INDEX( 'ETPT Format DDG'!$A:$ZZ,,MATCH("Juridiction",'ETPT Format DDG'!2:2,0)),$D$5)),0)</f>
        <v>#N/A</v>
      </c>
      <c r="Q12" s="177">
        <f>_xlfn.AGGREGATE(9,6,G12:P12)</f>
        <v>0</v>
      </c>
    </row>
    <row r="13" ht="16" customHeight="1" spans="1:17" x14ac:dyDescent="0.25">
      <c r="A13" s="178"/>
      <c r="B13" s="178"/>
      <c r="C13" s="178"/>
      <c r="D13" s="178"/>
      <c r="E13" s="179"/>
      <c r="F13" s="180" t="s">
        <v>603</v>
      </c>
      <c r="G13" s="177">
        <f>_xlfn.AGGREGATE(9,6,G5:G12)</f>
        <v>0</v>
      </c>
      <c r="H13" s="177">
        <f>_xlfn.AGGREGATE(9,6,H5:H12)</f>
        <v>0</v>
      </c>
      <c r="I13" s="177">
        <f t="shared" ref="I13:P13" si="1">_xlfn.AGGREGATE(9,6,I5:I12)</f>
        <v>0</v>
      </c>
      <c r="J13" s="177">
        <f t="shared" si="1"/>
        <v>0</v>
      </c>
      <c r="K13" s="177">
        <f t="shared" si="1"/>
        <v>0</v>
      </c>
      <c r="L13" s="177">
        <f t="shared" si="1"/>
        <v>0</v>
      </c>
      <c r="M13" s="177">
        <f t="shared" si="1"/>
        <v>0</v>
      </c>
      <c r="N13" s="177">
        <f t="shared" si="1"/>
        <v>0</v>
      </c>
      <c r="O13" s="177">
        <f t="shared" si="1"/>
        <v>0</v>
      </c>
      <c r="P13" s="177">
        <f t="shared" si="1"/>
        <v>0</v>
      </c>
      <c r="Q13" s="177">
        <f>_xlfn.AGGREGATE(9,6,Q5:Q12)</f>
        <v>0</v>
      </c>
    </row>
    <row r="14" ht="16" customHeight="1" spans="1:17" x14ac:dyDescent="0.25">
      <c r="A14" s="178"/>
      <c r="B14" s="178"/>
      <c r="C14" s="178"/>
      <c r="D14" s="178"/>
      <c r="E14" s="179"/>
      <c r="F14" s="179"/>
      <c r="G14" s="179"/>
      <c r="H14" s="179"/>
      <c r="I14" s="179"/>
      <c r="J14" s="179"/>
      <c r="K14" s="179"/>
      <c r="L14" s="179"/>
      <c r="M14" s="179"/>
      <c r="N14" s="179"/>
      <c r="O14" s="179"/>
      <c r="P14" s="179"/>
      <c r="Q14" s="179"/>
    </row>
    <row r="15" ht="16" customHeight="1" spans="1:17" x14ac:dyDescent="0.25">
      <c r="A15" s="178"/>
      <c r="B15" s="178"/>
      <c r="C15" s="178"/>
      <c r="D15" s="178"/>
      <c r="E15" s="178"/>
      <c r="F15" s="178"/>
      <c r="G15" s="178"/>
      <c r="H15" s="178"/>
      <c r="I15" s="179"/>
      <c r="J15" s="179"/>
      <c r="L15" s="179"/>
      <c r="M15" s="179"/>
      <c r="N15" s="179"/>
      <c r="O15" s="179"/>
      <c r="P15" s="179"/>
      <c r="Q15" s="179"/>
    </row>
    <row r="16" ht="16" customHeight="1" spans="1:17" x14ac:dyDescent="0.25">
      <c r="A16" s="178"/>
      <c r="B16" s="178"/>
      <c r="C16" s="178"/>
      <c r="D16" s="178"/>
      <c r="E16" s="178"/>
      <c r="F16" s="178"/>
      <c r="G16" s="178"/>
      <c r="H16" s="178"/>
      <c r="I16" s="179"/>
      <c r="J16" s="179"/>
      <c r="L16" s="179"/>
      <c r="M16" s="179"/>
      <c r="N16" s="179"/>
      <c r="O16" s="179"/>
      <c r="P16" s="179"/>
      <c r="Q16" s="179"/>
    </row>
    <row r="17" ht="16" customHeight="1" spans="1:18" x14ac:dyDescent="0.25">
      <c r="A17" s="178"/>
      <c r="B17" s="178"/>
      <c r="C17" s="178"/>
      <c r="D17" s="178"/>
      <c r="E17" s="178"/>
      <c r="F17" s="178"/>
      <c r="G17" s="178"/>
      <c r="H17" s="178"/>
      <c r="I17" s="179"/>
      <c r="J17" s="179"/>
      <c r="L17" s="179"/>
      <c r="M17" s="179"/>
      <c r="N17" s="179"/>
      <c r="O17" s="179"/>
      <c r="P17" s="179"/>
      <c r="Q17" s="179"/>
      <c r="R17" s="179"/>
    </row>
    <row r="18" ht="16" customHeight="1" spans="1:18" x14ac:dyDescent="0.25">
      <c r="A18" s="178"/>
      <c r="B18" s="178"/>
      <c r="C18" s="178"/>
      <c r="D18" s="178"/>
      <c r="E18" s="178"/>
      <c r="F18" s="178"/>
      <c r="G18" s="178"/>
      <c r="H18" s="178"/>
      <c r="I18" s="179"/>
      <c r="J18" s="179"/>
      <c r="L18" s="179"/>
      <c r="M18" s="179"/>
      <c r="N18" s="179"/>
      <c r="O18" s="179"/>
      <c r="P18" s="179"/>
      <c r="Q18" s="179"/>
      <c r="R18" s="179"/>
    </row>
    <row r="19" ht="16" customHeight="1" spans="1:18" x14ac:dyDescent="0.25">
      <c r="A19" s="178"/>
      <c r="B19" s="178"/>
      <c r="C19" s="178"/>
      <c r="D19" s="178"/>
      <c r="E19" s="178"/>
      <c r="F19" s="178"/>
      <c r="G19" s="178"/>
      <c r="H19" s="178"/>
      <c r="I19" s="179"/>
      <c r="J19" s="179"/>
      <c r="L19" s="179"/>
      <c r="M19" s="179"/>
      <c r="N19" s="179"/>
      <c r="O19" s="179"/>
      <c r="P19" s="179"/>
      <c r="Q19" s="179"/>
      <c r="R19" s="179"/>
    </row>
    <row r="20" ht="16" customHeight="1" spans="1:18" x14ac:dyDescent="0.25">
      <c r="A20" s="178"/>
      <c r="B20" s="178"/>
      <c r="C20" s="178"/>
      <c r="D20" s="178"/>
      <c r="E20" s="178"/>
      <c r="F20" s="178"/>
      <c r="G20" s="178"/>
      <c r="H20" s="178"/>
      <c r="I20" s="179"/>
      <c r="J20" s="179"/>
      <c r="L20" s="179"/>
      <c r="M20" s="179"/>
      <c r="N20" s="179"/>
      <c r="O20" s="179"/>
      <c r="P20" s="179"/>
      <c r="Q20" s="179"/>
      <c r="R20" s="179"/>
    </row>
    <row r="21" ht="16" customHeight="1" spans="1:18" x14ac:dyDescent="0.25">
      <c r="A21" s="178"/>
      <c r="B21" s="178"/>
      <c r="C21" s="178"/>
      <c r="D21" s="178"/>
      <c r="E21" s="178"/>
      <c r="F21" s="178"/>
      <c r="G21" s="178"/>
      <c r="H21" s="178"/>
      <c r="I21" s="179"/>
      <c r="J21" s="179"/>
      <c r="L21" s="179"/>
      <c r="M21" s="179"/>
      <c r="N21" s="179"/>
      <c r="O21" s="179"/>
      <c r="P21" s="179"/>
      <c r="Q21" s="179"/>
      <c r="R21" s="179"/>
    </row>
    <row r="22" ht="16" customHeight="1" spans="1:18" x14ac:dyDescent="0.25">
      <c r="A22" s="178"/>
      <c r="B22" s="178"/>
      <c r="C22" s="178"/>
      <c r="D22" s="178"/>
      <c r="E22" s="178"/>
      <c r="F22" s="178"/>
      <c r="G22" s="178"/>
      <c r="H22" s="178"/>
      <c r="I22" s="179"/>
      <c r="J22" s="179"/>
      <c r="L22" s="179"/>
      <c r="M22" s="179"/>
      <c r="N22" s="179"/>
      <c r="O22" s="179"/>
      <c r="P22" s="179"/>
      <c r="Q22" s="179"/>
      <c r="R22" s="179"/>
    </row>
    <row r="23" ht="16" customHeight="1" spans="1:18" x14ac:dyDescent="0.25">
      <c r="A23" s="178"/>
      <c r="B23" s="178"/>
      <c r="C23" s="178"/>
      <c r="D23" s="178"/>
      <c r="E23" s="178"/>
      <c r="F23" s="178"/>
      <c r="G23" s="178"/>
      <c r="H23" s="178"/>
      <c r="I23" s="179"/>
      <c r="J23" s="179"/>
      <c r="K23" s="179"/>
      <c r="L23" s="179"/>
      <c r="M23" s="179"/>
      <c r="N23" s="179"/>
      <c r="O23" s="179"/>
      <c r="P23" s="179"/>
      <c r="Q23" s="179"/>
      <c r="R23" s="179"/>
    </row>
    <row r="24" ht="16" customHeight="1" spans="1:18" x14ac:dyDescent="0.25">
      <c r="A24" s="178"/>
      <c r="B24" s="178"/>
      <c r="C24" s="178"/>
      <c r="D24" s="178"/>
      <c r="E24" s="178"/>
      <c r="F24" s="178"/>
      <c r="G24" s="178"/>
      <c r="H24" s="178"/>
      <c r="I24" s="179"/>
      <c r="J24" s="179"/>
      <c r="K24" s="179"/>
      <c r="L24" s="179"/>
      <c r="M24" s="179"/>
      <c r="N24" s="179"/>
      <c r="O24" s="179"/>
      <c r="P24" s="179"/>
      <c r="Q24" s="179"/>
      <c r="R24" s="179"/>
    </row>
    <row r="25" ht="16" customHeight="1" spans="1:18" x14ac:dyDescent="0.25">
      <c r="A25" s="178"/>
      <c r="B25" s="178"/>
      <c r="C25" s="178"/>
      <c r="D25" s="178"/>
      <c r="E25" s="178"/>
      <c r="F25" s="178"/>
      <c r="G25" s="178"/>
      <c r="H25" s="178"/>
      <c r="I25" s="179"/>
      <c r="J25" s="179"/>
      <c r="K25" s="179"/>
      <c r="L25" s="179"/>
      <c r="M25" s="179"/>
      <c r="N25" s="179"/>
      <c r="O25" s="179"/>
      <c r="P25" s="179"/>
      <c r="Q25" s="179"/>
      <c r="R25" s="179"/>
    </row>
    <row r="26" ht="16" customHeight="1" spans="1:18" x14ac:dyDescent="0.25">
      <c r="A26" s="178"/>
      <c r="B26" s="178"/>
      <c r="C26" s="178"/>
      <c r="D26" s="178"/>
      <c r="E26" s="178"/>
      <c r="F26" s="178"/>
      <c r="G26" s="178"/>
      <c r="H26" s="178"/>
      <c r="I26" s="179"/>
      <c r="J26" s="179"/>
      <c r="K26" s="179"/>
      <c r="L26" s="179"/>
      <c r="M26" s="179"/>
      <c r="N26" s="179"/>
      <c r="O26" s="179"/>
      <c r="P26" s="179"/>
      <c r="Q26" s="179"/>
      <c r="R26" s="179"/>
    </row>
    <row r="27" ht="16" customHeight="1" spans="1:18" x14ac:dyDescent="0.25">
      <c r="A27" s="178"/>
      <c r="B27" s="178"/>
      <c r="C27" s="178"/>
      <c r="D27" s="178"/>
      <c r="E27" s="178"/>
      <c r="F27" s="178"/>
      <c r="G27" s="178"/>
      <c r="H27" s="178"/>
      <c r="I27" s="179"/>
      <c r="J27" s="179"/>
      <c r="K27" s="179"/>
      <c r="L27" s="179"/>
      <c r="M27" s="179"/>
      <c r="N27" s="179"/>
      <c r="O27" s="179"/>
      <c r="P27" s="179"/>
      <c r="Q27" s="179"/>
      <c r="R27" s="179"/>
    </row>
    <row r="28" ht="16" customHeight="1" spans="1:18" x14ac:dyDescent="0.25">
      <c r="A28" s="178"/>
      <c r="B28" s="178"/>
      <c r="C28" s="178"/>
      <c r="D28" s="178"/>
      <c r="E28" s="178"/>
      <c r="F28" s="178"/>
      <c r="G28" s="178"/>
      <c r="H28" s="178"/>
      <c r="I28" s="179"/>
      <c r="J28" s="179"/>
      <c r="K28" s="179"/>
      <c r="L28" s="179"/>
      <c r="M28" s="179"/>
      <c r="N28" s="179"/>
      <c r="O28" s="179"/>
      <c r="P28" s="179"/>
      <c r="Q28" s="179"/>
      <c r="R28" s="179"/>
    </row>
    <row r="29" ht="16" customHeight="1" spans="1:18" x14ac:dyDescent="0.25">
      <c r="A29" s="178"/>
      <c r="B29" s="178"/>
      <c r="C29" s="178"/>
      <c r="D29" s="178"/>
      <c r="E29" s="178"/>
      <c r="F29" s="178"/>
      <c r="G29" s="178"/>
      <c r="H29" s="178"/>
      <c r="I29" s="179"/>
      <c r="J29" s="179"/>
      <c r="K29" s="179"/>
      <c r="L29" s="179"/>
      <c r="M29" s="179"/>
      <c r="N29" s="179"/>
      <c r="O29" s="179"/>
      <c r="P29" s="179"/>
      <c r="Q29" s="179"/>
      <c r="R29" s="179"/>
    </row>
    <row r="30" ht="16" customHeight="1" spans="1:18" x14ac:dyDescent="0.25">
      <c r="A30" s="178"/>
      <c r="B30" s="178"/>
      <c r="C30" s="178"/>
      <c r="D30" s="178"/>
      <c r="E30" s="178"/>
      <c r="F30" s="178"/>
      <c r="G30" s="178"/>
      <c r="H30" s="178"/>
      <c r="I30" s="179"/>
      <c r="J30" s="179"/>
      <c r="K30" s="179"/>
      <c r="L30" s="179"/>
      <c r="M30" s="179"/>
      <c r="N30" s="179"/>
      <c r="O30" s="179"/>
      <c r="P30" s="179"/>
      <c r="Q30" s="179"/>
      <c r="R30" s="179"/>
    </row>
    <row r="31" ht="16" customHeight="1" spans="1:18" x14ac:dyDescent="0.25">
      <c r="A31" s="178"/>
      <c r="B31" s="178"/>
      <c r="C31" s="178"/>
      <c r="D31" s="178"/>
      <c r="E31" s="178"/>
      <c r="F31" s="178"/>
      <c r="G31" s="178"/>
      <c r="H31" s="178"/>
      <c r="I31" s="179"/>
      <c r="J31" s="179"/>
      <c r="K31" s="179"/>
      <c r="L31" s="179"/>
      <c r="M31" s="179"/>
      <c r="N31" s="179"/>
      <c r="O31" s="179"/>
      <c r="P31" s="179"/>
      <c r="Q31" s="179"/>
      <c r="R31" s="179"/>
    </row>
    <row r="32" ht="16" customHeight="1" spans="1:18" x14ac:dyDescent="0.25">
      <c r="A32" s="178"/>
      <c r="B32" s="178"/>
      <c r="C32" s="178"/>
      <c r="D32" s="178"/>
      <c r="E32" s="178"/>
      <c r="F32" s="178"/>
      <c r="G32" s="178"/>
      <c r="H32" s="178"/>
      <c r="I32" s="179"/>
      <c r="J32" s="179"/>
      <c r="K32" s="179"/>
      <c r="L32" s="179"/>
      <c r="M32" s="179"/>
      <c r="N32" s="179"/>
      <c r="O32" s="179"/>
      <c r="P32" s="179"/>
      <c r="Q32" s="179"/>
      <c r="R32" s="179"/>
    </row>
    <row r="33" ht="16" customHeight="1" spans="1:18" x14ac:dyDescent="0.25">
      <c r="A33" s="178"/>
      <c r="B33" s="178"/>
      <c r="C33" s="178"/>
      <c r="D33" s="178"/>
      <c r="E33" s="178"/>
      <c r="F33" s="178"/>
      <c r="G33" s="178"/>
      <c r="H33" s="178"/>
      <c r="I33" s="179"/>
      <c r="J33" s="179"/>
      <c r="K33" s="179"/>
      <c r="L33" s="179"/>
      <c r="M33" s="179"/>
      <c r="N33" s="179"/>
      <c r="O33" s="179"/>
      <c r="P33" s="179"/>
      <c r="Q33" s="179"/>
      <c r="R33" s="179"/>
    </row>
    <row r="34" ht="16" customHeight="1" spans="1:18" x14ac:dyDescent="0.25">
      <c r="A34" s="178"/>
      <c r="B34" s="178"/>
      <c r="C34" s="178"/>
      <c r="D34" s="178"/>
      <c r="E34" s="178"/>
      <c r="F34" s="178"/>
      <c r="G34" s="178"/>
      <c r="H34" s="178"/>
      <c r="I34" s="179"/>
      <c r="J34" s="179"/>
      <c r="K34" s="179"/>
      <c r="L34" s="179"/>
      <c r="M34" s="179"/>
      <c r="N34" s="179"/>
      <c r="O34" s="179"/>
      <c r="P34" s="179"/>
      <c r="Q34" s="179"/>
      <c r="R34" s="179"/>
    </row>
    <row r="35" ht="16" customHeight="1" spans="1:18" x14ac:dyDescent="0.25">
      <c r="A35" s="178"/>
      <c r="B35" s="178"/>
      <c r="C35" s="178"/>
      <c r="D35" s="178"/>
      <c r="E35" s="178"/>
      <c r="F35" s="178"/>
      <c r="G35" s="178"/>
      <c r="H35" s="178"/>
      <c r="I35" s="179"/>
      <c r="J35" s="179"/>
      <c r="K35" s="179"/>
      <c r="L35" s="179"/>
      <c r="M35" s="179"/>
      <c r="N35" s="179"/>
      <c r="O35" s="179"/>
      <c r="P35" s="179"/>
      <c r="Q35" s="179"/>
      <c r="R35" s="179"/>
    </row>
    <row r="36" ht="16" customHeight="1" spans="1:18" x14ac:dyDescent="0.25">
      <c r="A36" s="178"/>
      <c r="B36" s="178"/>
      <c r="C36" s="178"/>
      <c r="D36" s="178"/>
      <c r="E36" s="178"/>
      <c r="F36" s="178"/>
      <c r="G36" s="178"/>
      <c r="H36" s="178"/>
      <c r="I36" s="179"/>
      <c r="J36" s="179"/>
      <c r="K36" s="179"/>
      <c r="L36" s="179"/>
      <c r="M36" s="179"/>
      <c r="N36" s="179"/>
      <c r="O36" s="179"/>
      <c r="P36" s="179"/>
      <c r="Q36" s="179"/>
      <c r="R36" s="179"/>
    </row>
    <row r="37" ht="16" customHeight="1" spans="1:18" x14ac:dyDescent="0.25">
      <c r="A37" s="178"/>
      <c r="B37" s="178"/>
      <c r="C37" s="178"/>
      <c r="D37" s="178"/>
      <c r="E37" s="178"/>
      <c r="F37" s="178"/>
      <c r="G37" s="178"/>
      <c r="H37" s="178"/>
      <c r="I37" s="179"/>
      <c r="J37" s="179"/>
      <c r="K37" s="179"/>
      <c r="L37" s="179"/>
      <c r="M37" s="179"/>
      <c r="N37" s="179"/>
      <c r="O37" s="179"/>
      <c r="P37" s="179"/>
      <c r="Q37" s="179"/>
      <c r="R37" s="179"/>
    </row>
    <row r="38" ht="16" customHeight="1" spans="1:18" x14ac:dyDescent="0.25">
      <c r="A38" s="178"/>
      <c r="B38" s="178"/>
      <c r="C38" s="178"/>
      <c r="D38" s="178"/>
      <c r="E38" s="178"/>
      <c r="F38" s="178"/>
      <c r="G38" s="178"/>
      <c r="H38" s="178"/>
      <c r="I38" s="179"/>
      <c r="J38" s="179"/>
      <c r="K38" s="179"/>
      <c r="L38" s="179"/>
      <c r="M38" s="179"/>
      <c r="N38" s="179"/>
      <c r="O38" s="179"/>
      <c r="P38" s="179"/>
      <c r="Q38" s="179"/>
      <c r="R38" s="179"/>
    </row>
    <row r="39" ht="16" customHeight="1" spans="1:18" x14ac:dyDescent="0.25">
      <c r="A39" s="178"/>
      <c r="B39" s="178"/>
      <c r="C39" s="178"/>
      <c r="D39" s="178"/>
      <c r="E39" s="178"/>
      <c r="F39" s="178"/>
      <c r="G39" s="178"/>
      <c r="H39" s="178"/>
      <c r="I39" s="179"/>
      <c r="J39" s="179"/>
      <c r="K39" s="179"/>
      <c r="L39" s="179"/>
      <c r="M39" s="179"/>
      <c r="N39" s="179"/>
      <c r="O39" s="179"/>
      <c r="P39" s="179"/>
      <c r="Q39" s="179"/>
      <c r="R39" s="179"/>
    </row>
    <row r="40" ht="16" customHeight="1" spans="1:18" x14ac:dyDescent="0.25">
      <c r="A40" s="178"/>
      <c r="B40" s="178"/>
      <c r="C40" s="178"/>
      <c r="D40" s="178"/>
      <c r="E40" s="178"/>
      <c r="F40" s="178"/>
      <c r="G40" s="178"/>
      <c r="H40" s="178"/>
      <c r="I40" s="179"/>
      <c r="J40" s="179"/>
      <c r="K40" s="179"/>
      <c r="L40" s="179"/>
      <c r="M40" s="179"/>
      <c r="N40" s="179"/>
      <c r="O40" s="179"/>
      <c r="P40" s="179"/>
      <c r="Q40" s="179"/>
      <c r="R40" s="179"/>
    </row>
    <row r="41" ht="16" customHeight="1" spans="1:18" x14ac:dyDescent="0.25">
      <c r="A41" s="178"/>
      <c r="B41" s="178"/>
      <c r="C41" s="178"/>
      <c r="D41" s="178"/>
      <c r="E41" s="178"/>
      <c r="F41" s="178"/>
      <c r="G41" s="178"/>
      <c r="H41" s="178"/>
      <c r="I41" s="179"/>
      <c r="J41" s="179"/>
      <c r="K41" s="179"/>
      <c r="L41" s="179"/>
      <c r="M41" s="179"/>
      <c r="N41" s="179"/>
      <c r="O41" s="179"/>
      <c r="P41" s="179"/>
      <c r="Q41" s="179"/>
      <c r="R41" s="179"/>
    </row>
    <row r="42" ht="16" customHeight="1" spans="1:18" x14ac:dyDescent="0.25">
      <c r="A42" s="178"/>
      <c r="B42" s="178"/>
      <c r="C42" s="178"/>
      <c r="D42" s="178"/>
      <c r="E42" s="178"/>
      <c r="F42" s="178"/>
      <c r="G42" s="178"/>
      <c r="H42" s="178"/>
      <c r="I42" s="179"/>
      <c r="J42" s="179"/>
      <c r="K42" s="179"/>
      <c r="L42" s="179"/>
      <c r="M42" s="179"/>
      <c r="N42" s="179"/>
      <c r="O42" s="179"/>
      <c r="P42" s="179"/>
      <c r="Q42" s="179"/>
      <c r="R42" s="179"/>
    </row>
    <row r="43" ht="16" customHeight="1" spans="1:18" x14ac:dyDescent="0.25">
      <c r="A43" s="178"/>
      <c r="B43" s="178"/>
      <c r="C43" s="178"/>
      <c r="D43" s="178"/>
      <c r="E43" s="178"/>
      <c r="F43" s="178"/>
      <c r="G43" s="178"/>
      <c r="H43" s="178"/>
      <c r="I43" s="179"/>
      <c r="J43" s="179"/>
      <c r="K43" s="179"/>
      <c r="L43" s="179"/>
      <c r="M43" s="179"/>
      <c r="N43" s="179"/>
      <c r="O43" s="179"/>
      <c r="P43" s="179"/>
      <c r="Q43" s="179"/>
      <c r="R43" s="179"/>
    </row>
    <row r="44" ht="16" customHeight="1" spans="1:18" x14ac:dyDescent="0.25">
      <c r="A44" s="178"/>
      <c r="B44" s="178"/>
      <c r="C44" s="178"/>
      <c r="D44" s="178"/>
      <c r="E44" s="178"/>
      <c r="F44" s="178"/>
      <c r="G44" s="178"/>
      <c r="H44" s="178"/>
      <c r="I44" s="179"/>
      <c r="J44" s="179"/>
      <c r="K44" s="179"/>
      <c r="L44" s="179"/>
      <c r="M44" s="179"/>
      <c r="N44" s="179"/>
      <c r="O44" s="179"/>
      <c r="P44" s="179"/>
      <c r="Q44" s="179"/>
      <c r="R44" s="179"/>
    </row>
    <row r="45" ht="16" customHeight="1" spans="1:18" x14ac:dyDescent="0.25">
      <c r="A45" s="178"/>
      <c r="B45" s="178"/>
      <c r="C45" s="178"/>
      <c r="D45" s="178"/>
      <c r="E45" s="178"/>
      <c r="F45" s="178"/>
      <c r="G45" s="178"/>
      <c r="H45" s="178"/>
      <c r="I45" s="179"/>
      <c r="J45" s="179"/>
      <c r="K45" s="179"/>
      <c r="L45" s="179"/>
      <c r="M45" s="179"/>
      <c r="N45" s="179"/>
      <c r="O45" s="179"/>
      <c r="P45" s="179"/>
      <c r="Q45" s="179"/>
      <c r="R45" s="179"/>
    </row>
    <row r="46" ht="16" customHeight="1" spans="1:18" x14ac:dyDescent="0.25">
      <c r="A46" s="178"/>
      <c r="B46" s="178"/>
      <c r="C46" s="178"/>
      <c r="D46" s="178"/>
      <c r="E46" s="178"/>
      <c r="F46" s="178"/>
      <c r="G46" s="178"/>
      <c r="H46" s="178"/>
      <c r="I46" s="179"/>
      <c r="J46" s="179"/>
      <c r="K46" s="179"/>
      <c r="L46" s="179"/>
      <c r="M46" s="179"/>
      <c r="N46" s="179"/>
      <c r="O46" s="179"/>
      <c r="P46" s="179"/>
      <c r="Q46" s="179"/>
      <c r="R46" s="179"/>
    </row>
    <row r="47" ht="16" customHeight="1" spans="1:18" x14ac:dyDescent="0.25">
      <c r="A47" s="178"/>
      <c r="B47" s="178"/>
      <c r="C47" s="178"/>
      <c r="D47" s="178"/>
      <c r="E47" s="178"/>
      <c r="F47" s="178"/>
      <c r="G47" s="178"/>
      <c r="H47" s="178"/>
      <c r="I47" s="179"/>
      <c r="J47" s="179"/>
      <c r="K47" s="179"/>
      <c r="L47" s="179"/>
      <c r="M47" s="179"/>
      <c r="N47" s="179"/>
      <c r="O47" s="179"/>
      <c r="P47" s="179"/>
      <c r="Q47" s="179"/>
      <c r="R47" s="179"/>
    </row>
    <row r="48" ht="16" customHeight="1" spans="1:18" x14ac:dyDescent="0.25">
      <c r="A48" s="178"/>
      <c r="B48" s="178"/>
      <c r="C48" s="178"/>
      <c r="D48" s="178"/>
      <c r="E48" s="178"/>
      <c r="F48" s="178"/>
      <c r="G48" s="178"/>
      <c r="H48" s="178"/>
      <c r="I48" s="179"/>
      <c r="J48" s="179"/>
      <c r="K48" s="179"/>
      <c r="L48" s="179"/>
      <c r="M48" s="179"/>
      <c r="N48" s="179"/>
      <c r="O48" s="179"/>
      <c r="P48" s="179"/>
      <c r="Q48" s="179"/>
      <c r="R48" s="179"/>
    </row>
    <row r="49" ht="16" customHeight="1" spans="1:18" x14ac:dyDescent="0.25">
      <c r="A49" s="178"/>
      <c r="B49" s="178"/>
      <c r="C49" s="178"/>
      <c r="D49" s="178"/>
      <c r="E49" s="178"/>
      <c r="F49" s="178"/>
      <c r="G49" s="178"/>
      <c r="H49" s="178"/>
      <c r="I49" s="179"/>
      <c r="J49" s="179"/>
      <c r="K49" s="179"/>
      <c r="L49" s="179"/>
      <c r="M49" s="179"/>
      <c r="N49" s="179"/>
      <c r="O49" s="179"/>
      <c r="P49" s="179"/>
      <c r="Q49" s="179"/>
      <c r="R49" s="179"/>
    </row>
    <row r="50" ht="16" customHeight="1" spans="1:18" x14ac:dyDescent="0.25">
      <c r="A50" s="178"/>
      <c r="B50" s="178"/>
      <c r="C50" s="178"/>
      <c r="D50" s="178"/>
      <c r="E50" s="178"/>
      <c r="F50" s="178"/>
      <c r="G50" s="178"/>
      <c r="H50" s="178"/>
      <c r="I50" s="179"/>
      <c r="J50" s="179"/>
      <c r="K50" s="179"/>
      <c r="L50" s="179"/>
      <c r="M50" s="179"/>
      <c r="N50" s="179"/>
      <c r="O50" s="179"/>
      <c r="P50" s="179"/>
      <c r="Q50" s="179"/>
      <c r="R50" s="179"/>
    </row>
    <row r="51" ht="16" customHeight="1" spans="1:18" x14ac:dyDescent="0.25">
      <c r="A51" s="178"/>
      <c r="B51" s="178"/>
      <c r="C51" s="178"/>
      <c r="D51" s="178"/>
      <c r="E51" s="178"/>
      <c r="F51" s="178"/>
      <c r="G51" s="178"/>
      <c r="H51" s="178"/>
      <c r="I51" s="179"/>
      <c r="J51" s="179"/>
      <c r="K51" s="179"/>
      <c r="L51" s="179"/>
      <c r="M51" s="179"/>
      <c r="N51" s="179"/>
      <c r="O51" s="179"/>
      <c r="P51" s="179"/>
      <c r="Q51" s="179"/>
      <c r="R51" s="179"/>
    </row>
    <row r="52" ht="16" customHeight="1" spans="1:18" x14ac:dyDescent="0.25">
      <c r="A52" s="178"/>
      <c r="B52" s="178"/>
      <c r="C52" s="178"/>
      <c r="D52" s="178"/>
      <c r="E52" s="178"/>
      <c r="F52" s="178"/>
      <c r="G52" s="178"/>
      <c r="H52" s="178"/>
      <c r="I52" s="179"/>
      <c r="J52" s="179"/>
      <c r="K52" s="179"/>
      <c r="L52" s="179"/>
      <c r="M52" s="179"/>
      <c r="N52" s="179"/>
      <c r="O52" s="179"/>
      <c r="P52" s="179"/>
      <c r="Q52" s="179"/>
      <c r="R52" s="179"/>
    </row>
    <row r="53" ht="16" customHeight="1" spans="1:18" x14ac:dyDescent="0.25">
      <c r="A53" s="178"/>
      <c r="B53" s="178"/>
      <c r="C53" s="178"/>
      <c r="D53" s="178"/>
      <c r="E53" s="178"/>
      <c r="F53" s="178"/>
      <c r="G53" s="178"/>
      <c r="H53" s="178"/>
      <c r="I53" s="179"/>
      <c r="J53" s="179"/>
      <c r="K53" s="179"/>
      <c r="L53" s="179"/>
      <c r="M53" s="179"/>
      <c r="N53" s="179"/>
      <c r="O53" s="179"/>
      <c r="P53" s="179"/>
      <c r="Q53" s="179"/>
      <c r="R53" s="179"/>
    </row>
    <row r="54" ht="16" customHeight="1" spans="1:18" x14ac:dyDescent="0.25">
      <c r="A54" s="178"/>
      <c r="B54" s="178"/>
      <c r="C54" s="178"/>
      <c r="D54" s="178"/>
      <c r="E54" s="178"/>
      <c r="F54" s="178"/>
      <c r="G54" s="178"/>
      <c r="H54" s="178"/>
      <c r="I54" s="179"/>
      <c r="J54" s="179"/>
      <c r="K54" s="179"/>
      <c r="L54" s="179"/>
      <c r="M54" s="179"/>
      <c r="N54" s="179"/>
      <c r="O54" s="179"/>
      <c r="P54" s="179"/>
      <c r="Q54" s="179"/>
      <c r="R54" s="179"/>
    </row>
    <row r="55" ht="16" customHeight="1" spans="1:18" x14ac:dyDescent="0.25">
      <c r="A55" s="178"/>
      <c r="B55" s="178"/>
      <c r="C55" s="178"/>
      <c r="D55" s="178"/>
      <c r="E55" s="178"/>
      <c r="F55" s="178"/>
      <c r="G55" s="178"/>
      <c r="H55" s="178"/>
      <c r="I55" s="179"/>
      <c r="J55" s="179"/>
      <c r="K55" s="179"/>
      <c r="L55" s="179"/>
      <c r="M55" s="179"/>
      <c r="N55" s="179"/>
      <c r="O55" s="179"/>
      <c r="P55" s="179"/>
      <c r="Q55" s="179"/>
      <c r="R55" s="179"/>
    </row>
    <row r="56" ht="16" customHeight="1" spans="1:18" x14ac:dyDescent="0.25">
      <c r="A56" s="178"/>
      <c r="B56" s="178"/>
      <c r="C56" s="178"/>
      <c r="D56" s="178"/>
      <c r="E56" s="178"/>
      <c r="F56" s="178"/>
      <c r="G56" s="178"/>
      <c r="H56" s="178"/>
      <c r="I56" s="179"/>
      <c r="J56" s="179"/>
      <c r="K56" s="179"/>
      <c r="L56" s="179"/>
      <c r="M56" s="179"/>
      <c r="N56" s="179"/>
      <c r="O56" s="179"/>
      <c r="P56" s="179"/>
      <c r="Q56" s="179"/>
      <c r="R56" s="179"/>
    </row>
    <row r="57" ht="16" customHeight="1" spans="1:18" x14ac:dyDescent="0.25">
      <c r="A57" s="178"/>
      <c r="B57" s="178"/>
      <c r="C57" s="178"/>
      <c r="D57" s="178"/>
      <c r="E57" s="178"/>
      <c r="F57" s="178"/>
      <c r="G57" s="178"/>
      <c r="H57" s="178"/>
      <c r="I57" s="179"/>
      <c r="J57" s="179"/>
      <c r="K57" s="179"/>
      <c r="L57" s="179"/>
      <c r="M57" s="179"/>
      <c r="N57" s="179"/>
      <c r="O57" s="179"/>
      <c r="P57" s="179"/>
      <c r="Q57" s="179"/>
      <c r="R57" s="179"/>
    </row>
    <row r="58" ht="16" customHeight="1" spans="1:18" x14ac:dyDescent="0.25">
      <c r="A58" s="178"/>
      <c r="B58" s="178"/>
      <c r="C58" s="178"/>
      <c r="D58" s="178"/>
      <c r="E58" s="178"/>
      <c r="F58" s="178"/>
      <c r="G58" s="178"/>
      <c r="H58" s="178"/>
      <c r="I58" s="179"/>
      <c r="J58" s="179"/>
      <c r="K58" s="179"/>
      <c r="L58" s="179"/>
      <c r="M58" s="179"/>
      <c r="N58" s="179"/>
      <c r="O58" s="179"/>
      <c r="P58" s="179"/>
      <c r="Q58" s="179"/>
      <c r="R58" s="179"/>
    </row>
    <row r="59" ht="16" customHeight="1" spans="1:18" x14ac:dyDescent="0.25">
      <c r="A59" s="178"/>
      <c r="B59" s="178"/>
      <c r="C59" s="178"/>
      <c r="D59" s="178"/>
      <c r="E59" s="178"/>
      <c r="F59" s="178"/>
      <c r="G59" s="178"/>
      <c r="H59" s="178"/>
      <c r="I59" s="179"/>
      <c r="J59" s="179"/>
      <c r="K59" s="179"/>
      <c r="L59" s="179"/>
      <c r="M59" s="179"/>
      <c r="N59" s="179"/>
      <c r="O59" s="179"/>
      <c r="P59" s="179"/>
      <c r="Q59" s="179"/>
      <c r="R59" s="179"/>
    </row>
    <row r="60" ht="16" customHeight="1" spans="1:18" x14ac:dyDescent="0.25">
      <c r="A60" s="178"/>
      <c r="B60" s="178"/>
      <c r="C60" s="178"/>
      <c r="D60" s="178"/>
      <c r="E60" s="178"/>
      <c r="F60" s="178"/>
      <c r="G60" s="178"/>
      <c r="H60" s="178"/>
      <c r="I60" s="179"/>
      <c r="J60" s="179"/>
      <c r="K60" s="179"/>
      <c r="L60" s="179"/>
      <c r="M60" s="179"/>
      <c r="N60" s="179"/>
      <c r="O60" s="179"/>
      <c r="P60" s="179"/>
      <c r="Q60" s="179"/>
      <c r="R60" s="179"/>
    </row>
    <row r="61" ht="16" customHeight="1" spans="1:18" x14ac:dyDescent="0.25">
      <c r="A61" s="178"/>
      <c r="B61" s="178"/>
      <c r="C61" s="178"/>
      <c r="D61" s="178"/>
      <c r="E61" s="178"/>
      <c r="F61" s="178"/>
      <c r="G61" s="178"/>
      <c r="H61" s="178"/>
      <c r="I61" s="179"/>
      <c r="J61" s="179"/>
      <c r="K61" s="179"/>
      <c r="L61" s="179"/>
      <c r="M61" s="179"/>
      <c r="N61" s="179"/>
      <c r="O61" s="179"/>
      <c r="P61" s="179"/>
      <c r="Q61" s="179"/>
      <c r="R61" s="179"/>
    </row>
    <row r="62" ht="16" customHeight="1" spans="1:18" x14ac:dyDescent="0.25">
      <c r="A62" s="178"/>
      <c r="B62" s="178"/>
      <c r="C62" s="178"/>
      <c r="D62" s="178"/>
      <c r="E62" s="178"/>
      <c r="F62" s="178"/>
      <c r="G62" s="178"/>
      <c r="H62" s="178"/>
      <c r="I62" s="179"/>
      <c r="J62" s="179"/>
      <c r="K62" s="179"/>
      <c r="L62" s="179"/>
      <c r="M62" s="179"/>
      <c r="N62" s="179"/>
      <c r="O62" s="179"/>
      <c r="P62" s="179"/>
      <c r="Q62" s="179"/>
      <c r="R62" s="179"/>
    </row>
    <row r="63" ht="16" customHeight="1" spans="1:18" x14ac:dyDescent="0.25">
      <c r="A63" s="178"/>
      <c r="B63" s="178"/>
      <c r="C63" s="178"/>
      <c r="D63" s="178"/>
      <c r="E63" s="178"/>
      <c r="F63" s="178"/>
      <c r="G63" s="178"/>
      <c r="H63" s="178"/>
      <c r="I63" s="179"/>
      <c r="J63" s="179"/>
      <c r="K63" s="179"/>
      <c r="L63" s="179"/>
      <c r="M63" s="179"/>
      <c r="N63" s="179"/>
      <c r="O63" s="179"/>
      <c r="P63" s="179"/>
      <c r="Q63" s="179"/>
      <c r="R63" s="179"/>
    </row>
    <row r="64" ht="16" customHeight="1" spans="1:18" x14ac:dyDescent="0.25">
      <c r="A64" s="178"/>
      <c r="B64" s="178"/>
      <c r="C64" s="178"/>
      <c r="D64" s="178"/>
      <c r="E64" s="178"/>
      <c r="F64" s="178"/>
      <c r="G64" s="178"/>
      <c r="H64" s="178"/>
      <c r="I64" s="179"/>
      <c r="J64" s="179"/>
      <c r="K64" s="179"/>
      <c r="L64" s="179"/>
      <c r="M64" s="179"/>
      <c r="N64" s="179"/>
      <c r="O64" s="179"/>
      <c r="P64" s="179"/>
      <c r="Q64" s="179"/>
      <c r="R64" s="179"/>
    </row>
    <row r="65" ht="16" customHeight="1" spans="1:18" x14ac:dyDescent="0.25">
      <c r="A65" s="178"/>
      <c r="B65" s="178"/>
      <c r="C65" s="178"/>
      <c r="D65" s="178"/>
      <c r="E65" s="178"/>
      <c r="F65" s="178"/>
      <c r="G65" s="178"/>
      <c r="H65" s="178"/>
      <c r="I65" s="179"/>
      <c r="J65" s="179"/>
      <c r="K65" s="179"/>
      <c r="L65" s="179"/>
      <c r="M65" s="179"/>
      <c r="N65" s="179"/>
      <c r="O65" s="179"/>
      <c r="P65" s="179"/>
      <c r="Q65" s="179"/>
      <c r="R65" s="179"/>
    </row>
    <row r="66" ht="16" customHeight="1" spans="1:18" x14ac:dyDescent="0.25">
      <c r="A66" s="178"/>
      <c r="B66" s="178"/>
      <c r="C66" s="178"/>
      <c r="D66" s="178"/>
      <c r="E66" s="178"/>
      <c r="F66" s="178"/>
      <c r="G66" s="178"/>
      <c r="H66" s="178"/>
      <c r="I66" s="179"/>
      <c r="J66" s="179"/>
      <c r="K66" s="179"/>
      <c r="L66" s="179"/>
      <c r="M66" s="179"/>
      <c r="N66" s="179"/>
      <c r="O66" s="179"/>
      <c r="P66" s="179"/>
      <c r="Q66" s="179"/>
      <c r="R66" s="179"/>
    </row>
    <row r="67" ht="16" customHeight="1" spans="1:18" x14ac:dyDescent="0.25">
      <c r="A67" s="178"/>
      <c r="B67" s="178"/>
      <c r="C67" s="178"/>
      <c r="D67" s="178"/>
      <c r="E67" s="178"/>
      <c r="F67" s="178"/>
      <c r="G67" s="178"/>
      <c r="H67" s="178"/>
      <c r="I67" s="179"/>
      <c r="J67" s="179"/>
      <c r="K67" s="179"/>
      <c r="L67" s="179"/>
      <c r="M67" s="179"/>
      <c r="N67" s="179"/>
      <c r="O67" s="179"/>
      <c r="P67" s="179"/>
      <c r="Q67" s="179"/>
      <c r="R67" s="179"/>
    </row>
    <row r="68" ht="16" customHeight="1" spans="1:18" x14ac:dyDescent="0.25">
      <c r="A68" s="178"/>
      <c r="B68" s="178"/>
      <c r="C68" s="178"/>
      <c r="D68" s="178"/>
      <c r="E68" s="178"/>
      <c r="F68" s="178"/>
      <c r="G68" s="178"/>
      <c r="H68" s="178"/>
      <c r="I68" s="179"/>
      <c r="J68" s="179"/>
      <c r="K68" s="179"/>
      <c r="L68" s="179"/>
      <c r="M68" s="179"/>
      <c r="N68" s="179"/>
      <c r="O68" s="179"/>
      <c r="P68" s="179"/>
      <c r="Q68" s="179"/>
      <c r="R68" s="179"/>
    </row>
    <row r="69" ht="16" customHeight="1" spans="1:18" x14ac:dyDescent="0.25">
      <c r="A69" s="178"/>
      <c r="B69" s="178"/>
      <c r="C69" s="178"/>
      <c r="D69" s="178"/>
      <c r="E69" s="178"/>
      <c r="F69" s="178"/>
      <c r="G69" s="178"/>
      <c r="H69" s="178"/>
      <c r="I69" s="179"/>
      <c r="J69" s="179"/>
      <c r="K69" s="179"/>
      <c r="L69" s="179"/>
      <c r="M69" s="179"/>
      <c r="N69" s="179"/>
      <c r="O69" s="179"/>
      <c r="P69" s="179"/>
      <c r="Q69" s="179"/>
      <c r="R69" s="179"/>
    </row>
    <row r="70" ht="16" customHeight="1" spans="1:18" x14ac:dyDescent="0.25">
      <c r="A70" s="178"/>
      <c r="B70" s="178"/>
      <c r="C70" s="178"/>
      <c r="D70" s="178"/>
      <c r="E70" s="178"/>
      <c r="F70" s="178"/>
      <c r="G70" s="178"/>
      <c r="H70" s="178"/>
      <c r="I70" s="179"/>
      <c r="J70" s="179"/>
      <c r="K70" s="179"/>
      <c r="L70" s="179"/>
      <c r="M70" s="179"/>
      <c r="N70" s="179"/>
      <c r="O70" s="179"/>
      <c r="P70" s="179"/>
      <c r="Q70" s="179"/>
      <c r="R70" s="179"/>
    </row>
    <row r="71" ht="16" customHeight="1" spans="1:18" x14ac:dyDescent="0.25">
      <c r="A71" s="178"/>
      <c r="B71" s="178"/>
      <c r="C71" s="178"/>
      <c r="D71" s="178"/>
      <c r="E71" s="178"/>
      <c r="F71" s="178"/>
      <c r="G71" s="178"/>
      <c r="H71" s="178"/>
      <c r="I71" s="179"/>
      <c r="J71" s="179"/>
      <c r="K71" s="179"/>
      <c r="L71" s="179"/>
      <c r="M71" s="179"/>
      <c r="N71" s="179"/>
      <c r="O71" s="179"/>
      <c r="P71" s="179"/>
      <c r="Q71" s="179"/>
      <c r="R71" s="179"/>
    </row>
    <row r="72" ht="16" customHeight="1" spans="1:18" x14ac:dyDescent="0.25">
      <c r="A72" s="178"/>
      <c r="B72" s="178"/>
      <c r="C72" s="178"/>
      <c r="D72" s="178"/>
      <c r="E72" s="178"/>
      <c r="F72" s="178"/>
      <c r="G72" s="178"/>
      <c r="H72" s="178"/>
      <c r="I72" s="179"/>
      <c r="J72" s="179"/>
      <c r="K72" s="179"/>
      <c r="L72" s="179"/>
      <c r="M72" s="179"/>
      <c r="N72" s="179"/>
      <c r="O72" s="179"/>
      <c r="P72" s="179"/>
      <c r="Q72" s="179"/>
      <c r="R72" s="179"/>
    </row>
    <row r="73" ht="16" customHeight="1" spans="1:18" x14ac:dyDescent="0.25">
      <c r="A73" s="178"/>
      <c r="B73" s="178"/>
      <c r="C73" s="178"/>
      <c r="D73" s="178"/>
      <c r="E73" s="178"/>
      <c r="F73" s="178"/>
      <c r="G73" s="178"/>
      <c r="H73" s="178"/>
      <c r="I73" s="179"/>
      <c r="J73" s="179"/>
      <c r="K73" s="179"/>
      <c r="L73" s="179"/>
      <c r="M73" s="179"/>
      <c r="N73" s="179"/>
      <c r="O73" s="179"/>
      <c r="P73" s="179"/>
      <c r="Q73" s="179"/>
      <c r="R73" s="179"/>
    </row>
    <row r="74" ht="16" customHeight="1" spans="1:18" x14ac:dyDescent="0.25">
      <c r="A74" s="178"/>
      <c r="B74" s="178"/>
      <c r="C74" s="178"/>
      <c r="D74" s="178"/>
      <c r="E74" s="178"/>
      <c r="F74" s="178"/>
      <c r="G74" s="178"/>
      <c r="H74" s="178"/>
      <c r="I74" s="179"/>
      <c r="J74" s="179"/>
      <c r="K74" s="179"/>
      <c r="L74" s="179"/>
      <c r="M74" s="179"/>
      <c r="N74" s="179"/>
      <c r="O74" s="179"/>
      <c r="P74" s="179"/>
      <c r="Q74" s="179"/>
      <c r="R74" s="179"/>
    </row>
    <row r="75" ht="16" customHeight="1" spans="1:18" x14ac:dyDescent="0.25">
      <c r="A75" s="178"/>
      <c r="B75" s="178"/>
      <c r="C75" s="178"/>
      <c r="D75" s="178"/>
      <c r="E75" s="178"/>
      <c r="F75" s="178"/>
      <c r="G75" s="178"/>
      <c r="H75" s="178"/>
      <c r="I75" s="179"/>
      <c r="J75" s="179"/>
      <c r="K75" s="179"/>
      <c r="L75" s="179"/>
      <c r="M75" s="179"/>
      <c r="N75" s="179"/>
      <c r="O75" s="179"/>
      <c r="P75" s="179"/>
      <c r="Q75" s="179"/>
      <c r="R75" s="179"/>
    </row>
    <row r="76" ht="16" customHeight="1" spans="1:18" x14ac:dyDescent="0.25">
      <c r="A76" s="178"/>
      <c r="B76" s="178"/>
      <c r="C76" s="178"/>
      <c r="D76" s="178"/>
      <c r="E76" s="178"/>
      <c r="F76" s="178"/>
      <c r="G76" s="178"/>
      <c r="H76" s="178"/>
      <c r="I76" s="179"/>
      <c r="J76" s="179"/>
      <c r="K76" s="179"/>
      <c r="L76" s="179"/>
      <c r="M76" s="179"/>
      <c r="N76" s="179"/>
      <c r="O76" s="179"/>
      <c r="P76" s="179"/>
      <c r="Q76" s="179"/>
      <c r="R76" s="179"/>
    </row>
    <row r="77" ht="16" customHeight="1" spans="1:18" x14ac:dyDescent="0.25">
      <c r="A77" s="178"/>
      <c r="B77" s="178"/>
      <c r="C77" s="178"/>
      <c r="D77" s="178"/>
      <c r="E77" s="178"/>
      <c r="F77" s="178"/>
      <c r="G77" s="178"/>
      <c r="H77" s="178"/>
      <c r="I77" s="179"/>
      <c r="J77" s="179"/>
      <c r="K77" s="179"/>
      <c r="L77" s="179"/>
      <c r="M77" s="179"/>
      <c r="N77" s="179"/>
      <c r="O77" s="179"/>
      <c r="P77" s="179"/>
      <c r="Q77" s="179"/>
      <c r="R77" s="179"/>
    </row>
    <row r="78" ht="16" customHeight="1" spans="1:18" x14ac:dyDescent="0.25">
      <c r="A78" s="178"/>
      <c r="B78" s="178"/>
      <c r="C78" s="178"/>
      <c r="D78" s="178"/>
      <c r="E78" s="178"/>
      <c r="F78" s="178"/>
      <c r="G78" s="178"/>
      <c r="H78" s="178"/>
      <c r="I78" s="179"/>
      <c r="J78" s="179"/>
      <c r="K78" s="179"/>
      <c r="L78" s="179"/>
      <c r="M78" s="179"/>
      <c r="N78" s="179"/>
      <c r="O78" s="179"/>
      <c r="P78" s="179"/>
      <c r="Q78" s="179"/>
      <c r="R78" s="179"/>
    </row>
    <row r="79" ht="16" customHeight="1" spans="1:18" x14ac:dyDescent="0.25">
      <c r="A79" s="178"/>
      <c r="B79" s="178"/>
      <c r="C79" s="178"/>
      <c r="D79" s="178"/>
      <c r="E79" s="178"/>
      <c r="F79" s="178"/>
      <c r="G79" s="178"/>
      <c r="H79" s="178"/>
      <c r="I79" s="179"/>
      <c r="J79" s="179"/>
      <c r="K79" s="179"/>
      <c r="L79" s="179"/>
      <c r="M79" s="179"/>
      <c r="N79" s="179"/>
      <c r="O79" s="179"/>
      <c r="P79" s="179"/>
      <c r="Q79" s="179"/>
      <c r="R79" s="179"/>
    </row>
    <row r="80" ht="16" customHeight="1" spans="1:18" x14ac:dyDescent="0.25">
      <c r="A80" s="178"/>
      <c r="B80" s="178"/>
      <c r="C80" s="178"/>
      <c r="D80" s="178"/>
      <c r="E80" s="178"/>
      <c r="F80" s="178"/>
      <c r="G80" s="178"/>
      <c r="H80" s="178"/>
      <c r="I80" s="179"/>
      <c r="J80" s="179"/>
      <c r="K80" s="179"/>
      <c r="L80" s="179"/>
      <c r="M80" s="179"/>
      <c r="N80" s="179"/>
      <c r="O80" s="179"/>
      <c r="P80" s="179"/>
      <c r="Q80" s="179"/>
      <c r="R80" s="179"/>
    </row>
    <row r="81" ht="16" customHeight="1" spans="1:18" x14ac:dyDescent="0.25">
      <c r="A81" s="178"/>
      <c r="B81" s="178"/>
      <c r="C81" s="178"/>
      <c r="D81" s="178"/>
      <c r="E81" s="178"/>
      <c r="F81" s="178"/>
      <c r="G81" s="178"/>
      <c r="H81" s="178"/>
      <c r="I81" s="179"/>
      <c r="J81" s="179"/>
      <c r="K81" s="179"/>
      <c r="L81" s="179"/>
      <c r="M81" s="179"/>
      <c r="N81" s="179"/>
      <c r="O81" s="179"/>
      <c r="P81" s="179"/>
      <c r="Q81" s="179"/>
      <c r="R81" s="179"/>
    </row>
    <row r="82" ht="16" customHeight="1" spans="1:18" x14ac:dyDescent="0.25">
      <c r="A82" s="178"/>
      <c r="B82" s="178"/>
      <c r="C82" s="178"/>
      <c r="D82" s="178"/>
      <c r="E82" s="178"/>
      <c r="F82" s="178"/>
      <c r="G82" s="178"/>
      <c r="H82" s="178"/>
      <c r="I82" s="179"/>
      <c r="J82" s="179"/>
      <c r="K82" s="179"/>
      <c r="L82" s="179"/>
      <c r="M82" s="179"/>
      <c r="N82" s="179"/>
      <c r="O82" s="179"/>
      <c r="P82" s="179"/>
      <c r="Q82" s="179"/>
      <c r="R82" s="179"/>
    </row>
    <row r="83" ht="16" customHeight="1" spans="1:18" x14ac:dyDescent="0.25">
      <c r="A83" s="178"/>
      <c r="B83" s="178"/>
      <c r="C83" s="178"/>
      <c r="D83" s="178"/>
      <c r="E83" s="178"/>
      <c r="F83" s="178"/>
      <c r="G83" s="178"/>
      <c r="H83" s="178"/>
      <c r="I83" s="179"/>
      <c r="J83" s="179"/>
      <c r="K83" s="179"/>
      <c r="L83" s="179"/>
      <c r="M83" s="179"/>
      <c r="N83" s="179"/>
      <c r="O83" s="179"/>
      <c r="P83" s="179"/>
      <c r="Q83" s="179"/>
      <c r="R83" s="179"/>
    </row>
    <row r="84" ht="16" customHeight="1" spans="1:18" x14ac:dyDescent="0.25">
      <c r="A84" s="178"/>
      <c r="B84" s="178"/>
      <c r="C84" s="178"/>
      <c r="D84" s="178"/>
      <c r="E84" s="178"/>
      <c r="F84" s="178"/>
      <c r="G84" s="178"/>
      <c r="H84" s="178"/>
      <c r="I84" s="179"/>
      <c r="J84" s="179"/>
      <c r="K84" s="179"/>
      <c r="L84" s="179"/>
      <c r="M84" s="179"/>
      <c r="N84" s="179"/>
      <c r="O84" s="179"/>
      <c r="P84" s="179"/>
      <c r="Q84" s="179"/>
      <c r="R84" s="179"/>
    </row>
    <row r="85" ht="16" customHeight="1" spans="1:18" x14ac:dyDescent="0.25">
      <c r="A85" s="178"/>
      <c r="B85" s="178"/>
      <c r="C85" s="178"/>
      <c r="D85" s="178"/>
      <c r="E85" s="178"/>
      <c r="F85" s="178"/>
      <c r="G85" s="178"/>
      <c r="H85" s="178"/>
      <c r="I85" s="179"/>
      <c r="J85" s="179"/>
      <c r="K85" s="179"/>
      <c r="L85" s="179"/>
      <c r="M85" s="179"/>
      <c r="N85" s="179"/>
      <c r="O85" s="179"/>
      <c r="P85" s="179"/>
      <c r="Q85" s="179"/>
      <c r="R85" s="179"/>
    </row>
    <row r="86" ht="16" customHeight="1" spans="1:18" x14ac:dyDescent="0.25">
      <c r="A86" s="178"/>
      <c r="B86" s="178"/>
      <c r="C86" s="178"/>
      <c r="D86" s="178"/>
      <c r="E86" s="178"/>
      <c r="F86" s="178"/>
      <c r="G86" s="178"/>
      <c r="H86" s="178"/>
      <c r="I86" s="179"/>
      <c r="J86" s="179"/>
      <c r="K86" s="179"/>
      <c r="L86" s="179"/>
      <c r="M86" s="179"/>
      <c r="N86" s="179"/>
      <c r="O86" s="179"/>
      <c r="P86" s="179"/>
      <c r="Q86" s="179"/>
      <c r="R86" s="179"/>
    </row>
    <row r="87" ht="16" customHeight="1" spans="1:18" x14ac:dyDescent="0.25">
      <c r="A87" s="178"/>
      <c r="B87" s="178"/>
      <c r="C87" s="178"/>
      <c r="D87" s="178"/>
      <c r="E87" s="178"/>
      <c r="F87" s="178"/>
      <c r="G87" s="178"/>
      <c r="H87" s="178"/>
      <c r="I87" s="179"/>
      <c r="J87" s="179"/>
      <c r="K87" s="179"/>
      <c r="L87" s="179"/>
      <c r="M87" s="179"/>
      <c r="N87" s="179"/>
      <c r="O87" s="179"/>
      <c r="P87" s="179"/>
      <c r="Q87" s="179"/>
      <c r="R87" s="179"/>
    </row>
    <row r="88" ht="16" customHeight="1" spans="1:18" x14ac:dyDescent="0.25">
      <c r="A88" s="178"/>
      <c r="B88" s="178"/>
      <c r="C88" s="178"/>
      <c r="D88" s="178"/>
      <c r="E88" s="178"/>
      <c r="F88" s="178"/>
      <c r="G88" s="178"/>
      <c r="H88" s="178"/>
      <c r="I88" s="179"/>
      <c r="J88" s="179"/>
      <c r="K88" s="179"/>
      <c r="L88" s="179"/>
      <c r="M88" s="179"/>
      <c r="N88" s="179"/>
      <c r="O88" s="179"/>
      <c r="P88" s="179"/>
      <c r="Q88" s="179"/>
      <c r="R88" s="179"/>
    </row>
    <row r="89" ht="16" customHeight="1" spans="1:18" x14ac:dyDescent="0.25">
      <c r="A89" s="178"/>
      <c r="B89" s="178"/>
      <c r="C89" s="178"/>
      <c r="D89" s="178"/>
      <c r="E89" s="178"/>
      <c r="F89" s="178"/>
      <c r="G89" s="178"/>
      <c r="H89" s="178"/>
      <c r="I89" s="179"/>
      <c r="J89" s="179"/>
      <c r="K89" s="179"/>
      <c r="L89" s="179"/>
      <c r="M89" s="179"/>
      <c r="N89" s="179"/>
      <c r="O89" s="179"/>
      <c r="P89" s="179"/>
      <c r="Q89" s="179"/>
      <c r="R89" s="179"/>
    </row>
    <row r="90" ht="16" customHeight="1" spans="1:18" x14ac:dyDescent="0.25">
      <c r="A90" s="178"/>
      <c r="B90" s="178"/>
      <c r="C90" s="178"/>
      <c r="D90" s="178"/>
      <c r="E90" s="178"/>
      <c r="F90" s="178"/>
      <c r="G90" s="178"/>
      <c r="H90" s="178"/>
      <c r="I90" s="179"/>
      <c r="J90" s="179"/>
      <c r="K90" s="179"/>
      <c r="L90" s="179"/>
      <c r="M90" s="179"/>
      <c r="N90" s="179"/>
      <c r="O90" s="179"/>
      <c r="P90" s="179"/>
      <c r="Q90" s="179"/>
      <c r="R90" s="179"/>
    </row>
    <row r="91" ht="16" customHeight="1" spans="1:18" x14ac:dyDescent="0.25">
      <c r="A91" s="178"/>
      <c r="B91" s="178"/>
      <c r="C91" s="178"/>
      <c r="D91" s="178"/>
      <c r="E91" s="178"/>
      <c r="F91" s="178"/>
      <c r="G91" s="178"/>
      <c r="H91" s="178"/>
      <c r="I91" s="179"/>
      <c r="J91" s="179"/>
      <c r="K91" s="179"/>
      <c r="L91" s="179"/>
      <c r="M91" s="179"/>
      <c r="N91" s="179"/>
      <c r="O91" s="179"/>
      <c r="P91" s="179"/>
      <c r="Q91" s="179"/>
      <c r="R91" s="179"/>
    </row>
    <row r="92" ht="16" customHeight="1" spans="1:18" x14ac:dyDescent="0.25">
      <c r="A92" s="178"/>
      <c r="B92" s="178"/>
      <c r="C92" s="178"/>
      <c r="D92" s="178"/>
      <c r="E92" s="178"/>
      <c r="F92" s="178"/>
      <c r="G92" s="178"/>
      <c r="H92" s="178"/>
      <c r="I92" s="179"/>
      <c r="J92" s="179"/>
      <c r="K92" s="179"/>
      <c r="L92" s="179"/>
      <c r="M92" s="179"/>
      <c r="N92" s="179"/>
      <c r="O92" s="179"/>
      <c r="P92" s="179"/>
      <c r="Q92" s="179"/>
      <c r="R92" s="179"/>
    </row>
    <row r="93" ht="16" customHeight="1" spans="1:18" x14ac:dyDescent="0.25">
      <c r="A93" s="178"/>
      <c r="B93" s="178"/>
      <c r="C93" s="178"/>
      <c r="D93" s="178"/>
      <c r="E93" s="178"/>
      <c r="F93" s="178"/>
      <c r="G93" s="178"/>
      <c r="H93" s="178"/>
      <c r="I93" s="179"/>
      <c r="J93" s="179"/>
      <c r="K93" s="179"/>
      <c r="L93" s="179"/>
      <c r="M93" s="179"/>
      <c r="N93" s="179"/>
      <c r="O93" s="179"/>
      <c r="P93" s="179"/>
      <c r="Q93" s="179"/>
      <c r="R93" s="179"/>
    </row>
    <row r="94" ht="16" customHeight="1" spans="1:18" x14ac:dyDescent="0.25">
      <c r="A94" s="178"/>
      <c r="B94" s="178"/>
      <c r="C94" s="178"/>
      <c r="D94" s="178"/>
      <c r="E94" s="178"/>
      <c r="F94" s="178"/>
      <c r="G94" s="178"/>
      <c r="H94" s="178"/>
      <c r="I94" s="179"/>
      <c r="J94" s="179"/>
      <c r="K94" s="179"/>
      <c r="L94" s="179"/>
      <c r="M94" s="179"/>
      <c r="N94" s="179"/>
      <c r="O94" s="179"/>
      <c r="P94" s="179"/>
      <c r="Q94" s="179"/>
      <c r="R94" s="179"/>
    </row>
    <row r="95" ht="16" customHeight="1" spans="1:18" x14ac:dyDescent="0.25">
      <c r="A95" s="178"/>
      <c r="B95" s="178"/>
      <c r="C95" s="178"/>
      <c r="D95" s="178"/>
      <c r="E95" s="178"/>
      <c r="F95" s="178"/>
      <c r="G95" s="178"/>
      <c r="H95" s="178"/>
      <c r="I95" s="179"/>
      <c r="J95" s="179"/>
      <c r="K95" s="179"/>
      <c r="L95" s="179"/>
      <c r="M95" s="179"/>
      <c r="N95" s="179"/>
      <c r="O95" s="179"/>
      <c r="P95" s="179"/>
      <c r="Q95" s="179"/>
      <c r="R95" s="179"/>
    </row>
    <row r="96" ht="16" customHeight="1" spans="1:18" x14ac:dyDescent="0.25">
      <c r="A96" s="178"/>
      <c r="B96" s="178"/>
      <c r="C96" s="178"/>
      <c r="D96" s="178"/>
      <c r="E96" s="178"/>
      <c r="F96" s="178"/>
      <c r="G96" s="178"/>
      <c r="H96" s="178"/>
      <c r="I96" s="179"/>
      <c r="J96" s="179"/>
      <c r="K96" s="179"/>
      <c r="L96" s="179"/>
      <c r="M96" s="179"/>
      <c r="N96" s="179"/>
      <c r="O96" s="179"/>
      <c r="P96" s="179"/>
      <c r="Q96" s="179"/>
      <c r="R96" s="179"/>
    </row>
    <row r="97" ht="16" customHeight="1" spans="1:18" x14ac:dyDescent="0.25">
      <c r="A97" s="178"/>
      <c r="B97" s="178"/>
      <c r="C97" s="178"/>
      <c r="D97" s="178"/>
      <c r="E97" s="178"/>
      <c r="F97" s="178"/>
      <c r="G97" s="178"/>
      <c r="H97" s="178"/>
      <c r="I97" s="179"/>
      <c r="J97" s="179"/>
      <c r="K97" s="179"/>
      <c r="L97" s="179"/>
      <c r="M97" s="179"/>
      <c r="N97" s="179"/>
      <c r="O97" s="179"/>
      <c r="P97" s="179"/>
      <c r="Q97" s="179"/>
      <c r="R97" s="179"/>
    </row>
    <row r="98" ht="16" customHeight="1" spans="1:18" x14ac:dyDescent="0.25">
      <c r="A98" s="178"/>
      <c r="B98" s="178"/>
      <c r="C98" s="178"/>
      <c r="D98" s="178"/>
      <c r="E98" s="178"/>
      <c r="F98" s="178"/>
      <c r="G98" s="178"/>
      <c r="H98" s="178"/>
      <c r="I98" s="179"/>
      <c r="J98" s="179"/>
      <c r="K98" s="179"/>
      <c r="L98" s="179"/>
      <c r="M98" s="179"/>
      <c r="N98" s="179"/>
      <c r="O98" s="179"/>
      <c r="P98" s="179"/>
      <c r="Q98" s="179"/>
      <c r="R98" s="179"/>
    </row>
    <row r="99" ht="16" customHeight="1" spans="1:18" x14ac:dyDescent="0.25">
      <c r="A99" s="178"/>
      <c r="B99" s="178"/>
      <c r="C99" s="178"/>
      <c r="D99" s="178"/>
      <c r="E99" s="178"/>
      <c r="F99" s="178"/>
      <c r="G99" s="178"/>
      <c r="H99" s="178"/>
      <c r="I99" s="179"/>
      <c r="J99" s="179"/>
      <c r="K99" s="179"/>
      <c r="L99" s="179"/>
      <c r="M99" s="179"/>
      <c r="N99" s="179"/>
      <c r="O99" s="179"/>
      <c r="P99" s="179"/>
      <c r="Q99" s="179"/>
      <c r="R99" s="179"/>
    </row>
    <row r="100" ht="16" customHeight="1" spans="1:18" x14ac:dyDescent="0.25">
      <c r="A100" s="178"/>
      <c r="B100" s="178"/>
      <c r="C100" s="178"/>
      <c r="D100" s="178"/>
      <c r="E100" s="178"/>
      <c r="F100" s="178"/>
      <c r="G100" s="178"/>
      <c r="H100" s="178"/>
      <c r="I100" s="179"/>
      <c r="J100" s="179"/>
      <c r="K100" s="179"/>
      <c r="L100" s="179"/>
      <c r="M100" s="179"/>
      <c r="N100" s="179"/>
      <c r="O100" s="179"/>
      <c r="P100" s="179"/>
      <c r="Q100" s="179"/>
      <c r="R100" s="179"/>
    </row>
    <row r="101" ht="16" customHeight="1" spans="1:18" x14ac:dyDescent="0.25">
      <c r="A101" s="178"/>
      <c r="B101" s="178"/>
      <c r="C101" s="178"/>
      <c r="D101" s="178"/>
      <c r="E101" s="178"/>
      <c r="F101" s="178"/>
      <c r="G101" s="178"/>
      <c r="H101" s="178"/>
      <c r="I101" s="179"/>
      <c r="J101" s="179"/>
      <c r="K101" s="179"/>
      <c r="L101" s="179"/>
      <c r="M101" s="179"/>
      <c r="N101" s="179"/>
      <c r="O101" s="179"/>
      <c r="P101" s="179"/>
      <c r="Q101" s="179"/>
      <c r="R101" s="179"/>
    </row>
    <row r="102" ht="16" customHeight="1" spans="1:18" x14ac:dyDescent="0.25">
      <c r="A102" s="178"/>
      <c r="B102" s="178"/>
      <c r="C102" s="178"/>
      <c r="D102" s="178"/>
      <c r="E102" s="178"/>
      <c r="F102" s="178"/>
      <c r="G102" s="178"/>
      <c r="H102" s="178"/>
      <c r="I102" s="179"/>
      <c r="J102" s="179"/>
      <c r="K102" s="179"/>
      <c r="L102" s="179"/>
      <c r="M102" s="179"/>
      <c r="N102" s="179"/>
      <c r="O102" s="179"/>
      <c r="P102" s="179"/>
      <c r="Q102" s="179"/>
      <c r="R102" s="179"/>
    </row>
    <row r="103" ht="16" customHeight="1" spans="1:18" x14ac:dyDescent="0.25">
      <c r="A103" s="178"/>
      <c r="B103" s="178"/>
      <c r="C103" s="178"/>
      <c r="D103" s="178"/>
      <c r="E103" s="178"/>
      <c r="F103" s="178"/>
      <c r="G103" s="178"/>
      <c r="H103" s="178"/>
      <c r="I103" s="179"/>
      <c r="J103" s="179"/>
      <c r="K103" s="179"/>
      <c r="L103" s="179"/>
      <c r="M103" s="179"/>
      <c r="N103" s="179"/>
      <c r="O103" s="179"/>
      <c r="P103" s="179"/>
      <c r="Q103" s="179"/>
      <c r="R103" s="179"/>
    </row>
    <row r="104" ht="16" customHeight="1" spans="1:18" x14ac:dyDescent="0.25">
      <c r="A104" s="178"/>
      <c r="B104" s="178"/>
      <c r="C104" s="178"/>
      <c r="D104" s="178"/>
      <c r="E104" s="178"/>
      <c r="F104" s="178"/>
      <c r="G104" s="178"/>
      <c r="H104" s="178"/>
      <c r="I104" s="179"/>
      <c r="J104" s="179"/>
      <c r="K104" s="179"/>
      <c r="L104" s="179"/>
      <c r="M104" s="179"/>
      <c r="N104" s="179"/>
      <c r="O104" s="179"/>
      <c r="P104" s="179"/>
      <c r="Q104" s="179"/>
      <c r="R104" s="179"/>
    </row>
    <row r="105" ht="16" customHeight="1" spans="1:18" x14ac:dyDescent="0.25">
      <c r="A105" s="178"/>
      <c r="B105" s="178"/>
      <c r="C105" s="178"/>
      <c r="D105" s="178"/>
      <c r="E105" s="178"/>
      <c r="F105" s="178"/>
      <c r="G105" s="178"/>
      <c r="H105" s="178"/>
      <c r="I105" s="179"/>
      <c r="J105" s="179"/>
      <c r="K105" s="179"/>
      <c r="L105" s="179"/>
      <c r="M105" s="179"/>
      <c r="N105" s="179"/>
      <c r="O105" s="179"/>
      <c r="P105" s="179"/>
      <c r="Q105" s="179"/>
      <c r="R105" s="179"/>
    </row>
    <row r="106" ht="16" customHeight="1" spans="1:18" x14ac:dyDescent="0.25">
      <c r="A106" s="178"/>
      <c r="B106" s="178"/>
      <c r="C106" s="178"/>
      <c r="D106" s="178"/>
      <c r="E106" s="178"/>
      <c r="F106" s="178"/>
      <c r="G106" s="178"/>
      <c r="H106" s="178"/>
      <c r="I106" s="179"/>
      <c r="J106" s="179"/>
      <c r="K106" s="179"/>
      <c r="L106" s="179"/>
      <c r="M106" s="179"/>
      <c r="N106" s="179"/>
      <c r="O106" s="179"/>
      <c r="P106" s="179"/>
      <c r="Q106" s="179"/>
      <c r="R106" s="179"/>
    </row>
    <row r="107" ht="16" customHeight="1" spans="1:18" x14ac:dyDescent="0.25">
      <c r="A107" s="178"/>
      <c r="B107" s="178"/>
      <c r="C107" s="178"/>
      <c r="D107" s="178"/>
      <c r="E107" s="178"/>
      <c r="F107" s="178"/>
      <c r="G107" s="178"/>
      <c r="H107" s="178"/>
      <c r="I107" s="179"/>
      <c r="J107" s="179"/>
      <c r="K107" s="179"/>
      <c r="L107" s="179"/>
      <c r="M107" s="179"/>
      <c r="N107" s="179"/>
      <c r="O107" s="179"/>
      <c r="P107" s="179"/>
      <c r="Q107" s="179"/>
      <c r="R107" s="179"/>
    </row>
    <row r="108" ht="16" customHeight="1" spans="1:18" x14ac:dyDescent="0.25">
      <c r="A108" s="178"/>
      <c r="B108" s="178"/>
      <c r="C108" s="178"/>
      <c r="D108" s="178"/>
      <c r="E108" s="178"/>
      <c r="F108" s="178"/>
      <c r="G108" s="178"/>
      <c r="H108" s="178"/>
      <c r="I108" s="179"/>
      <c r="J108" s="179"/>
      <c r="K108" s="179"/>
      <c r="L108" s="179"/>
      <c r="M108" s="179"/>
      <c r="N108" s="179"/>
      <c r="O108" s="179"/>
      <c r="P108" s="179"/>
      <c r="Q108" s="179"/>
      <c r="R108" s="179"/>
    </row>
    <row r="109" ht="16" customHeight="1" spans="1:18" x14ac:dyDescent="0.25">
      <c r="A109" s="178"/>
      <c r="B109" s="178"/>
      <c r="C109" s="178"/>
      <c r="D109" s="178"/>
      <c r="E109" s="178"/>
      <c r="F109" s="178"/>
      <c r="G109" s="178"/>
      <c r="H109" s="178"/>
      <c r="I109" s="179"/>
      <c r="J109" s="179"/>
      <c r="K109" s="179"/>
      <c r="L109" s="179"/>
      <c r="M109" s="179"/>
      <c r="N109" s="179"/>
      <c r="O109" s="179"/>
      <c r="P109" s="179"/>
      <c r="Q109" s="179"/>
      <c r="R109" s="179"/>
    </row>
    <row r="110" ht="16" customHeight="1" spans="1:18" x14ac:dyDescent="0.25">
      <c r="A110" s="178"/>
      <c r="B110" s="178"/>
      <c r="C110" s="178"/>
      <c r="D110" s="178"/>
      <c r="E110" s="178"/>
      <c r="F110" s="178"/>
      <c r="G110" s="178"/>
      <c r="H110" s="178"/>
      <c r="I110" s="179"/>
      <c r="J110" s="179"/>
      <c r="K110" s="179"/>
      <c r="L110" s="179"/>
      <c r="M110" s="179"/>
      <c r="N110" s="179"/>
      <c r="O110" s="179"/>
      <c r="P110" s="179"/>
      <c r="Q110" s="179"/>
      <c r="R110" s="179"/>
    </row>
    <row r="111" ht="16" customHeight="1" spans="1:18" x14ac:dyDescent="0.25">
      <c r="A111" s="178"/>
      <c r="B111" s="178"/>
      <c r="C111" s="178"/>
      <c r="D111" s="178"/>
      <c r="E111" s="178"/>
      <c r="F111" s="178"/>
      <c r="G111" s="178"/>
      <c r="H111" s="178"/>
      <c r="I111" s="179"/>
      <c r="J111" s="179"/>
      <c r="K111" s="179"/>
      <c r="L111" s="179"/>
      <c r="M111" s="179"/>
      <c r="N111" s="179"/>
      <c r="O111" s="179"/>
      <c r="P111" s="179"/>
      <c r="Q111" s="179"/>
      <c r="R111" s="179"/>
    </row>
    <row r="112" ht="16" customHeight="1" spans="1:18" x14ac:dyDescent="0.25">
      <c r="A112" s="178"/>
      <c r="B112" s="178"/>
      <c r="C112" s="178"/>
      <c r="D112" s="178"/>
      <c r="E112" s="178"/>
      <c r="F112" s="178"/>
      <c r="G112" s="178"/>
      <c r="H112" s="178"/>
      <c r="I112" s="179"/>
      <c r="J112" s="179"/>
      <c r="K112" s="179"/>
      <c r="L112" s="179"/>
      <c r="M112" s="179"/>
      <c r="N112" s="179"/>
      <c r="O112" s="179"/>
      <c r="P112" s="179"/>
      <c r="Q112" s="179"/>
      <c r="R112" s="179"/>
    </row>
    <row r="113" ht="16" customHeight="1" spans="1:18" x14ac:dyDescent="0.25">
      <c r="A113" s="178"/>
      <c r="B113" s="178"/>
      <c r="C113" s="178"/>
      <c r="D113" s="178"/>
      <c r="E113" s="178"/>
      <c r="F113" s="178"/>
      <c r="G113" s="178"/>
      <c r="H113" s="178"/>
      <c r="I113" s="179"/>
      <c r="J113" s="179"/>
      <c r="K113" s="179"/>
      <c r="L113" s="179"/>
      <c r="M113" s="179"/>
      <c r="N113" s="179"/>
      <c r="O113" s="179"/>
      <c r="P113" s="179"/>
      <c r="Q113" s="179"/>
      <c r="R113" s="179"/>
    </row>
    <row r="114" ht="16" customHeight="1" spans="1:18" x14ac:dyDescent="0.25">
      <c r="A114" s="178"/>
      <c r="B114" s="178"/>
      <c r="C114" s="178"/>
      <c r="D114" s="178"/>
      <c r="E114" s="178"/>
      <c r="F114" s="178"/>
      <c r="G114" s="178"/>
      <c r="H114" s="178"/>
      <c r="I114" s="179"/>
      <c r="J114" s="179"/>
      <c r="K114" s="179"/>
      <c r="L114" s="179"/>
      <c r="M114" s="179"/>
      <c r="N114" s="179"/>
      <c r="O114" s="179"/>
      <c r="P114" s="179"/>
      <c r="Q114" s="179"/>
      <c r="R114" s="179"/>
    </row>
    <row r="115" ht="16" customHeight="1" spans="1:18" x14ac:dyDescent="0.25">
      <c r="A115" s="178"/>
      <c r="B115" s="178"/>
      <c r="C115" s="178"/>
      <c r="D115" s="178"/>
      <c r="E115" s="178"/>
      <c r="F115" s="178"/>
      <c r="G115" s="178"/>
      <c r="H115" s="178"/>
      <c r="I115" s="179"/>
      <c r="J115" s="179"/>
      <c r="K115" s="179"/>
      <c r="L115" s="179"/>
      <c r="M115" s="179"/>
      <c r="N115" s="179"/>
      <c r="O115" s="179"/>
      <c r="P115" s="179"/>
      <c r="Q115" s="179"/>
      <c r="R115" s="179"/>
    </row>
    <row r="116" ht="16" customHeight="1" spans="1:18" x14ac:dyDescent="0.25">
      <c r="A116" s="178"/>
      <c r="B116" s="178"/>
      <c r="C116" s="178"/>
      <c r="D116" s="178"/>
      <c r="E116" s="178"/>
      <c r="F116" s="178"/>
      <c r="G116" s="178"/>
      <c r="H116" s="178"/>
      <c r="I116" s="179"/>
      <c r="J116" s="179"/>
      <c r="K116" s="179"/>
      <c r="L116" s="179"/>
      <c r="M116" s="179"/>
      <c r="N116" s="179"/>
      <c r="O116" s="179"/>
      <c r="P116" s="179"/>
      <c r="Q116" s="179"/>
      <c r="R116" s="179"/>
    </row>
    <row r="117" ht="16" customHeight="1" spans="1:18" x14ac:dyDescent="0.25">
      <c r="A117" s="178"/>
      <c r="B117" s="178"/>
      <c r="C117" s="178"/>
      <c r="D117" s="178"/>
      <c r="E117" s="178"/>
      <c r="F117" s="178"/>
      <c r="G117" s="178"/>
      <c r="H117" s="178"/>
      <c r="I117" s="179"/>
      <c r="J117" s="179"/>
      <c r="K117" s="179"/>
      <c r="L117" s="179"/>
      <c r="M117" s="179"/>
      <c r="N117" s="179"/>
      <c r="O117" s="179"/>
      <c r="P117" s="179"/>
      <c r="Q117" s="179"/>
      <c r="R117" s="179"/>
    </row>
    <row r="118" ht="16" customHeight="1" spans="1:18" x14ac:dyDescent="0.25">
      <c r="A118" s="178"/>
      <c r="B118" s="178"/>
      <c r="C118" s="178"/>
      <c r="D118" s="178"/>
      <c r="E118" s="178"/>
      <c r="F118" s="178"/>
      <c r="G118" s="178"/>
      <c r="H118" s="178"/>
      <c r="I118" s="179"/>
      <c r="J118" s="179"/>
      <c r="K118" s="179"/>
      <c r="L118" s="179"/>
      <c r="M118" s="179"/>
      <c r="N118" s="179"/>
      <c r="O118" s="179"/>
      <c r="P118" s="179"/>
      <c r="Q118" s="179"/>
      <c r="R118" s="179"/>
    </row>
    <row r="119" ht="16" customHeight="1" spans="1:18" x14ac:dyDescent="0.25">
      <c r="A119" s="178"/>
      <c r="B119" s="178"/>
      <c r="C119" s="178"/>
      <c r="D119" s="178"/>
      <c r="E119" s="178"/>
      <c r="F119" s="178"/>
      <c r="G119" s="178"/>
      <c r="H119" s="178"/>
      <c r="I119" s="179"/>
      <c r="J119" s="179"/>
      <c r="K119" s="179"/>
      <c r="L119" s="179"/>
      <c r="M119" s="179"/>
      <c r="N119" s="179"/>
      <c r="O119" s="179"/>
      <c r="P119" s="179"/>
      <c r="Q119" s="179"/>
      <c r="R119" s="179"/>
    </row>
    <row r="120" ht="16" customHeight="1" spans="1:18" x14ac:dyDescent="0.25">
      <c r="A120" s="178"/>
      <c r="B120" s="178"/>
      <c r="C120" s="178"/>
      <c r="D120" s="178"/>
      <c r="E120" s="178"/>
      <c r="F120" s="178"/>
      <c r="G120" s="178"/>
      <c r="H120" s="178"/>
      <c r="I120" s="179"/>
      <c r="J120" s="179"/>
      <c r="K120" s="179"/>
      <c r="L120" s="179"/>
      <c r="M120" s="179"/>
      <c r="N120" s="179"/>
      <c r="O120" s="179"/>
      <c r="P120" s="179"/>
      <c r="Q120" s="179"/>
      <c r="R120" s="179"/>
    </row>
    <row r="121" ht="16" customHeight="1" spans="1:18" x14ac:dyDescent="0.25">
      <c r="A121" s="178"/>
      <c r="B121" s="178"/>
      <c r="C121" s="178"/>
      <c r="D121" s="178"/>
      <c r="E121" s="178"/>
      <c r="F121" s="178"/>
      <c r="G121" s="178"/>
      <c r="H121" s="178"/>
      <c r="I121" s="179"/>
      <c r="J121" s="179"/>
      <c r="K121" s="179"/>
      <c r="L121" s="179"/>
      <c r="M121" s="179"/>
      <c r="N121" s="179"/>
      <c r="O121" s="179"/>
      <c r="P121" s="179"/>
      <c r="Q121" s="179"/>
      <c r="R121" s="179"/>
    </row>
    <row r="122" ht="16" customHeight="1" spans="1:18" x14ac:dyDescent="0.25">
      <c r="A122" s="178"/>
      <c r="B122" s="178"/>
      <c r="C122" s="178"/>
      <c r="D122" s="178"/>
      <c r="E122" s="178"/>
      <c r="F122" s="178"/>
      <c r="G122" s="178"/>
      <c r="H122" s="178"/>
      <c r="I122" s="179"/>
      <c r="J122" s="179"/>
      <c r="K122" s="179"/>
      <c r="L122" s="179"/>
      <c r="M122" s="179"/>
      <c r="N122" s="179"/>
      <c r="O122" s="179"/>
      <c r="P122" s="179"/>
      <c r="Q122" s="179"/>
      <c r="R122" s="179"/>
    </row>
    <row r="123" ht="16" customHeight="1" spans="1:18" x14ac:dyDescent="0.25">
      <c r="A123" s="178"/>
      <c r="B123" s="178"/>
      <c r="C123" s="178"/>
      <c r="D123" s="178"/>
      <c r="E123" s="178"/>
      <c r="F123" s="178"/>
      <c r="G123" s="178"/>
      <c r="H123" s="178"/>
      <c r="I123" s="179"/>
      <c r="J123" s="179"/>
      <c r="K123" s="179"/>
      <c r="L123" s="179"/>
      <c r="M123" s="179"/>
      <c r="N123" s="179"/>
      <c r="O123" s="179"/>
      <c r="P123" s="179"/>
      <c r="Q123" s="179"/>
      <c r="R123" s="179"/>
    </row>
    <row r="124" ht="16" customHeight="1" spans="1:18" x14ac:dyDescent="0.25">
      <c r="A124" s="178"/>
      <c r="B124" s="178"/>
      <c r="C124" s="178"/>
      <c r="D124" s="178"/>
      <c r="E124" s="178"/>
      <c r="F124" s="178"/>
      <c r="G124" s="178"/>
      <c r="H124" s="178"/>
      <c r="I124" s="179"/>
      <c r="J124" s="179"/>
      <c r="K124" s="179"/>
      <c r="L124" s="179"/>
      <c r="M124" s="179"/>
      <c r="N124" s="179"/>
      <c r="O124" s="179"/>
      <c r="P124" s="179"/>
      <c r="Q124" s="179"/>
      <c r="R124" s="179"/>
    </row>
    <row r="125" ht="16" customHeight="1" spans="1:18" x14ac:dyDescent="0.25">
      <c r="A125" s="178"/>
      <c r="B125" s="178"/>
      <c r="C125" s="178"/>
      <c r="D125" s="178"/>
      <c r="E125" s="178"/>
      <c r="F125" s="178"/>
      <c r="G125" s="178"/>
      <c r="H125" s="178"/>
      <c r="I125" s="179"/>
      <c r="J125" s="179"/>
      <c r="K125" s="179"/>
      <c r="L125" s="179"/>
      <c r="M125" s="179"/>
      <c r="N125" s="179"/>
      <c r="O125" s="179"/>
      <c r="P125" s="179"/>
      <c r="Q125" s="179"/>
      <c r="R125" s="179"/>
    </row>
    <row r="126" ht="16" customHeight="1" spans="1:18" x14ac:dyDescent="0.25">
      <c r="A126" s="178"/>
      <c r="B126" s="178"/>
      <c r="C126" s="178"/>
      <c r="D126" s="178"/>
      <c r="E126" s="178"/>
      <c r="F126" s="178"/>
      <c r="G126" s="178"/>
      <c r="H126" s="178"/>
      <c r="I126" s="179"/>
      <c r="J126" s="179"/>
      <c r="K126" s="179"/>
      <c r="L126" s="179"/>
      <c r="M126" s="179"/>
      <c r="N126" s="179"/>
      <c r="O126" s="179"/>
      <c r="P126" s="179"/>
      <c r="Q126" s="179"/>
      <c r="R126" s="179"/>
    </row>
    <row r="127" ht="16" customHeight="1" spans="1:18" x14ac:dyDescent="0.25">
      <c r="A127" s="178"/>
      <c r="B127" s="178"/>
      <c r="C127" s="178"/>
      <c r="D127" s="178"/>
      <c r="E127" s="178"/>
      <c r="F127" s="178"/>
      <c r="G127" s="178"/>
      <c r="H127" s="178"/>
      <c r="I127" s="179"/>
      <c r="J127" s="179"/>
      <c r="K127" s="179"/>
      <c r="L127" s="179"/>
      <c r="M127" s="179"/>
      <c r="N127" s="179"/>
      <c r="O127" s="179"/>
      <c r="P127" s="179"/>
      <c r="Q127" s="179"/>
      <c r="R127" s="179"/>
    </row>
    <row r="128" ht="16" customHeight="1" spans="1:18" x14ac:dyDescent="0.25">
      <c r="A128" s="178"/>
      <c r="B128" s="178"/>
      <c r="C128" s="178"/>
      <c r="D128" s="178"/>
      <c r="E128" s="178"/>
      <c r="F128" s="178"/>
      <c r="G128" s="178"/>
      <c r="H128" s="178"/>
      <c r="I128" s="179"/>
      <c r="J128" s="179"/>
      <c r="K128" s="179"/>
      <c r="L128" s="179"/>
      <c r="M128" s="179"/>
      <c r="N128" s="179"/>
      <c r="O128" s="179"/>
      <c r="P128" s="179"/>
      <c r="Q128" s="179"/>
      <c r="R128" s="179"/>
    </row>
    <row r="129" ht="16" customHeight="1" spans="1:18" x14ac:dyDescent="0.25">
      <c r="A129" s="178"/>
      <c r="B129" s="178"/>
      <c r="C129" s="178"/>
      <c r="D129" s="178"/>
      <c r="E129" s="178"/>
      <c r="F129" s="178"/>
      <c r="G129" s="178"/>
      <c r="H129" s="178"/>
      <c r="I129" s="179"/>
      <c r="J129" s="179"/>
      <c r="K129" s="179"/>
      <c r="L129" s="179"/>
      <c r="M129" s="179"/>
      <c r="N129" s="179"/>
      <c r="O129" s="179"/>
      <c r="P129" s="179"/>
      <c r="Q129" s="179"/>
      <c r="R129" s="179"/>
    </row>
    <row r="130" ht="16" customHeight="1" spans="1:18" x14ac:dyDescent="0.25">
      <c r="A130" s="178"/>
      <c r="B130" s="178"/>
      <c r="C130" s="178"/>
      <c r="D130" s="178"/>
      <c r="E130" s="178"/>
      <c r="F130" s="178"/>
      <c r="G130" s="178"/>
      <c r="H130" s="178"/>
      <c r="I130" s="179"/>
      <c r="J130" s="179"/>
      <c r="K130" s="179"/>
      <c r="L130" s="179"/>
      <c r="M130" s="179"/>
      <c r="N130" s="179"/>
      <c r="O130" s="179"/>
      <c r="P130" s="179"/>
      <c r="Q130" s="179"/>
      <c r="R130" s="179"/>
    </row>
    <row r="131" ht="16" customHeight="1" spans="1:18" x14ac:dyDescent="0.25">
      <c r="A131" s="178"/>
      <c r="B131" s="178"/>
      <c r="C131" s="178"/>
      <c r="D131" s="178"/>
      <c r="E131" s="178"/>
      <c r="F131" s="178"/>
      <c r="G131" s="178"/>
      <c r="H131" s="178"/>
      <c r="I131" s="179"/>
      <c r="J131" s="179"/>
      <c r="K131" s="179"/>
      <c r="L131" s="179"/>
      <c r="M131" s="179"/>
      <c r="N131" s="179"/>
      <c r="O131" s="179"/>
      <c r="P131" s="179"/>
      <c r="Q131" s="179"/>
      <c r="R131" s="179"/>
    </row>
    <row r="132" ht="16" customHeight="1" spans="1:18" x14ac:dyDescent="0.25">
      <c r="A132" s="178"/>
      <c r="B132" s="178"/>
      <c r="C132" s="178"/>
      <c r="D132" s="178"/>
      <c r="E132" s="178"/>
      <c r="F132" s="178"/>
      <c r="G132" s="178"/>
      <c r="H132" s="178"/>
      <c r="I132" s="179"/>
      <c r="J132" s="179"/>
      <c r="K132" s="179"/>
      <c r="L132" s="179"/>
      <c r="M132" s="179"/>
      <c r="N132" s="179"/>
      <c r="O132" s="179"/>
      <c r="P132" s="179"/>
      <c r="Q132" s="179"/>
      <c r="R132" s="179"/>
    </row>
    <row r="133" ht="16" customHeight="1" spans="1:18" x14ac:dyDescent="0.25">
      <c r="A133" s="178"/>
      <c r="B133" s="178"/>
      <c r="C133" s="178"/>
      <c r="D133" s="178"/>
      <c r="E133" s="178"/>
      <c r="F133" s="178"/>
      <c r="G133" s="178"/>
      <c r="H133" s="178"/>
      <c r="I133" s="179"/>
      <c r="J133" s="179"/>
      <c r="K133" s="179"/>
      <c r="L133" s="179"/>
      <c r="M133" s="179"/>
      <c r="N133" s="179"/>
      <c r="O133" s="179"/>
      <c r="P133" s="179"/>
      <c r="Q133" s="179"/>
      <c r="R133" s="179"/>
    </row>
    <row r="134" ht="16" customHeight="1" spans="1:18" x14ac:dyDescent="0.25">
      <c r="A134" s="178"/>
      <c r="B134" s="178"/>
      <c r="C134" s="178"/>
      <c r="D134" s="178"/>
      <c r="E134" s="178"/>
      <c r="F134" s="178"/>
      <c r="G134" s="178"/>
      <c r="H134" s="178"/>
      <c r="I134" s="179"/>
      <c r="J134" s="179"/>
      <c r="K134" s="179"/>
      <c r="L134" s="179"/>
      <c r="M134" s="179"/>
      <c r="N134" s="179"/>
      <c r="O134" s="179"/>
      <c r="P134" s="179"/>
      <c r="Q134" s="179"/>
      <c r="R134" s="179"/>
    </row>
    <row r="135" ht="16" customHeight="1" spans="1:18" x14ac:dyDescent="0.25">
      <c r="A135" s="178"/>
      <c r="B135" s="178"/>
      <c r="C135" s="178"/>
      <c r="D135" s="178"/>
      <c r="E135" s="178"/>
      <c r="F135" s="178"/>
      <c r="G135" s="178"/>
      <c r="H135" s="178"/>
      <c r="I135" s="179"/>
      <c r="J135" s="179"/>
      <c r="K135" s="179"/>
      <c r="L135" s="179"/>
      <c r="M135" s="179"/>
      <c r="N135" s="179"/>
      <c r="O135" s="179"/>
      <c r="P135" s="179"/>
      <c r="Q135" s="179"/>
      <c r="R135" s="179"/>
    </row>
    <row r="136" ht="16" customHeight="1" spans="1:18" x14ac:dyDescent="0.25">
      <c r="A136" s="178"/>
      <c r="B136" s="178"/>
      <c r="C136" s="178"/>
      <c r="D136" s="178"/>
      <c r="E136" s="178"/>
      <c r="F136" s="178"/>
      <c r="G136" s="178"/>
      <c r="H136" s="178"/>
      <c r="I136" s="179"/>
      <c r="J136" s="179"/>
      <c r="K136" s="179"/>
      <c r="L136" s="179"/>
      <c r="M136" s="179"/>
      <c r="N136" s="179"/>
      <c r="O136" s="179"/>
      <c r="P136" s="179"/>
      <c r="Q136" s="179"/>
      <c r="R136" s="179"/>
    </row>
    <row r="137" ht="16" customHeight="1" spans="1:18" x14ac:dyDescent="0.25">
      <c r="A137" s="178"/>
      <c r="B137" s="178"/>
      <c r="C137" s="178"/>
      <c r="D137" s="178"/>
      <c r="E137" s="178"/>
      <c r="F137" s="178"/>
      <c r="G137" s="178"/>
      <c r="H137" s="178"/>
      <c r="I137" s="179"/>
      <c r="J137" s="179"/>
      <c r="K137" s="179"/>
      <c r="L137" s="179"/>
      <c r="M137" s="179"/>
      <c r="N137" s="179"/>
      <c r="O137" s="179"/>
      <c r="P137" s="179"/>
      <c r="Q137" s="179"/>
      <c r="R137" s="179"/>
    </row>
    <row r="138" ht="16" customHeight="1" spans="1:18" x14ac:dyDescent="0.25">
      <c r="A138" s="178"/>
      <c r="B138" s="178"/>
      <c r="C138" s="178"/>
      <c r="D138" s="178"/>
      <c r="E138" s="178"/>
      <c r="F138" s="178"/>
      <c r="G138" s="178"/>
      <c r="H138" s="178"/>
      <c r="I138" s="179"/>
      <c r="J138" s="179"/>
      <c r="K138" s="179"/>
      <c r="L138" s="179"/>
      <c r="M138" s="179"/>
      <c r="N138" s="179"/>
      <c r="O138" s="179"/>
      <c r="P138" s="179"/>
      <c r="Q138" s="179"/>
      <c r="R138" s="179"/>
    </row>
    <row r="139" ht="16" customHeight="1" spans="1:18" x14ac:dyDescent="0.25">
      <c r="A139" s="178"/>
      <c r="B139" s="178"/>
      <c r="C139" s="178"/>
      <c r="D139" s="178"/>
      <c r="E139" s="178"/>
      <c r="F139" s="178"/>
      <c r="G139" s="178"/>
      <c r="H139" s="178"/>
      <c r="I139" s="179"/>
      <c r="J139" s="179"/>
      <c r="K139" s="179"/>
      <c r="L139" s="179"/>
      <c r="M139" s="179"/>
      <c r="N139" s="179"/>
      <c r="O139" s="179"/>
      <c r="P139" s="179"/>
      <c r="Q139" s="179"/>
      <c r="R139" s="179"/>
    </row>
    <row r="140" ht="16" customHeight="1" spans="1:18" x14ac:dyDescent="0.25">
      <c r="A140" s="178"/>
      <c r="B140" s="178"/>
      <c r="C140" s="178"/>
      <c r="D140" s="178"/>
      <c r="E140" s="178"/>
      <c r="F140" s="178"/>
      <c r="G140" s="178"/>
      <c r="H140" s="178"/>
      <c r="I140" s="179"/>
      <c r="J140" s="179"/>
      <c r="K140" s="179"/>
      <c r="L140" s="179"/>
      <c r="M140" s="179"/>
      <c r="N140" s="179"/>
      <c r="O140" s="179"/>
      <c r="P140" s="179"/>
      <c r="Q140" s="179"/>
      <c r="R140" s="179"/>
    </row>
    <row r="141" ht="16" customHeight="1" spans="1:18" x14ac:dyDescent="0.25">
      <c r="A141" s="178"/>
      <c r="B141" s="178"/>
      <c r="C141" s="178"/>
      <c r="D141" s="178"/>
      <c r="E141" s="178"/>
      <c r="F141" s="178"/>
      <c r="G141" s="178"/>
      <c r="H141" s="178"/>
      <c r="I141" s="179"/>
      <c r="J141" s="179"/>
      <c r="K141" s="179"/>
      <c r="L141" s="179"/>
      <c r="M141" s="179"/>
      <c r="N141" s="179"/>
      <c r="O141" s="179"/>
      <c r="P141" s="179"/>
      <c r="Q141" s="179"/>
      <c r="R141" s="179"/>
    </row>
    <row r="142" ht="16" customHeight="1" spans="1:18" x14ac:dyDescent="0.25">
      <c r="A142" s="178"/>
      <c r="B142" s="178"/>
      <c r="C142" s="178"/>
      <c r="D142" s="178"/>
      <c r="E142" s="178"/>
      <c r="F142" s="178"/>
      <c r="G142" s="178"/>
      <c r="H142" s="178"/>
      <c r="I142" s="179"/>
      <c r="J142" s="179"/>
      <c r="K142" s="179"/>
      <c r="L142" s="179"/>
      <c r="M142" s="179"/>
      <c r="N142" s="179"/>
      <c r="O142" s="179"/>
      <c r="P142" s="179"/>
      <c r="Q142" s="179"/>
      <c r="R142" s="179"/>
    </row>
    <row r="143" ht="16" customHeight="1" spans="1:18" x14ac:dyDescent="0.25">
      <c r="A143" s="178"/>
      <c r="B143" s="178"/>
      <c r="C143" s="178"/>
      <c r="D143" s="178"/>
      <c r="E143" s="178"/>
      <c r="F143" s="178"/>
      <c r="G143" s="178"/>
      <c r="H143" s="178"/>
      <c r="I143" s="179"/>
      <c r="J143" s="179"/>
      <c r="K143" s="179"/>
      <c r="L143" s="179"/>
      <c r="M143" s="179"/>
      <c r="N143" s="179"/>
      <c r="O143" s="179"/>
      <c r="P143" s="179"/>
      <c r="Q143" s="179"/>
      <c r="R143" s="179"/>
    </row>
    <row r="144" ht="16" customHeight="1" spans="1:18" x14ac:dyDescent="0.25">
      <c r="A144" s="178"/>
      <c r="B144" s="178"/>
      <c r="C144" s="178"/>
      <c r="D144" s="178"/>
      <c r="E144" s="178"/>
      <c r="F144" s="178"/>
      <c r="G144" s="178"/>
      <c r="H144" s="178"/>
      <c r="I144" s="179"/>
      <c r="J144" s="179"/>
      <c r="K144" s="179"/>
      <c r="L144" s="179"/>
      <c r="M144" s="179"/>
      <c r="N144" s="179"/>
      <c r="O144" s="179"/>
      <c r="P144" s="179"/>
      <c r="Q144" s="179"/>
      <c r="R144" s="179"/>
    </row>
    <row r="145" spans="1:8" x14ac:dyDescent="0.25">
      <c r="A145" s="178"/>
      <c r="B145" s="178"/>
      <c r="C145" s="178"/>
      <c r="D145" s="178"/>
      <c r="E145" s="178"/>
      <c r="F145" s="178"/>
      <c r="G145" s="178"/>
      <c r="H145" s="178"/>
    </row>
  </sheetData>
  <mergeCells count="1">
    <mergeCell ref="Q2:Q4"/>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R17"/>
  <sheetViews>
    <sheetView workbookViewId="0" showGridLines="0" zoomScale="100" zoomScaleNormal="100">
      <selection activeCell="D5" sqref="D5"/>
    </sheetView>
  </sheetViews>
  <sheetFormatPr defaultRowHeight="15" outlineLevelRow="0" outlineLevelCol="0" x14ac:dyDescent="0.2"/>
  <cols>
    <col min="1" max="3" hidden="1" customWidth="1"/>
    <col min="4" max="4" width="16.83203125" customWidth="1"/>
    <col min="6" max="6" width="68.83203125" customWidth="1"/>
    <col min="7" max="16" width="13.5" customWidth="1"/>
  </cols>
  <sheetData>
    <row r="1" ht="80" customHeight="1" spans="1:17" s="40" customFormat="1" x14ac:dyDescent="0.25">
      <c r="A1" s="41"/>
      <c r="B1" s="42"/>
      <c r="C1" s="42"/>
      <c r="D1" s="41" t="s">
        <v>696</v>
      </c>
      <c r="E1" s="43"/>
      <c r="F1" s="44"/>
      <c r="G1" s="44"/>
      <c r="H1" s="43"/>
      <c r="I1" s="43"/>
      <c r="J1" s="43"/>
      <c r="K1" s="43"/>
      <c r="L1" s="43"/>
      <c r="M1" s="43"/>
      <c r="N1" s="43"/>
      <c r="O1" s="43"/>
      <c r="P1" s="43"/>
      <c r="Q1" s="43"/>
    </row>
    <row r="2" hidden="1" spans="1:17" x14ac:dyDescent="0.25">
      <c r="A2" s="204"/>
      <c r="B2" s="165"/>
      <c r="C2" s="165"/>
      <c r="D2" s="165"/>
      <c r="E2" s="165"/>
      <c r="F2" s="165"/>
      <c r="G2" s="166" t="s">
        <v>652</v>
      </c>
      <c r="H2" s="166" t="s">
        <v>652</v>
      </c>
      <c r="I2" s="166" t="s">
        <v>652</v>
      </c>
      <c r="J2" s="166" t="s">
        <v>652</v>
      </c>
      <c r="K2" s="166" t="s">
        <v>652</v>
      </c>
      <c r="L2" s="166" t="s">
        <v>652</v>
      </c>
      <c r="M2" s="166" t="s">
        <v>652</v>
      </c>
      <c r="N2" s="166" t="s">
        <v>652</v>
      </c>
      <c r="O2" s="166" t="s">
        <v>652</v>
      </c>
      <c r="P2" s="166" t="s">
        <v>652</v>
      </c>
      <c r="Q2" s="167" t="s">
        <v>659</v>
      </c>
    </row>
    <row r="3" ht="24" customHeight="1" hidden="1" spans="1:17" x14ac:dyDescent="0.25">
      <c r="A3" s="204"/>
      <c r="B3" s="165"/>
      <c r="C3" s="165"/>
      <c r="D3" s="165"/>
      <c r="E3" s="165"/>
      <c r="F3" s="165"/>
      <c r="G3" s="166" t="s">
        <v>660</v>
      </c>
      <c r="H3" s="166" t="s">
        <v>661</v>
      </c>
      <c r="I3" s="166" t="s">
        <v>654</v>
      </c>
      <c r="J3" s="166" t="s">
        <v>662</v>
      </c>
      <c r="K3" s="166" t="s">
        <v>663</v>
      </c>
      <c r="L3" s="166" t="s">
        <v>664</v>
      </c>
      <c r="M3" s="166" t="s">
        <v>665</v>
      </c>
      <c r="N3" s="166" t="s">
        <v>666</v>
      </c>
      <c r="O3" s="166" t="s">
        <v>667</v>
      </c>
      <c r="P3" s="166" t="s">
        <v>668</v>
      </c>
      <c r="Q3" s="167"/>
    </row>
    <row r="4" ht="36" customHeight="1" spans="1:17" x14ac:dyDescent="0.25">
      <c r="A4" s="205"/>
      <c r="B4" s="170" t="s">
        <v>528</v>
      </c>
      <c r="C4" s="170" t="s">
        <v>529</v>
      </c>
      <c r="D4" s="170" t="s">
        <v>37</v>
      </c>
      <c r="E4" s="170" t="s">
        <v>669</v>
      </c>
      <c r="F4" s="170" t="s">
        <v>531</v>
      </c>
      <c r="G4" s="166" t="s">
        <v>670</v>
      </c>
      <c r="H4" s="166" t="s">
        <v>671</v>
      </c>
      <c r="I4" s="166" t="s">
        <v>672</v>
      </c>
      <c r="J4" s="166" t="s">
        <v>655</v>
      </c>
      <c r="K4" s="166" t="s">
        <v>673</v>
      </c>
      <c r="L4" s="166" t="s">
        <v>674</v>
      </c>
      <c r="M4" s="166" t="s">
        <v>675</v>
      </c>
      <c r="N4" s="166" t="s">
        <v>676</v>
      </c>
      <c r="O4" s="166" t="s">
        <v>677</v>
      </c>
      <c r="P4" s="166" t="s">
        <v>678</v>
      </c>
      <c r="Q4" s="167"/>
    </row>
    <row r="5" spans="1:17" x14ac:dyDescent="0.25">
      <c r="A5" s="171" t="s">
        <v>679</v>
      </c>
      <c r="B5" s="172"/>
      <c r="C5" s="172"/>
      <c r="D5" s="206" t="s">
        <v>175</v>
      </c>
      <c r="E5" s="172" t="s">
        <v>578</v>
      </c>
      <c r="F5" s="207" t="s">
        <v>579</v>
      </c>
      <c r="G5" s="208">
        <f>IF(ISBLANK(ETPT_JUR_ASS!G5),"",IF(ISERROR(ETPT_JUR_ASS!G5),"",IF(ETPT_JUR_ASS!G5=0,"",ETPT_JUR_ASS!G5)))</f>
      </c>
      <c r="H5" s="208">
        <f>IF(ISBLANK(ETPT_JUR_ASS!H5),"",IF(ISERROR(ETPT_JUR_ASS!H5),"",IF(ETPT_JUR_ASS!H5=0,"",ETPT_JUR_ASS!H5)))</f>
      </c>
      <c r="I5" s="208">
        <f>IF(ISBLANK(ETPT_JUR_ASS!I5),"",IF(ISERROR(ETPT_JUR_ASS!I5),"",IF(ETPT_JUR_ASS!I5=0,"",ETPT_JUR_ASS!I5)))</f>
      </c>
      <c r="J5" s="208">
        <f>IF(ISBLANK(ETPT_JUR_ASS!J5),"",IF(ISERROR(ETPT_JUR_ASS!J5),"",IF(ETPT_JUR_ASS!J5=0,"",ETPT_JUR_ASS!J5)))</f>
      </c>
      <c r="K5" s="208">
        <f>IF(ISBLANK(ETPT_JUR_ASS!K5),"",IF(ISERROR(ETPT_JUR_ASS!K5),"",IF(ETPT_JUR_ASS!K5=0,"",ETPT_JUR_ASS!K5)))</f>
      </c>
      <c r="L5" s="208">
        <f>IF(ISBLANK(ETPT_JUR_ASS!L5),"",IF(ISERROR(ETPT_JUR_ASS!L5),"",IF(ETPT_JUR_ASS!L5=0,"",ETPT_JUR_ASS!L5)))</f>
      </c>
      <c r="M5" s="208">
        <f>IF(ISBLANK(ETPT_JUR_ASS!M5),"",IF(ISERROR(ETPT_JUR_ASS!M5),"",IF(ETPT_JUR_ASS!M5=0,"",ETPT_JUR_ASS!M5)))</f>
      </c>
      <c r="N5" s="208">
        <f>IF(ISBLANK(ETPT_JUR_ASS!N5),"",IF(ISERROR(ETPT_JUR_ASS!N5),"",IF(ETPT_JUR_ASS!N5=0,"",ETPT_JUR_ASS!N5)))</f>
      </c>
      <c r="O5" s="208">
        <f>IF(ISBLANK(ETPT_JUR_ASS!O5),"",IF(ISERROR(ETPT_JUR_ASS!O5),"",IF(ETPT_JUR_ASS!O5=0,"",ETPT_JUR_ASS!O5)))</f>
      </c>
      <c r="P5" s="208">
        <f>IF(ISBLANK(ETPT_JUR_ASS!P5),"",IF(ISERROR(ETPT_JUR_ASS!P5),"",IF(ETPT_JUR_ASS!P5=0,"",ETPT_JUR_ASS!P5)))</f>
      </c>
      <c r="Q5" s="209">
        <f>ETPT_JUR_ASS!Q5</f>
        <v>0</v>
      </c>
    </row>
    <row r="6" spans="1:17" x14ac:dyDescent="0.25">
      <c r="A6" s="171" t="s">
        <v>679</v>
      </c>
      <c r="B6" s="172"/>
      <c r="C6" s="172"/>
      <c r="D6" s="196">
        <f>$D$5</f>
        <v>0</v>
      </c>
      <c r="E6" s="172" t="s">
        <v>580</v>
      </c>
      <c r="F6" s="207" t="s">
        <v>581</v>
      </c>
      <c r="G6" s="208">
        <f>IF(ISBLANK(ETPT_JUR_ASS!G6),"",IF(ISERROR(ETPT_JUR_ASS!G6),"",IF(ETPT_JUR_ASS!G6=0,"",ETPT_JUR_ASS!G6)))</f>
      </c>
      <c r="H6" s="208">
        <f>IF(ISBLANK(ETPT_JUR_ASS!H6),"",IF(ISERROR(ETPT_JUR_ASS!H6),"",IF(ETPT_JUR_ASS!H6=0,"",ETPT_JUR_ASS!H6)))</f>
      </c>
      <c r="I6" s="208">
        <f>IF(ISBLANK(ETPT_JUR_ASS!I6),"",IF(ISERROR(ETPT_JUR_ASS!I6),"",IF(ETPT_JUR_ASS!I6=0,"",ETPT_JUR_ASS!I6)))</f>
      </c>
      <c r="J6" s="208">
        <f>IF(ISBLANK(ETPT_JUR_ASS!J6),"",IF(ISERROR(ETPT_JUR_ASS!J6),"",IF(ETPT_JUR_ASS!J6=0,"",ETPT_JUR_ASS!J6)))</f>
      </c>
      <c r="K6" s="208">
        <f>IF(ISBLANK(ETPT_JUR_ASS!K6),"",IF(ISERROR(ETPT_JUR_ASS!K6),"",IF(ETPT_JUR_ASS!K6=0,"",ETPT_JUR_ASS!K6)))</f>
      </c>
      <c r="L6" s="208">
        <f>IF(ISBLANK(ETPT_JUR_ASS!L6),"",IF(ISERROR(ETPT_JUR_ASS!L6),"",IF(ETPT_JUR_ASS!L6=0,"",ETPT_JUR_ASS!L6)))</f>
      </c>
      <c r="M6" s="208">
        <f>IF(ISBLANK(ETPT_JUR_ASS!M6),"",IF(ISERROR(ETPT_JUR_ASS!M6),"",IF(ETPT_JUR_ASS!M6=0,"",ETPT_JUR_ASS!M6)))</f>
      </c>
      <c r="N6" s="208">
        <f>IF(ISBLANK(ETPT_JUR_ASS!N6),"",IF(ISERROR(ETPT_JUR_ASS!N6),"",IF(ETPT_JUR_ASS!N6=0,"",ETPT_JUR_ASS!N6)))</f>
      </c>
      <c r="O6" s="208">
        <f>IF(ISBLANK(ETPT_JUR_ASS!O6),"",IF(ISERROR(ETPT_JUR_ASS!O6),"",IF(ETPT_JUR_ASS!O6=0,"",ETPT_JUR_ASS!O6)))</f>
      </c>
      <c r="P6" s="208">
        <f>IF(ISBLANK(ETPT_JUR_ASS!P6),"",IF(ISERROR(ETPT_JUR_ASS!P6),"",IF(ETPT_JUR_ASS!P6=0,"",ETPT_JUR_ASS!P6)))</f>
      </c>
      <c r="Q6" s="209">
        <f>ETPT_JUR_ASS!Q6</f>
        <v>0</v>
      </c>
    </row>
    <row r="7" spans="1:17" x14ac:dyDescent="0.25">
      <c r="A7" s="171" t="s">
        <v>679</v>
      </c>
      <c r="B7" s="172"/>
      <c r="C7" s="172"/>
      <c r="D7" s="196">
        <f t="shared" ref="D7:D12" si="0">$D$5</f>
        <v>0</v>
      </c>
      <c r="E7" s="172" t="s">
        <v>587</v>
      </c>
      <c r="F7" s="207" t="s">
        <v>588</v>
      </c>
      <c r="G7" s="208">
        <f>IF(ISBLANK(ETPT_JUR_ASS!G7),"",IF(ISERROR(ETPT_JUR_ASS!G7),"",IF(ETPT_JUR_ASS!G7=0,"",ETPT_JUR_ASS!G7)))</f>
      </c>
      <c r="H7" s="208">
        <f>IF(ISBLANK(ETPT_JUR_ASS!H7),"",IF(ISERROR(ETPT_JUR_ASS!H7),"",IF(ETPT_JUR_ASS!H7=0,"",ETPT_JUR_ASS!H7)))</f>
      </c>
      <c r="I7" s="208">
        <f>IF(ISBLANK(ETPT_JUR_ASS!I7),"",IF(ISERROR(ETPT_JUR_ASS!I7),"",IF(ETPT_JUR_ASS!I7=0,"",ETPT_JUR_ASS!I7)))</f>
      </c>
      <c r="J7" s="208">
        <f>IF(ISBLANK(ETPT_JUR_ASS!J7),"",IF(ISERROR(ETPT_JUR_ASS!J7),"",IF(ETPT_JUR_ASS!J7=0,"",ETPT_JUR_ASS!J7)))</f>
      </c>
      <c r="K7" s="208">
        <f>IF(ISBLANK(ETPT_JUR_ASS!K7),"",IF(ISERROR(ETPT_JUR_ASS!K7),"",IF(ETPT_JUR_ASS!K7=0,"",ETPT_JUR_ASS!K7)))</f>
      </c>
      <c r="L7" s="208">
        <f>IF(ISBLANK(ETPT_JUR_ASS!L7),"",IF(ISERROR(ETPT_JUR_ASS!L7),"",IF(ETPT_JUR_ASS!L7=0,"",ETPT_JUR_ASS!L7)))</f>
      </c>
      <c r="M7" s="208">
        <f>IF(ISBLANK(ETPT_JUR_ASS!M7),"",IF(ISERROR(ETPT_JUR_ASS!M7),"",IF(ETPT_JUR_ASS!M7=0,"",ETPT_JUR_ASS!M7)))</f>
      </c>
      <c r="N7" s="208">
        <f>IF(ISBLANK(ETPT_JUR_ASS!N7),"",IF(ISERROR(ETPT_JUR_ASS!N7),"",IF(ETPT_JUR_ASS!N7=0,"",ETPT_JUR_ASS!N7)))</f>
      </c>
      <c r="O7" s="208">
        <f>IF(ISBLANK(ETPT_JUR_ASS!O7),"",IF(ISERROR(ETPT_JUR_ASS!O7),"",IF(ETPT_JUR_ASS!O7=0,"",ETPT_JUR_ASS!O7)))</f>
      </c>
      <c r="P7" s="208">
        <f>IF(ISBLANK(ETPT_JUR_ASS!P7),"",IF(ISERROR(ETPT_JUR_ASS!P7),"",IF(ETPT_JUR_ASS!P7=0,"",ETPT_JUR_ASS!P7)))</f>
      </c>
      <c r="Q7" s="209">
        <f>ETPT_JUR_ASS!Q7</f>
        <v>0</v>
      </c>
    </row>
    <row r="8" spans="1:17" x14ac:dyDescent="0.25">
      <c r="A8" s="171" t="s">
        <v>679</v>
      </c>
      <c r="B8" s="172"/>
      <c r="C8" s="172"/>
      <c r="D8" s="196">
        <f t="shared" si="0"/>
        <v>0</v>
      </c>
      <c r="E8" s="172" t="s">
        <v>589</v>
      </c>
      <c r="F8" s="207" t="s">
        <v>590</v>
      </c>
      <c r="G8" s="208">
        <f>IF(ISBLANK(ETPT_JUR_ASS!G8),"",IF(ISERROR(ETPT_JUR_ASS!G8),"",IF(ETPT_JUR_ASS!G8=0,"",ETPT_JUR_ASS!G8)))</f>
      </c>
      <c r="H8" s="208">
        <f>IF(ISBLANK(ETPT_JUR_ASS!H8),"",IF(ISERROR(ETPT_JUR_ASS!H8),"",IF(ETPT_JUR_ASS!H8=0,"",ETPT_JUR_ASS!H8)))</f>
      </c>
      <c r="I8" s="208">
        <f>IF(ISBLANK(ETPT_JUR_ASS!I8),"",IF(ISERROR(ETPT_JUR_ASS!I8),"",IF(ETPT_JUR_ASS!I8=0,"",ETPT_JUR_ASS!I8)))</f>
      </c>
      <c r="J8" s="208">
        <f>IF(ISBLANK(ETPT_JUR_ASS!J8),"",IF(ISERROR(ETPT_JUR_ASS!J8),"",IF(ETPT_JUR_ASS!J8=0,"",ETPT_JUR_ASS!J8)))</f>
      </c>
      <c r="K8" s="208">
        <f>IF(ISBLANK(ETPT_JUR_ASS!K8),"",IF(ISERROR(ETPT_JUR_ASS!K8),"",IF(ETPT_JUR_ASS!K8=0,"",ETPT_JUR_ASS!K8)))</f>
      </c>
      <c r="L8" s="208">
        <f>IF(ISBLANK(ETPT_JUR_ASS!L8),"",IF(ISERROR(ETPT_JUR_ASS!L8),"",IF(ETPT_JUR_ASS!L8=0,"",ETPT_JUR_ASS!L8)))</f>
      </c>
      <c r="M8" s="208">
        <f>IF(ISBLANK(ETPT_JUR_ASS!M8),"",IF(ISERROR(ETPT_JUR_ASS!M8),"",IF(ETPT_JUR_ASS!M8=0,"",ETPT_JUR_ASS!M8)))</f>
      </c>
      <c r="N8" s="208">
        <f>IF(ISBLANK(ETPT_JUR_ASS!N8),"",IF(ISERROR(ETPT_JUR_ASS!N8),"",IF(ETPT_JUR_ASS!N8=0,"",ETPT_JUR_ASS!N8)))</f>
      </c>
      <c r="O8" s="208">
        <f>IF(ISBLANK(ETPT_JUR_ASS!O8),"",IF(ISERROR(ETPT_JUR_ASS!O8),"",IF(ETPT_JUR_ASS!O8=0,"",ETPT_JUR_ASS!O8)))</f>
      </c>
      <c r="P8" s="208">
        <f>IF(ISBLANK(ETPT_JUR_ASS!P8),"",IF(ISERROR(ETPT_JUR_ASS!P8),"",IF(ETPT_JUR_ASS!P8=0,"",ETPT_JUR_ASS!P8)))</f>
      </c>
      <c r="Q8" s="209">
        <f>ETPT_JUR_ASS!Q8</f>
        <v>0</v>
      </c>
    </row>
    <row r="9" spans="1:17" x14ac:dyDescent="0.25">
      <c r="A9" s="171" t="s">
        <v>679</v>
      </c>
      <c r="B9" s="172"/>
      <c r="C9" s="172"/>
      <c r="D9" s="196">
        <f t="shared" si="0"/>
        <v>0</v>
      </c>
      <c r="E9" s="172" t="s">
        <v>591</v>
      </c>
      <c r="F9" s="207" t="s">
        <v>592</v>
      </c>
      <c r="G9" s="208">
        <f>IF(ISBLANK(ETPT_JUR_ASS!G9),"",IF(ISERROR(ETPT_JUR_ASS!G9),"",IF(ETPT_JUR_ASS!G9=0,"",ETPT_JUR_ASS!G9)))</f>
      </c>
      <c r="H9" s="208">
        <f>IF(ISBLANK(ETPT_JUR_ASS!H9),"",IF(ISERROR(ETPT_JUR_ASS!H9),"",IF(ETPT_JUR_ASS!H9=0,"",ETPT_JUR_ASS!H9)))</f>
      </c>
      <c r="I9" s="208">
        <f>IF(ISBLANK(ETPT_JUR_ASS!I9),"",IF(ISERROR(ETPT_JUR_ASS!I9),"",IF(ETPT_JUR_ASS!I9=0,"",ETPT_JUR_ASS!I9)))</f>
      </c>
      <c r="J9" s="208">
        <f>IF(ISBLANK(ETPT_JUR_ASS!J9),"",IF(ISERROR(ETPT_JUR_ASS!J9),"",IF(ETPT_JUR_ASS!J9=0,"",ETPT_JUR_ASS!J9)))</f>
      </c>
      <c r="K9" s="208">
        <f>IF(ISBLANK(ETPT_JUR_ASS!K9),"",IF(ISERROR(ETPT_JUR_ASS!K9),"",IF(ETPT_JUR_ASS!K9=0,"",ETPT_JUR_ASS!K9)))</f>
      </c>
      <c r="L9" s="208">
        <f>IF(ISBLANK(ETPT_JUR_ASS!L9),"",IF(ISERROR(ETPT_JUR_ASS!L9),"",IF(ETPT_JUR_ASS!L9=0,"",ETPT_JUR_ASS!L9)))</f>
      </c>
      <c r="M9" s="208">
        <f>IF(ISBLANK(ETPT_JUR_ASS!M9),"",IF(ISERROR(ETPT_JUR_ASS!M9),"",IF(ETPT_JUR_ASS!M9=0,"",ETPT_JUR_ASS!M9)))</f>
      </c>
      <c r="N9" s="208">
        <f>IF(ISBLANK(ETPT_JUR_ASS!N9),"",IF(ISERROR(ETPT_JUR_ASS!N9),"",IF(ETPT_JUR_ASS!N9=0,"",ETPT_JUR_ASS!N9)))</f>
      </c>
      <c r="O9" s="208">
        <f>IF(ISBLANK(ETPT_JUR_ASS!O9),"",IF(ISERROR(ETPT_JUR_ASS!O9),"",IF(ETPT_JUR_ASS!O9=0,"",ETPT_JUR_ASS!O9)))</f>
      </c>
      <c r="P9" s="208">
        <f>IF(ISBLANK(ETPT_JUR_ASS!P9),"",IF(ISERROR(ETPT_JUR_ASS!P9),"",IF(ETPT_JUR_ASS!P9=0,"",ETPT_JUR_ASS!P9)))</f>
      </c>
      <c r="Q9" s="209">
        <f>ETPT_JUR_ASS!Q9</f>
        <v>0</v>
      </c>
    </row>
    <row r="10" spans="1:17" x14ac:dyDescent="0.25">
      <c r="A10" s="171" t="s">
        <v>679</v>
      </c>
      <c r="B10" s="172"/>
      <c r="C10" s="172"/>
      <c r="D10" s="196">
        <f t="shared" si="0"/>
        <v>0</v>
      </c>
      <c r="E10" s="172" t="s">
        <v>593</v>
      </c>
      <c r="F10" s="207" t="s">
        <v>594</v>
      </c>
      <c r="G10" s="208">
        <f>IF(ISBLANK(ETPT_JUR_ASS!G10),"",IF(ISERROR(ETPT_JUR_ASS!G10),"",IF(ETPT_JUR_ASS!G10=0,"",ETPT_JUR_ASS!G10)))</f>
      </c>
      <c r="H10" s="208">
        <f>IF(ISBLANK(ETPT_JUR_ASS!H10),"",IF(ISERROR(ETPT_JUR_ASS!H10),"",IF(ETPT_JUR_ASS!H10=0,"",ETPT_JUR_ASS!H10)))</f>
      </c>
      <c r="I10" s="208">
        <f>IF(ISBLANK(ETPT_JUR_ASS!I10),"",IF(ISERROR(ETPT_JUR_ASS!I10),"",IF(ETPT_JUR_ASS!I10=0,"",ETPT_JUR_ASS!I10)))</f>
      </c>
      <c r="J10" s="208">
        <f>IF(ISBLANK(ETPT_JUR_ASS!J10),"",IF(ISERROR(ETPT_JUR_ASS!J10),"",IF(ETPT_JUR_ASS!J10=0,"",ETPT_JUR_ASS!J10)))</f>
      </c>
      <c r="K10" s="208">
        <f>IF(ISBLANK(ETPT_JUR_ASS!K10),"",IF(ISERROR(ETPT_JUR_ASS!K10),"",IF(ETPT_JUR_ASS!K10=0,"",ETPT_JUR_ASS!K10)))</f>
      </c>
      <c r="L10" s="208">
        <f>IF(ISBLANK(ETPT_JUR_ASS!L10),"",IF(ISERROR(ETPT_JUR_ASS!L10),"",IF(ETPT_JUR_ASS!L10=0,"",ETPT_JUR_ASS!L10)))</f>
      </c>
      <c r="M10" s="208">
        <f>IF(ISBLANK(ETPT_JUR_ASS!M10),"",IF(ISERROR(ETPT_JUR_ASS!M10),"",IF(ETPT_JUR_ASS!M10=0,"",ETPT_JUR_ASS!M10)))</f>
      </c>
      <c r="N10" s="208">
        <f>IF(ISBLANK(ETPT_JUR_ASS!N10),"",IF(ISERROR(ETPT_JUR_ASS!N10),"",IF(ETPT_JUR_ASS!N10=0,"",ETPT_JUR_ASS!N10)))</f>
      </c>
      <c r="O10" s="208">
        <f>IF(ISBLANK(ETPT_JUR_ASS!O10),"",IF(ISERROR(ETPT_JUR_ASS!O10),"",IF(ETPT_JUR_ASS!O10=0,"",ETPT_JUR_ASS!O10)))</f>
      </c>
      <c r="P10" s="208">
        <f>IF(ISBLANK(ETPT_JUR_ASS!P10),"",IF(ISERROR(ETPT_JUR_ASS!P10),"",IF(ETPT_JUR_ASS!P10=0,"",ETPT_JUR_ASS!P10)))</f>
      </c>
      <c r="Q10" s="209">
        <f>ETPT_JUR_ASS!Q10</f>
        <v>0</v>
      </c>
    </row>
    <row r="11" spans="1:17" x14ac:dyDescent="0.25">
      <c r="A11" s="171" t="s">
        <v>679</v>
      </c>
      <c r="B11" s="172"/>
      <c r="C11" s="172"/>
      <c r="D11" s="196">
        <f t="shared" si="0"/>
        <v>0</v>
      </c>
      <c r="E11" s="172" t="s">
        <v>595</v>
      </c>
      <c r="F11" s="207" t="s">
        <v>596</v>
      </c>
      <c r="G11" s="208">
        <f>IF(ISBLANK(ETPT_JUR_ASS!G11),"",IF(ISERROR(ETPT_JUR_ASS!G11),"",IF(ETPT_JUR_ASS!G11=0,"",ETPT_JUR_ASS!G11)))</f>
      </c>
      <c r="H11" s="208">
        <f>IF(ISBLANK(ETPT_JUR_ASS!H11),"",IF(ISERROR(ETPT_JUR_ASS!H11),"",IF(ETPT_JUR_ASS!H11=0,"",ETPT_JUR_ASS!H11)))</f>
      </c>
      <c r="I11" s="208">
        <f>IF(ISBLANK(ETPT_JUR_ASS!I11),"",IF(ISERROR(ETPT_JUR_ASS!I11),"",IF(ETPT_JUR_ASS!I11=0,"",ETPT_JUR_ASS!I11)))</f>
      </c>
      <c r="J11" s="208">
        <f>IF(ISBLANK(ETPT_JUR_ASS!J11),"",IF(ISERROR(ETPT_JUR_ASS!J11),"",IF(ETPT_JUR_ASS!J11=0,"",ETPT_JUR_ASS!J11)))</f>
      </c>
      <c r="K11" s="208">
        <f>IF(ISBLANK(ETPT_JUR_ASS!K11),"",IF(ISERROR(ETPT_JUR_ASS!K11),"",IF(ETPT_JUR_ASS!K11=0,"",ETPT_JUR_ASS!K11)))</f>
      </c>
      <c r="L11" s="208">
        <f>IF(ISBLANK(ETPT_JUR_ASS!L11),"",IF(ISERROR(ETPT_JUR_ASS!L11),"",IF(ETPT_JUR_ASS!L11=0,"",ETPT_JUR_ASS!L11)))</f>
      </c>
      <c r="M11" s="208">
        <f>IF(ISBLANK(ETPT_JUR_ASS!M11),"",IF(ISERROR(ETPT_JUR_ASS!M11),"",IF(ETPT_JUR_ASS!M11=0,"",ETPT_JUR_ASS!M11)))</f>
      </c>
      <c r="N11" s="208">
        <f>IF(ISBLANK(ETPT_JUR_ASS!N11),"",IF(ISERROR(ETPT_JUR_ASS!N11),"",IF(ETPT_JUR_ASS!N11=0,"",ETPT_JUR_ASS!N11)))</f>
      </c>
      <c r="O11" s="208">
        <f>IF(ISBLANK(ETPT_JUR_ASS!O11),"",IF(ISERROR(ETPT_JUR_ASS!O11),"",IF(ETPT_JUR_ASS!O11=0,"",ETPT_JUR_ASS!O11)))</f>
      </c>
      <c r="P11" s="208">
        <f>IF(ISBLANK(ETPT_JUR_ASS!P11),"",IF(ISERROR(ETPT_JUR_ASS!P11),"",IF(ETPT_JUR_ASS!P11=0,"",ETPT_JUR_ASS!P11)))</f>
      </c>
      <c r="Q11" s="209">
        <f>ETPT_JUR_ASS!Q11</f>
        <v>0</v>
      </c>
    </row>
    <row r="12" spans="1:17" x14ac:dyDescent="0.25">
      <c r="A12" s="171" t="s">
        <v>679</v>
      </c>
      <c r="B12" s="172"/>
      <c r="C12" s="172"/>
      <c r="D12" s="210">
        <f t="shared" si="0"/>
        <v>0</v>
      </c>
      <c r="E12" s="211" t="s">
        <v>597</v>
      </c>
      <c r="F12" s="207" t="s">
        <v>598</v>
      </c>
      <c r="G12" s="208">
        <f>IF(ISBLANK(ETPT_JUR_ASS!G12),"",IF(ISERROR(ETPT_JUR_ASS!G12),"",IF(ETPT_JUR_ASS!G12=0,"",ETPT_JUR_ASS!G12)))</f>
      </c>
      <c r="H12" s="208">
        <f>IF(ISBLANK(ETPT_JUR_ASS!H12),"",IF(ISERROR(ETPT_JUR_ASS!H12),"",IF(ETPT_JUR_ASS!H12=0,"",ETPT_JUR_ASS!H12)))</f>
      </c>
      <c r="I12" s="208">
        <f>IF(ISBLANK(ETPT_JUR_ASS!I12),"",IF(ISERROR(ETPT_JUR_ASS!I12),"",IF(ETPT_JUR_ASS!I12=0,"",ETPT_JUR_ASS!I12)))</f>
      </c>
      <c r="J12" s="208">
        <f>IF(ISBLANK(ETPT_JUR_ASS!J12),"",IF(ISERROR(ETPT_JUR_ASS!J12),"",IF(ETPT_JUR_ASS!J12=0,"",ETPT_JUR_ASS!J12)))</f>
      </c>
      <c r="K12" s="208">
        <f>IF(ISBLANK(ETPT_JUR_ASS!K12),"",IF(ISERROR(ETPT_JUR_ASS!K12),"",IF(ETPT_JUR_ASS!K12=0,"",ETPT_JUR_ASS!K12)))</f>
      </c>
      <c r="L12" s="208">
        <f>IF(ISBLANK(ETPT_JUR_ASS!L12),"",IF(ISERROR(ETPT_JUR_ASS!L12),"",IF(ETPT_JUR_ASS!L12=0,"",ETPT_JUR_ASS!L12)))</f>
      </c>
      <c r="M12" s="208">
        <f>IF(ISBLANK(ETPT_JUR_ASS!M12),"",IF(ISERROR(ETPT_JUR_ASS!M12),"",IF(ETPT_JUR_ASS!M12=0,"",ETPT_JUR_ASS!M12)))</f>
      </c>
      <c r="N12" s="208">
        <f>IF(ISBLANK(ETPT_JUR_ASS!N12),"",IF(ISERROR(ETPT_JUR_ASS!N12),"",IF(ETPT_JUR_ASS!N12=0,"",ETPT_JUR_ASS!N12)))</f>
      </c>
      <c r="O12" s="208">
        <f>IF(ISBLANK(ETPT_JUR_ASS!O12),"",IF(ISERROR(ETPT_JUR_ASS!O12),"",IF(ETPT_JUR_ASS!O12=0,"",ETPT_JUR_ASS!O12)))</f>
      </c>
      <c r="P12" s="208">
        <f>IF(ISBLANK(ETPT_JUR_ASS!P12),"",IF(ISERROR(ETPT_JUR_ASS!P12),"",IF(ETPT_JUR_ASS!P12=0,"",ETPT_JUR_ASS!P12)))</f>
      </c>
      <c r="Q12" s="209">
        <f>ETPT_JUR_ASS!Q12</f>
        <v>0</v>
      </c>
    </row>
    <row r="13" spans="1:17" x14ac:dyDescent="0.25">
      <c r="A13" s="212"/>
      <c r="B13" s="212"/>
      <c r="C13" s="212"/>
      <c r="D13" s="213"/>
      <c r="E13" s="214"/>
      <c r="F13" s="215" t="s">
        <v>603</v>
      </c>
      <c r="G13" s="209">
        <f>ETPT_JUR_ASS!G13</f>
        <v>0</v>
      </c>
      <c r="H13" s="209">
        <f>ETPT_JUR_ASS!H13</f>
        <v>0</v>
      </c>
      <c r="I13" s="209">
        <f>ETPT_JUR_ASS!I13</f>
        <v>0</v>
      </c>
      <c r="J13" s="209">
        <f>ETPT_JUR_ASS!J13</f>
        <v>0</v>
      </c>
      <c r="K13" s="209">
        <f>ETPT_JUR_ASS!K13</f>
        <v>0</v>
      </c>
      <c r="L13" s="209">
        <f>ETPT_JUR_ASS!L13</f>
        <v>0</v>
      </c>
      <c r="M13" s="209">
        <f>ETPT_JUR_ASS!M13</f>
        <v>0</v>
      </c>
      <c r="N13" s="209">
        <f>ETPT_JUR_ASS!N13</f>
        <v>0</v>
      </c>
      <c r="O13" s="209">
        <f>ETPT_JUR_ASS!O13</f>
        <v>0</v>
      </c>
      <c r="P13" s="209">
        <f>ETPT_JUR_ASS!P13</f>
        <v>0</v>
      </c>
      <c r="Q13" s="209">
        <f>ETPT_JUR_ASS!Q13</f>
        <v>0</v>
      </c>
    </row>
    <row r="14" ht="16" customHeight="1" spans="1:18" x14ac:dyDescent="0.25">
      <c r="A14" s="178"/>
      <c r="B14" s="178"/>
      <c r="C14" s="178"/>
      <c r="D14" s="178"/>
      <c r="E14" s="179"/>
      <c r="F14" s="179"/>
      <c r="G14" s="179"/>
      <c r="H14" s="179"/>
      <c r="I14" s="179"/>
      <c r="J14" s="179"/>
      <c r="K14" s="179"/>
      <c r="L14" s="179"/>
      <c r="M14" s="179"/>
      <c r="N14" s="179"/>
      <c r="O14" s="179"/>
      <c r="P14" s="179"/>
      <c r="Q14" s="179"/>
      <c r="R14" s="179"/>
    </row>
    <row r="15" ht="16" customHeight="1" spans="1:18" x14ac:dyDescent="0.25">
      <c r="A15" s="178"/>
      <c r="B15" s="178"/>
      <c r="C15" s="178"/>
      <c r="E15" s="200" t="s">
        <v>692</v>
      </c>
      <c r="F15" s="178"/>
      <c r="G15" s="178"/>
      <c r="H15" s="178"/>
      <c r="I15" s="179"/>
      <c r="J15" s="179"/>
      <c r="K15" s="179"/>
      <c r="L15" s="179"/>
      <c r="M15" s="179"/>
      <c r="N15" s="179"/>
      <c r="O15" s="179"/>
      <c r="P15" s="179"/>
      <c r="Q15" s="179"/>
      <c r="R15" s="179"/>
    </row>
    <row r="16" ht="16" customHeight="1" spans="1:17" x14ac:dyDescent="0.25">
      <c r="A16" s="178"/>
      <c r="B16" s="178"/>
      <c r="C16" s="178"/>
      <c r="D16" s="178"/>
      <c r="E16" s="178"/>
      <c r="F16" s="178"/>
      <c r="G16" s="178"/>
      <c r="H16" s="178"/>
      <c r="I16" s="179"/>
      <c r="J16" s="179"/>
      <c r="K16" s="179"/>
      <c r="L16" s="179"/>
      <c r="M16" s="179"/>
      <c r="N16" s="179"/>
      <c r="O16" s="179"/>
      <c r="P16" s="179"/>
      <c r="Q16" s="179"/>
    </row>
    <row r="17" ht="16" customHeight="1" spans="1:18" x14ac:dyDescent="0.25">
      <c r="A17" s="178"/>
      <c r="B17" s="178"/>
      <c r="C17" s="178"/>
      <c r="D17" s="178"/>
      <c r="E17" s="178"/>
      <c r="F17" s="178"/>
      <c r="G17" s="178"/>
      <c r="H17" s="178"/>
      <c r="I17" s="179"/>
      <c r="J17" s="179"/>
      <c r="K17" s="179"/>
      <c r="L17" s="179"/>
      <c r="M17" s="179"/>
      <c r="N17" s="179"/>
      <c r="O17" s="179"/>
      <c r="P17" s="179"/>
      <c r="Q17" s="179"/>
      <c r="R17" s="179"/>
    </row>
  </sheetData>
  <mergeCells count="1">
    <mergeCell ref="Q2:Q4"/>
  </mergeCells>
  <dataValidations count="1">
    <dataValidation type="list" showInputMessage="1" prompt="Selectionner une juridiction" showErrorMessage="1" error="Veuillez selectionner une valeur dans le menu déroulant" sqref="D5">
      <formula1>"TEST010"</formula1>
    </dataValidation>
  </dataValidation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workbookViewId="0" zoomScale="100" zoomScaleNormal="100">
      <selection activeCell="H5" sqref="H5"/>
    </sheetView>
  </sheetViews>
  <sheetFormatPr defaultRowHeight="15" outlineLevelRow="0" outlineLevelCol="0" x14ac:dyDescent="0.2"/>
  <cols>
    <col min="6" max="6" width="82.83203125" customWidth="1"/>
    <col min="7" max="7" width="10.33203125" customWidth="1"/>
    <col min="8" max="8" width="20.1640625" customWidth="1"/>
    <col min="9" max="9" width="20.83203125" customWidth="1"/>
    <col min="11" max="11" width="25.6640625" customWidth="1"/>
    <col min="12" max="12" width="19.33203125" customWidth="1"/>
    <col min="13" max="13" width="25" customWidth="1"/>
    <col min="14" max="14" width="17.5" customWidth="1"/>
    <col min="15" max="15" width="19" customWidth="1"/>
    <col min="16" max="16" width="28.6640625" customWidth="1"/>
  </cols>
  <sheetData>
    <row r="1" spans="1:17" x14ac:dyDescent="0.25">
      <c r="A1" s="228"/>
      <c r="B1" s="354" t="s">
        <v>943</v>
      </c>
      <c r="C1" s="354"/>
      <c r="D1" s="354"/>
      <c r="E1" s="354"/>
      <c r="F1" s="355"/>
      <c r="G1" s="228"/>
      <c r="H1" s="228"/>
      <c r="I1" s="228"/>
      <c r="J1" s="228"/>
      <c r="K1" s="228"/>
      <c r="L1" s="228"/>
      <c r="M1" s="228"/>
      <c r="N1" s="228"/>
      <c r="O1" s="228"/>
      <c r="P1" s="228"/>
      <c r="Q1" s="228"/>
    </row>
    <row r="2" spans="1:17" x14ac:dyDescent="0.25">
      <c r="A2" s="356"/>
      <c r="B2" s="229"/>
      <c r="C2" s="229"/>
      <c r="D2" s="229"/>
      <c r="E2" s="229"/>
      <c r="F2" s="284"/>
      <c r="G2" s="230" t="s">
        <v>652</v>
      </c>
      <c r="H2" s="230" t="s">
        <v>652</v>
      </c>
      <c r="I2" s="230" t="s">
        <v>652</v>
      </c>
      <c r="J2" s="230" t="s">
        <v>652</v>
      </c>
      <c r="K2" s="230" t="s">
        <v>652</v>
      </c>
      <c r="L2" s="230" t="s">
        <v>652</v>
      </c>
      <c r="M2" s="230" t="s">
        <v>652</v>
      </c>
      <c r="N2" s="230" t="s">
        <v>652</v>
      </c>
      <c r="O2" s="230" t="s">
        <v>652</v>
      </c>
      <c r="P2" s="230" t="s">
        <v>652</v>
      </c>
      <c r="Q2" s="357" t="s">
        <v>659</v>
      </c>
    </row>
    <row r="3" ht="24" customHeight="1" spans="1:17" x14ac:dyDescent="0.25">
      <c r="A3" s="356"/>
      <c r="B3" s="229"/>
      <c r="C3" s="229"/>
      <c r="D3" s="229"/>
      <c r="E3" s="229"/>
      <c r="F3" s="284"/>
      <c r="G3" s="230" t="s">
        <v>660</v>
      </c>
      <c r="H3" s="230" t="s">
        <v>661</v>
      </c>
      <c r="I3" s="230" t="s">
        <v>654</v>
      </c>
      <c r="J3" s="230" t="s">
        <v>662</v>
      </c>
      <c r="K3" s="230" t="s">
        <v>663</v>
      </c>
      <c r="L3" s="230" t="s">
        <v>664</v>
      </c>
      <c r="M3" s="230" t="s">
        <v>665</v>
      </c>
      <c r="N3" s="230" t="s">
        <v>666</v>
      </c>
      <c r="O3" s="230" t="s">
        <v>667</v>
      </c>
      <c r="P3" s="230" t="s">
        <v>668</v>
      </c>
      <c r="Q3" s="357"/>
    </row>
    <row r="4" ht="70" customHeight="1" spans="1:17" x14ac:dyDescent="0.25">
      <c r="A4" s="358"/>
      <c r="B4" s="359" t="s">
        <v>528</v>
      </c>
      <c r="C4" s="359" t="s">
        <v>529</v>
      </c>
      <c r="D4" s="359" t="s">
        <v>37</v>
      </c>
      <c r="E4" s="359" t="s">
        <v>669</v>
      </c>
      <c r="F4" s="359" t="s">
        <v>531</v>
      </c>
      <c r="G4" s="285" t="s">
        <v>944</v>
      </c>
      <c r="H4" s="285" t="s">
        <v>945</v>
      </c>
      <c r="I4" s="285" t="s">
        <v>946</v>
      </c>
      <c r="J4" s="285" t="s">
        <v>947</v>
      </c>
      <c r="K4" s="285" t="s">
        <v>948</v>
      </c>
      <c r="L4" s="285" t="s">
        <v>949</v>
      </c>
      <c r="M4" s="285" t="s">
        <v>950</v>
      </c>
      <c r="N4" s="285" t="s">
        <v>951</v>
      </c>
      <c r="O4" s="285" t="s">
        <v>952</v>
      </c>
      <c r="P4" s="285" t="s">
        <v>953</v>
      </c>
      <c r="Q4" s="357"/>
    </row>
    <row r="5" ht="398" customHeight="1" spans="1:17" x14ac:dyDescent="0.25">
      <c r="A5" s="360" t="s">
        <v>679</v>
      </c>
      <c r="B5" s="361"/>
      <c r="C5" s="361"/>
      <c r="D5" s="361"/>
      <c r="E5" s="361" t="s">
        <v>578</v>
      </c>
      <c r="F5" s="362" t="s">
        <v>579</v>
      </c>
      <c r="G5" s="363" t="s">
        <v>954</v>
      </c>
      <c r="H5" s="364" t="s">
        <v>955</v>
      </c>
      <c r="I5" s="364" t="s">
        <v>956</v>
      </c>
      <c r="J5" s="364" t="s">
        <v>957</v>
      </c>
      <c r="K5" s="364" t="s">
        <v>958</v>
      </c>
      <c r="L5" s="364" t="s">
        <v>959</v>
      </c>
      <c r="M5" s="364"/>
      <c r="N5" s="364" t="s">
        <v>960</v>
      </c>
      <c r="O5" s="364"/>
      <c r="P5" s="364" t="s">
        <v>961</v>
      </c>
      <c r="Q5" s="365">
        <f>SUMIF($G$2:P$2,P$2,$G5:P5)</f>
        <v>0</v>
      </c>
    </row>
    <row r="6" ht="266" customHeight="1" spans="1:17" x14ac:dyDescent="0.25">
      <c r="A6" s="360" t="s">
        <v>679</v>
      </c>
      <c r="B6" s="361"/>
      <c r="C6" s="361"/>
      <c r="D6" s="361"/>
      <c r="E6" s="361" t="s">
        <v>580</v>
      </c>
      <c r="F6" s="362" t="s">
        <v>581</v>
      </c>
      <c r="G6" s="366"/>
      <c r="H6" s="364" t="s">
        <v>962</v>
      </c>
      <c r="I6" s="364" t="s">
        <v>963</v>
      </c>
      <c r="J6" s="364"/>
      <c r="K6" s="364" t="s">
        <v>964</v>
      </c>
      <c r="L6" s="364" t="s">
        <v>965</v>
      </c>
      <c r="M6" s="364" t="s">
        <v>966</v>
      </c>
      <c r="N6" s="364" t="s">
        <v>967</v>
      </c>
      <c r="O6" s="364" t="s">
        <v>968</v>
      </c>
      <c r="P6" s="364" t="s">
        <v>969</v>
      </c>
      <c r="Q6" s="365">
        <f>SUMIF($G$2:P$2,P$2,$G6:P6)</f>
        <v>0</v>
      </c>
    </row>
    <row r="7" ht="224" customHeight="1" spans="1:17" x14ac:dyDescent="0.25">
      <c r="A7" s="360" t="s">
        <v>679</v>
      </c>
      <c r="B7" s="361"/>
      <c r="C7" s="361"/>
      <c r="D7" s="361"/>
      <c r="E7" s="361" t="s">
        <v>587</v>
      </c>
      <c r="F7" s="362" t="s">
        <v>588</v>
      </c>
      <c r="G7" s="366"/>
      <c r="H7" s="364" t="s">
        <v>970</v>
      </c>
      <c r="I7" s="364" t="s">
        <v>971</v>
      </c>
      <c r="J7" s="364" t="s">
        <v>972</v>
      </c>
      <c r="K7" s="364" t="s">
        <v>973</v>
      </c>
      <c r="L7" s="364" t="s">
        <v>974</v>
      </c>
      <c r="M7" s="364" t="s">
        <v>975</v>
      </c>
      <c r="N7" s="364" t="s">
        <v>976</v>
      </c>
      <c r="O7" s="364" t="s">
        <v>977</v>
      </c>
      <c r="P7" s="364" t="s">
        <v>978</v>
      </c>
      <c r="Q7" s="365">
        <f>SUMIF($G$2:P$2,P$2,$G7:P7)</f>
        <v>0</v>
      </c>
    </row>
    <row r="8" ht="345" customHeight="1" spans="1:17" x14ac:dyDescent="0.25">
      <c r="A8" s="360" t="s">
        <v>679</v>
      </c>
      <c r="B8" s="361"/>
      <c r="C8" s="361"/>
      <c r="D8" s="361"/>
      <c r="E8" s="361" t="s">
        <v>589</v>
      </c>
      <c r="F8" s="362" t="s">
        <v>590</v>
      </c>
      <c r="G8" s="366"/>
      <c r="H8" s="364" t="s">
        <v>979</v>
      </c>
      <c r="I8" s="364" t="s">
        <v>980</v>
      </c>
      <c r="J8" s="364" t="s">
        <v>981</v>
      </c>
      <c r="K8" s="364" t="s">
        <v>982</v>
      </c>
      <c r="L8" s="364" t="s">
        <v>983</v>
      </c>
      <c r="M8" s="364" t="s">
        <v>984</v>
      </c>
      <c r="N8" s="364" t="s">
        <v>985</v>
      </c>
      <c r="O8" s="364" t="s">
        <v>986</v>
      </c>
      <c r="P8" s="364" t="s">
        <v>987</v>
      </c>
      <c r="Q8" s="365">
        <f>SUMIF($G$2:P$2,P$2,$G8:P8)</f>
        <v>0</v>
      </c>
    </row>
    <row r="9" ht="210" customHeight="1" spans="1:17" x14ac:dyDescent="0.25">
      <c r="A9" s="360" t="s">
        <v>679</v>
      </c>
      <c r="B9" s="361"/>
      <c r="C9" s="361"/>
      <c r="D9" s="361"/>
      <c r="E9" s="361" t="s">
        <v>591</v>
      </c>
      <c r="F9" s="362" t="s">
        <v>592</v>
      </c>
      <c r="G9" s="366"/>
      <c r="H9" s="364" t="s">
        <v>988</v>
      </c>
      <c r="I9" s="364" t="s">
        <v>989</v>
      </c>
      <c r="J9" s="364" t="s">
        <v>990</v>
      </c>
      <c r="K9" s="364" t="s">
        <v>991</v>
      </c>
      <c r="L9" s="364" t="s">
        <v>992</v>
      </c>
      <c r="M9" s="364" t="s">
        <v>993</v>
      </c>
      <c r="N9" s="364" t="s">
        <v>994</v>
      </c>
      <c r="O9" s="364" t="s">
        <v>995</v>
      </c>
      <c r="P9" s="364" t="s">
        <v>996</v>
      </c>
      <c r="Q9" s="365">
        <f>SUMIF($G$2:P$2,P$2,$G9:P9)</f>
        <v>0</v>
      </c>
    </row>
    <row r="10" ht="196" customHeight="1" spans="1:17" x14ac:dyDescent="0.25">
      <c r="A10" s="360" t="s">
        <v>679</v>
      </c>
      <c r="B10" s="361"/>
      <c r="C10" s="361"/>
      <c r="D10" s="361"/>
      <c r="E10" s="361" t="s">
        <v>593</v>
      </c>
      <c r="F10" s="362" t="s">
        <v>594</v>
      </c>
      <c r="G10" s="366"/>
      <c r="H10" s="364" t="s">
        <v>997</v>
      </c>
      <c r="I10" s="364" t="s">
        <v>998</v>
      </c>
      <c r="J10" s="364" t="s">
        <v>999</v>
      </c>
      <c r="K10" s="364" t="s">
        <v>1000</v>
      </c>
      <c r="L10" s="364" t="s">
        <v>1001</v>
      </c>
      <c r="M10" s="364" t="s">
        <v>1002</v>
      </c>
      <c r="N10" s="364" t="s">
        <v>1003</v>
      </c>
      <c r="O10" s="364" t="s">
        <v>1004</v>
      </c>
      <c r="P10" s="364" t="s">
        <v>1005</v>
      </c>
      <c r="Q10" s="365">
        <f>SUMIF($G$2:P$2,P$2,$G10:P10)</f>
        <v>0</v>
      </c>
    </row>
    <row r="11" ht="280" customHeight="1" spans="1:17" x14ac:dyDescent="0.25">
      <c r="A11" s="360" t="s">
        <v>679</v>
      </c>
      <c r="B11" s="361"/>
      <c r="C11" s="361"/>
      <c r="D11" s="361"/>
      <c r="E11" s="361" t="s">
        <v>595</v>
      </c>
      <c r="F11" s="362" t="s">
        <v>596</v>
      </c>
      <c r="G11" s="366"/>
      <c r="H11" s="364" t="s">
        <v>1006</v>
      </c>
      <c r="I11" s="364" t="s">
        <v>1007</v>
      </c>
      <c r="J11" s="364" t="s">
        <v>1008</v>
      </c>
      <c r="K11" s="364" t="s">
        <v>1009</v>
      </c>
      <c r="L11" s="364" t="s">
        <v>1010</v>
      </c>
      <c r="M11" s="364" t="s">
        <v>1011</v>
      </c>
      <c r="N11" s="364" t="s">
        <v>1012</v>
      </c>
      <c r="O11" s="364" t="s">
        <v>1013</v>
      </c>
      <c r="P11" s="364" t="s">
        <v>1014</v>
      </c>
      <c r="Q11" s="365">
        <f>SUMIF($G$2:P$2,P$2,$G11:P11)</f>
        <v>0</v>
      </c>
    </row>
    <row r="12" ht="280" customHeight="1" spans="1:17" x14ac:dyDescent="0.25">
      <c r="A12" s="360" t="s">
        <v>679</v>
      </c>
      <c r="B12" s="361"/>
      <c r="C12" s="361"/>
      <c r="D12" s="361"/>
      <c r="E12" s="361" t="s">
        <v>597</v>
      </c>
      <c r="F12" s="362" t="s">
        <v>598</v>
      </c>
      <c r="G12" s="366"/>
      <c r="H12" s="364" t="s">
        <v>1015</v>
      </c>
      <c r="I12" s="364" t="s">
        <v>1016</v>
      </c>
      <c r="J12" s="364" t="s">
        <v>1017</v>
      </c>
      <c r="K12" s="364" t="s">
        <v>1018</v>
      </c>
      <c r="L12" s="364" t="s">
        <v>1019</v>
      </c>
      <c r="M12" s="364" t="s">
        <v>1020</v>
      </c>
      <c r="N12" s="364" t="s">
        <v>1021</v>
      </c>
      <c r="O12" s="364" t="s">
        <v>1022</v>
      </c>
      <c r="P12" s="364" t="s">
        <v>1023</v>
      </c>
      <c r="Q12" s="365">
        <f>SUMIF($G$2:P$2,P$2,$G12:P12)</f>
        <v>0</v>
      </c>
    </row>
    <row r="13" spans="1:17" x14ac:dyDescent="0.25">
      <c r="A13" s="367"/>
      <c r="B13" s="368"/>
      <c r="C13" s="368"/>
      <c r="D13" s="369"/>
      <c r="E13" s="368"/>
      <c r="F13" s="370" t="s">
        <v>603</v>
      </c>
      <c r="G13" s="365">
        <f>SUMIF($C$5:$C12,$C12,G$5:G12)</f>
        <v>0</v>
      </c>
      <c r="H13" s="365">
        <f>SUMIF($C$5:$C12,$C12,H$5:H12)</f>
        <v>0</v>
      </c>
      <c r="I13" s="365">
        <f>SUMIF($C$5:$C12,$C12,I$5:I12)</f>
        <v>0</v>
      </c>
      <c r="J13" s="365">
        <f>SUMIF($C$5:$C12,$C12,J$5:J12)</f>
        <v>0</v>
      </c>
      <c r="K13" s="365">
        <f>SUMIF($C$5:$C12,$C12,K$5:K12)</f>
        <v>0</v>
      </c>
      <c r="L13" s="365">
        <f>SUMIF($C$5:$C12,$C12,L$5:L12)</f>
        <v>0</v>
      </c>
      <c r="M13" s="365">
        <f>SUMIF($C$5:$C12,$C12,M$5:M12)</f>
        <v>0</v>
      </c>
      <c r="N13" s="365">
        <f>SUMIF($C$5:$C12,$C12,N$5:N12)</f>
        <v>0</v>
      </c>
      <c r="O13" s="365">
        <f>SUMIF($C$5:$C12,$C12,O$5:O12)</f>
        <v>0</v>
      </c>
      <c r="P13" s="365">
        <f>SUMIF($C$5:$C12,$C12,P$5:P12)</f>
        <v>0</v>
      </c>
      <c r="Q13" s="365">
        <f>SUMIF($C$5:$C12,$C12,Q$5:Q12)</f>
        <v>0</v>
      </c>
    </row>
  </sheetData>
  <mergeCells count="2">
    <mergeCell ref="B1:E1"/>
    <mergeCell ref="Q2:Q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ACCUEIL</vt:lpstr>
      <vt:lpstr>ETPT A-JUST</vt:lpstr>
      <vt:lpstr>ETPT Format DDG</vt:lpstr>
      <vt:lpstr>Agrégats DDG</vt:lpstr>
      <vt:lpstr>Table_Fonctions</vt:lpstr>
      <vt:lpstr>ETPT_TJ</vt:lpstr>
      <vt:lpstr>ETPT_TPRX</vt:lpstr>
      <vt:lpstr>ETPT_CPH</vt:lpstr>
      <vt:lpstr>ETPT_JUR_ASS</vt:lpstr>
      <vt:lpstr>ETPT_TJ_DDG</vt:lpstr>
      <vt:lpstr>ETPT_TPRX_DDG</vt:lpstr>
      <vt:lpstr>ETPT_CPH_DDG</vt:lpstr>
      <vt:lpstr>ETPT_JUR_ASS_DDG</vt:lpstr>
      <vt:lpstr>Juridictions</vt:lpstr>
      <vt:lpstr>ETPT_TJ_corresp-SIEGE-TJ</vt:lpstr>
      <vt:lpstr>ETPT_TPROX_corresp-SIEGE-TPROX</vt:lpstr>
      <vt:lpstr>ETPT_TJ_corresp-GREFFE-TJ</vt:lpstr>
      <vt:lpstr>ETPT_TROX_corresp-GREFFE-TPROX</vt:lpstr>
      <vt:lpstr>ETPT_CPH_corresp-GREFFE-CPH</vt:lpstr>
      <vt:lpstr>ETPT_ATTACHES_JUSTICE  corresp</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A-JUST</dc:creator>
  <dc:title>Extraction de données d'effectifs</dc:title>
  <dc:subject/>
  <dc:description>Ce fichier est généré sur la base des données saisies dans A-JUST</dc:description>
  <cp:keywords/>
  <cp:category/>
  <cp:lastModifiedBy>Jimmy CHEVALLIER</cp:lastModifiedBy>
  <dcterms:created xsi:type="dcterms:W3CDTF">2020-03-26T00:32:42Z</dcterms:created>
  <dcterms:modified xsi:type="dcterms:W3CDTF">2025-03-18T09:14:18Z</dcterms:modified>
</cp:coreProperties>
</file>