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D7302EF8-8DE6-1A43-8AD2-8669F817114E}" xr6:coauthVersionLast="47" xr6:coauthVersionMax="47" xr10:uidLastSave="{00000000-0000-0000-0000-000000000000}"/>
  <bookViews>
    <workbookView xWindow="0" yWindow="760" windowWidth="30240" windowHeight="1778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0" l="1"/>
  <c r="R6" i="10"/>
  <c r="Q6" i="10"/>
  <c r="P6" i="10"/>
  <c r="N6" i="10"/>
  <c r="L6" i="10"/>
  <c r="K6" i="10"/>
  <c r="J6" i="10"/>
  <c r="I6" i="10"/>
  <c r="G6" i="10"/>
  <c r="H6" i="10" s="1"/>
  <c r="M14" i="37"/>
  <c r="K14" i="37"/>
  <c r="N13" i="37"/>
  <c r="L13" i="37"/>
  <c r="N12" i="37"/>
  <c r="L12" i="37"/>
  <c r="N11" i="37"/>
  <c r="L11" i="37"/>
  <c r="N10" i="37"/>
  <c r="L10" i="37"/>
  <c r="N9" i="37"/>
  <c r="L9" i="37"/>
  <c r="N8" i="37"/>
  <c r="L8" i="37"/>
  <c r="N7" i="37"/>
  <c r="L7" i="37"/>
  <c r="N6" i="37"/>
  <c r="L6" i="37"/>
  <c r="N5" i="37"/>
  <c r="N14" i="37" s="1"/>
  <c r="L5" i="37"/>
  <c r="L14" i="37" s="1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AN15" i="24"/>
  <c r="AD15" i="24"/>
  <c r="P15" i="24"/>
  <c r="AN14" i="24"/>
  <c r="AD14" i="24"/>
  <c r="P14" i="24"/>
  <c r="AN13" i="24"/>
  <c r="AD13" i="24"/>
  <c r="P13" i="24"/>
  <c r="AN12" i="24"/>
  <c r="AD12" i="24"/>
  <c r="P12" i="24"/>
  <c r="AN11" i="24"/>
  <c r="AD11" i="24"/>
  <c r="P11" i="24"/>
  <c r="AN10" i="24"/>
  <c r="AD10" i="24"/>
  <c r="P10" i="24"/>
  <c r="AN9" i="24"/>
  <c r="AD9" i="24"/>
  <c r="P9" i="24"/>
  <c r="AN8" i="24"/>
  <c r="AD8" i="24"/>
  <c r="P8" i="24"/>
  <c r="AN7" i="24"/>
  <c r="AD7" i="24"/>
  <c r="P7" i="24"/>
  <c r="AN6" i="24"/>
  <c r="AD6" i="24"/>
  <c r="P6" i="24"/>
  <c r="AN5" i="24"/>
  <c r="AD5" i="24"/>
  <c r="P5" i="24"/>
  <c r="AH18" i="29"/>
  <c r="AH13" i="29"/>
  <c r="R18" i="29"/>
  <c r="R14" i="29"/>
  <c r="G18" i="29"/>
  <c r="G14" i="29"/>
  <c r="R18" i="26"/>
  <c r="R12" i="26"/>
  <c r="G18" i="26"/>
  <c r="G14" i="26"/>
  <c r="G12" i="26"/>
  <c r="AH18" i="26"/>
  <c r="AH12" i="26"/>
  <c r="AY20" i="28"/>
  <c r="AY15" i="28"/>
  <c r="G20" i="28"/>
  <c r="G15" i="28"/>
  <c r="V20" i="28"/>
  <c r="V15" i="28"/>
  <c r="V20" i="25"/>
  <c r="V12" i="25"/>
  <c r="G20" i="25"/>
  <c r="G14" i="25"/>
  <c r="G12" i="25"/>
  <c r="AY20" i="25"/>
  <c r="AY12" i="25"/>
  <c r="G13" i="27"/>
  <c r="T13" i="26"/>
  <c r="AH13" i="26"/>
  <c r="R13" i="26"/>
  <c r="AY13" i="25"/>
  <c r="AK13" i="25"/>
  <c r="AK12" i="25"/>
  <c r="AJ13" i="25"/>
  <c r="AJ12" i="25"/>
  <c r="AI13" i="25"/>
  <c r="AI12" i="25"/>
  <c r="AE13" i="25"/>
  <c r="AE12" i="25"/>
  <c r="AD13" i="25"/>
  <c r="AD12" i="25"/>
  <c r="AA13" i="25"/>
  <c r="S6" i="10"/>
  <c r="T6" i="10" l="1"/>
  <c r="V6" i="10"/>
  <c r="M6" i="10"/>
  <c r="O6" i="10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M14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E14" i="25"/>
  <c r="AG14" i="26"/>
  <c r="AW5" i="25"/>
  <c r="G12" i="27" l="1"/>
  <c r="I5" i="27"/>
  <c r="G5" i="27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AH10" i="26"/>
  <c r="AG5" i="26"/>
  <c r="G5" i="26"/>
  <c r="T10" i="26"/>
  <c r="R10" i="26"/>
  <c r="R8" i="26"/>
  <c r="AG15" i="26"/>
  <c r="G13" i="26"/>
  <c r="G10" i="26"/>
  <c r="Y5" i="26"/>
  <c r="K14" i="26"/>
  <c r="Y15" i="26"/>
  <c r="Y14" i="26"/>
  <c r="AH9" i="26"/>
  <c r="X5" i="26"/>
  <c r="X15" i="26"/>
  <c r="X14" i="26"/>
  <c r="T12" i="26"/>
  <c r="T9" i="26"/>
  <c r="W5" i="26"/>
  <c r="W15" i="26"/>
  <c r="W14" i="26"/>
  <c r="T5" i="26"/>
  <c r="R11" i="26"/>
  <c r="R9" i="26"/>
  <c r="G9" i="26"/>
  <c r="AH11" i="26"/>
  <c r="AH8" i="26"/>
  <c r="L15" i="26"/>
  <c r="L14" i="26"/>
  <c r="T11" i="26"/>
  <c r="T8" i="26"/>
  <c r="K5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H14" i="29" l="1"/>
  <c r="U13" i="29"/>
  <c r="U16" i="29" s="1"/>
  <c r="T16" i="29"/>
  <c r="N14" i="29" l="1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1" i="25"/>
  <c r="G10" i="25"/>
  <c r="AA8" i="25"/>
  <c r="AS5" i="25"/>
  <c r="AY5" i="25" s="1"/>
  <c r="AT14" i="25"/>
  <c r="N14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Q15" i="25"/>
  <c r="AD14" i="25"/>
  <c r="AA9" i="25"/>
  <c r="AV15" i="25"/>
  <c r="P15" i="25"/>
  <c r="AS14" i="25"/>
  <c r="M14" i="25"/>
  <c r="AK11" i="25"/>
  <c r="AK10" i="25"/>
  <c r="AK9" i="25"/>
  <c r="Y8" i="25"/>
  <c r="AJ10" i="25"/>
  <c r="X8" i="25"/>
  <c r="AD5" i="25"/>
  <c r="V8" i="25"/>
  <c r="J14" i="25"/>
  <c r="U5" i="25"/>
  <c r="I14" i="25"/>
  <c r="V14" i="25" s="1"/>
  <c r="T14" i="25"/>
  <c r="S5" i="25"/>
  <c r="AU15" i="25"/>
  <c r="O15" i="25"/>
  <c r="L14" i="25"/>
  <c r="AJ11" i="25"/>
  <c r="AJ9" i="25"/>
  <c r="AT15" i="25"/>
  <c r="AI11" i="25"/>
  <c r="AC5" i="25"/>
  <c r="AE11" i="25"/>
  <c r="AE9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R5" i="25"/>
  <c r="I15" i="25"/>
  <c r="V15" i="25" s="1"/>
  <c r="R14" i="25"/>
  <c r="Y13" i="25"/>
  <c r="Y12" i="25"/>
  <c r="Y11" i="25"/>
  <c r="Y10" i="25"/>
  <c r="Y9" i="25"/>
  <c r="AI7" i="25"/>
  <c r="AV5" i="25"/>
  <c r="Q5" i="25"/>
  <c r="G8" i="25"/>
  <c r="L15" i="25"/>
  <c r="AD10" i="25"/>
  <c r="T5" i="25"/>
  <c r="Z5" i="25"/>
  <c r="AA5" i="25"/>
  <c r="G5" i="25"/>
  <c r="V5" i="25"/>
  <c r="Y5" i="25"/>
  <c r="X5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U15" i="28" l="1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AH15" i="26" s="1"/>
  <c r="W5" i="25"/>
  <c r="P16" i="25"/>
  <c r="AT16" i="25"/>
  <c r="AB13" i="25"/>
  <c r="AB9" i="25"/>
  <c r="AE14" i="26"/>
  <c r="AH14" i="26" s="1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W18" i="28" s="1"/>
  <c r="V16" i="28"/>
  <c r="AZ18" i="28" l="1"/>
</calcChain>
</file>

<file path=xl/sharedStrings.xml><?xml version="1.0" encoding="utf-8"?>
<sst xmlns="http://schemas.openxmlformats.org/spreadsheetml/2006/main" count="1589" uniqueCount="436">
  <si>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</si>
  <si>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</si>
  <si>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</si>
  <si>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</si>
  <si>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</si>
  <si>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</si>
  <si>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</si>
  <si>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</si>
  <si>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</si>
  <si>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</si>
  <si>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</si>
  <si>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</si>
  <si>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</si>
  <si>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</si>
  <si>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</si>
  <si>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</si>
  <si>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</si>
  <si>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</si>
  <si>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</si>
  <si>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</si>
  <si>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</si>
  <si>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</si>
  <si>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</si>
  <si>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</si>
  <si>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</si>
  <si>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</si>
  <si>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</si>
  <si>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</si>
  <si>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</si>
  <si>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</si>
  <si>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</si>
  <si>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</si>
  <si>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</si>
  <si>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</si>
  <si>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</si>
  <si>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</si>
  <si>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</si>
  <si>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</si>
  <si>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ACTION 99 à reventiler</t>
  </si>
  <si>
    <t>Temps ventilé sur la période (y.c. indisponibilité)</t>
  </si>
  <si>
    <t>TJ</t>
  </si>
  <si>
    <t>JE</t>
  </si>
  <si>
    <t>JAP</t>
  </si>
  <si>
    <t>CPH</t>
  </si>
  <si>
    <t>TPROX</t>
  </si>
  <si>
    <t>JURISTE AS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</si>
  <si>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</si>
  <si>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</si>
  <si>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</si>
  <si>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</si>
  <si>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</si>
  <si>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</si>
  <si>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</si>
  <si>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</si>
  <si>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</si>
  <si>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</si>
  <si>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</si>
  <si>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</si>
  <si>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</si>
  <si>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</si>
  <si>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</si>
  <si>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</si>
  <si>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</si>
  <si>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</si>
  <si>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</si>
  <si>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</si>
  <si>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</si>
  <si>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</si>
  <si>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</si>
  <si>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</si>
  <si>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</si>
  <si>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</si>
  <si>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</si>
  <si>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</si>
  <si>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</si>
  <si>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</si>
  <si>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</si>
  <si>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</si>
  <si>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</si>
  <si>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</si>
  <si>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</si>
  <si>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</si>
  <si>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</si>
  <si>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</si>
  <si>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</si>
  <si>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</si>
  <si>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</si>
  <si>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</si>
  <si>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</si>
  <si>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</si>
  <si>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</si>
  <si>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</si>
  <si>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</si>
  <si>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</si>
  <si>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</si>
  <si>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</si>
  <si>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</si>
  <si>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</si>
  <si>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</si>
  <si>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</si>
  <si>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</si>
  <si>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</si>
  <si>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</si>
  <si>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</si>
  <si>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</si>
  <si>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</si>
  <si>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</si>
  <si>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</si>
  <si>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</si>
  <si>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</si>
  <si>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</si>
  <si>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</si>
  <si>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</si>
  <si>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</si>
  <si>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</si>
  <si>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</si>
  <si>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</si>
  <si>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</si>
  <si>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</si>
  <si>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</si>
  <si>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</si>
  <si>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</si>
  <si>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</si>
  <si>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</si>
  <si>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</si>
  <si>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</si>
  <si>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</si>
  <si>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</si>
  <si>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</si>
  <si>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</si>
  <si>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</si>
  <si>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</si>
  <si>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</si>
  <si>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</si>
  <si>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</si>
  <si>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</si>
  <si>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</si>
  <si>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</si>
  <si>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</si>
  <si>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</si>
  <si>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</si>
  <si>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</si>
  <si>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</si>
  <si>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</si>
  <si>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</si>
  <si>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</si>
  <si>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</si>
  <si>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</si>
  <si>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</si>
  <si>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</si>
  <si>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</si>
  <si>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</si>
  <si>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</si>
  <si>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</si>
  <si>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</si>
  <si>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</si>
  <si>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</si>
  <si>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</si>
  <si>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</si>
  <si>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</si>
  <si>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</si>
  <si>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</si>
  <si>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</si>
  <si>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</si>
  <si>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</si>
  <si>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</si>
  <si>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</si>
  <si>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</si>
  <si>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</si>
  <si>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</si>
  <si>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</si>
  <si>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</si>
  <si>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</si>
  <si>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</si>
  <si>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</si>
  <si>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</si>
  <si>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</si>
  <si>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</si>
  <si>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</si>
  <si>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</si>
  <si>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</si>
  <si>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</si>
  <si>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</si>
  <si>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</si>
  <si>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</si>
  <si>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</si>
  <si>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</si>
  <si>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</si>
  <si>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</si>
  <si>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</si>
  <si>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</si>
  <si>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</si>
  <si>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</si>
  <si>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</si>
  <si>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</si>
  <si>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</si>
  <si>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</si>
  <si>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</si>
  <si>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</si>
  <si>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</si>
  <si>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</si>
  <si>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</si>
  <si>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</si>
  <si>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</si>
  <si>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</si>
  <si>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</si>
  <si>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</si>
  <si>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</si>
  <si>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</si>
  <si>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</si>
  <si>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</si>
  <si>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</si>
  <si>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</si>
  <si>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</si>
  <si>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</si>
  <si>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</si>
  <si>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</si>
  <si>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</si>
  <si>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</si>
  <si>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</si>
  <si>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</si>
  <si>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</si>
  <si>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</si>
  <si>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</si>
  <si>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</si>
  <si>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</si>
  <si>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</si>
  <si>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</si>
  <si>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</si>
  <si>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</si>
  <si>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</si>
  <si>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</si>
  <si>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</si>
  <si>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</si>
  <si>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</si>
  <si>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</si>
  <si>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</si>
  <si>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</si>
  <si>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</si>
  <si>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</si>
  <si>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</si>
  <si>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</si>
  <si>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</si>
  <si>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</si>
  <si>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</si>
  <si>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</si>
  <si>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</si>
  <si>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</si>
  <si>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</si>
  <si>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</si>
  <si>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</si>
  <si>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</si>
  <si>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</si>
  <si>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</si>
  <si>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</si>
  <si>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</si>
  <si>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</si>
  <si>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</si>
  <si>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</si>
  <si>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</si>
  <si>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</si>
  <si>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</si>
  <si>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</si>
  <si>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</si>
  <si>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</si>
  <si>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</si>
  <si>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</si>
  <si>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</si>
  <si>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</si>
  <si>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</si>
  <si>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</si>
  <si>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</si>
  <si>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</si>
  <si>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</si>
  <si>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</si>
  <si>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</si>
  <si>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</si>
  <si>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</si>
  <si>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</si>
  <si>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</si>
  <si>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</si>
  <si>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</si>
  <si>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</si>
  <si>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</si>
  <si>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</si>
  <si>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</si>
  <si>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</si>
  <si>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</si>
  <si>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</si>
  <si>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</si>
  <si>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</si>
  <si>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</si>
  <si>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</si>
  <si>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</si>
  <si>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</si>
  <si>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</si>
  <si>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</si>
  <si>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</si>
  <si>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</si>
  <si>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</si>
  <si>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</si>
  <si>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</si>
  <si>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</si>
  <si>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</si>
  <si>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</si>
  <si>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</si>
  <si>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</si>
  <si>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</si>
  <si>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</si>
  <si>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</si>
  <si>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</si>
  <si>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</si>
  <si>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</si>
  <si>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</si>
  <si>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</si>
  <si>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</si>
  <si>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</si>
  <si>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</si>
  <si>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</si>
  <si>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</si>
  <si>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</si>
  <si>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</si>
  <si>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</si>
  <si>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</si>
  <si>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</si>
  <si>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</si>
  <si>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</si>
  <si>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</si>
  <si>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</si>
  <si>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</si>
  <si>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</si>
  <si>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</si>
  <si>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</si>
  <si>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</si>
  <si>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</si>
  <si>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</si>
  <si>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</si>
  <si>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</si>
  <si>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</si>
  <si>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</si>
  <si>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</si>
  <si>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</si>
  <si>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</si>
  <si>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</si>
  <si>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</si>
  <si>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</si>
  <si>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</si>
  <si>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</si>
  <si>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</si>
  <si>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</si>
  <si>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</si>
  <si>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</si>
  <si>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</si>
  <si>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</si>
  <si>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</si>
  <si>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</si>
  <si>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</si>
  <si>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</si>
  <si>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</si>
  <si>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</si>
  <si>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</si>
  <si>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</si>
  <si>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</si>
  <si>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</si>
  <si>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</si>
  <si>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</si>
  <si>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</si>
  <si>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</si>
  <si>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</si>
  <si>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</si>
  <si>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</si>
  <si>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</si>
  <si>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</si>
  <si>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</si>
  <si>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</si>
  <si>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</si>
  <si>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</si>
  <si>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</si>
  <si>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</si>
  <si>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</si>
  <si>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</si>
  <si>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</si>
  <si>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</si>
  <si>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</si>
  <si>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</si>
  <si>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</si>
  <si>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</si>
  <si>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</si>
  <si>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</si>
  <si>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</si>
  <si>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</si>
  <si>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</si>
  <si>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</si>
  <si>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</si>
  <si>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</si>
  <si>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</si>
  <si>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</si>
  <si>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t>%age de l'ETPT</t>
  </si>
  <si>
    <t>## y.global1</t>
  </si>
  <si>
    <t>## y.sub1</t>
  </si>
  <si>
    <t>Indisponibilité des placés à reporter sur la cour, ligne "Etpt placés absents non affectés", colonne "Autres Magistrats du Siège non spécialisés"</t>
  </si>
  <si>
    <r>
      <t xml:space="preserve">12. TOTAL INDISPONIBILITÉ
</t>
    </r>
    <r>
      <rPr>
        <b/>
        <sz val="7"/>
        <color rgb="FF0070C0"/>
        <rFont val="Arial"/>
        <family val="2"/>
      </rPr>
      <t>(Pour Fonctions recodées = Magistrats placé ADD  ou Magistrat placé SUB)</t>
    </r>
  </si>
  <si>
    <t>Indisponibilité des placés à reporter sur le SAR, ligne "Etpt placés absents non affectés", colonne C-TECH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</si>
  <si>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CTECH placé ADD  ou Fonctionnaire Fonctionnaire CTECH placé SUB)</t>
    </r>
  </si>
  <si>
    <t>Indisponibilité des placés à reporter sur le SAR, ligne "Etpt placés absents non affectés", colonne ABC-BUR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</si>
  <si>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A-B-CBUR placé ADD  ou Fonctionnaire A-B-CBUR placé SUB)</t>
    </r>
  </si>
  <si>
    <r>
      <t xml:space="preserve">12. TOTAL INDISPONIBILITÉ
</t>
    </r>
    <r>
      <rPr>
        <b/>
        <sz val="7"/>
        <color rgb="FFFFFF00"/>
        <rFont val="Arial"/>
        <family val="2"/>
      </rPr>
      <t>(Pour Fonctions recodées = Magistrats placé ADD  ou Magistrat placé SUB)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</si>
  <si>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</si>
  <si>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</si>
  <si>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</si>
  <si>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</si>
  <si>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</si>
  <si>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</si>
  <si>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</si>
  <si>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</si>
  <si>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</si>
  <si>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</si>
  <si>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</si>
  <si>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NS)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TJ</t>
    </r>
  </si>
  <si>
    <r>
      <t xml:space="preserve">Temps ventilés sur la période (hors indisponibilité)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</si>
  <si>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</si>
  <si>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TPRX</t>
    </r>
  </si>
  <si>
    <r>
      <t xml:space="preserve">Temps ventilés sur la période (hors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</si>
  <si>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</si>
  <si>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</si>
  <si>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</si>
  <si>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</si>
  <si>
    <t>#! FOR_EACH f fonctions</t>
  </si>
  <si>
    <t>#! END_LOOP f</t>
  </si>
  <si>
    <t>## f.recodedFunction</t>
  </si>
  <si>
    <t>## f.category_detail</t>
  </si>
  <si>
    <t>## f.position</t>
  </si>
  <si>
    <t>## f.code</t>
  </si>
  <si>
    <t>## f.label</t>
  </si>
  <si>
    <t>## f.category_label</t>
  </si>
  <si>
    <t>Fonction agrégat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</si>
</sst>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7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10"/>
      <color rgb="FF0070C0"/>
      <name val="Arial"/>
      <family val="2"/>
    </font>
    <font>
      <b/>
      <sz val="7"/>
      <color rgb="FFFFFF00"/>
      <name val="Arial"/>
      <family val="2"/>
    </font>
    <font>
      <b/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166" fontId="6" fillId="0" borderId="3" xfId="3" applyNumberFormat="1" applyFont="1" applyBorder="1" applyAlignment="1">
      <alignment horizontal="center" vertical="center" wrapText="1"/>
    </xf>
    <xf numFmtId="166" fontId="6" fillId="0" borderId="4" xfId="3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4" borderId="0" xfId="0" applyFont="1" applyFill="1" applyAlignment="1">
      <alignment wrapText="1"/>
    </xf>
    <xf numFmtId="0" fontId="11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6" fontId="6" fillId="0" borderId="0" xfId="3" applyNumberFormat="1" applyFont="1" applyBorder="1" applyAlignment="1">
      <alignment horizontal="center" vertical="center"/>
    </xf>
    <xf numFmtId="166" fontId="6" fillId="0" borderId="1" xfId="3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9" fillId="0" borderId="0" xfId="0" applyFont="1"/>
    <xf numFmtId="166" fontId="6" fillId="0" borderId="4" xfId="0" applyNumberFormat="1" applyFont="1" applyBorder="1" applyAlignment="1">
      <alignment horizontal="center" vertical="center" wrapText="1"/>
    </xf>
    <xf numFmtId="0" fontId="16" fillId="0" borderId="0" xfId="4" applyFont="1" applyProtection="1">
      <protection hidden="1"/>
    </xf>
    <xf numFmtId="0" fontId="17" fillId="0" borderId="0" xfId="4" applyFont="1" applyProtection="1">
      <protection locked="0"/>
    </xf>
    <xf numFmtId="49" fontId="17" fillId="0" borderId="0" xfId="4" applyNumberFormat="1" applyFont="1" applyAlignment="1" applyProtection="1">
      <alignment horizontal="left" vertical="center"/>
      <protection locked="0"/>
    </xf>
    <xf numFmtId="0" fontId="17" fillId="0" borderId="0" xfId="4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/>
      <protection hidden="1"/>
    </xf>
    <xf numFmtId="0" fontId="18" fillId="0" borderId="0" xfId="4" applyFont="1" applyAlignment="1" applyProtection="1">
      <alignment horizontal="left"/>
      <protection hidden="1"/>
    </xf>
    <xf numFmtId="0" fontId="10" fillId="0" borderId="0" xfId="4" applyFont="1" applyAlignment="1">
      <alignment vertical="center" wrapText="1"/>
    </xf>
    <xf numFmtId="0" fontId="19" fillId="0" borderId="0" xfId="4" applyFont="1" applyAlignment="1">
      <alignment vertical="center" wrapText="1"/>
    </xf>
    <xf numFmtId="0" fontId="6" fillId="8" borderId="0" xfId="4" applyFont="1" applyFill="1" applyAlignment="1">
      <alignment vertical="center"/>
    </xf>
    <xf numFmtId="0" fontId="6" fillId="0" borderId="8" xfId="4" applyFont="1" applyBorder="1" applyAlignment="1">
      <alignment vertical="center" wrapText="1"/>
    </xf>
    <xf numFmtId="0" fontId="6" fillId="0" borderId="7" xfId="4" applyFont="1" applyBorder="1" applyAlignment="1">
      <alignment vertical="center" wrapText="1"/>
    </xf>
    <xf numFmtId="0" fontId="4" fillId="0" borderId="0" xfId="4" applyProtection="1">
      <protection hidden="1"/>
    </xf>
    <xf numFmtId="169" fontId="4" fillId="0" borderId="0" xfId="4" applyNumberFormat="1" applyProtection="1">
      <protection hidden="1"/>
    </xf>
    <xf numFmtId="0" fontId="15" fillId="0" borderId="0" xfId="4" applyFont="1" applyProtection="1">
      <protection hidden="1"/>
    </xf>
    <xf numFmtId="169" fontId="15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2" xfId="4" applyNumberFormat="1" applyFont="1" applyFill="1" applyBorder="1" applyProtection="1">
      <protection hidden="1"/>
    </xf>
    <xf numFmtId="169" fontId="21" fillId="11" borderId="12" xfId="4" applyNumberFormat="1" applyFont="1" applyFill="1" applyBorder="1" applyProtection="1">
      <protection hidden="1"/>
    </xf>
    <xf numFmtId="169" fontId="26" fillId="11" borderId="12" xfId="4" applyNumberFormat="1" applyFont="1" applyFill="1" applyBorder="1" applyProtection="1">
      <protection hidden="1"/>
    </xf>
    <xf numFmtId="0" fontId="22" fillId="11" borderId="12" xfId="4" applyFont="1" applyFill="1" applyBorder="1" applyAlignment="1" applyProtection="1">
      <alignment horizontal="left"/>
      <protection hidden="1"/>
    </xf>
    <xf numFmtId="0" fontId="21" fillId="9" borderId="12" xfId="4" applyFont="1" applyFill="1" applyBorder="1" applyAlignment="1" applyProtection="1">
      <alignment horizontal="left"/>
      <protection hidden="1"/>
    </xf>
    <xf numFmtId="49" fontId="23" fillId="9" borderId="13" xfId="4" applyNumberFormat="1" applyFont="1" applyFill="1" applyBorder="1" applyAlignment="1" applyProtection="1">
      <alignment horizontal="left"/>
      <protection hidden="1"/>
    </xf>
    <xf numFmtId="169" fontId="23" fillId="12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Alignment="1" applyProtection="1">
      <alignment horizontal="right"/>
      <protection hidden="1"/>
    </xf>
    <xf numFmtId="169" fontId="25" fillId="0" borderId="12" xfId="4" applyNumberFormat="1" applyFont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2" xfId="4" applyNumberFormat="1" applyFont="1" applyBorder="1" applyProtection="1">
      <protection hidden="1"/>
    </xf>
    <xf numFmtId="169" fontId="25" fillId="9" borderId="12" xfId="4" applyNumberFormat="1" applyFont="1" applyFill="1" applyBorder="1" applyProtection="1">
      <protection hidden="1"/>
    </xf>
    <xf numFmtId="169" fontId="24" fillId="8" borderId="12" xfId="4" applyNumberFormat="1" applyFont="1" applyFill="1" applyBorder="1" applyAlignment="1" applyProtection="1">
      <alignment horizontal="right"/>
      <protection hidden="1"/>
    </xf>
    <xf numFmtId="169" fontId="26" fillId="10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Protection="1">
      <protection hidden="1"/>
    </xf>
    <xf numFmtId="0" fontId="23" fillId="9" borderId="12" xfId="4" applyFont="1" applyFill="1" applyBorder="1" applyAlignment="1" applyProtection="1">
      <alignment horizontal="left"/>
      <protection hidden="1"/>
    </xf>
    <xf numFmtId="0" fontId="23" fillId="9" borderId="12" xfId="4" applyFont="1" applyFill="1" applyBorder="1" applyAlignment="1" applyProtection="1">
      <alignment horizontal="left" vertical="center"/>
      <protection hidden="1"/>
    </xf>
    <xf numFmtId="169" fontId="25" fillId="9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Protection="1">
      <protection hidden="1"/>
    </xf>
    <xf numFmtId="169" fontId="24" fillId="9" borderId="12" xfId="4" applyNumberFormat="1" applyFont="1" applyFill="1" applyBorder="1" applyAlignment="1" applyProtection="1">
      <alignment horizontal="right"/>
      <protection hidden="1"/>
    </xf>
    <xf numFmtId="169" fontId="24" fillId="9" borderId="12" xfId="4" applyNumberFormat="1" applyFont="1" applyFill="1" applyBorder="1" applyAlignment="1" applyProtection="1">
      <alignment horizontal="right" vertical="center"/>
      <protection hidden="1"/>
    </xf>
    <xf numFmtId="169" fontId="24" fillId="0" borderId="12" xfId="4" applyNumberFormat="1" applyFont="1" applyBorder="1" applyProtection="1">
      <protection hidden="1"/>
    </xf>
    <xf numFmtId="169" fontId="23" fillId="12" borderId="12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quotePrefix="1" applyNumberFormat="1" applyFont="1" applyFill="1" applyBorder="1" applyAlignment="1" applyProtection="1">
      <alignment horizontal="right"/>
      <protection hidden="1"/>
    </xf>
    <xf numFmtId="169" fontId="24" fillId="12" borderId="12" xfId="4" applyNumberFormat="1" applyFont="1" applyFill="1" applyBorder="1" applyAlignment="1" applyProtection="1">
      <alignment horizontal="right"/>
      <protection hidden="1"/>
    </xf>
    <xf numFmtId="169" fontId="23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2" xfId="4" applyNumberFormat="1" applyFont="1" applyFill="1" applyBorder="1" applyAlignment="1" applyProtection="1">
      <alignment horizontal="right" vertical="center"/>
      <protection hidden="1"/>
    </xf>
    <xf numFmtId="0" fontId="23" fillId="18" borderId="12" xfId="4" applyFont="1" applyFill="1" applyBorder="1" applyAlignment="1" applyProtection="1">
      <alignment horizontal="left" vertical="center"/>
      <protection hidden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21" fillId="14" borderId="12" xfId="4" applyFont="1" applyFill="1" applyBorder="1" applyAlignment="1" applyProtection="1">
      <alignment horizontal="center" vertical="center" wrapText="1"/>
      <protection hidden="1"/>
    </xf>
    <xf numFmtId="0" fontId="21" fillId="15" borderId="12" xfId="4" applyFont="1" applyFill="1" applyBorder="1" applyAlignment="1" applyProtection="1">
      <alignment horizontal="center" vertical="center" wrapText="1"/>
      <protection hidden="1"/>
    </xf>
    <xf numFmtId="0" fontId="21" fillId="16" borderId="12" xfId="4" applyFont="1" applyFill="1" applyBorder="1" applyAlignment="1" applyProtection="1">
      <alignment horizontal="center" vertical="center" wrapText="1"/>
      <protection hidden="1"/>
    </xf>
    <xf numFmtId="0" fontId="21" fillId="17" borderId="12" xfId="4" applyFont="1" applyFill="1" applyBorder="1" applyAlignment="1" applyProtection="1">
      <alignment horizontal="center" vertical="center" wrapText="1"/>
      <protection hidden="1"/>
    </xf>
    <xf numFmtId="0" fontId="21" fillId="9" borderId="12" xfId="4" applyFont="1" applyFill="1" applyBorder="1" applyAlignment="1" applyProtection="1">
      <alignment horizontal="center" vertical="center" wrapText="1"/>
      <protection hidden="1"/>
    </xf>
    <xf numFmtId="0" fontId="28" fillId="9" borderId="12" xfId="4" applyFont="1" applyFill="1" applyBorder="1" applyAlignment="1" applyProtection="1">
      <alignment horizontal="center" vertical="center" wrapText="1"/>
      <protection hidden="1"/>
    </xf>
    <xf numFmtId="49" fontId="28" fillId="9" borderId="0" xfId="4" applyNumberFormat="1" applyFont="1" applyFill="1" applyAlignment="1" applyProtection="1">
      <alignment horizontal="center" vertical="center" wrapText="1"/>
      <protection hidden="1"/>
    </xf>
    <xf numFmtId="0" fontId="28" fillId="9" borderId="0" xfId="4" applyFont="1" applyFill="1" applyAlignment="1" applyProtection="1">
      <alignment horizontal="center" vertical="center" wrapText="1"/>
      <protection hidden="1"/>
    </xf>
    <xf numFmtId="0" fontId="22" fillId="11" borderId="12" xfId="4" applyFont="1" applyFill="1" applyBorder="1" applyAlignment="1" applyProtection="1">
      <alignment horizontal="left" vertical="center"/>
      <protection hidden="1"/>
    </xf>
    <xf numFmtId="0" fontId="21" fillId="9" borderId="12" xfId="4" applyFont="1" applyFill="1" applyBorder="1" applyAlignment="1" applyProtection="1">
      <alignment horizontal="left" vertical="center"/>
      <protection hidden="1"/>
    </xf>
    <xf numFmtId="0" fontId="23" fillId="9" borderId="13" xfId="4" applyFont="1" applyFill="1" applyBorder="1" applyAlignment="1" applyProtection="1">
      <alignment horizontal="center" vertical="center"/>
      <protection hidden="1"/>
    </xf>
    <xf numFmtId="169" fontId="21" fillId="10" borderId="12" xfId="4" applyNumberFormat="1" applyFont="1" applyFill="1" applyBorder="1" applyAlignment="1" applyProtection="1">
      <alignment horizontal="right"/>
      <protection hidden="1"/>
    </xf>
    <xf numFmtId="169" fontId="23" fillId="9" borderId="12" xfId="4" applyNumberFormat="1" applyFont="1" applyFill="1" applyBorder="1" applyAlignment="1" applyProtection="1">
      <alignment horizontal="right"/>
      <protection hidden="1"/>
    </xf>
    <xf numFmtId="169" fontId="28" fillId="10" borderId="12" xfId="4" applyNumberFormat="1" applyFont="1" applyFill="1" applyBorder="1" applyProtection="1">
      <protection hidden="1"/>
    </xf>
    <xf numFmtId="49" fontId="22" fillId="11" borderId="12" xfId="4" applyNumberFormat="1" applyFont="1" applyFill="1" applyBorder="1" applyAlignment="1" applyProtection="1">
      <alignment horizontal="left" vertical="center"/>
      <protection hidden="1"/>
    </xf>
    <xf numFmtId="0" fontId="31" fillId="9" borderId="12" xfId="4" applyFont="1" applyFill="1" applyBorder="1" applyAlignment="1" applyProtection="1">
      <alignment horizontal="left" vertical="center"/>
      <protection hidden="1"/>
    </xf>
    <xf numFmtId="0" fontId="32" fillId="9" borderId="12" xfId="4" applyFont="1" applyFill="1" applyBorder="1" applyAlignment="1" applyProtection="1">
      <alignment horizontal="left" vertical="center"/>
      <protection hidden="1"/>
    </xf>
    <xf numFmtId="0" fontId="32" fillId="9" borderId="0" xfId="4" applyFont="1" applyFill="1" applyAlignment="1" applyProtection="1">
      <alignment horizontal="center" vertical="center"/>
      <protection hidden="1"/>
    </xf>
    <xf numFmtId="169" fontId="33" fillId="8" borderId="12" xfId="4" applyNumberFormat="1" applyFont="1" applyFill="1" applyBorder="1" applyProtection="1">
      <protection hidden="1"/>
    </xf>
    <xf numFmtId="49" fontId="23" fillId="9" borderId="12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3" fillId="19" borderId="12" xfId="4" applyNumberFormat="1" applyFont="1" applyFill="1" applyBorder="1" applyProtection="1">
      <protection hidden="1"/>
    </xf>
    <xf numFmtId="169" fontId="33" fillId="0" borderId="12" xfId="4" applyNumberFormat="1" applyFont="1" applyBorder="1" applyProtection="1">
      <protection hidden="1"/>
    </xf>
    <xf numFmtId="169" fontId="33" fillId="9" borderId="12" xfId="4" applyNumberFormat="1" applyFont="1" applyFill="1" applyBorder="1" applyProtection="1">
      <protection hidden="1"/>
    </xf>
    <xf numFmtId="49" fontId="23" fillId="18" borderId="12" xfId="4" applyNumberFormat="1" applyFont="1" applyFill="1" applyBorder="1" applyAlignment="1" applyProtection="1">
      <alignment horizontal="left" vertical="center"/>
      <protection hidden="1"/>
    </xf>
    <xf numFmtId="49" fontId="28" fillId="9" borderId="12" xfId="4" applyNumberFormat="1" applyFont="1" applyFill="1" applyBorder="1" applyAlignment="1" applyProtection="1">
      <alignment horizontal="center" vertical="center" wrapText="1"/>
      <protection hidden="1"/>
    </xf>
    <xf numFmtId="49" fontId="34" fillId="9" borderId="0" xfId="4" applyNumberFormat="1" applyFont="1" applyFill="1" applyAlignment="1" applyProtection="1">
      <alignment horizontal="center" vertical="center"/>
      <protection hidden="1"/>
    </xf>
    <xf numFmtId="0" fontId="35" fillId="9" borderId="0" xfId="4" applyFont="1" applyFill="1" applyAlignment="1" applyProtection="1">
      <alignment horizontal="center" vertical="center" wrapText="1"/>
      <protection hidden="1"/>
    </xf>
    <xf numFmtId="0" fontId="34" fillId="9" borderId="0" xfId="4" applyFont="1" applyFill="1" applyAlignment="1" applyProtection="1">
      <alignment horizontal="center" vertical="center"/>
      <protection hidden="1"/>
    </xf>
    <xf numFmtId="49" fontId="30" fillId="9" borderId="0" xfId="4" applyNumberFormat="1" applyFont="1" applyFill="1" applyAlignment="1" applyProtection="1">
      <alignment horizontal="left" vertical="top"/>
      <protection hidden="1"/>
    </xf>
    <xf numFmtId="169" fontId="24" fillId="8" borderId="12" xfId="4" applyNumberFormat="1" applyFont="1" applyFill="1" applyBorder="1" applyAlignment="1" applyProtection="1">
      <alignment wrapText="1"/>
      <protection hidden="1"/>
    </xf>
    <xf numFmtId="0" fontId="23" fillId="0" borderId="13" xfId="4" applyFont="1" applyBorder="1" applyAlignment="1" applyProtection="1">
      <alignment horizontal="center" vertical="center"/>
      <protection hidden="1"/>
    </xf>
    <xf numFmtId="0" fontId="23" fillId="0" borderId="12" xfId="4" applyFont="1" applyBorder="1" applyAlignment="1" applyProtection="1">
      <alignment horizontal="left" vertical="center"/>
      <protection hidden="1"/>
    </xf>
    <xf numFmtId="169" fontId="21" fillId="0" borderId="12" xfId="4" applyNumberFormat="1" applyFont="1" applyBorder="1" applyAlignment="1" applyProtection="1">
      <alignment horizontal="right"/>
      <protection hidden="1"/>
    </xf>
    <xf numFmtId="169" fontId="23" fillId="0" borderId="12" xfId="4" applyNumberFormat="1" applyFont="1" applyBorder="1" applyAlignment="1" applyProtection="1">
      <alignment horizontal="right"/>
      <protection hidden="1"/>
    </xf>
    <xf numFmtId="169" fontId="24" fillId="0" borderId="12" xfId="4" applyNumberFormat="1" applyFont="1" applyBorder="1" applyAlignment="1" applyProtection="1">
      <alignment horizontal="right"/>
      <protection hidden="1"/>
    </xf>
    <xf numFmtId="169" fontId="21" fillId="0" borderId="12" xfId="4" applyNumberFormat="1" applyFont="1" applyBorder="1" applyProtection="1">
      <protection hidden="1"/>
    </xf>
    <xf numFmtId="169" fontId="24" fillId="0" borderId="12" xfId="4" applyNumberFormat="1" applyFont="1" applyBorder="1" applyAlignment="1" applyProtection="1">
      <alignment horizontal="right" vertical="center"/>
      <protection hidden="1"/>
    </xf>
    <xf numFmtId="169" fontId="25" fillId="0" borderId="12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2" xfId="4" applyFont="1" applyBorder="1" applyAlignment="1" applyProtection="1">
      <alignment horizontal="center" vertical="center" wrapText="1"/>
      <protection hidden="1"/>
    </xf>
    <xf numFmtId="0" fontId="36" fillId="20" borderId="12" xfId="4" applyFont="1" applyFill="1" applyBorder="1" applyAlignment="1" applyProtection="1">
      <alignment horizontal="left" vertical="center"/>
      <protection hidden="1"/>
    </xf>
    <xf numFmtId="49" fontId="36" fillId="20" borderId="12" xfId="4" applyNumberFormat="1" applyFont="1" applyFill="1" applyBorder="1" applyAlignment="1" applyProtection="1">
      <alignment horizontal="left" vertical="center"/>
      <protection hidden="1"/>
    </xf>
    <xf numFmtId="0" fontId="6" fillId="21" borderId="0" xfId="0" applyFont="1" applyFill="1" applyAlignment="1">
      <alignment horizontal="center" vertical="center" wrapText="1"/>
    </xf>
    <xf numFmtId="0" fontId="6" fillId="0" borderId="0" xfId="0" applyFont="1"/>
    <xf numFmtId="0" fontId="39" fillId="22" borderId="0" xfId="0" applyFont="1" applyFill="1" applyAlignment="1">
      <alignment vertical="center" wrapText="1"/>
    </xf>
    <xf numFmtId="0" fontId="39" fillId="22" borderId="0" xfId="0" applyFont="1" applyFill="1" applyAlignment="1">
      <alignment vertical="center"/>
    </xf>
    <xf numFmtId="0" fontId="39" fillId="22" borderId="0" xfId="0" applyFont="1" applyFill="1" applyAlignment="1">
      <alignment horizontal="left" vertical="center"/>
    </xf>
    <xf numFmtId="0" fontId="40" fillId="22" borderId="0" xfId="0" applyFont="1" applyFill="1" applyAlignment="1">
      <alignment horizontal="right" wrapText="1"/>
    </xf>
    <xf numFmtId="0" fontId="40" fillId="22" borderId="0" xfId="0" applyFont="1" applyFill="1"/>
    <xf numFmtId="0" fontId="40" fillId="22" borderId="0" xfId="0" applyFont="1" applyFill="1" applyAlignment="1">
      <alignment horizontal="left" vertical="center" wrapText="1"/>
    </xf>
    <xf numFmtId="0" fontId="40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8" fillId="0" borderId="0" xfId="0" applyFont="1" applyAlignment="1">
      <alignment horizontal="right" vertical="center" wrapText="1"/>
    </xf>
    <xf numFmtId="0" fontId="12" fillId="22" borderId="18" xfId="0" quotePrefix="1" applyFont="1" applyFill="1" applyBorder="1" applyAlignment="1">
      <alignment horizontal="left" vertical="center" wrapText="1" indent="1"/>
    </xf>
    <xf numFmtId="0" fontId="12" fillId="22" borderId="19" xfId="0" applyFont="1" applyFill="1" applyBorder="1" applyAlignment="1">
      <alignment horizontal="left" vertical="center" wrapText="1" indent="1"/>
    </xf>
    <xf numFmtId="0" fontId="38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39" fillId="3" borderId="0" xfId="0" applyFont="1" applyFill="1" applyAlignment="1">
      <alignment horizontal="left" vertical="center"/>
    </xf>
    <xf numFmtId="0" fontId="42" fillId="0" borderId="12" xfId="4" applyFont="1" applyBorder="1" applyAlignment="1" applyProtection="1">
      <alignment horizontal="left" vertical="center"/>
      <protection hidden="1"/>
    </xf>
    <xf numFmtId="0" fontId="42" fillId="9" borderId="12" xfId="4" applyFont="1" applyFill="1" applyBorder="1" applyAlignment="1" applyProtection="1">
      <alignment horizontal="left" vertical="center"/>
      <protection hidden="1"/>
    </xf>
    <xf numFmtId="0" fontId="0" fillId="0" borderId="23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0" fillId="0" borderId="39" xfId="0" applyBorder="1" applyAlignment="1">
      <alignment vertical="center" wrapText="1"/>
    </xf>
    <xf numFmtId="0" fontId="38" fillId="0" borderId="26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1" xfId="0" quotePrefix="1" applyBorder="1" applyAlignment="1">
      <alignment vertical="top" wrapText="1"/>
    </xf>
    <xf numFmtId="0" fontId="45" fillId="23" borderId="22" xfId="0" applyFont="1" applyFill="1" applyBorder="1" applyAlignment="1">
      <alignment horizontal="left" vertical="center" wrapText="1" indent="1"/>
    </xf>
    <xf numFmtId="0" fontId="45" fillId="24" borderId="24" xfId="0" applyFont="1" applyFill="1" applyBorder="1" applyAlignment="1">
      <alignment horizontal="left" vertical="center" wrapText="1" indent="1"/>
    </xf>
    <xf numFmtId="0" fontId="45" fillId="25" borderId="24" xfId="0" applyFont="1" applyFill="1" applyBorder="1" applyAlignment="1">
      <alignment horizontal="left" vertical="center" wrapText="1" indent="1"/>
    </xf>
    <xf numFmtId="0" fontId="45" fillId="26" borderId="26" xfId="0" applyFont="1" applyFill="1" applyBorder="1" applyAlignment="1">
      <alignment horizontal="left" vertical="center" wrapText="1" indent="1"/>
    </xf>
    <xf numFmtId="0" fontId="46" fillId="27" borderId="26" xfId="0" applyFont="1" applyFill="1" applyBorder="1" applyAlignment="1">
      <alignment horizontal="left" vertical="center" wrapText="1" indent="1"/>
    </xf>
    <xf numFmtId="0" fontId="46" fillId="28" borderId="36" xfId="0" applyFont="1" applyFill="1" applyBorder="1" applyAlignment="1">
      <alignment horizontal="left" vertical="center" wrapText="1" indent="1"/>
    </xf>
    <xf numFmtId="0" fontId="47" fillId="0" borderId="0" xfId="0" applyFont="1" applyAlignment="1">
      <alignment horizontal="left" indent="1"/>
    </xf>
    <xf numFmtId="0" fontId="3" fillId="0" borderId="0" xfId="0" applyFont="1" applyProtection="1">
      <protection hidden="1"/>
    </xf>
    <xf numFmtId="0" fontId="15" fillId="0" borderId="28" xfId="0" applyFont="1" applyBorder="1" applyAlignment="1" applyProtection="1">
      <alignment horizontal="left" vertical="center" indent="1"/>
      <protection hidden="1"/>
    </xf>
    <xf numFmtId="0" fontId="3" fillId="0" borderId="27" xfId="0" applyFont="1" applyBorder="1" applyAlignment="1" applyProtection="1">
      <alignment vertical="center"/>
      <protection hidden="1"/>
    </xf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169" fontId="24" fillId="29" borderId="12" xfId="4" applyNumberFormat="1" applyFont="1" applyFill="1" applyBorder="1" applyAlignment="1" applyProtection="1">
      <alignment horizontal="right"/>
      <protection hidden="1"/>
    </xf>
    <xf numFmtId="169" fontId="24" fillId="30" borderId="12" xfId="4" applyNumberFormat="1" applyFont="1" applyFill="1" applyBorder="1" applyAlignment="1" applyProtection="1">
      <alignment horizontal="right"/>
      <protection hidden="1"/>
    </xf>
    <xf numFmtId="169" fontId="24" fillId="31" borderId="12" xfId="4" applyNumberFormat="1" applyFont="1" applyFill="1" applyBorder="1" applyAlignment="1" applyProtection="1">
      <alignment horizontal="right"/>
      <protection hidden="1"/>
    </xf>
    <xf numFmtId="0" fontId="20" fillId="9" borderId="0" xfId="0" applyFont="1" applyFill="1" applyAlignment="1">
      <alignment horizontal="left" vertical="center"/>
    </xf>
    <xf numFmtId="0" fontId="20" fillId="9" borderId="0" xfId="0" applyFont="1" applyFill="1" applyAlignment="1">
      <alignment horizontal="left"/>
    </xf>
    <xf numFmtId="0" fontId="29" fillId="9" borderId="0" xfId="0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4" borderId="12" xfId="0" applyFont="1" applyFill="1" applyBorder="1" applyAlignment="1">
      <alignment horizontal="center" vertical="center" wrapText="1"/>
    </xf>
    <xf numFmtId="49" fontId="28" fillId="9" borderId="0" xfId="0" applyNumberFormat="1" applyFont="1" applyFill="1" applyAlignment="1">
      <alignment horizontal="center" vertical="center" wrapText="1"/>
    </xf>
    <xf numFmtId="0" fontId="28" fillId="9" borderId="12" xfId="0" applyFont="1" applyFill="1" applyBorder="1" applyAlignment="1">
      <alignment horizontal="center" vertical="center" wrapText="1"/>
    </xf>
    <xf numFmtId="49" fontId="23" fillId="9" borderId="13" xfId="0" applyNumberFormat="1" applyFont="1" applyFill="1" applyBorder="1" applyAlignment="1">
      <alignment horizontal="left" vertical="center"/>
    </xf>
    <xf numFmtId="0" fontId="23" fillId="9" borderId="12" xfId="0" applyFont="1" applyFill="1" applyBorder="1" applyAlignment="1">
      <alignment horizontal="left"/>
    </xf>
    <xf numFmtId="0" fontId="23" fillId="9" borderId="12" xfId="0" applyFont="1" applyFill="1" applyBorder="1" applyAlignment="1">
      <alignment horizontal="left" vertical="center" wrapText="1"/>
    </xf>
    <xf numFmtId="169" fontId="24" fillId="13" borderId="12" xfId="0" applyNumberFormat="1" applyFont="1" applyFill="1" applyBorder="1" applyAlignment="1">
      <alignment horizontal="center" vertical="center" wrapText="1"/>
    </xf>
    <xf numFmtId="169" fontId="21" fillId="10" borderId="12" xfId="0" applyNumberFormat="1" applyFont="1" applyFill="1" applyBorder="1"/>
    <xf numFmtId="169" fontId="25" fillId="12" borderId="12" xfId="0" applyNumberFormat="1" applyFont="1" applyFill="1" applyBorder="1" applyAlignment="1">
      <alignment horizontal="center" vertical="center" wrapText="1"/>
    </xf>
    <xf numFmtId="169" fontId="24" fillId="12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/>
    <xf numFmtId="169" fontId="23" fillId="12" borderId="12" xfId="0" applyNumberFormat="1" applyFont="1" applyFill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wrapText="1"/>
    </xf>
    <xf numFmtId="169" fontId="25" fillId="9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 applyAlignment="1">
      <alignment horizontal="center" vertical="center"/>
    </xf>
    <xf numFmtId="169" fontId="25" fillId="9" borderId="17" xfId="0" applyNumberFormat="1" applyFont="1" applyFill="1" applyBorder="1" applyAlignment="1">
      <alignment horizontal="center" vertical="center" wrapText="1"/>
    </xf>
    <xf numFmtId="169" fontId="25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9" fontId="21" fillId="10" borderId="15" xfId="0" applyNumberFormat="1" applyFont="1" applyFill="1" applyBorder="1"/>
    <xf numFmtId="169" fontId="25" fillId="9" borderId="14" xfId="0" applyNumberFormat="1" applyFont="1" applyFill="1" applyBorder="1" applyAlignment="1">
      <alignment horizontal="center" vertical="center" wrapText="1"/>
    </xf>
    <xf numFmtId="169" fontId="24" fillId="0" borderId="12" xfId="0" applyNumberFormat="1" applyFont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left"/>
    </xf>
    <xf numFmtId="0" fontId="21" fillId="9" borderId="12" xfId="0" applyFont="1" applyFill="1" applyBorder="1" applyAlignment="1">
      <alignment horizontal="left" vertical="center" wrapText="1"/>
    </xf>
    <xf numFmtId="0" fontId="22" fillId="11" borderId="12" xfId="0" applyFont="1" applyFill="1" applyBorder="1" applyAlignment="1">
      <alignment horizontal="left" vertical="center" wrapText="1"/>
    </xf>
    <xf numFmtId="169" fontId="21" fillId="11" borderId="12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0" fillId="9" borderId="0" xfId="0" applyFont="1" applyFill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8" fillId="9" borderId="0" xfId="0" applyFont="1" applyFill="1" applyAlignment="1" applyProtection="1">
      <alignment horizontal="center" vertical="center" wrapText="1"/>
      <protection hidden="1"/>
    </xf>
    <xf numFmtId="0" fontId="21" fillId="9" borderId="12" xfId="0" applyFont="1" applyFill="1" applyBorder="1" applyAlignment="1" applyProtection="1">
      <alignment horizontal="center" vertical="center" wrapText="1"/>
      <protection hidden="1"/>
    </xf>
    <xf numFmtId="0" fontId="21" fillId="0" borderId="12" xfId="0" applyFont="1" applyBorder="1" applyAlignment="1" applyProtection="1">
      <alignment horizontal="center" vertical="center" wrapText="1"/>
      <protection hidden="1"/>
    </xf>
    <xf numFmtId="0" fontId="28" fillId="9" borderId="12" xfId="0" applyFont="1" applyFill="1" applyBorder="1" applyAlignment="1" applyProtection="1">
      <alignment horizontal="center" vertical="center" wrapText="1"/>
      <protection hidden="1"/>
    </xf>
    <xf numFmtId="0" fontId="23" fillId="9" borderId="13" xfId="0" applyFont="1" applyFill="1" applyBorder="1" applyAlignment="1" applyProtection="1">
      <alignment horizontal="center" vertical="center"/>
      <protection hidden="1"/>
    </xf>
    <xf numFmtId="0" fontId="23" fillId="9" borderId="12" xfId="0" applyFont="1" applyFill="1" applyBorder="1" applyAlignment="1" applyProtection="1">
      <alignment horizontal="left" vertical="center"/>
      <protection hidden="1"/>
    </xf>
    <xf numFmtId="0" fontId="23" fillId="0" borderId="12" xfId="0" applyFont="1" applyBorder="1" applyAlignment="1" applyProtection="1">
      <alignment horizontal="left" vertical="center"/>
      <protection hidden="1"/>
    </xf>
    <xf numFmtId="169" fontId="25" fillId="9" borderId="12" xfId="0" applyNumberFormat="1" applyFont="1" applyFill="1" applyBorder="1" applyAlignment="1" applyProtection="1">
      <alignment vertical="center"/>
      <protection hidden="1"/>
    </xf>
    <xf numFmtId="169" fontId="24" fillId="0" borderId="12" xfId="0" applyNumberFormat="1" applyFont="1" applyBorder="1" applyAlignment="1" applyProtection="1">
      <alignment horizontal="center" vertical="center" wrapText="1"/>
      <protection hidden="1"/>
    </xf>
    <xf numFmtId="169" fontId="21" fillId="10" borderId="12" xfId="0" applyNumberFormat="1" applyFont="1" applyFill="1" applyBorder="1" applyAlignment="1" applyProtection="1">
      <alignment horizontal="right" vertical="center"/>
      <protection hidden="1"/>
    </xf>
    <xf numFmtId="169" fontId="24" fillId="13" borderId="12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13" xfId="0" applyFont="1" applyBorder="1" applyAlignment="1" applyProtection="1">
      <alignment horizontal="center" vertical="center"/>
      <protection hidden="1"/>
    </xf>
    <xf numFmtId="169" fontId="25" fillId="0" borderId="12" xfId="0" applyNumberFormat="1" applyFont="1" applyBorder="1" applyAlignment="1" applyProtection="1">
      <alignment vertical="center"/>
      <protection hidden="1"/>
    </xf>
    <xf numFmtId="169" fontId="25" fillId="0" borderId="12" xfId="0" applyNumberFormat="1" applyFont="1" applyBorder="1" applyAlignment="1" applyProtection="1">
      <alignment horizontal="right" vertical="center"/>
      <protection hidden="1"/>
    </xf>
    <xf numFmtId="169" fontId="21" fillId="0" borderId="12" xfId="0" applyNumberFormat="1" applyFont="1" applyBorder="1" applyAlignment="1" applyProtection="1">
      <alignment horizontal="right" vertical="center"/>
      <protection hidden="1"/>
    </xf>
    <xf numFmtId="169" fontId="25" fillId="9" borderId="12" xfId="0" applyNumberFormat="1" applyFont="1" applyFill="1" applyBorder="1" applyAlignment="1" applyProtection="1">
      <alignment horizontal="right" vertical="center"/>
      <protection hidden="1"/>
    </xf>
    <xf numFmtId="169" fontId="24" fillId="0" borderId="12" xfId="0" applyNumberFormat="1" applyFont="1" applyBorder="1" applyAlignment="1" applyProtection="1">
      <alignment horizontal="right" vertical="center"/>
      <protection hidden="1"/>
    </xf>
    <xf numFmtId="0" fontId="21" fillId="9" borderId="12" xfId="0" applyFont="1" applyFill="1" applyBorder="1" applyAlignment="1" applyProtection="1">
      <alignment horizontal="left" vertical="center"/>
      <protection hidden="1"/>
    </xf>
    <xf numFmtId="0" fontId="22" fillId="11" borderId="12" xfId="0" applyFont="1" applyFill="1" applyBorder="1" applyAlignment="1" applyProtection="1">
      <alignment horizontal="left" vertical="center"/>
      <protection hidden="1"/>
    </xf>
    <xf numFmtId="169" fontId="21" fillId="10" borderId="12" xfId="0" applyNumberFormat="1" applyFont="1" applyFill="1" applyBorder="1" applyAlignment="1" applyProtection="1">
      <alignment vertical="center"/>
      <protection hidden="1"/>
    </xf>
    <xf numFmtId="169" fontId="21" fillId="0" borderId="12" xfId="0" applyNumberFormat="1" applyFont="1" applyBorder="1" applyAlignment="1" applyProtection="1">
      <alignment vertical="center"/>
      <protection hidden="1"/>
    </xf>
    <xf numFmtId="0" fontId="54" fillId="9" borderId="0" xfId="0" applyFont="1" applyFill="1" applyAlignment="1">
      <alignment horizontal="center" vertical="center"/>
    </xf>
    <xf numFmtId="0" fontId="53" fillId="9" borderId="0" xfId="0" applyFont="1" applyFill="1" applyAlignment="1">
      <alignment horizontal="center" vertical="center" wrapText="1"/>
    </xf>
    <xf numFmtId="0" fontId="55" fillId="9" borderId="12" xfId="0" applyFont="1" applyFill="1" applyBorder="1" applyAlignment="1">
      <alignment horizontal="center" vertical="center" wrapText="1"/>
    </xf>
    <xf numFmtId="0" fontId="54" fillId="9" borderId="0" xfId="0" applyFont="1" applyFill="1" applyAlignment="1">
      <alignment horizontal="left" vertical="center"/>
    </xf>
    <xf numFmtId="0" fontId="56" fillId="10" borderId="12" xfId="0" applyFont="1" applyFill="1" applyBorder="1" applyAlignment="1">
      <alignment horizontal="center" vertical="center" wrapText="1"/>
    </xf>
    <xf numFmtId="0" fontId="55" fillId="17" borderId="12" xfId="0" applyFont="1" applyFill="1" applyBorder="1" applyAlignment="1">
      <alignment horizontal="center" vertical="center" wrapText="1"/>
    </xf>
    <xf numFmtId="49" fontId="53" fillId="9" borderId="0" xfId="0" applyNumberFormat="1" applyFont="1" applyFill="1" applyAlignment="1">
      <alignment horizontal="center" vertical="center" wrapText="1"/>
    </xf>
    <xf numFmtId="0" fontId="53" fillId="9" borderId="12" xfId="0" applyFont="1" applyFill="1" applyBorder="1" applyAlignment="1">
      <alignment horizontal="center" vertical="center" wrapText="1"/>
    </xf>
    <xf numFmtId="0" fontId="57" fillId="17" borderId="12" xfId="0" applyFont="1" applyFill="1" applyBorder="1" applyAlignment="1">
      <alignment horizontal="center" vertical="center" wrapText="1"/>
    </xf>
    <xf numFmtId="0" fontId="55" fillId="16" borderId="12" xfId="0" applyFont="1" applyFill="1" applyBorder="1" applyAlignment="1">
      <alignment horizontal="center" vertical="center" wrapText="1"/>
    </xf>
    <xf numFmtId="49" fontId="58" fillId="9" borderId="13" xfId="0" applyNumberFormat="1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 wrapText="1"/>
    </xf>
    <xf numFmtId="169" fontId="59" fillId="13" borderId="12" xfId="0" applyNumberFormat="1" applyFont="1" applyFill="1" applyBorder="1" applyAlignment="1">
      <alignment horizontal="center" vertical="center" wrapText="1"/>
    </xf>
    <xf numFmtId="169" fontId="55" fillId="10" borderId="12" xfId="0" applyNumberFormat="1" applyFont="1" applyFill="1" applyBorder="1" applyAlignment="1">
      <alignment horizontal="center" vertical="center" wrapText="1"/>
    </xf>
    <xf numFmtId="169" fontId="59" fillId="12" borderId="12" xfId="0" applyNumberFormat="1" applyFont="1" applyFill="1" applyBorder="1" applyAlignment="1">
      <alignment horizontal="center" wrapText="1"/>
    </xf>
    <xf numFmtId="169" fontId="61" fillId="12" borderId="12" xfId="0" applyNumberFormat="1" applyFont="1" applyFill="1" applyBorder="1" applyAlignment="1">
      <alignment horizontal="center" wrapText="1"/>
    </xf>
    <xf numFmtId="169" fontId="55" fillId="10" borderId="12" xfId="0" applyNumberFormat="1" applyFont="1" applyFill="1" applyBorder="1" applyAlignment="1">
      <alignment horizontal="center" vertical="center"/>
    </xf>
    <xf numFmtId="169" fontId="61" fillId="0" borderId="12" xfId="0" applyNumberFormat="1" applyFont="1" applyBorder="1" applyAlignment="1">
      <alignment horizontal="center" vertical="center" wrapText="1"/>
    </xf>
    <xf numFmtId="169" fontId="58" fillId="9" borderId="12" xfId="0" applyNumberFormat="1" applyFont="1" applyFill="1" applyBorder="1" applyAlignment="1">
      <alignment horizontal="center" vertical="center" wrapText="1"/>
    </xf>
    <xf numFmtId="169" fontId="61" fillId="9" borderId="12" xfId="0" applyNumberFormat="1" applyFont="1" applyFill="1" applyBorder="1" applyAlignment="1">
      <alignment horizontal="center" vertical="center"/>
    </xf>
    <xf numFmtId="169" fontId="55" fillId="10" borderId="16" xfId="0" applyNumberFormat="1" applyFont="1" applyFill="1" applyBorder="1" applyAlignment="1">
      <alignment horizontal="center" vertical="center"/>
    </xf>
    <xf numFmtId="169" fontId="59" fillId="0" borderId="12" xfId="0" applyNumberFormat="1" applyFont="1" applyBorder="1" applyAlignment="1">
      <alignment horizontal="center" vertical="center" wrapText="1"/>
    </xf>
    <xf numFmtId="0" fontId="55" fillId="9" borderId="12" xfId="0" applyFont="1" applyFill="1" applyBorder="1" applyAlignment="1">
      <alignment horizontal="left" vertical="center"/>
    </xf>
    <xf numFmtId="0" fontId="55" fillId="9" borderId="12" xfId="0" applyFont="1" applyFill="1" applyBorder="1" applyAlignment="1">
      <alignment horizontal="left" vertical="center" wrapText="1"/>
    </xf>
    <xf numFmtId="0" fontId="56" fillId="11" borderId="12" xfId="0" applyFont="1" applyFill="1" applyBorder="1" applyAlignment="1">
      <alignment horizontal="left" vertical="center" wrapText="1"/>
    </xf>
    <xf numFmtId="169" fontId="55" fillId="11" borderId="12" xfId="0" applyNumberFormat="1" applyFont="1" applyFill="1" applyBorder="1" applyAlignment="1">
      <alignment horizontal="center" vertical="center" wrapText="1"/>
    </xf>
    <xf numFmtId="169" fontId="55" fillId="11" borderId="12" xfId="0" applyNumberFormat="1" applyFont="1" applyFill="1" applyBorder="1" applyAlignment="1">
      <alignment horizontal="center" vertical="center"/>
    </xf>
    <xf numFmtId="0" fontId="20" fillId="9" borderId="0" xfId="0" applyFont="1" applyFill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49" fontId="30" fillId="9" borderId="0" xfId="0" applyNumberFormat="1" applyFont="1" applyFill="1" applyAlignment="1" applyProtection="1">
      <alignment horizontal="left" vertical="top"/>
      <protection hidden="1"/>
    </xf>
    <xf numFmtId="0" fontId="34" fillId="9" borderId="0" xfId="0" applyFont="1" applyFill="1" applyAlignment="1" applyProtection="1">
      <alignment horizontal="center" vertical="center"/>
      <protection hidden="1"/>
    </xf>
    <xf numFmtId="0" fontId="35" fillId="9" borderId="0" xfId="0" applyFont="1" applyFill="1" applyAlignment="1" applyProtection="1">
      <alignment horizontal="center" vertical="center" wrapText="1"/>
      <protection hidden="1"/>
    </xf>
    <xf numFmtId="49" fontId="34" fillId="9" borderId="0" xfId="0" applyNumberFormat="1" applyFont="1" applyFill="1" applyAlignment="1" applyProtection="1">
      <alignment horizontal="center" vertical="center"/>
      <protection hidden="1"/>
    </xf>
    <xf numFmtId="49" fontId="28" fillId="9" borderId="12" xfId="0" applyNumberFormat="1" applyFont="1" applyFill="1" applyBorder="1" applyAlignment="1" applyProtection="1">
      <alignment horizontal="center" vertical="center" wrapText="1"/>
      <protection hidden="1"/>
    </xf>
    <xf numFmtId="49" fontId="23" fillId="9" borderId="0" xfId="0" applyNumberFormat="1" applyFont="1" applyFill="1" applyAlignment="1" applyProtection="1">
      <alignment horizontal="center" vertical="center"/>
      <protection hidden="1"/>
    </xf>
    <xf numFmtId="49" fontId="23" fillId="9" borderId="12" xfId="0" applyNumberFormat="1" applyFont="1" applyFill="1" applyBorder="1" applyAlignment="1" applyProtection="1">
      <alignment horizontal="left" vertical="center"/>
      <protection hidden="1"/>
    </xf>
    <xf numFmtId="49" fontId="23" fillId="0" borderId="12" xfId="0" applyNumberFormat="1" applyFont="1" applyBorder="1" applyAlignment="1" applyProtection="1">
      <alignment horizontal="left" vertical="center"/>
      <protection hidden="1"/>
    </xf>
    <xf numFmtId="169" fontId="33" fillId="8" borderId="12" xfId="0" applyNumberFormat="1" applyFont="1" applyFill="1" applyBorder="1" applyAlignment="1" applyProtection="1">
      <alignment horizontal="center" vertical="center" wrapText="1"/>
      <protection hidden="1"/>
    </xf>
    <xf numFmtId="169" fontId="28" fillId="10" borderId="12" xfId="0" applyNumberFormat="1" applyFont="1" applyFill="1" applyBorder="1" applyProtection="1">
      <protection hidden="1"/>
    </xf>
    <xf numFmtId="169" fontId="33" fillId="0" borderId="12" xfId="0" applyNumberFormat="1" applyFont="1" applyBorder="1" applyProtection="1">
      <protection hidden="1"/>
    </xf>
    <xf numFmtId="169" fontId="33" fillId="9" borderId="12" xfId="0" applyNumberFormat="1" applyFont="1" applyFill="1" applyBorder="1" applyProtection="1">
      <protection hidden="1"/>
    </xf>
    <xf numFmtId="169" fontId="33" fillId="19" borderId="12" xfId="0" applyNumberFormat="1" applyFont="1" applyFill="1" applyBorder="1" applyProtection="1">
      <protection hidden="1"/>
    </xf>
    <xf numFmtId="169" fontId="23" fillId="0" borderId="12" xfId="0" applyNumberFormat="1" applyFont="1" applyBorder="1" applyProtection="1">
      <protection hidden="1"/>
    </xf>
    <xf numFmtId="0" fontId="32" fillId="9" borderId="0" xfId="0" applyFont="1" applyFill="1" applyAlignment="1" applyProtection="1">
      <alignment horizontal="center" vertical="center"/>
      <protection hidden="1"/>
    </xf>
    <xf numFmtId="0" fontId="32" fillId="9" borderId="12" xfId="0" applyFont="1" applyFill="1" applyBorder="1" applyAlignment="1" applyProtection="1">
      <alignment horizontal="left" vertical="center"/>
      <protection hidden="1"/>
    </xf>
    <xf numFmtId="0" fontId="31" fillId="9" borderId="12" xfId="0" applyFont="1" applyFill="1" applyBorder="1" applyAlignment="1" applyProtection="1">
      <alignment horizontal="left" vertical="center"/>
      <protection hidden="1"/>
    </xf>
    <xf numFmtId="49" fontId="22" fillId="11" borderId="12" xfId="0" applyNumberFormat="1" applyFont="1" applyFill="1" applyBorder="1" applyAlignment="1" applyProtection="1">
      <alignment horizontal="left" vertical="center"/>
      <protection hidden="1"/>
    </xf>
    <xf numFmtId="0" fontId="15" fillId="0" borderId="0" xfId="0" applyFont="1" applyProtection="1"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  <xf numFmtId="0" fontId="54" fillId="9" borderId="0" xfId="0" applyFont="1" applyFill="1" applyAlignment="1" applyProtection="1">
      <alignment horizontal="center" vertical="center"/>
      <protection hidden="1"/>
    </xf>
    <xf numFmtId="0" fontId="54" fillId="0" borderId="0" xfId="0" applyFont="1" applyAlignment="1" applyProtection="1">
      <alignment horizontal="center" vertical="center"/>
      <protection hidden="1"/>
    </xf>
    <xf numFmtId="0" fontId="55" fillId="9" borderId="12" xfId="0" applyFont="1" applyFill="1" applyBorder="1" applyAlignment="1" applyProtection="1">
      <alignment horizontal="center" vertical="center" wrapText="1"/>
      <protection hidden="1"/>
    </xf>
    <xf numFmtId="0" fontId="55" fillId="0" borderId="12" xfId="0" applyFont="1" applyBorder="1" applyAlignment="1" applyProtection="1">
      <alignment horizontal="center" vertical="center" wrapText="1"/>
      <protection hidden="1"/>
    </xf>
    <xf numFmtId="0" fontId="53" fillId="9" borderId="12" xfId="0" applyFont="1" applyFill="1" applyBorder="1" applyAlignment="1" applyProtection="1">
      <alignment horizontal="center" vertical="center" wrapText="1"/>
      <protection hidden="1"/>
    </xf>
    <xf numFmtId="0" fontId="58" fillId="9" borderId="13" xfId="0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/>
      <protection hidden="1"/>
    </xf>
    <xf numFmtId="0" fontId="58" fillId="0" borderId="12" xfId="0" applyFont="1" applyBorder="1" applyAlignment="1" applyProtection="1">
      <alignment horizontal="center" vertical="center"/>
      <protection hidden="1"/>
    </xf>
    <xf numFmtId="169" fontId="55" fillId="10" borderId="12" xfId="0" applyNumberFormat="1" applyFont="1" applyFill="1" applyBorder="1" applyAlignment="1" applyProtection="1">
      <alignment horizontal="center" vertical="center"/>
      <protection hidden="1"/>
    </xf>
    <xf numFmtId="169" fontId="58" fillId="9" borderId="12" xfId="0" applyNumberFormat="1" applyFont="1" applyFill="1" applyBorder="1" applyAlignment="1" applyProtection="1">
      <alignment horizontal="center" vertical="center"/>
      <protection hidden="1"/>
    </xf>
    <xf numFmtId="169" fontId="59" fillId="0" borderId="12" xfId="0" applyNumberFormat="1" applyFont="1" applyBorder="1" applyAlignment="1" applyProtection="1">
      <alignment horizontal="center" vertical="center"/>
      <protection hidden="1"/>
    </xf>
    <xf numFmtId="169" fontId="61" fillId="0" borderId="12" xfId="0" applyNumberFormat="1" applyFont="1" applyBorder="1" applyAlignment="1" applyProtection="1">
      <alignment horizontal="center" vertical="center"/>
      <protection hidden="1"/>
    </xf>
    <xf numFmtId="169" fontId="61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0" borderId="13" xfId="0" applyFont="1" applyBorder="1" applyAlignment="1" applyProtection="1">
      <alignment horizontal="center" vertical="center"/>
      <protection hidden="1"/>
    </xf>
    <xf numFmtId="169" fontId="55" fillId="0" borderId="12" xfId="0" applyNumberFormat="1" applyFont="1" applyBorder="1" applyAlignment="1" applyProtection="1">
      <alignment horizontal="center" vertical="center"/>
      <protection hidden="1"/>
    </xf>
    <xf numFmtId="169" fontId="58" fillId="0" borderId="12" xfId="0" applyNumberFormat="1" applyFont="1" applyBorder="1" applyAlignment="1" applyProtection="1">
      <alignment horizontal="center" vertical="center"/>
      <protection hidden="1"/>
    </xf>
    <xf numFmtId="169" fontId="59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 wrapText="1"/>
      <protection hidden="1"/>
    </xf>
    <xf numFmtId="0" fontId="55" fillId="9" borderId="12" xfId="0" applyFont="1" applyFill="1" applyBorder="1" applyAlignment="1" applyProtection="1">
      <alignment horizontal="center" vertical="center"/>
      <protection hidden="1"/>
    </xf>
    <xf numFmtId="0" fontId="56" fillId="11" borderId="12" xfId="0" applyFont="1" applyFill="1" applyBorder="1" applyAlignment="1" applyProtection="1">
      <alignment horizontal="center" vertical="center"/>
      <protection hidden="1"/>
    </xf>
    <xf numFmtId="40" fontId="50" fillId="0" borderId="0" xfId="4" applyNumberFormat="1" applyFont="1" applyProtection="1">
      <protection hidden="1"/>
    </xf>
    <xf numFmtId="40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 wrapText="1"/>
    </xf>
    <xf numFmtId="166" fontId="63" fillId="0" borderId="2" xfId="0" applyNumberFormat="1" applyFont="1" applyBorder="1" applyAlignment="1">
      <alignment horizontal="center" vertical="center" wrapText="1"/>
    </xf>
    <xf numFmtId="170" fontId="63" fillId="0" borderId="0" xfId="3" applyNumberFormat="1" applyFont="1" applyBorder="1" applyAlignment="1">
      <alignment horizontal="center" vertical="center"/>
    </xf>
    <xf numFmtId="170" fontId="63" fillId="0" borderId="5" xfId="3" applyNumberFormat="1" applyFont="1" applyBorder="1" applyAlignment="1">
      <alignment horizontal="center" vertical="center"/>
    </xf>
    <xf numFmtId="166" fontId="63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169" fontId="65" fillId="16" borderId="12" xfId="4" applyNumberFormat="1" applyFont="1" applyFill="1" applyBorder="1" applyAlignment="1" applyProtection="1">
      <alignment horizontal="right"/>
      <protection hidden="1"/>
    </xf>
    <xf numFmtId="0" fontId="66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/>
    </xf>
    <xf numFmtId="0" fontId="1" fillId="0" borderId="0" xfId="0" applyFont="1"/>
    <xf numFmtId="0" fontId="47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 applyProtection="1">
      <alignment horizontal="center" vertical="center"/>
      <protection hidden="1"/>
    </xf>
    <xf numFmtId="169" fontId="69" fillId="0" borderId="0" xfId="0" applyNumberFormat="1" applyFont="1" applyAlignment="1" applyProtection="1">
      <alignment horizontal="center" vertical="center"/>
      <protection hidden="1"/>
    </xf>
    <xf numFmtId="169" fontId="40" fillId="0" borderId="0" xfId="0" applyNumberFormat="1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70" fillId="0" borderId="0" xfId="0" applyFont="1" applyAlignment="1">
      <alignment vertical="center" wrapText="1"/>
    </xf>
    <xf numFmtId="0" fontId="39" fillId="22" borderId="0" xfId="0" applyFont="1" applyFill="1" applyAlignment="1">
      <alignment horizontal="center"/>
    </xf>
    <xf numFmtId="0" fontId="41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0" xfId="0" applyBorder="1" applyAlignment="1">
      <alignment horizontal="left" vertical="center" wrapText="1" indent="1"/>
    </xf>
    <xf numFmtId="0" fontId="12" fillId="22" borderId="0" xfId="0" applyFont="1" applyFill="1" applyAlignment="1">
      <alignment horizontal="center" vertical="center" wrapText="1"/>
    </xf>
    <xf numFmtId="0" fontId="12" fillId="22" borderId="0" xfId="0" applyFont="1" applyFill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12" fillId="22" borderId="20" xfId="0" applyFont="1" applyFill="1" applyBorder="1" applyAlignment="1">
      <alignment horizontal="left" vertical="center" wrapText="1" indent="1"/>
    </xf>
    <xf numFmtId="0" fontId="12" fillId="22" borderId="21" xfId="0" applyFont="1" applyFill="1" applyBorder="1" applyAlignment="1">
      <alignment horizontal="left" vertical="center" wrapText="1" indent="1"/>
    </xf>
    <xf numFmtId="0" fontId="43" fillId="0" borderId="11" xfId="0" applyFont="1" applyBorder="1" applyAlignment="1">
      <alignment horizontal="left" vertical="center" wrapText="1"/>
    </xf>
    <xf numFmtId="0" fontId="43" fillId="0" borderId="32" xfId="0" applyFont="1" applyBorder="1" applyAlignment="1">
      <alignment horizontal="left" vertical="center" wrapText="1"/>
    </xf>
    <xf numFmtId="0" fontId="43" fillId="0" borderId="8" xfId="0" applyFont="1" applyBorder="1" applyAlignment="1">
      <alignment horizontal="left" vertical="center" wrapText="1"/>
    </xf>
    <xf numFmtId="0" fontId="43" fillId="0" borderId="33" xfId="0" applyFont="1" applyBorder="1" applyAlignment="1">
      <alignment horizontal="left" vertical="center" wrapText="1"/>
    </xf>
    <xf numFmtId="0" fontId="43" fillId="0" borderId="4" xfId="0" applyFont="1" applyBorder="1" applyAlignment="1">
      <alignment horizontal="left" vertical="center" wrapText="1"/>
    </xf>
    <xf numFmtId="0" fontId="43" fillId="0" borderId="34" xfId="0" applyFont="1" applyBorder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30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37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30" fillId="9" borderId="0" xfId="4" applyFont="1" applyFill="1" applyAlignment="1" applyProtection="1">
      <alignment horizontal="left" vertical="top"/>
      <protection hidden="1"/>
    </xf>
    <xf numFmtId="0" fontId="30" fillId="9" borderId="0" xfId="4" applyFont="1" applyFill="1" applyAlignment="1" applyProtection="1">
      <alignment horizontal="left" vertical="top" wrapText="1"/>
      <protection hidden="1"/>
    </xf>
    <xf numFmtId="0" fontId="22" fillId="10" borderId="12" xfId="0" applyFont="1" applyFill="1" applyBorder="1" applyAlignment="1">
      <alignment horizontal="center" vertical="center" wrapText="1"/>
    </xf>
    <xf numFmtId="0" fontId="30" fillId="9" borderId="0" xfId="0" applyFont="1" applyFill="1" applyAlignment="1">
      <alignment horizontal="left" vertical="top"/>
    </xf>
    <xf numFmtId="0" fontId="30" fillId="9" borderId="0" xfId="0" applyFont="1" applyFill="1" applyAlignment="1" applyProtection="1">
      <alignment horizontal="left" vertical="center" wrapText="1"/>
      <protection hidden="1"/>
    </xf>
    <xf numFmtId="0" fontId="22" fillId="10" borderId="12" xfId="0" applyFont="1" applyFill="1" applyBorder="1" applyAlignment="1" applyProtection="1">
      <alignment horizontal="center" vertical="center" wrapText="1"/>
      <protection hidden="1"/>
    </xf>
    <xf numFmtId="0" fontId="56" fillId="10" borderId="12" xfId="0" applyFont="1" applyFill="1" applyBorder="1" applyAlignment="1">
      <alignment horizontal="center" vertical="center" wrapText="1"/>
    </xf>
    <xf numFmtId="0" fontId="53" fillId="9" borderId="0" xfId="0" applyFont="1" applyFill="1" applyAlignment="1">
      <alignment horizontal="left" vertical="center"/>
    </xf>
    <xf numFmtId="0" fontId="56" fillId="10" borderId="12" xfId="0" applyFont="1" applyFill="1" applyBorder="1" applyAlignment="1" applyProtection="1">
      <alignment horizontal="center" vertical="center" wrapText="1"/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136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128"/>
      <c r="B1" s="129" t="s">
        <v>239</v>
      </c>
      <c r="C1" s="319" t="s">
        <v>240</v>
      </c>
      <c r="D1" s="319"/>
      <c r="E1" s="319"/>
      <c r="F1" s="130"/>
      <c r="H1" s="26" t="s">
        <v>0</v>
      </c>
    </row>
    <row r="2" spans="1:8" s="134" customFormat="1" ht="20" customHeight="1" x14ac:dyDescent="0.2">
      <c r="A2" s="131"/>
      <c r="B2" s="132"/>
      <c r="C2" s="320" t="s">
        <v>241</v>
      </c>
      <c r="D2" s="320"/>
      <c r="E2" s="320"/>
      <c r="F2" s="133"/>
      <c r="H2" s="26" t="s">
        <v>0</v>
      </c>
    </row>
    <row r="3" spans="1:8" s="26" customFormat="1" ht="6.5" customHeight="1" thickBot="1" x14ac:dyDescent="0.25">
      <c r="A3" s="135"/>
      <c r="F3" s="136"/>
      <c r="H3" s="26" t="s">
        <v>0</v>
      </c>
    </row>
    <row r="4" spans="1:8" s="140" customFormat="1" ht="32.25" customHeight="1" thickBot="1" x14ac:dyDescent="0.25">
      <c r="A4" s="137"/>
      <c r="B4" s="138" t="s">
        <v>242</v>
      </c>
      <c r="C4" s="139" t="s">
        <v>243</v>
      </c>
      <c r="D4" s="139" t="s">
        <v>244</v>
      </c>
      <c r="E4" s="326" t="s">
        <v>245</v>
      </c>
      <c r="F4" s="327"/>
      <c r="G4" s="148"/>
      <c r="H4" s="26" t="s">
        <v>0</v>
      </c>
    </row>
    <row r="5" spans="1:8" s="26" customFormat="1" ht="48" customHeight="1" x14ac:dyDescent="0.2">
      <c r="A5" s="135"/>
      <c r="B5" s="152" t="s">
        <v>246</v>
      </c>
      <c r="C5" s="145" t="s">
        <v>247</v>
      </c>
      <c r="D5" s="145" t="s">
        <v>248</v>
      </c>
      <c r="E5" s="328" t="s">
        <v>261</v>
      </c>
      <c r="F5" s="329"/>
      <c r="G5" s="147"/>
      <c r="H5" s="26" t="s">
        <v>0</v>
      </c>
    </row>
    <row r="6" spans="1:8" s="26" customFormat="1" ht="48" customHeight="1" x14ac:dyDescent="0.2">
      <c r="A6" s="135"/>
      <c r="B6" s="153" t="s">
        <v>249</v>
      </c>
      <c r="C6" s="146" t="s">
        <v>250</v>
      </c>
      <c r="D6" s="146" t="s">
        <v>251</v>
      </c>
      <c r="E6" s="330" t="s">
        <v>262</v>
      </c>
      <c r="F6" s="331"/>
      <c r="G6" s="147"/>
      <c r="H6" s="26" t="s">
        <v>0</v>
      </c>
    </row>
    <row r="7" spans="1:8" s="26" customFormat="1" ht="48" customHeight="1" x14ac:dyDescent="0.2">
      <c r="A7" s="135"/>
      <c r="B7" s="154" t="s">
        <v>252</v>
      </c>
      <c r="C7" s="146" t="s">
        <v>253</v>
      </c>
      <c r="D7" s="146" t="s">
        <v>254</v>
      </c>
      <c r="E7" s="330" t="s">
        <v>261</v>
      </c>
      <c r="F7" s="331"/>
      <c r="G7" s="147"/>
      <c r="H7" s="26" t="s">
        <v>0</v>
      </c>
    </row>
    <row r="8" spans="1:8" s="26" customFormat="1" ht="23" customHeight="1" x14ac:dyDescent="0.2">
      <c r="A8" s="135"/>
      <c r="B8" s="155" t="s">
        <v>255</v>
      </c>
      <c r="C8" s="321" t="s">
        <v>256</v>
      </c>
      <c r="D8" s="321" t="s">
        <v>257</v>
      </c>
      <c r="E8" s="332" t="s">
        <v>263</v>
      </c>
      <c r="F8" s="333"/>
      <c r="G8" s="147"/>
      <c r="H8" s="26" t="s">
        <v>0</v>
      </c>
    </row>
    <row r="9" spans="1:8" s="26" customFormat="1" ht="23" customHeight="1" x14ac:dyDescent="0.2">
      <c r="A9" s="135"/>
      <c r="B9" s="156" t="s">
        <v>258</v>
      </c>
      <c r="C9" s="321"/>
      <c r="D9" s="321"/>
      <c r="E9" s="334"/>
      <c r="F9" s="335"/>
      <c r="G9" s="147"/>
      <c r="H9" s="26" t="s">
        <v>0</v>
      </c>
    </row>
    <row r="10" spans="1:8" s="26" customFormat="1" ht="23" customHeight="1" thickBot="1" x14ac:dyDescent="0.25">
      <c r="A10" s="135"/>
      <c r="B10" s="157" t="s">
        <v>259</v>
      </c>
      <c r="C10" s="322"/>
      <c r="D10" s="322"/>
      <c r="E10" s="336"/>
      <c r="F10" s="337"/>
      <c r="G10" s="147"/>
      <c r="H10" s="26" t="s">
        <v>0</v>
      </c>
    </row>
    <row r="11" spans="1:8" s="26" customFormat="1" ht="5" customHeight="1" thickBot="1" x14ac:dyDescent="0.25">
      <c r="A11" s="135"/>
      <c r="B11" s="151"/>
      <c r="C11" s="151"/>
      <c r="D11" s="151"/>
      <c r="E11" s="151"/>
      <c r="F11" s="151"/>
      <c r="H11" s="26" t="s">
        <v>0</v>
      </c>
    </row>
    <row r="12" spans="1:8" s="26" customFormat="1" ht="72" customHeight="1" thickBot="1" x14ac:dyDescent="0.25">
      <c r="A12" s="135"/>
      <c r="B12" s="149"/>
      <c r="C12" s="325" t="s">
        <v>260</v>
      </c>
      <c r="D12" s="325"/>
      <c r="E12" s="325"/>
      <c r="F12" s="150"/>
      <c r="H12" s="26" t="s">
        <v>0</v>
      </c>
    </row>
    <row r="13" spans="1:8" s="26" customFormat="1" ht="6" customHeight="1" x14ac:dyDescent="0.2">
      <c r="A13" s="141"/>
      <c r="F13" s="136"/>
      <c r="H13" s="26" t="s">
        <v>0</v>
      </c>
    </row>
    <row r="14" spans="1:8" s="26" customFormat="1" ht="27" customHeight="1" x14ac:dyDescent="0.2">
      <c r="A14" s="323" t="s">
        <v>25</v>
      </c>
      <c r="B14" s="323"/>
      <c r="C14" s="323"/>
      <c r="D14" s="323"/>
      <c r="E14" s="323"/>
      <c r="F14" s="324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150" workbookViewId="0">
      <selection activeCell="F20" sqref="F20"/>
    </sheetView>
  </sheetViews>
  <sheetFormatPr baseColWidth="10" defaultColWidth="11" defaultRowHeight="16" x14ac:dyDescent="0.2"/>
  <cols>
    <col min="1" max="3" width="0" style="40" hidden="1" customWidth="1"/>
    <col min="4" max="4" width="15.1640625" style="40" customWidth="1"/>
    <col min="5" max="5" width="11" style="40"/>
    <col min="6" max="6" width="46.33203125" style="40" bestFit="1" customWidth="1"/>
    <col min="7" max="16384" width="11" style="40"/>
  </cols>
  <sheetData>
    <row r="1" spans="1:10" x14ac:dyDescent="0.2">
      <c r="A1" s="44"/>
      <c r="C1" s="112"/>
      <c r="D1" s="112" t="s">
        <v>230</v>
      </c>
      <c r="E1" s="112"/>
      <c r="F1" s="112"/>
      <c r="G1" s="44"/>
      <c r="H1" s="44"/>
      <c r="I1" s="44"/>
      <c r="J1" s="44"/>
    </row>
    <row r="2" spans="1:10" x14ac:dyDescent="0.2">
      <c r="A2" s="111"/>
      <c r="B2" s="110"/>
      <c r="C2" s="110"/>
      <c r="D2" s="110"/>
      <c r="E2" s="110"/>
      <c r="F2" s="110"/>
      <c r="G2" s="87" t="s">
        <v>181</v>
      </c>
      <c r="H2" s="346" t="s">
        <v>180</v>
      </c>
      <c r="I2" s="87" t="s">
        <v>45</v>
      </c>
      <c r="J2" s="346" t="s">
        <v>179</v>
      </c>
    </row>
    <row r="3" spans="1:10" ht="36" x14ac:dyDescent="0.2">
      <c r="A3" s="111"/>
      <c r="B3" s="110"/>
      <c r="C3" s="110"/>
      <c r="D3" s="110"/>
      <c r="E3" s="110"/>
      <c r="F3" s="110"/>
      <c r="G3" s="87" t="s">
        <v>159</v>
      </c>
      <c r="H3" s="346"/>
      <c r="I3" s="87" t="s">
        <v>156</v>
      </c>
      <c r="J3" s="346"/>
    </row>
    <row r="4" spans="1:10" ht="36" x14ac:dyDescent="0.2">
      <c r="A4" s="109"/>
      <c r="B4" s="108" t="s">
        <v>126</v>
      </c>
      <c r="C4" s="108" t="s">
        <v>125</v>
      </c>
      <c r="D4" s="108" t="s">
        <v>32</v>
      </c>
      <c r="E4" s="108" t="s">
        <v>124</v>
      </c>
      <c r="F4" s="108" t="s">
        <v>123</v>
      </c>
      <c r="G4" s="87" t="s">
        <v>108</v>
      </c>
      <c r="H4" s="346"/>
      <c r="I4" s="87" t="s">
        <v>104</v>
      </c>
      <c r="J4" s="346"/>
    </row>
    <row r="5" spans="1:10" x14ac:dyDescent="0.2">
      <c r="A5" s="103" t="s">
        <v>229</v>
      </c>
      <c r="B5" s="102"/>
      <c r="C5" s="102"/>
      <c r="D5" s="107">
        <f>ETPT_CPH_DDG!$D$5</f>
        <v>0</v>
      </c>
      <c r="E5" s="102" t="s">
        <v>73</v>
      </c>
      <c r="F5" s="102" t="s">
        <v>72</v>
      </c>
      <c r="G5" s="101" t="e">
        <f>SUMIFS( INDEX( 'ETPT Format DDG'!$A:$FF,,MATCH("11.7. FONCTIONNAIRES AFFECTÉS AU CPH",'ETPT Format DDG'!2:2,0)),'ETPT Format DDG'!$C:$C,$D$5,'ETPT Format DDG'!$FA:$FA,"Fonctionnaire A-B-CBUR")</f>
        <v>#N/A</v>
      </c>
      <c r="H5" s="96" t="e">
        <f t="shared" ref="H5:H13" si="0">SUM(G5)</f>
        <v>#N/A</v>
      </c>
      <c r="I5" s="101" t="e">
        <f>SUMIFS( INDEX( 'ETPT Format DDG'!$A:$FF,,MATCH("11.7. FONCTIONNAIRES AFFECTÉS AU CPH",'ETPT Format DDG'!2:2,0)),'ETPT Format DDG'!$C:$C,$D$5,'ETPT Format DDG'!$FA:$FA,"JURISTE AS siège Autres")</f>
        <v>#N/A</v>
      </c>
      <c r="J5" s="96" t="e">
        <f t="shared" ref="J5:J13" si="1">SUM(I5)</f>
        <v>#N/A</v>
      </c>
    </row>
    <row r="6" spans="1:10" x14ac:dyDescent="0.2">
      <c r="A6" s="103" t="s">
        <v>229</v>
      </c>
      <c r="B6" s="102"/>
      <c r="C6" s="102"/>
      <c r="D6" s="65">
        <f t="shared" ref="D6:D13" si="2">$D$5</f>
        <v>0</v>
      </c>
      <c r="E6" s="102" t="s">
        <v>67</v>
      </c>
      <c r="F6" s="102" t="s">
        <v>66</v>
      </c>
      <c r="G6" s="105"/>
      <c r="H6" s="96">
        <f t="shared" si="0"/>
        <v>0</v>
      </c>
      <c r="I6" s="106"/>
      <c r="J6" s="96">
        <f t="shared" si="1"/>
        <v>0</v>
      </c>
    </row>
    <row r="7" spans="1:10" x14ac:dyDescent="0.2">
      <c r="A7" s="103" t="s">
        <v>229</v>
      </c>
      <c r="B7" s="102"/>
      <c r="C7" s="102"/>
      <c r="D7" s="65">
        <f t="shared" si="2"/>
        <v>0</v>
      </c>
      <c r="E7" s="102" t="s">
        <v>65</v>
      </c>
      <c r="F7" s="102" t="s">
        <v>64</v>
      </c>
      <c r="G7" s="105"/>
      <c r="H7" s="96">
        <f t="shared" si="0"/>
        <v>0</v>
      </c>
      <c r="I7" s="104"/>
      <c r="J7" s="96">
        <f t="shared" si="1"/>
        <v>0</v>
      </c>
    </row>
    <row r="8" spans="1:10" x14ac:dyDescent="0.2">
      <c r="A8" s="103" t="s">
        <v>229</v>
      </c>
      <c r="B8" s="102"/>
      <c r="C8" s="102"/>
      <c r="D8" s="65">
        <f t="shared" si="2"/>
        <v>0</v>
      </c>
      <c r="E8" s="102" t="s">
        <v>63</v>
      </c>
      <c r="F8" s="102" t="s">
        <v>62</v>
      </c>
      <c r="G8" s="105"/>
      <c r="H8" s="96">
        <f t="shared" si="0"/>
        <v>0</v>
      </c>
      <c r="I8" s="106"/>
      <c r="J8" s="96">
        <f t="shared" si="1"/>
        <v>0</v>
      </c>
    </row>
    <row r="9" spans="1:10" x14ac:dyDescent="0.2">
      <c r="A9" s="103" t="s">
        <v>229</v>
      </c>
      <c r="B9" s="102"/>
      <c r="C9" s="102"/>
      <c r="D9" s="65">
        <f t="shared" si="2"/>
        <v>0</v>
      </c>
      <c r="E9" s="102" t="s">
        <v>61</v>
      </c>
      <c r="F9" s="102" t="s">
        <v>60</v>
      </c>
      <c r="G9" s="105"/>
      <c r="H9" s="96">
        <f t="shared" si="0"/>
        <v>0</v>
      </c>
      <c r="I9" s="104"/>
      <c r="J9" s="96">
        <f t="shared" si="1"/>
        <v>0</v>
      </c>
    </row>
    <row r="10" spans="1:10" x14ac:dyDescent="0.2">
      <c r="A10" s="103" t="s">
        <v>229</v>
      </c>
      <c r="B10" s="102"/>
      <c r="C10" s="102"/>
      <c r="D10" s="65">
        <f t="shared" si="2"/>
        <v>0</v>
      </c>
      <c r="E10" s="102" t="s">
        <v>59</v>
      </c>
      <c r="F10" s="102" t="s">
        <v>58</v>
      </c>
      <c r="G10" s="105"/>
      <c r="H10" s="96">
        <f t="shared" si="0"/>
        <v>0</v>
      </c>
      <c r="I10" s="106"/>
      <c r="J10" s="96">
        <f t="shared" si="1"/>
        <v>0</v>
      </c>
    </row>
    <row r="11" spans="1:10" x14ac:dyDescent="0.2">
      <c r="A11" s="103" t="s">
        <v>229</v>
      </c>
      <c r="B11" s="102"/>
      <c r="C11" s="102"/>
      <c r="D11" s="65">
        <f t="shared" si="2"/>
        <v>0</v>
      </c>
      <c r="E11" s="102" t="s">
        <v>57</v>
      </c>
      <c r="F11" s="102" t="s">
        <v>56</v>
      </c>
      <c r="G11" s="105"/>
      <c r="H11" s="96">
        <f t="shared" si="0"/>
        <v>0</v>
      </c>
      <c r="I11" s="104"/>
      <c r="J11" s="96">
        <f t="shared" si="1"/>
        <v>0</v>
      </c>
    </row>
    <row r="12" spans="1:10" x14ac:dyDescent="0.2">
      <c r="A12" s="103" t="s">
        <v>229</v>
      </c>
      <c r="B12" s="102"/>
      <c r="C12" s="102"/>
      <c r="D12" s="65">
        <f t="shared" si="2"/>
        <v>0</v>
      </c>
      <c r="E12" s="102" t="s">
        <v>55</v>
      </c>
      <c r="F12" s="102" t="s">
        <v>54</v>
      </c>
      <c r="G12" s="101" t="e">
        <f>SUMIFS( INDEX( 'ETPT Format DDG'!$A:$FF,,MATCH("11.7. FONCTIONNAIRES AFFECTÉS AU CPH",'ETPT Format DDG'!2:2,0)),'ETPT Format DDG'!$C:$C,$D$5,'ETPT Format DDG'!$FA:$FA,"Fonctionnaire CTECH placé ADD")</f>
        <v>#N/A</v>
      </c>
      <c r="H12" s="96" t="e">
        <f t="shared" si="0"/>
        <v>#N/A</v>
      </c>
      <c r="I12" s="59"/>
      <c r="J12" s="96">
        <f t="shared" si="1"/>
        <v>0</v>
      </c>
    </row>
    <row r="13" spans="1:10" x14ac:dyDescent="0.2">
      <c r="A13" s="103" t="s">
        <v>229</v>
      </c>
      <c r="B13" s="102"/>
      <c r="C13" s="102"/>
      <c r="D13" s="65">
        <f t="shared" si="2"/>
        <v>0</v>
      </c>
      <c r="E13" s="102" t="s">
        <v>52</v>
      </c>
      <c r="F13" s="102" t="s">
        <v>51</v>
      </c>
      <c r="G13" s="101" t="e">
        <f>SUMIFS( INDEX( 'ETPT Format DDG'!$A:$FF,,MATCH("11.7. FONCTIONNAIRES AFFECTÉS AU CPH",'ETPT Format DDG'!2:2,0)),'ETPT Format DDG'!$C:$C,$D$5,'ETPT Format DDG'!$FA:$FA,"Fonctionnaire CTECH placé SUB")</f>
        <v>#N/A</v>
      </c>
      <c r="H13" s="96" t="e">
        <f t="shared" si="0"/>
        <v>#N/A</v>
      </c>
      <c r="I13" s="59"/>
      <c r="J13" s="96">
        <f t="shared" si="1"/>
        <v>0</v>
      </c>
    </row>
    <row r="14" spans="1:10" x14ac:dyDescent="0.2">
      <c r="A14" s="100"/>
      <c r="B14" s="99"/>
      <c r="C14" s="99"/>
      <c r="D14" s="99"/>
      <c r="E14" s="98"/>
      <c r="F14" s="97" t="s">
        <v>50</v>
      </c>
      <c r="G14" s="96" t="e">
        <f>SUM(G5:G13)</f>
        <v>#N/A</v>
      </c>
      <c r="H14" s="96" t="e">
        <f>SUM(H5:H13)</f>
        <v>#N/A</v>
      </c>
      <c r="I14" s="96" t="e">
        <f>SUM(I5:I13)</f>
        <v>#N/A</v>
      </c>
      <c r="J14" s="96" t="e">
        <f>SUM(J5:J13)</f>
        <v>#N/A</v>
      </c>
    </row>
    <row r="17" spans="4:4" x14ac:dyDescent="0.2">
      <c r="D17" s="42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zoomScale="125" workbookViewId="0">
      <selection activeCell="D64" sqref="D64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hidden="1" customWidth="1"/>
    <col min="4" max="4" width="14.6640625" style="40" customWidth="1"/>
    <col min="5" max="5" width="6.5" style="40" customWidth="1"/>
    <col min="6" max="6" width="46.33203125" style="40" bestFit="1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3" s="4" customFormat="1" ht="80" customHeight="1" x14ac:dyDescent="0.25">
      <c r="A1" s="3" t="s">
        <v>231</v>
      </c>
      <c r="B1" s="5"/>
      <c r="C1" s="5"/>
      <c r="D1" s="3" t="s">
        <v>234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44" customFormat="1" ht="12.75" customHeight="1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6" t="s">
        <v>181</v>
      </c>
      <c r="J2" s="86" t="s">
        <v>181</v>
      </c>
      <c r="K2" s="86" t="s">
        <v>181</v>
      </c>
      <c r="L2" s="86" t="s">
        <v>181</v>
      </c>
      <c r="M2" s="86" t="s">
        <v>181</v>
      </c>
      <c r="N2" s="86" t="s">
        <v>181</v>
      </c>
      <c r="O2" s="86" t="s">
        <v>181</v>
      </c>
      <c r="P2" s="86" t="s">
        <v>181</v>
      </c>
      <c r="Q2" s="86" t="s">
        <v>181</v>
      </c>
      <c r="R2" s="86" t="s">
        <v>181</v>
      </c>
      <c r="S2" s="86" t="s">
        <v>181</v>
      </c>
      <c r="T2" s="86" t="s">
        <v>181</v>
      </c>
      <c r="U2" s="86" t="s">
        <v>181</v>
      </c>
      <c r="V2" s="86" t="s">
        <v>181</v>
      </c>
      <c r="W2" s="346" t="s">
        <v>180</v>
      </c>
      <c r="X2" s="87" t="s">
        <v>45</v>
      </c>
      <c r="Y2" s="87" t="s">
        <v>45</v>
      </c>
      <c r="Z2" s="87" t="s">
        <v>45</v>
      </c>
      <c r="AA2" s="87" t="s">
        <v>45</v>
      </c>
      <c r="AB2" s="346" t="s">
        <v>179</v>
      </c>
      <c r="AC2" s="84" t="s">
        <v>178</v>
      </c>
      <c r="AD2" s="84" t="s">
        <v>178</v>
      </c>
      <c r="AE2" s="84" t="s">
        <v>178</v>
      </c>
      <c r="AF2" s="84" t="s">
        <v>178</v>
      </c>
      <c r="AG2" s="84" t="s">
        <v>178</v>
      </c>
      <c r="AH2" s="84" t="s">
        <v>178</v>
      </c>
      <c r="AI2" s="84" t="s">
        <v>178</v>
      </c>
      <c r="AJ2" s="84" t="s">
        <v>178</v>
      </c>
      <c r="AK2" s="84" t="s">
        <v>178</v>
      </c>
      <c r="AL2" s="346" t="s">
        <v>177</v>
      </c>
      <c r="AM2" s="84" t="s">
        <v>176</v>
      </c>
      <c r="AN2" s="84" t="s">
        <v>176</v>
      </c>
      <c r="AO2" s="84" t="s">
        <v>176</v>
      </c>
      <c r="AP2" s="84" t="s">
        <v>176</v>
      </c>
      <c r="AQ2" s="84" t="s">
        <v>176</v>
      </c>
      <c r="AR2" s="84" t="s">
        <v>176</v>
      </c>
      <c r="AS2" s="84" t="s">
        <v>176</v>
      </c>
      <c r="AT2" s="84" t="s">
        <v>176</v>
      </c>
      <c r="AU2" s="84" t="s">
        <v>176</v>
      </c>
      <c r="AV2" s="84" t="s">
        <v>176</v>
      </c>
      <c r="AW2" s="84" t="s">
        <v>176</v>
      </c>
      <c r="AX2" s="84" t="s">
        <v>176</v>
      </c>
      <c r="AY2" s="84" t="s">
        <v>176</v>
      </c>
      <c r="AZ2" s="346" t="s">
        <v>175</v>
      </c>
      <c r="BA2" s="83" t="s">
        <v>174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346" t="s">
        <v>173</v>
      </c>
      <c r="BK2"/>
    </row>
    <row r="3" spans="1:63" s="44" customFormat="1" ht="26" hidden="1" customHeight="1" x14ac:dyDescent="0.15">
      <c r="A3" s="90"/>
      <c r="B3" s="90"/>
      <c r="C3" s="90"/>
      <c r="D3" s="90"/>
      <c r="E3" s="90"/>
      <c r="F3" s="90"/>
      <c r="G3" s="87" t="s">
        <v>172</v>
      </c>
      <c r="H3" s="346"/>
      <c r="I3" s="86" t="s">
        <v>171</v>
      </c>
      <c r="J3" s="86" t="s">
        <v>170</v>
      </c>
      <c r="K3" s="86" t="s">
        <v>169</v>
      </c>
      <c r="L3" s="86" t="s">
        <v>168</v>
      </c>
      <c r="M3" s="86" t="s">
        <v>167</v>
      </c>
      <c r="N3" s="86" t="s">
        <v>166</v>
      </c>
      <c r="O3" s="86" t="s">
        <v>165</v>
      </c>
      <c r="P3" s="86" t="s">
        <v>164</v>
      </c>
      <c r="Q3" s="86" t="s">
        <v>163</v>
      </c>
      <c r="R3" s="86"/>
      <c r="S3" s="86" t="s">
        <v>162</v>
      </c>
      <c r="T3" s="86" t="s">
        <v>161</v>
      </c>
      <c r="U3" s="86" t="s">
        <v>160</v>
      </c>
      <c r="V3" s="86" t="s">
        <v>159</v>
      </c>
      <c r="W3" s="346"/>
      <c r="X3" s="82"/>
      <c r="Y3" s="87" t="s">
        <v>158</v>
      </c>
      <c r="Z3" s="87" t="s">
        <v>157</v>
      </c>
      <c r="AA3" s="87" t="s">
        <v>156</v>
      </c>
      <c r="AB3" s="346"/>
      <c r="AC3" s="84" t="s">
        <v>155</v>
      </c>
      <c r="AD3" s="84" t="s">
        <v>154</v>
      </c>
      <c r="AE3" s="84" t="s">
        <v>153</v>
      </c>
      <c r="AF3" s="84" t="s">
        <v>152</v>
      </c>
      <c r="AG3" s="84" t="s">
        <v>151</v>
      </c>
      <c r="AH3" s="84" t="s">
        <v>150</v>
      </c>
      <c r="AI3" s="84" t="s">
        <v>42</v>
      </c>
      <c r="AJ3" s="84" t="s">
        <v>41</v>
      </c>
      <c r="AK3" s="84" t="s">
        <v>149</v>
      </c>
      <c r="AL3" s="346"/>
      <c r="AM3" s="84" t="s">
        <v>148</v>
      </c>
      <c r="AN3" s="84" t="s">
        <v>147</v>
      </c>
      <c r="AO3" s="84" t="s">
        <v>146</v>
      </c>
      <c r="AP3" s="84" t="s">
        <v>145</v>
      </c>
      <c r="AQ3" s="84" t="s">
        <v>144</v>
      </c>
      <c r="AR3" s="84" t="s">
        <v>143</v>
      </c>
      <c r="AS3" s="84" t="s">
        <v>142</v>
      </c>
      <c r="AT3" s="84" t="s">
        <v>141</v>
      </c>
      <c r="AU3" s="84" t="s">
        <v>140</v>
      </c>
      <c r="AV3" s="84" t="s">
        <v>139</v>
      </c>
      <c r="AW3" s="84" t="s">
        <v>138</v>
      </c>
      <c r="AX3" s="84" t="s">
        <v>137</v>
      </c>
      <c r="AY3" s="84" t="s">
        <v>136</v>
      </c>
      <c r="AZ3" s="346"/>
      <c r="BA3" s="83" t="s">
        <v>135</v>
      </c>
      <c r="BB3" s="83" t="s">
        <v>134</v>
      </c>
      <c r="BC3" s="83" t="s">
        <v>133</v>
      </c>
      <c r="BD3" s="83" t="s">
        <v>132</v>
      </c>
      <c r="BE3" s="83" t="s">
        <v>131</v>
      </c>
      <c r="BF3" s="83" t="s">
        <v>130</v>
      </c>
      <c r="BG3" s="83" t="s">
        <v>129</v>
      </c>
      <c r="BH3" s="83" t="s">
        <v>128</v>
      </c>
      <c r="BI3" s="83" t="s">
        <v>127</v>
      </c>
      <c r="BJ3" s="346"/>
    </row>
    <row r="4" spans="1:63" s="44" customFormat="1" ht="60" x14ac:dyDescent="0.2">
      <c r="A4" s="89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6" t="s">
        <v>121</v>
      </c>
      <c r="J4" s="86" t="s">
        <v>120</v>
      </c>
      <c r="K4" s="86" t="s">
        <v>119</v>
      </c>
      <c r="L4" s="86" t="s">
        <v>118</v>
      </c>
      <c r="M4" s="86" t="s">
        <v>117</v>
      </c>
      <c r="N4" s="86" t="s">
        <v>116</v>
      </c>
      <c r="O4" s="86" t="s">
        <v>115</v>
      </c>
      <c r="P4" s="86" t="s">
        <v>114</v>
      </c>
      <c r="Q4" s="86" t="s">
        <v>113</v>
      </c>
      <c r="R4" s="86" t="s">
        <v>112</v>
      </c>
      <c r="S4" s="86" t="s">
        <v>111</v>
      </c>
      <c r="T4" s="86" t="s">
        <v>110</v>
      </c>
      <c r="U4" s="86" t="s">
        <v>109</v>
      </c>
      <c r="V4" s="86" t="s">
        <v>108</v>
      </c>
      <c r="W4" s="346"/>
      <c r="X4" s="85" t="s">
        <v>107</v>
      </c>
      <c r="Y4" s="85" t="s">
        <v>106</v>
      </c>
      <c r="Z4" s="85" t="s">
        <v>105</v>
      </c>
      <c r="AA4" s="85" t="s">
        <v>104</v>
      </c>
      <c r="AB4" s="346"/>
      <c r="AC4" s="84" t="s">
        <v>103</v>
      </c>
      <c r="AD4" s="84" t="s">
        <v>102</v>
      </c>
      <c r="AE4" s="84" t="s">
        <v>101</v>
      </c>
      <c r="AF4" s="84" t="s">
        <v>100</v>
      </c>
      <c r="AG4" s="84" t="s">
        <v>99</v>
      </c>
      <c r="AH4" s="84" t="s">
        <v>98</v>
      </c>
      <c r="AI4" s="84" t="s">
        <v>42</v>
      </c>
      <c r="AJ4" s="84" t="s">
        <v>97</v>
      </c>
      <c r="AK4" s="84" t="s">
        <v>96</v>
      </c>
      <c r="AL4" s="346"/>
      <c r="AM4" s="84" t="s">
        <v>95</v>
      </c>
      <c r="AN4" s="84" t="s">
        <v>94</v>
      </c>
      <c r="AO4" s="84" t="s">
        <v>93</v>
      </c>
      <c r="AP4" s="84" t="s">
        <v>92</v>
      </c>
      <c r="AQ4" s="84" t="s">
        <v>91</v>
      </c>
      <c r="AR4" s="84" t="s">
        <v>90</v>
      </c>
      <c r="AS4" s="84" t="s">
        <v>89</v>
      </c>
      <c r="AT4" s="84" t="s">
        <v>88</v>
      </c>
      <c r="AU4" s="84" t="s">
        <v>87</v>
      </c>
      <c r="AV4" s="84" t="s">
        <v>86</v>
      </c>
      <c r="AW4" s="84" t="s">
        <v>85</v>
      </c>
      <c r="AX4" s="84" t="s">
        <v>84</v>
      </c>
      <c r="AY4" s="84" t="s">
        <v>83</v>
      </c>
      <c r="AZ4" s="346"/>
      <c r="BA4" s="83" t="s">
        <v>82</v>
      </c>
      <c r="BB4" s="83" t="s">
        <v>81</v>
      </c>
      <c r="BC4" s="83" t="s">
        <v>80</v>
      </c>
      <c r="BD4" s="83" t="s">
        <v>79</v>
      </c>
      <c r="BE4" s="83" t="s">
        <v>78</v>
      </c>
      <c r="BF4" s="83" t="s">
        <v>77</v>
      </c>
      <c r="BG4" s="83" t="s">
        <v>76</v>
      </c>
      <c r="BH4" s="83" t="s">
        <v>75</v>
      </c>
      <c r="BI4" s="83" t="s">
        <v>74</v>
      </c>
      <c r="BJ4" s="346"/>
      <c r="BK4"/>
    </row>
    <row r="5" spans="1:63" s="44" customFormat="1" ht="15" x14ac:dyDescent="0.2">
      <c r="A5" s="54" t="s">
        <v>53</v>
      </c>
      <c r="B5" s="64"/>
      <c r="C5" s="64"/>
      <c r="D5" s="143"/>
      <c r="E5" s="64" t="s">
        <v>73</v>
      </c>
      <c r="F5" s="64" t="s">
        <v>72</v>
      </c>
      <c r="G5" s="59" t="str">
        <f>IF(ISBLANK(ETPT_TJ_DDG!$D$5),"",IF(ISERROR(ETPT_TJ!G5),"",IF(ETPT_TJ!G5=0,"",ETPT_TJ!G5)))</f>
        <v/>
      </c>
      <c r="H5" s="49">
        <f t="shared" ref="H5:H15" si="0">SUM(G5)</f>
        <v>0</v>
      </c>
      <c r="I5" s="59" t="str">
        <f>IF(ISBLANK(ETPT_TJ_DDG!$D$5),"",IF(ISERROR(ETPT_TJ!I5),"",IF(ETPT_TJ!I5=0,"",ETPT_TJ!I5)))</f>
        <v/>
      </c>
      <c r="J5" s="59" t="str">
        <f>IF(ISBLANK(ETPT_TJ_DDG!$D$5),"",IF(ISERROR(ETPT_TJ!J5),"",IF(ETPT_TJ!J5=0,"",ETPT_TJ!J5)))</f>
        <v/>
      </c>
      <c r="K5" s="59" t="str">
        <f>IF(ISBLANK(ETPT_TJ_DDG!$D$5),"",IF(ISERROR(ETPT_TJ!K5),"",IF(ETPT_TJ!K5=0,"",ETPT_TJ!K5)))</f>
        <v/>
      </c>
      <c r="L5" s="59" t="str">
        <f>IF(ISBLANK(ETPT_TJ_DDG!$D$5),"",IF(ISERROR(ETPT_TJ!L5),"",IF(ETPT_TJ!L5=0,"",ETPT_TJ!L5)))</f>
        <v/>
      </c>
      <c r="M5" s="59" t="str">
        <f>IF(ISBLANK(ETPT_TJ_DDG!$D$5),"",IF(ISERROR(ETPT_TJ!M5),"",IF(ETPT_TJ!M5=0,"",ETPT_TJ!M5)))</f>
        <v/>
      </c>
      <c r="N5" s="59" t="str">
        <f>IF(ISBLANK(ETPT_TJ_DDG!$D$5),"",IF(ISERROR(ETPT_TJ!N5),"",IF(ETPT_TJ!N5=0,"",ETPT_TJ!N5)))</f>
        <v/>
      </c>
      <c r="O5" s="59" t="str">
        <f>IF(ISBLANK(ETPT_TJ_DDG!$D$5),"",IF(ISERROR(ETPT_TJ!O5),"",IF(ETPT_TJ!O5=0,"",ETPT_TJ!O5)))</f>
        <v/>
      </c>
      <c r="P5" s="59" t="str">
        <f>IF(ISBLANK(ETPT_TJ_DDG!$D$5),"",IF(ISERROR(ETPT_TJ!P5),"",IF(ETPT_TJ!P5=0,"",ETPT_TJ!P5)))</f>
        <v/>
      </c>
      <c r="Q5" s="59" t="str">
        <f>IF(ISBLANK(ETPT_TJ_DDG!$D$5),"",IF(ISERROR(ETPT_TJ!Q5),"",IF(ETPT_TJ!Q5=0,"",ETPT_TJ!Q5)))</f>
        <v/>
      </c>
      <c r="R5" s="59" t="str">
        <f>IF(ISBLANK(ETPT_TJ_DDG!$D$5),"",IF(ISERROR(ETPT_TJ!R5),"",IF(ETPT_TJ!R5=0,"",ETPT_TJ!R5)))</f>
        <v/>
      </c>
      <c r="S5" s="59" t="str">
        <f>IF(ISBLANK(ETPT_TJ_DDG!$D$5),"",IF(ISERROR(ETPT_TJ!S5),"",IF(ETPT_TJ!S5=0,"",ETPT_TJ!S5)))</f>
        <v/>
      </c>
      <c r="T5" s="59" t="str">
        <f>IF(ISBLANK(ETPT_TJ_DDG!$D$5),"",IF(ISERROR(ETPT_TJ!T5),"",IF(ETPT_TJ!T5=0,"",ETPT_TJ!T5)))</f>
        <v/>
      </c>
      <c r="U5" s="59" t="str">
        <f>IF(ISBLANK(ETPT_TJ_DDG!$D$5),"",IF(ISERROR(ETPT_TJ!U5),"",IF(ETPT_TJ!U5=0,"",ETPT_TJ!U5)))</f>
        <v/>
      </c>
      <c r="V5" s="59" t="str">
        <f>IF(ISBLANK(ETPT_TJ_DDG!$D$5),"",IF(ISERROR(ETPT_TJ!V5),"",IF(ETPT_TJ!V5=0,"",ETPT_TJ!V5)))</f>
        <v/>
      </c>
      <c r="W5" s="49">
        <f t="shared" ref="W5:W15" si="1">SUM(I5:V5)</f>
        <v>0</v>
      </c>
      <c r="X5" s="59" t="str">
        <f>IF(ISBLANK(ETPT_TJ_DDG!$D$5),"",IF(ISERROR(ETPT_TJ!X5),"",IF(ETPT_TJ!X5=0,"",ETPT_TJ!X5)))</f>
        <v/>
      </c>
      <c r="Y5" s="59" t="str">
        <f>IF(ISBLANK(ETPT_TJ_DDG!$D$5),"",IF(ISERROR(ETPT_TJ!Y5),"",IF(ETPT_TJ!Y5=0,"",ETPT_TJ!Y5)))</f>
        <v/>
      </c>
      <c r="Z5" s="59" t="str">
        <f>IF(ISBLANK(ETPT_TJ_DDG!$D$5),"",IF(ISERROR(ETPT_TJ!Z5),"",IF(ETPT_TJ!Z5=0,"",ETPT_TJ!Z5)))</f>
        <v/>
      </c>
      <c r="AA5" s="59" t="str">
        <f>IF(ISBLANK(ETPT_TJ_DDG!$D$5),"",IF(ISERROR(ETPT_TJ!AA5),"",IF(ETPT_TJ!AA5=0,"",ETPT_TJ!AA5)))</f>
        <v/>
      </c>
      <c r="AB5" s="49">
        <f t="shared" ref="AB5:AB15" si="2">SUM(X5:AA5)</f>
        <v>0</v>
      </c>
      <c r="AC5" s="59" t="str">
        <f>IF(ISBLANK(ETPT_TJ_DDG!$D$5),"",IF(ISERROR(ETPT_TJ!AC5),"",IF(ETPT_TJ!AC5=0,"",ETPT_TJ!AC5)))</f>
        <v/>
      </c>
      <c r="AD5" s="59" t="str">
        <f>IF(ISBLANK(ETPT_TJ_DDG!$D$5),"",IF(ISERROR(ETPT_TJ!AD5),"",IF(ETPT_TJ!AD5=0,"",ETPT_TJ!AD5)))</f>
        <v/>
      </c>
      <c r="AE5" s="59" t="str">
        <f>IF(ISBLANK(ETPT_TJ_DDG!$D$5),"",IF(ISERROR(ETPT_TJ!AE5),"",IF(ETPT_TJ!AE5=0,"",ETPT_TJ!AE5)))</f>
        <v/>
      </c>
      <c r="AF5" s="59" t="str">
        <f>IF(ISBLANK(ETPT_TJ_DDG!$D$5),"",IF(ISERROR(ETPT_TJ!AF5),"",IF(ETPT_TJ!AF5=0,"",ETPT_TJ!AF5)))</f>
        <v/>
      </c>
      <c r="AG5" s="59" t="str">
        <f>IF(ISBLANK(ETPT_TJ_DDG!$D$5),"",IF(ISERROR(ETPT_TJ!AG5),"",IF(ETPT_TJ!AG5=0,"",ETPT_TJ!AG5)))</f>
        <v/>
      </c>
      <c r="AH5" s="59" t="str">
        <f>IF(ISBLANK(ETPT_TJ_DDG!$D$5),"",IF(ISERROR(ETPT_TJ!AH5),"",IF(ETPT_TJ!AH5=0,"",ETPT_TJ!AH5)))</f>
        <v/>
      </c>
      <c r="AI5" s="59" t="str">
        <f>IF(ISBLANK(ETPT_TJ_DDG!$D$5),"",IF(ISERROR(ETPT_TJ!AI5),"",IF(ETPT_TJ!AI5=0,"",ETPT_TJ!AI5)))</f>
        <v/>
      </c>
      <c r="AJ5" s="59" t="str">
        <f>IF(ISBLANK(ETPT_TJ_DDG!$D$5),"",IF(ISERROR(ETPT_TJ!AJ5),"",IF(ETPT_TJ!AJ5=0,"",ETPT_TJ!AJ5)))</f>
        <v/>
      </c>
      <c r="AK5" s="59" t="str">
        <f>IF(ISBLANK(ETPT_TJ_DDG!$D$5),"",IF(ISERROR(ETPT_TJ!AK5),"",IF(ETPT_TJ!AK5=0,"",ETPT_TJ!AK5)))</f>
        <v/>
      </c>
      <c r="AL5" s="49">
        <f t="shared" ref="AL5:AL15" si="3">SUM(AC5:AK5)</f>
        <v>0</v>
      </c>
      <c r="AM5" s="59" t="str">
        <f>IF(ISBLANK(ETPT_TJ_DDG!$D$5),"",IF(ISERROR(ETPT_TJ!AM5),"",IF(ETPT_TJ!AM5=0,"",ETPT_TJ!AM5)))</f>
        <v/>
      </c>
      <c r="AN5" s="59" t="str">
        <f>IF(ISBLANK(ETPT_TJ_DDG!$D$5),"",IF(ISERROR(ETPT_TJ!AN5),"",IF(ETPT_TJ!AN5=0,"",ETPT_TJ!AN5)))</f>
        <v/>
      </c>
      <c r="AO5" s="59" t="str">
        <f>IF(ISBLANK(ETPT_TJ_DDG!$D$5),"",IF(ISERROR(ETPT_TJ!AO5),"",IF(ETPT_TJ!AO5=0,"",ETPT_TJ!AO5)))</f>
        <v/>
      </c>
      <c r="AP5" s="59" t="str">
        <f>IF(ISBLANK(ETPT_TJ_DDG!$D$5),"",IF(ISERROR(ETPT_TJ!AP5),"",IF(ETPT_TJ!AP5=0,"",ETPT_TJ!AP5)))</f>
        <v/>
      </c>
      <c r="AQ5" s="59" t="str">
        <f>IF(ISBLANK(ETPT_TJ_DDG!$D$5),"",IF(ISERROR(ETPT_TJ!AQ5),"",IF(ETPT_TJ!AQ5=0,"",ETPT_TJ!AQ5)))</f>
        <v/>
      </c>
      <c r="AR5" s="59" t="str">
        <f>IF(ISBLANK(ETPT_TJ_DDG!$D$5),"",IF(ISERROR(ETPT_TJ!AR5),"",IF(ETPT_TJ!AR5=0,"",ETPT_TJ!AR5)))</f>
        <v/>
      </c>
      <c r="AS5" s="59" t="str">
        <f>IF(ISBLANK(ETPT_TJ_DDG!$D$5),"",IF(ISERROR(ETPT_TJ!AS5),"",IF(ETPT_TJ!AS5=0,"",ETPT_TJ!AS5)))</f>
        <v/>
      </c>
      <c r="AT5" s="59" t="str">
        <f>IF(ISBLANK(ETPT_TJ_DDG!$D$5),"",IF(ISERROR(ETPT_TJ!AT5),"",IF(ETPT_TJ!AT5=0,"",ETPT_TJ!AT5)))</f>
        <v/>
      </c>
      <c r="AU5" s="59" t="str">
        <f>IF(ISBLANK(ETPT_TJ_DDG!$D$5),"",IF(ISERROR(ETPT_TJ!AU5),"",IF(ETPT_TJ!AU5=0,"",ETPT_TJ!AU5)))</f>
        <v/>
      </c>
      <c r="AV5" s="59" t="str">
        <f>IF(ISBLANK(ETPT_TJ_DDG!$D$5),"",IF(ISERROR(ETPT_TJ!AV5),"",IF(ETPT_TJ!AV5=0,"",ETPT_TJ!AV5)))</f>
        <v/>
      </c>
      <c r="AW5" s="59" t="str">
        <f>IF(ISBLANK(ETPT_TJ_DDG!$D$5),"",IF(ISERROR(ETPT_TJ!AW5),"",IF(ETPT_TJ!AW5=0,"",ETPT_TJ!AW5)))</f>
        <v/>
      </c>
      <c r="AX5" s="59" t="str">
        <f>IF(ISBLANK(ETPT_TJ_DDG!$D$5),"",IF(ISERROR(ETPT_TJ!AX5),"",IF(ETPT_TJ!AX5=0,"",ETPT_TJ!AX5)))</f>
        <v/>
      </c>
      <c r="AY5" s="59" t="str">
        <f>IF(ISBLANK(ETPT_TJ_DDG!$D$5),"",IF(ISERROR(ETPT_TJ!AY5),"",IF(ETPT_TJ!AY5=0,"",ETPT_TJ!AY5)))</f>
        <v/>
      </c>
      <c r="AZ5" s="49">
        <f t="shared" ref="AZ5:AZ15" si="4">SUM(AM5:AY5)</f>
        <v>0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5">SUM(BA5:BI5)</f>
        <v>0</v>
      </c>
      <c r="BK5"/>
    </row>
    <row r="6" spans="1:63" s="44" customFormat="1" ht="12" x14ac:dyDescent="0.15">
      <c r="A6" s="54" t="s">
        <v>53</v>
      </c>
      <c r="B6" s="64"/>
      <c r="C6" s="64"/>
      <c r="D6" s="144" t="str">
        <f t="shared" ref="D6:D15" si="6">IF(ISBLANK($D$5),"",$D$5)</f>
        <v/>
      </c>
      <c r="E6" s="64" t="s">
        <v>71</v>
      </c>
      <c r="F6" s="64" t="s">
        <v>70</v>
      </c>
      <c r="G6" s="59" t="str">
        <f>IF(ISBLANK(ETPT_TJ_DDG!$D$5),"",IF(ISERROR(ETPT_TJ!G6),"",IF(ETPT_TJ!G6=0,"",ETPT_TJ!G6)))</f>
        <v/>
      </c>
      <c r="H6" s="49">
        <f t="shared" si="0"/>
        <v>0</v>
      </c>
      <c r="I6" s="59" t="str">
        <f>IF(ISBLANK(ETPT_TJ_DDG!$D$5),"",IF(ISERROR(ETPT_TJ!I6),"",IF(ETPT_TJ!I6=0,"",ETPT_TJ!I6)))</f>
        <v/>
      </c>
      <c r="J6" s="59" t="str">
        <f>IF(ISBLANK(ETPT_TJ_DDG!$D$5),"",IF(ISERROR(ETPT_TJ!J6),"",IF(ETPT_TJ!J6=0,"",ETPT_TJ!J6)))</f>
        <v/>
      </c>
      <c r="K6" s="59" t="str">
        <f>IF(ISBLANK(ETPT_TJ_DDG!$D$5),"",IF(ISERROR(ETPT_TJ!K6),"",IF(ETPT_TJ!K6=0,"",ETPT_TJ!K6)))</f>
        <v/>
      </c>
      <c r="L6" s="59" t="str">
        <f>IF(ISBLANK(ETPT_TJ_DDG!$D$5),"",IF(ISERROR(ETPT_TJ!L6),"",IF(ETPT_TJ!L6=0,"",ETPT_TJ!L6)))</f>
        <v/>
      </c>
      <c r="M6" s="59" t="str">
        <f>IF(ISBLANK(ETPT_TJ_DDG!$D$5),"",IF(ISERROR(ETPT_TJ!M6),"",IF(ETPT_TJ!M6=0,"",ETPT_TJ!M6)))</f>
        <v/>
      </c>
      <c r="N6" s="59" t="str">
        <f>IF(ISBLANK(ETPT_TJ_DDG!$D$5),"",IF(ISERROR(ETPT_TJ!N6),"",IF(ETPT_TJ!N6=0,"",ETPT_TJ!N6)))</f>
        <v/>
      </c>
      <c r="O6" s="59" t="str">
        <f>IF(ISBLANK(ETPT_TJ_DDG!$D$5),"",IF(ISERROR(ETPT_TJ!O6),"",IF(ETPT_TJ!O6=0,"",ETPT_TJ!O6)))</f>
        <v/>
      </c>
      <c r="P6" s="59" t="str">
        <f>IF(ISBLANK(ETPT_TJ_DDG!$D$5),"",IF(ISERROR(ETPT_TJ!P6),"",IF(ETPT_TJ!P6=0,"",ETPT_TJ!P6)))</f>
        <v/>
      </c>
      <c r="Q6" s="59" t="str">
        <f>IF(ISBLANK(ETPT_TJ_DDG!$D$5),"",IF(ISERROR(ETPT_TJ!Q6),"",IF(ETPT_TJ!Q6=0,"",ETPT_TJ!Q6)))</f>
        <v/>
      </c>
      <c r="R6" s="59" t="str">
        <f>IF(ISBLANK(ETPT_TJ_DDG!$D$5),"",IF(ISERROR(ETPT_TJ!R6),"",IF(ETPT_TJ!R6=0,"",ETPT_TJ!R6)))</f>
        <v/>
      </c>
      <c r="S6" s="59" t="str">
        <f>IF(ISBLANK(ETPT_TJ_DDG!$D$5),"",IF(ISERROR(ETPT_TJ!S6),"",IF(ETPT_TJ!S6=0,"",ETPT_TJ!S6)))</f>
        <v/>
      </c>
      <c r="T6" s="59" t="str">
        <f>IF(ISBLANK(ETPT_TJ_DDG!$D$5),"",IF(ISERROR(ETPT_TJ!T6),"",IF(ETPT_TJ!T6=0,"",ETPT_TJ!T6)))</f>
        <v/>
      </c>
      <c r="U6" s="59" t="str">
        <f>IF(ISBLANK(ETPT_TJ_DDG!$D$5),"",IF(ISERROR(ETPT_TJ!U6),"",IF(ETPT_TJ!U6=0,"",ETPT_TJ!U6)))</f>
        <v/>
      </c>
      <c r="V6" s="59" t="str">
        <f>IF(ISBLANK(ETPT_TJ_DDG!$D$5),"",IF(ISERROR(ETPT_TJ!V6),"",IF(ETPT_TJ!V6=0,"",ETPT_TJ!V6)))</f>
        <v/>
      </c>
      <c r="W6" s="49">
        <f t="shared" si="1"/>
        <v>0</v>
      </c>
      <c r="X6" s="59" t="str">
        <f>IF(ISBLANK(ETPT_TJ_DDG!$D$5),"",IF(ISERROR(ETPT_TJ!X6),"",IF(ETPT_TJ!X6=0,"",ETPT_TJ!X6)))</f>
        <v/>
      </c>
      <c r="Y6" s="59" t="str">
        <f>IF(ISBLANK(ETPT_TJ_DDG!$D$5),"",IF(ISERROR(ETPT_TJ!Y6),"",IF(ETPT_TJ!Y6=0,"",ETPT_TJ!Y6)))</f>
        <v/>
      </c>
      <c r="Z6" s="59" t="str">
        <f>IF(ISBLANK(ETPT_TJ_DDG!$D$5),"",IF(ISERROR(ETPT_TJ!Z6),"",IF(ETPT_TJ!Z6=0,"",ETPT_TJ!Z6)))</f>
        <v/>
      </c>
      <c r="AA6" s="59" t="str">
        <f>IF(ISBLANK(ETPT_TJ_DDG!$D$5),"",IF(ISERROR(ETPT_TJ!AA6),"",IF(ETPT_TJ!AA6=0,"",ETPT_TJ!AA6)))</f>
        <v/>
      </c>
      <c r="AB6" s="49">
        <f t="shared" si="2"/>
        <v>0</v>
      </c>
      <c r="AC6" s="59" t="str">
        <f>IF(ISBLANK(ETPT_TJ_DDG!$D$5),"",IF(ISERROR(ETPT_TJ!AC6),"",IF(ETPT_TJ!AC6=0,"",ETPT_TJ!AC6)))</f>
        <v/>
      </c>
      <c r="AD6" s="59" t="str">
        <f>IF(ISBLANK(ETPT_TJ_DDG!$D$5),"",IF(ISERROR(ETPT_TJ!AD6),"",IF(ETPT_TJ!AD6=0,"",ETPT_TJ!AD6)))</f>
        <v/>
      </c>
      <c r="AE6" s="59" t="str">
        <f>IF(ISBLANK(ETPT_TJ_DDG!$D$5),"",IF(ISERROR(ETPT_TJ!AE6),"",IF(ETPT_TJ!AE6=0,"",ETPT_TJ!AE6)))</f>
        <v/>
      </c>
      <c r="AF6" s="59" t="str">
        <f>IF(ISBLANK(ETPT_TJ_DDG!$D$5),"",IF(ISERROR(ETPT_TJ!AF6),"",IF(ETPT_TJ!AF6=0,"",ETPT_TJ!AF6)))</f>
        <v/>
      </c>
      <c r="AG6" s="59" t="str">
        <f>IF(ISBLANK(ETPT_TJ_DDG!$D$5),"",IF(ISERROR(ETPT_TJ!AG6),"",IF(ETPT_TJ!AG6=0,"",ETPT_TJ!AG6)))</f>
        <v/>
      </c>
      <c r="AH6" s="59" t="str">
        <f>IF(ISBLANK(ETPT_TJ_DDG!$D$5),"",IF(ISERROR(ETPT_TJ!AH6),"",IF(ETPT_TJ!AH6=0,"",ETPT_TJ!AH6)))</f>
        <v/>
      </c>
      <c r="AI6" s="59" t="str">
        <f>IF(ISBLANK(ETPT_TJ_DDG!$D$5),"",IF(ISERROR(ETPT_TJ!AI6),"",IF(ETPT_TJ!AI6=0,"",ETPT_TJ!AI6)))</f>
        <v/>
      </c>
      <c r="AJ6" s="59" t="str">
        <f>IF(ISBLANK(ETPT_TJ_DDG!$D$5),"",IF(ISERROR(ETPT_TJ!AJ6),"",IF(ETPT_TJ!AJ6=0,"",ETPT_TJ!AJ6)))</f>
        <v/>
      </c>
      <c r="AK6" s="59" t="str">
        <f>IF(ISBLANK(ETPT_TJ_DDG!$D$5),"",IF(ISERROR(ETPT_TJ!AK6),"",IF(ETPT_TJ!AK6=0,"",ETPT_TJ!AK6)))</f>
        <v/>
      </c>
      <c r="AL6" s="49">
        <f t="shared" si="3"/>
        <v>0</v>
      </c>
      <c r="AM6" s="59" t="str">
        <f>IF(ISBLANK(ETPT_TJ_DDG!$D$5),"",IF(ISERROR(ETPT_TJ!AM6),"",IF(ETPT_TJ!AM6=0,"",ETPT_TJ!AM6)))</f>
        <v/>
      </c>
      <c r="AN6" s="59" t="str">
        <f>IF(ISBLANK(ETPT_TJ_DDG!$D$5),"",IF(ISERROR(ETPT_TJ!AN6),"",IF(ETPT_TJ!AN6=0,"",ETPT_TJ!AN6)))</f>
        <v/>
      </c>
      <c r="AO6" s="59" t="str">
        <f>IF(ISBLANK(ETPT_TJ_DDG!$D$5),"",IF(ISERROR(ETPT_TJ!AO6),"",IF(ETPT_TJ!AO6=0,"",ETPT_TJ!AO6)))</f>
        <v/>
      </c>
      <c r="AP6" s="59" t="str">
        <f>IF(ISBLANK(ETPT_TJ_DDG!$D$5),"",IF(ISERROR(ETPT_TJ!AP6),"",IF(ETPT_TJ!AP6=0,"",ETPT_TJ!AP6)))</f>
        <v/>
      </c>
      <c r="AQ6" s="59" t="str">
        <f>IF(ISBLANK(ETPT_TJ_DDG!$D$5),"",IF(ISERROR(ETPT_TJ!AQ6),"",IF(ETPT_TJ!AQ6=0,"",ETPT_TJ!AQ6)))</f>
        <v/>
      </c>
      <c r="AR6" s="59" t="str">
        <f>IF(ISBLANK(ETPT_TJ_DDG!$D$5),"",IF(ISERROR(ETPT_TJ!AR6),"",IF(ETPT_TJ!AR6=0,"",ETPT_TJ!AR6)))</f>
        <v/>
      </c>
      <c r="AS6" s="59" t="str">
        <f>IF(ISBLANK(ETPT_TJ_DDG!$D$5),"",IF(ISERROR(ETPT_TJ!AS6),"",IF(ETPT_TJ!AS6=0,"",ETPT_TJ!AS6)))</f>
        <v/>
      </c>
      <c r="AT6" s="59" t="str">
        <f>IF(ISBLANK(ETPT_TJ_DDG!$D$5),"",IF(ISERROR(ETPT_TJ!AT6),"",IF(ETPT_TJ!AT6=0,"",ETPT_TJ!AT6)))</f>
        <v/>
      </c>
      <c r="AU6" s="59" t="str">
        <f>IF(ISBLANK(ETPT_TJ_DDG!$D$5),"",IF(ISERROR(ETPT_TJ!AU6),"",IF(ETPT_TJ!AU6=0,"",ETPT_TJ!AU6)))</f>
        <v/>
      </c>
      <c r="AV6" s="59" t="str">
        <f>IF(ISBLANK(ETPT_TJ_DDG!$D$5),"",IF(ISERROR(ETPT_TJ!AV6),"",IF(ETPT_TJ!AV6=0,"",ETPT_TJ!AV6)))</f>
        <v/>
      </c>
      <c r="AW6" s="59" t="str">
        <f>IF(ISBLANK(ETPT_TJ_DDG!$D$5),"",IF(ISERROR(ETPT_TJ!AW6),"",IF(ETPT_TJ!AW6=0,"",ETPT_TJ!AW6)))</f>
        <v/>
      </c>
      <c r="AX6" s="59" t="str">
        <f>IF(ISBLANK(ETPT_TJ_DDG!$D$5),"",IF(ISERROR(ETPT_TJ!AX6),"",IF(ETPT_TJ!AX6=0,"",ETPT_TJ!AX6)))</f>
        <v/>
      </c>
      <c r="AY6" s="59" t="str">
        <f>IF(ISBLANK(ETPT_TJ_DDG!$D$5),"",IF(ISERROR(ETPT_TJ!AY6),"",IF(ETPT_TJ!AY6=0,"",ETPT_TJ!AY6)))</f>
        <v/>
      </c>
      <c r="AZ6" s="49">
        <f t="shared" si="4"/>
        <v>0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 t="shared" si="5"/>
        <v>0</v>
      </c>
    </row>
    <row r="7" spans="1:63" s="44" customFormat="1" ht="14.25" customHeight="1" x14ac:dyDescent="0.15">
      <c r="A7" s="54" t="s">
        <v>53</v>
      </c>
      <c r="B7" s="64"/>
      <c r="C7" s="64"/>
      <c r="D7" s="144" t="str">
        <f t="shared" si="6"/>
        <v/>
      </c>
      <c r="E7" s="64" t="s">
        <v>69</v>
      </c>
      <c r="F7" s="64" t="s">
        <v>68</v>
      </c>
      <c r="G7" s="59" t="str">
        <f>IF(ISBLANK(ETPT_TJ_DDG!$D$5),"",IF(ISERROR(ETPT_TJ!G7),"",IF(ETPT_TJ!G7=0,"",ETPT_TJ!G7)))</f>
        <v/>
      </c>
      <c r="H7" s="49">
        <f t="shared" si="0"/>
        <v>0</v>
      </c>
      <c r="I7" s="59" t="str">
        <f>IF(ISBLANK(ETPT_TJ_DDG!$D$5),"",IF(ISERROR(ETPT_TJ!I7),"",IF(ETPT_TJ!I7=0,"",ETPT_TJ!I7)))</f>
        <v/>
      </c>
      <c r="J7" s="59" t="str">
        <f>IF(ISBLANK(ETPT_TJ_DDG!$D$5),"",IF(ISERROR(ETPT_TJ!J7),"",IF(ETPT_TJ!J7=0,"",ETPT_TJ!J7)))</f>
        <v/>
      </c>
      <c r="K7" s="59" t="str">
        <f>IF(ISBLANK(ETPT_TJ_DDG!$D$5),"",IF(ISERROR(ETPT_TJ!K7),"",IF(ETPT_TJ!K7=0,"",ETPT_TJ!K7)))</f>
        <v/>
      </c>
      <c r="L7" s="59" t="str">
        <f>IF(ISBLANK(ETPT_TJ_DDG!$D$5),"",IF(ISERROR(ETPT_TJ!L7),"",IF(ETPT_TJ!L7=0,"",ETPT_TJ!L7)))</f>
        <v/>
      </c>
      <c r="M7" s="59" t="str">
        <f>IF(ISBLANK(ETPT_TJ_DDG!$D$5),"",IF(ISERROR(ETPT_TJ!M7),"",IF(ETPT_TJ!M7=0,"",ETPT_TJ!M7)))</f>
        <v/>
      </c>
      <c r="N7" s="59" t="str">
        <f>IF(ISBLANK(ETPT_TJ_DDG!$D$5),"",IF(ISERROR(ETPT_TJ!N7),"",IF(ETPT_TJ!N7=0,"",ETPT_TJ!N7)))</f>
        <v/>
      </c>
      <c r="O7" s="59" t="str">
        <f>IF(ISBLANK(ETPT_TJ_DDG!$D$5),"",IF(ISERROR(ETPT_TJ!O7),"",IF(ETPT_TJ!O7=0,"",ETPT_TJ!O7)))</f>
        <v/>
      </c>
      <c r="P7" s="59" t="str">
        <f>IF(ISBLANK(ETPT_TJ_DDG!$D$5),"",IF(ISERROR(ETPT_TJ!P7),"",IF(ETPT_TJ!P7=0,"",ETPT_TJ!P7)))</f>
        <v/>
      </c>
      <c r="Q7" s="59" t="str">
        <f>IF(ISBLANK(ETPT_TJ_DDG!$D$5),"",IF(ISERROR(ETPT_TJ!Q7),"",IF(ETPT_TJ!Q7=0,"",ETPT_TJ!Q7)))</f>
        <v/>
      </c>
      <c r="R7" s="59" t="str">
        <f>IF(ISBLANK(ETPT_TJ_DDG!$D$5),"",IF(ISERROR(ETPT_TJ!R7),"",IF(ETPT_TJ!R7=0,"",ETPT_TJ!R7)))</f>
        <v/>
      </c>
      <c r="S7" s="59" t="str">
        <f>IF(ISBLANK(ETPT_TJ_DDG!$D$5),"",IF(ISERROR(ETPT_TJ!S7),"",IF(ETPT_TJ!S7=0,"",ETPT_TJ!S7)))</f>
        <v/>
      </c>
      <c r="T7" s="59" t="str">
        <f>IF(ISBLANK(ETPT_TJ_DDG!$D$5),"",IF(ISERROR(ETPT_TJ!T7),"",IF(ETPT_TJ!T7=0,"",ETPT_TJ!T7)))</f>
        <v/>
      </c>
      <c r="U7" s="59" t="str">
        <f>IF(ISBLANK(ETPT_TJ_DDG!$D$5),"",IF(ISERROR(ETPT_TJ!U7),"",IF(ETPT_TJ!U7=0,"",ETPT_TJ!U7)))</f>
        <v/>
      </c>
      <c r="V7" s="59" t="str">
        <f>IF(ISBLANK(ETPT_TJ_DDG!$D$5),"",IF(ISERROR(ETPT_TJ!V7),"",IF(ETPT_TJ!V7=0,"",ETPT_TJ!V7)))</f>
        <v/>
      </c>
      <c r="W7" s="49">
        <f t="shared" si="1"/>
        <v>0</v>
      </c>
      <c r="X7" s="59" t="str">
        <f>IF(ISBLANK(ETPT_TJ_DDG!$D$5),"",IF(ISERROR(ETPT_TJ!X7),"",IF(ETPT_TJ!X7=0,"",ETPT_TJ!X7)))</f>
        <v/>
      </c>
      <c r="Y7" s="59" t="str">
        <f>IF(ISBLANK(ETPT_TJ_DDG!$D$5),"",IF(ISERROR(ETPT_TJ!Y7),"",IF(ETPT_TJ!Y7=0,"",ETPT_TJ!Y7)))</f>
        <v/>
      </c>
      <c r="Z7" s="59" t="str">
        <f>IF(ISBLANK(ETPT_TJ_DDG!$D$5),"",IF(ISERROR(ETPT_TJ!Z7),"",IF(ETPT_TJ!Z7=0,"",ETPT_TJ!Z7)))</f>
        <v/>
      </c>
      <c r="AA7" s="59" t="str">
        <f>IF(ISBLANK(ETPT_TJ_DDG!$D$5),"",IF(ISERROR(ETPT_TJ!AA7),"",IF(ETPT_TJ!AA7=0,"",ETPT_TJ!AA7)))</f>
        <v/>
      </c>
      <c r="AB7" s="49">
        <f t="shared" si="2"/>
        <v>0</v>
      </c>
      <c r="AC7" s="59" t="str">
        <f>IF(ISBLANK(ETPT_TJ_DDG!$D$5),"",IF(ISERROR(ETPT_TJ!AC7),"",IF(ETPT_TJ!AC7=0,"",ETPT_TJ!AC7)))</f>
        <v/>
      </c>
      <c r="AD7" s="59" t="str">
        <f>IF(ISBLANK(ETPT_TJ_DDG!$D$5),"",IF(ISERROR(ETPT_TJ!AD7),"",IF(ETPT_TJ!AD7=0,"",ETPT_TJ!AD7)))</f>
        <v/>
      </c>
      <c r="AE7" s="59" t="str">
        <f>IF(ISBLANK(ETPT_TJ_DDG!$D$5),"",IF(ISERROR(ETPT_TJ!AE7),"",IF(ETPT_TJ!AE7=0,"",ETPT_TJ!AE7)))</f>
        <v/>
      </c>
      <c r="AF7" s="59" t="str">
        <f>IF(ISBLANK(ETPT_TJ_DDG!$D$5),"",IF(ISERROR(ETPT_TJ!AF7),"",IF(ETPT_TJ!AF7=0,"",ETPT_TJ!AF7)))</f>
        <v/>
      </c>
      <c r="AG7" s="59" t="str">
        <f>IF(ISBLANK(ETPT_TJ_DDG!$D$5),"",IF(ISERROR(ETPT_TJ!AG7),"",IF(ETPT_TJ!AG7=0,"",ETPT_TJ!AG7)))</f>
        <v/>
      </c>
      <c r="AH7" s="59" t="str">
        <f>IF(ISBLANK(ETPT_TJ_DDG!$D$5),"",IF(ISERROR(ETPT_TJ!AH7),"",IF(ETPT_TJ!AH7=0,"",ETPT_TJ!AH7)))</f>
        <v/>
      </c>
      <c r="AI7" s="59" t="str">
        <f>IF(ISBLANK(ETPT_TJ_DDG!$D$5),"",IF(ISERROR(ETPT_TJ!AI7),"",IF(ETPT_TJ!AI7=0,"",ETPT_TJ!AI7)))</f>
        <v/>
      </c>
      <c r="AJ7" s="59" t="str">
        <f>IF(ISBLANK(ETPT_TJ_DDG!$D$5),"",IF(ISERROR(ETPT_TJ!AJ7),"",IF(ETPT_TJ!AJ7=0,"",ETPT_TJ!AJ7)))</f>
        <v/>
      </c>
      <c r="AK7" s="59" t="str">
        <f>IF(ISBLANK(ETPT_TJ_DDG!$D$5),"",IF(ISERROR(ETPT_TJ!AK7),"",IF(ETPT_TJ!AK7=0,"",ETPT_TJ!AK7)))</f>
        <v/>
      </c>
      <c r="AL7" s="49">
        <f t="shared" si="3"/>
        <v>0</v>
      </c>
      <c r="AM7" s="59" t="str">
        <f>IF(ISBLANK(ETPT_TJ_DDG!$D$5),"",IF(ISERROR(ETPT_TJ!AM7),"",IF(ETPT_TJ!AM7=0,"",ETPT_TJ!AM7)))</f>
        <v/>
      </c>
      <c r="AN7" s="59" t="str">
        <f>IF(ISBLANK(ETPT_TJ_DDG!$D$5),"",IF(ISERROR(ETPT_TJ!AN7),"",IF(ETPT_TJ!AN7=0,"",ETPT_TJ!AN7)))</f>
        <v/>
      </c>
      <c r="AO7" s="59" t="str">
        <f>IF(ISBLANK(ETPT_TJ_DDG!$D$5),"",IF(ISERROR(ETPT_TJ!AO7),"",IF(ETPT_TJ!AO7=0,"",ETPT_TJ!AO7)))</f>
        <v/>
      </c>
      <c r="AP7" s="59" t="str">
        <f>IF(ISBLANK(ETPT_TJ_DDG!$D$5),"",IF(ISERROR(ETPT_TJ!AP7),"",IF(ETPT_TJ!AP7=0,"",ETPT_TJ!AP7)))</f>
        <v/>
      </c>
      <c r="AQ7" s="59" t="str">
        <f>IF(ISBLANK(ETPT_TJ_DDG!$D$5),"",IF(ISERROR(ETPT_TJ!AQ7),"",IF(ETPT_TJ!AQ7=0,"",ETPT_TJ!AQ7)))</f>
        <v/>
      </c>
      <c r="AR7" s="59" t="str">
        <f>IF(ISBLANK(ETPT_TJ_DDG!$D$5),"",IF(ISERROR(ETPT_TJ!AR7),"",IF(ETPT_TJ!AR7=0,"",ETPT_TJ!AR7)))</f>
        <v/>
      </c>
      <c r="AS7" s="59" t="str">
        <f>IF(ISBLANK(ETPT_TJ_DDG!$D$5),"",IF(ISERROR(ETPT_TJ!AS7),"",IF(ETPT_TJ!AS7=0,"",ETPT_TJ!AS7)))</f>
        <v/>
      </c>
      <c r="AT7" s="59" t="str">
        <f>IF(ISBLANK(ETPT_TJ_DDG!$D$5),"",IF(ISERROR(ETPT_TJ!AT7),"",IF(ETPT_TJ!AT7=0,"",ETPT_TJ!AT7)))</f>
        <v/>
      </c>
      <c r="AU7" s="59" t="str">
        <f>IF(ISBLANK(ETPT_TJ_DDG!$D$5),"",IF(ISERROR(ETPT_TJ!AU7),"",IF(ETPT_TJ!AU7=0,"",ETPT_TJ!AU7)))</f>
        <v/>
      </c>
      <c r="AV7" s="59" t="str">
        <f>IF(ISBLANK(ETPT_TJ_DDG!$D$5),"",IF(ISERROR(ETPT_TJ!AV7),"",IF(ETPT_TJ!AV7=0,"",ETPT_TJ!AV7)))</f>
        <v/>
      </c>
      <c r="AW7" s="59" t="str">
        <f>IF(ISBLANK(ETPT_TJ_DDG!$D$5),"",IF(ISERROR(ETPT_TJ!AW7),"",IF(ETPT_TJ!AW7=0,"",ETPT_TJ!AW7)))</f>
        <v/>
      </c>
      <c r="AX7" s="59" t="str">
        <f>IF(ISBLANK(ETPT_TJ_DDG!$D$5),"",IF(ISERROR(ETPT_TJ!AX7),"",IF(ETPT_TJ!AX7=0,"",ETPT_TJ!AX7)))</f>
        <v/>
      </c>
      <c r="AY7" s="59" t="str">
        <f>IF(ISBLANK(ETPT_TJ_DDG!$D$5),"",IF(ISERROR(ETPT_TJ!AY7),"",IF(ETPT_TJ!AY7=0,"",ETPT_TJ!AY7)))</f>
        <v/>
      </c>
      <c r="AZ7" s="49">
        <f t="shared" si="4"/>
        <v>0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5"/>
        <v>0</v>
      </c>
    </row>
    <row r="8" spans="1:63" s="44" customFormat="1" ht="14.25" customHeight="1" x14ac:dyDescent="0.15">
      <c r="A8" s="54" t="s">
        <v>53</v>
      </c>
      <c r="B8" s="64"/>
      <c r="C8" s="64"/>
      <c r="D8" s="144" t="str">
        <f t="shared" si="6"/>
        <v/>
      </c>
      <c r="E8" s="64" t="s">
        <v>67</v>
      </c>
      <c r="F8" s="64" t="s">
        <v>66</v>
      </c>
      <c r="G8" s="59" t="str">
        <f>IF(ISBLANK(ETPT_TJ_DDG!$D$5),"",IF(ISERROR(ETPT_TJ!G8),"",IF(ETPT_TJ!G8=0,"",ETPT_TJ!G8)))</f>
        <v/>
      </c>
      <c r="H8" s="49">
        <f t="shared" si="0"/>
        <v>0</v>
      </c>
      <c r="I8" s="59" t="str">
        <f>IF(ISBLANK(ETPT_TJ_DDG!$D$5),"",IF(ISERROR(ETPT_TJ!I8),"",IF(ETPT_TJ!I8=0,"",ETPT_TJ!I8)))</f>
        <v/>
      </c>
      <c r="J8" s="59" t="str">
        <f>IF(ISBLANK(ETPT_TJ_DDG!$D$5),"",IF(ISERROR(ETPT_TJ!J8),"",IF(ETPT_TJ!J8=0,"",ETPT_TJ!J8)))</f>
        <v/>
      </c>
      <c r="K8" s="59" t="str">
        <f>IF(ISBLANK(ETPT_TJ_DDG!$D$5),"",IF(ISERROR(ETPT_TJ!K8),"",IF(ETPT_TJ!K8=0,"",ETPT_TJ!K8)))</f>
        <v/>
      </c>
      <c r="L8" s="59" t="str">
        <f>IF(ISBLANK(ETPT_TJ_DDG!$D$5),"",IF(ISERROR(ETPT_TJ!L8),"",IF(ETPT_TJ!L8=0,"",ETPT_TJ!L8)))</f>
        <v/>
      </c>
      <c r="M8" s="59" t="str">
        <f>IF(ISBLANK(ETPT_TJ_DDG!$D$5),"",IF(ISERROR(ETPT_TJ!M8),"",IF(ETPT_TJ!M8=0,"",ETPT_TJ!M8)))</f>
        <v/>
      </c>
      <c r="N8" s="59" t="str">
        <f>IF(ISBLANK(ETPT_TJ_DDG!$D$5),"",IF(ISERROR(ETPT_TJ!N8),"",IF(ETPT_TJ!N8=0,"",ETPT_TJ!N8)))</f>
        <v/>
      </c>
      <c r="O8" s="59" t="str">
        <f>IF(ISBLANK(ETPT_TJ_DDG!$D$5),"",IF(ISERROR(ETPT_TJ!O8),"",IF(ETPT_TJ!O8=0,"",ETPT_TJ!O8)))</f>
        <v/>
      </c>
      <c r="P8" s="59" t="str">
        <f>IF(ISBLANK(ETPT_TJ_DDG!$D$5),"",IF(ISERROR(ETPT_TJ!P8),"",IF(ETPT_TJ!P8=0,"",ETPT_TJ!P8)))</f>
        <v/>
      </c>
      <c r="Q8" s="59" t="str">
        <f>IF(ISBLANK(ETPT_TJ_DDG!$D$5),"",IF(ISERROR(ETPT_TJ!Q8),"",IF(ETPT_TJ!Q8=0,"",ETPT_TJ!Q8)))</f>
        <v/>
      </c>
      <c r="R8" s="59" t="str">
        <f>IF(ISBLANK(ETPT_TJ_DDG!$D$5),"",IF(ISERROR(ETPT_TJ!R8),"",IF(ETPT_TJ!R8=0,"",ETPT_TJ!R8)))</f>
        <v/>
      </c>
      <c r="S8" s="59" t="str">
        <f>IF(ISBLANK(ETPT_TJ_DDG!$D$5),"",IF(ISERROR(ETPT_TJ!S8),"",IF(ETPT_TJ!S8=0,"",ETPT_TJ!S8)))</f>
        <v/>
      </c>
      <c r="T8" s="59" t="str">
        <f>IF(ISBLANK(ETPT_TJ_DDG!$D$5),"",IF(ISERROR(ETPT_TJ!T8),"",IF(ETPT_TJ!T8=0,"",ETPT_TJ!T8)))</f>
        <v/>
      </c>
      <c r="U8" s="59" t="str">
        <f>IF(ISBLANK(ETPT_TJ_DDG!$D$5),"",IF(ISERROR(ETPT_TJ!U8),"",IF(ETPT_TJ!U8=0,"",ETPT_TJ!U8)))</f>
        <v/>
      </c>
      <c r="V8" s="59" t="str">
        <f>IF(ISBLANK(ETPT_TJ_DDG!$D$5),"",IF(ISERROR(ETPT_TJ!V8),"",IF(ETPT_TJ!V8=0,"",ETPT_TJ!V8)))</f>
        <v/>
      </c>
      <c r="W8" s="49">
        <f t="shared" si="1"/>
        <v>0</v>
      </c>
      <c r="X8" s="59" t="str">
        <f>IF(ISBLANK(ETPT_TJ_DDG!$D$5),"",IF(ISERROR(ETPT_TJ!X8),"",IF(ETPT_TJ!X8=0,"",ETPT_TJ!X8)))</f>
        <v/>
      </c>
      <c r="Y8" s="59" t="str">
        <f>IF(ISBLANK(ETPT_TJ_DDG!$D$5),"",IF(ISERROR(ETPT_TJ!Y8),"",IF(ETPT_TJ!Y8=0,"",ETPT_TJ!Y8)))</f>
        <v/>
      </c>
      <c r="Z8" s="59" t="str">
        <f>IF(ISBLANK(ETPT_TJ_DDG!$D$5),"",IF(ISERROR(ETPT_TJ!Z8),"",IF(ETPT_TJ!Z8=0,"",ETPT_TJ!Z8)))</f>
        <v/>
      </c>
      <c r="AA8" s="59" t="str">
        <f>IF(ISBLANK(ETPT_TJ_DDG!$D$5),"",IF(ISERROR(ETPT_TJ!AA8),"",IF(ETPT_TJ!AA8=0,"",ETPT_TJ!AA8)))</f>
        <v/>
      </c>
      <c r="AB8" s="49">
        <f t="shared" si="2"/>
        <v>0</v>
      </c>
      <c r="AC8" s="59" t="str">
        <f>IF(ISBLANK(ETPT_TJ_DDG!$D$5),"",IF(ISERROR(ETPT_TJ!AC8),"",IF(ETPT_TJ!AC8=0,"",ETPT_TJ!AC8)))</f>
        <v/>
      </c>
      <c r="AD8" s="59" t="str">
        <f>IF(ISBLANK(ETPT_TJ_DDG!$D$5),"",IF(ISERROR(ETPT_TJ!AD8),"",IF(ETPT_TJ!AD8=0,"",ETPT_TJ!AD8)))</f>
        <v/>
      </c>
      <c r="AE8" s="59" t="str">
        <f>IF(ISBLANK(ETPT_TJ_DDG!$D$5),"",IF(ISERROR(ETPT_TJ!AE8),"",IF(ETPT_TJ!AE8=0,"",ETPT_TJ!AE8)))</f>
        <v/>
      </c>
      <c r="AF8" s="59" t="str">
        <f>IF(ISBLANK(ETPT_TJ_DDG!$D$5),"",IF(ISERROR(ETPT_TJ!AF8),"",IF(ETPT_TJ!AF8=0,"",ETPT_TJ!AF8)))</f>
        <v/>
      </c>
      <c r="AG8" s="59" t="str">
        <f>IF(ISBLANK(ETPT_TJ_DDG!$D$5),"",IF(ISERROR(ETPT_TJ!AG8),"",IF(ETPT_TJ!AG8=0,"",ETPT_TJ!AG8)))</f>
        <v/>
      </c>
      <c r="AH8" s="59" t="str">
        <f>IF(ISBLANK(ETPT_TJ_DDG!$D$5),"",IF(ISERROR(ETPT_TJ!AH8),"",IF(ETPT_TJ!AH8=0,"",ETPT_TJ!AH8)))</f>
        <v/>
      </c>
      <c r="AI8" s="59" t="str">
        <f>IF(ISBLANK(ETPT_TJ_DDG!$D$5),"",IF(ISERROR(ETPT_TJ!AI8),"",IF(ETPT_TJ!AI8=0,"",ETPT_TJ!AI8)))</f>
        <v/>
      </c>
      <c r="AJ8" s="59" t="str">
        <f>IF(ISBLANK(ETPT_TJ_DDG!$D$5),"",IF(ISERROR(ETPT_TJ!AJ8),"",IF(ETPT_TJ!AJ8=0,"",ETPT_TJ!AJ8)))</f>
        <v/>
      </c>
      <c r="AK8" s="59" t="str">
        <f>IF(ISBLANK(ETPT_TJ_DDG!$D$5),"",IF(ISERROR(ETPT_TJ!AK8),"",IF(ETPT_TJ!AK8=0,"",ETPT_TJ!AK8)))</f>
        <v/>
      </c>
      <c r="AL8" s="49">
        <f t="shared" si="3"/>
        <v>0</v>
      </c>
      <c r="AM8" s="59" t="str">
        <f>IF(ISBLANK(ETPT_TJ_DDG!$D$5),"",IF(ISERROR(ETPT_TJ!AM8),"",IF(ETPT_TJ!AM8=0,"",ETPT_TJ!AM8)))</f>
        <v/>
      </c>
      <c r="AN8" s="59" t="str">
        <f>IF(ISBLANK(ETPT_TJ_DDG!$D$5),"",IF(ISERROR(ETPT_TJ!AN8),"",IF(ETPT_TJ!AN8=0,"",ETPT_TJ!AN8)))</f>
        <v/>
      </c>
      <c r="AO8" s="59" t="str">
        <f>IF(ISBLANK(ETPT_TJ_DDG!$D$5),"",IF(ISERROR(ETPT_TJ!AO8),"",IF(ETPT_TJ!AO8=0,"",ETPT_TJ!AO8)))</f>
        <v/>
      </c>
      <c r="AP8" s="59" t="str">
        <f>IF(ISBLANK(ETPT_TJ_DDG!$D$5),"",IF(ISERROR(ETPT_TJ!AP8),"",IF(ETPT_TJ!AP8=0,"",ETPT_TJ!AP8)))</f>
        <v/>
      </c>
      <c r="AQ8" s="59" t="str">
        <f>IF(ISBLANK(ETPT_TJ_DDG!$D$5),"",IF(ISERROR(ETPT_TJ!AQ8),"",IF(ETPT_TJ!AQ8=0,"",ETPT_TJ!AQ8)))</f>
        <v/>
      </c>
      <c r="AR8" s="59" t="str">
        <f>IF(ISBLANK(ETPT_TJ_DDG!$D$5),"",IF(ISERROR(ETPT_TJ!AR8),"",IF(ETPT_TJ!AR8=0,"",ETPT_TJ!AR8)))</f>
        <v/>
      </c>
      <c r="AS8" s="59" t="str">
        <f>IF(ISBLANK(ETPT_TJ_DDG!$D$5),"",IF(ISERROR(ETPT_TJ!AS8),"",IF(ETPT_TJ!AS8=0,"",ETPT_TJ!AS8)))</f>
        <v/>
      </c>
      <c r="AT8" s="59" t="str">
        <f>IF(ISBLANK(ETPT_TJ_DDG!$D$5),"",IF(ISERROR(ETPT_TJ!AT8),"",IF(ETPT_TJ!AT8=0,"",ETPT_TJ!AT8)))</f>
        <v/>
      </c>
      <c r="AU8" s="59" t="str">
        <f>IF(ISBLANK(ETPT_TJ_DDG!$D$5),"",IF(ISERROR(ETPT_TJ!AU8),"",IF(ETPT_TJ!AU8=0,"",ETPT_TJ!AU8)))</f>
        <v/>
      </c>
      <c r="AV8" s="59" t="str">
        <f>IF(ISBLANK(ETPT_TJ_DDG!$D$5),"",IF(ISERROR(ETPT_TJ!AV8),"",IF(ETPT_TJ!AV8=0,"",ETPT_TJ!AV8)))</f>
        <v/>
      </c>
      <c r="AW8" s="59" t="str">
        <f>IF(ISBLANK(ETPT_TJ_DDG!$D$5),"",IF(ISERROR(ETPT_TJ!AW8),"",IF(ETPT_TJ!AW8=0,"",ETPT_TJ!AW8)))</f>
        <v/>
      </c>
      <c r="AX8" s="59" t="str">
        <f>IF(ISBLANK(ETPT_TJ_DDG!$D$5),"",IF(ISERROR(ETPT_TJ!AX8),"",IF(ETPT_TJ!AX8=0,"",ETPT_TJ!AX8)))</f>
        <v/>
      </c>
      <c r="AY8" s="59" t="str">
        <f>IF(ISBLANK(ETPT_TJ_DDG!$D$5),"",IF(ISERROR(ETPT_TJ!AY8),"",IF(ETPT_TJ!AY8=0,"",ETPT_TJ!AY8)))</f>
        <v/>
      </c>
      <c r="AZ8" s="49">
        <f t="shared" si="4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5"/>
        <v>0</v>
      </c>
    </row>
    <row r="9" spans="1:63" s="44" customFormat="1" ht="14.25" customHeight="1" x14ac:dyDescent="0.15">
      <c r="A9" s="54" t="s">
        <v>53</v>
      </c>
      <c r="B9" s="64"/>
      <c r="C9" s="64"/>
      <c r="D9" s="144" t="str">
        <f t="shared" si="6"/>
        <v/>
      </c>
      <c r="E9" s="64" t="s">
        <v>65</v>
      </c>
      <c r="F9" s="64" t="s">
        <v>64</v>
      </c>
      <c r="G9" s="59" t="str">
        <f>IF(ISBLANK(ETPT_TJ_DDG!$D$5),"",IF(ISERROR(ETPT_TJ!G9),"",IF(ETPT_TJ!G9=0,"",ETPT_TJ!G9)))</f>
        <v/>
      </c>
      <c r="H9" s="49">
        <f t="shared" si="0"/>
        <v>0</v>
      </c>
      <c r="I9" s="59" t="str">
        <f>IF(ISBLANK(ETPT_TJ_DDG!$D$5),"",IF(ISERROR(ETPT_TJ!I9),"",IF(ETPT_TJ!I9=0,"",ETPT_TJ!I9)))</f>
        <v/>
      </c>
      <c r="J9" s="59" t="str">
        <f>IF(ISBLANK(ETPT_TJ_DDG!$D$5),"",IF(ISERROR(ETPT_TJ!J9),"",IF(ETPT_TJ!J9=0,"",ETPT_TJ!J9)))</f>
        <v/>
      </c>
      <c r="K9" s="59" t="str">
        <f>IF(ISBLANK(ETPT_TJ_DDG!$D$5),"",IF(ISERROR(ETPT_TJ!K9),"",IF(ETPT_TJ!K9=0,"",ETPT_TJ!K9)))</f>
        <v/>
      </c>
      <c r="L9" s="59" t="str">
        <f>IF(ISBLANK(ETPT_TJ_DDG!$D$5),"",IF(ISERROR(ETPT_TJ!L9),"",IF(ETPT_TJ!L9=0,"",ETPT_TJ!L9)))</f>
        <v/>
      </c>
      <c r="M9" s="59" t="str">
        <f>IF(ISBLANK(ETPT_TJ_DDG!$D$5),"",IF(ISERROR(ETPT_TJ!M9),"",IF(ETPT_TJ!M9=0,"",ETPT_TJ!M9)))</f>
        <v/>
      </c>
      <c r="N9" s="59" t="str">
        <f>IF(ISBLANK(ETPT_TJ_DDG!$D$5),"",IF(ISERROR(ETPT_TJ!N9),"",IF(ETPT_TJ!N9=0,"",ETPT_TJ!N9)))</f>
        <v/>
      </c>
      <c r="O9" s="59" t="str">
        <f>IF(ISBLANK(ETPT_TJ_DDG!$D$5),"",IF(ISERROR(ETPT_TJ!O9),"",IF(ETPT_TJ!O9=0,"",ETPT_TJ!O9)))</f>
        <v/>
      </c>
      <c r="P9" s="59" t="str">
        <f>IF(ISBLANK(ETPT_TJ_DDG!$D$5),"",IF(ISERROR(ETPT_TJ!P9),"",IF(ETPT_TJ!P9=0,"",ETPT_TJ!P9)))</f>
        <v/>
      </c>
      <c r="Q9" s="59" t="str">
        <f>IF(ISBLANK(ETPT_TJ_DDG!$D$5),"",IF(ISERROR(ETPT_TJ!Q9),"",IF(ETPT_TJ!Q9=0,"",ETPT_TJ!Q9)))</f>
        <v/>
      </c>
      <c r="R9" s="59" t="str">
        <f>IF(ISBLANK(ETPT_TJ_DDG!$D$5),"",IF(ISERROR(ETPT_TJ!R9),"",IF(ETPT_TJ!R9=0,"",ETPT_TJ!R9)))</f>
        <v/>
      </c>
      <c r="S9" s="59" t="str">
        <f>IF(ISBLANK(ETPT_TJ_DDG!$D$5),"",IF(ISERROR(ETPT_TJ!S9),"",IF(ETPT_TJ!S9=0,"",ETPT_TJ!S9)))</f>
        <v/>
      </c>
      <c r="T9" s="59" t="str">
        <f>IF(ISBLANK(ETPT_TJ_DDG!$D$5),"",IF(ISERROR(ETPT_TJ!T9),"",IF(ETPT_TJ!T9=0,"",ETPT_TJ!T9)))</f>
        <v/>
      </c>
      <c r="U9" s="59" t="str">
        <f>IF(ISBLANK(ETPT_TJ_DDG!$D$5),"",IF(ISERROR(ETPT_TJ!U9),"",IF(ETPT_TJ!U9=0,"",ETPT_TJ!U9)))</f>
        <v/>
      </c>
      <c r="V9" s="59" t="str">
        <f>IF(ISBLANK(ETPT_TJ_DDG!$D$5),"",IF(ISERROR(ETPT_TJ!V9),"",IF(ETPT_TJ!V9=0,"",ETPT_TJ!V9)))</f>
        <v/>
      </c>
      <c r="W9" s="49">
        <f t="shared" si="1"/>
        <v>0</v>
      </c>
      <c r="X9" s="59" t="str">
        <f>IF(ISBLANK(ETPT_TJ_DDG!$D$5),"",IF(ISERROR(ETPT_TJ!X9),"",IF(ETPT_TJ!X9=0,"",ETPT_TJ!X9)))</f>
        <v/>
      </c>
      <c r="Y9" s="59" t="str">
        <f>IF(ISBLANK(ETPT_TJ_DDG!$D$5),"",IF(ISERROR(ETPT_TJ!Y9),"",IF(ETPT_TJ!Y9=0,"",ETPT_TJ!Y9)))</f>
        <v/>
      </c>
      <c r="Z9" s="59" t="str">
        <f>IF(ISBLANK(ETPT_TJ_DDG!$D$5),"",IF(ISERROR(ETPT_TJ!Z9),"",IF(ETPT_TJ!Z9=0,"",ETPT_TJ!Z9)))</f>
        <v/>
      </c>
      <c r="AA9" s="59" t="str">
        <f>IF(ISBLANK(ETPT_TJ_DDG!$D$5),"",IF(ISERROR(ETPT_TJ!AA9),"",IF(ETPT_TJ!AA9=0,"",ETPT_TJ!AA9)))</f>
        <v/>
      </c>
      <c r="AB9" s="49">
        <f t="shared" si="2"/>
        <v>0</v>
      </c>
      <c r="AC9" s="59" t="str">
        <f>IF(ISBLANK(ETPT_TJ_DDG!$D$5),"",IF(ISERROR(ETPT_TJ!AC9),"",IF(ETPT_TJ!AC9=0,"",ETPT_TJ!AC9)))</f>
        <v/>
      </c>
      <c r="AD9" s="59" t="str">
        <f>IF(ISBLANK(ETPT_TJ_DDG!$D$5),"",IF(ISERROR(ETPT_TJ!AD9),"",IF(ETPT_TJ!AD9=0,"",ETPT_TJ!AD9)))</f>
        <v/>
      </c>
      <c r="AE9" s="59" t="str">
        <f>IF(ISBLANK(ETPT_TJ_DDG!$D$5),"",IF(ISERROR(ETPT_TJ!AE9),"",IF(ETPT_TJ!AE9=0,"",ETPT_TJ!AE9)))</f>
        <v/>
      </c>
      <c r="AF9" s="59" t="str">
        <f>IF(ISBLANK(ETPT_TJ_DDG!$D$5),"",IF(ISERROR(ETPT_TJ!AF9),"",IF(ETPT_TJ!AF9=0,"",ETPT_TJ!AF9)))</f>
        <v/>
      </c>
      <c r="AG9" s="59" t="str">
        <f>IF(ISBLANK(ETPT_TJ_DDG!$D$5),"",IF(ISERROR(ETPT_TJ!AG9),"",IF(ETPT_TJ!AG9=0,"",ETPT_TJ!AG9)))</f>
        <v/>
      </c>
      <c r="AH9" s="59" t="str">
        <f>IF(ISBLANK(ETPT_TJ_DDG!$D$5),"",IF(ISERROR(ETPT_TJ!AH9),"",IF(ETPT_TJ!AH9=0,"",ETPT_TJ!AH9)))</f>
        <v/>
      </c>
      <c r="AI9" s="59" t="str">
        <f>IF(ISBLANK(ETPT_TJ_DDG!$D$5),"",IF(ISERROR(ETPT_TJ!AI9),"",IF(ETPT_TJ!AI9=0,"",ETPT_TJ!AI9)))</f>
        <v/>
      </c>
      <c r="AJ9" s="59" t="str">
        <f>IF(ISBLANK(ETPT_TJ_DDG!$D$5),"",IF(ISERROR(ETPT_TJ!AJ9),"",IF(ETPT_TJ!AJ9=0,"",ETPT_TJ!AJ9)))</f>
        <v/>
      </c>
      <c r="AK9" s="59" t="str">
        <f>IF(ISBLANK(ETPT_TJ_DDG!$D$5),"",IF(ISERROR(ETPT_TJ!AK9),"",IF(ETPT_TJ!AK9=0,"",ETPT_TJ!AK9)))</f>
        <v/>
      </c>
      <c r="AL9" s="49">
        <f t="shared" si="3"/>
        <v>0</v>
      </c>
      <c r="AM9" s="59" t="str">
        <f>IF(ISBLANK(ETPT_TJ_DDG!$D$5),"",IF(ISERROR(ETPT_TJ!AM9),"",IF(ETPT_TJ!AM9=0,"",ETPT_TJ!AM9)))</f>
        <v/>
      </c>
      <c r="AN9" s="59" t="str">
        <f>IF(ISBLANK(ETPT_TJ_DDG!$D$5),"",IF(ISERROR(ETPT_TJ!AN9),"",IF(ETPT_TJ!AN9=0,"",ETPT_TJ!AN9)))</f>
        <v/>
      </c>
      <c r="AO9" s="59" t="str">
        <f>IF(ISBLANK(ETPT_TJ_DDG!$D$5),"",IF(ISERROR(ETPT_TJ!AO9),"",IF(ETPT_TJ!AO9=0,"",ETPT_TJ!AO9)))</f>
        <v/>
      </c>
      <c r="AP9" s="59" t="str">
        <f>IF(ISBLANK(ETPT_TJ_DDG!$D$5),"",IF(ISERROR(ETPT_TJ!AP9),"",IF(ETPT_TJ!AP9=0,"",ETPT_TJ!AP9)))</f>
        <v/>
      </c>
      <c r="AQ9" s="59" t="str">
        <f>IF(ISBLANK(ETPT_TJ_DDG!$D$5),"",IF(ISERROR(ETPT_TJ!AQ9),"",IF(ETPT_TJ!AQ9=0,"",ETPT_TJ!AQ9)))</f>
        <v/>
      </c>
      <c r="AR9" s="59" t="str">
        <f>IF(ISBLANK(ETPT_TJ_DDG!$D$5),"",IF(ISERROR(ETPT_TJ!AR9),"",IF(ETPT_TJ!AR9=0,"",ETPT_TJ!AR9)))</f>
        <v/>
      </c>
      <c r="AS9" s="59" t="str">
        <f>IF(ISBLANK(ETPT_TJ_DDG!$D$5),"",IF(ISERROR(ETPT_TJ!AS9),"",IF(ETPT_TJ!AS9=0,"",ETPT_TJ!AS9)))</f>
        <v/>
      </c>
      <c r="AT9" s="59" t="str">
        <f>IF(ISBLANK(ETPT_TJ_DDG!$D$5),"",IF(ISERROR(ETPT_TJ!AT9),"",IF(ETPT_TJ!AT9=0,"",ETPT_TJ!AT9)))</f>
        <v/>
      </c>
      <c r="AU9" s="59" t="str">
        <f>IF(ISBLANK(ETPT_TJ_DDG!$D$5),"",IF(ISERROR(ETPT_TJ!AU9),"",IF(ETPT_TJ!AU9=0,"",ETPT_TJ!AU9)))</f>
        <v/>
      </c>
      <c r="AV9" s="59" t="str">
        <f>IF(ISBLANK(ETPT_TJ_DDG!$D$5),"",IF(ISERROR(ETPT_TJ!AV9),"",IF(ETPT_TJ!AV9=0,"",ETPT_TJ!AV9)))</f>
        <v/>
      </c>
      <c r="AW9" s="59" t="str">
        <f>IF(ISBLANK(ETPT_TJ_DDG!$D$5),"",IF(ISERROR(ETPT_TJ!AW9),"",IF(ETPT_TJ!AW9=0,"",ETPT_TJ!AW9)))</f>
        <v/>
      </c>
      <c r="AX9" s="59" t="str">
        <f>IF(ISBLANK(ETPT_TJ_DDG!$D$5),"",IF(ISERROR(ETPT_TJ!AX9),"",IF(ETPT_TJ!AX9=0,"",ETPT_TJ!AX9)))</f>
        <v/>
      </c>
      <c r="AY9" s="59" t="str">
        <f>IF(ISBLANK(ETPT_TJ_DDG!$D$5),"",IF(ISERROR(ETPT_TJ!AY9),"",IF(ETPT_TJ!AY9=0,"",ETPT_TJ!AY9)))</f>
        <v/>
      </c>
      <c r="AZ9" s="49">
        <f t="shared" si="4"/>
        <v>0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5"/>
        <v>0</v>
      </c>
    </row>
    <row r="10" spans="1:63" s="44" customFormat="1" ht="14.25" customHeight="1" x14ac:dyDescent="0.15">
      <c r="A10" s="54" t="s">
        <v>53</v>
      </c>
      <c r="B10" s="64"/>
      <c r="C10" s="64"/>
      <c r="D10" s="144" t="str">
        <f t="shared" si="6"/>
        <v/>
      </c>
      <c r="E10" s="64" t="s">
        <v>63</v>
      </c>
      <c r="F10" s="64" t="s">
        <v>62</v>
      </c>
      <c r="G10" s="59" t="str">
        <f>IF(ISBLANK(ETPT_TJ_DDG!$D$5),"",IF(ISERROR(ETPT_TJ!G10),"",IF(ETPT_TJ!G10=0,"",ETPT_TJ!G10)))</f>
        <v/>
      </c>
      <c r="H10" s="49">
        <f t="shared" si="0"/>
        <v>0</v>
      </c>
      <c r="I10" s="59" t="str">
        <f>IF(ISBLANK(ETPT_TJ_DDG!$D$5),"",IF(ISERROR(ETPT_TJ!I10),"",IF(ETPT_TJ!I10=0,"",ETPT_TJ!I10)))</f>
        <v/>
      </c>
      <c r="J10" s="59" t="str">
        <f>IF(ISBLANK(ETPT_TJ_DDG!$D$5),"",IF(ISERROR(ETPT_TJ!J10),"",IF(ETPT_TJ!J10=0,"",ETPT_TJ!J10)))</f>
        <v/>
      </c>
      <c r="K10" s="59" t="str">
        <f>IF(ISBLANK(ETPT_TJ_DDG!$D$5),"",IF(ISERROR(ETPT_TJ!K10),"",IF(ETPT_TJ!K10=0,"",ETPT_TJ!K10)))</f>
        <v/>
      </c>
      <c r="L10" s="59" t="str">
        <f>IF(ISBLANK(ETPT_TJ_DDG!$D$5),"",IF(ISERROR(ETPT_TJ!L10),"",IF(ETPT_TJ!L10=0,"",ETPT_TJ!L10)))</f>
        <v/>
      </c>
      <c r="M10" s="59" t="str">
        <f>IF(ISBLANK(ETPT_TJ_DDG!$D$5),"",IF(ISERROR(ETPT_TJ!M10),"",IF(ETPT_TJ!M10=0,"",ETPT_TJ!M10)))</f>
        <v/>
      </c>
      <c r="N10" s="59" t="str">
        <f>IF(ISBLANK(ETPT_TJ_DDG!$D$5),"",IF(ISERROR(ETPT_TJ!N10),"",IF(ETPT_TJ!N10=0,"",ETPT_TJ!N10)))</f>
        <v/>
      </c>
      <c r="O10" s="59" t="str">
        <f>IF(ISBLANK(ETPT_TJ_DDG!$D$5),"",IF(ISERROR(ETPT_TJ!O10),"",IF(ETPT_TJ!O10=0,"",ETPT_TJ!O10)))</f>
        <v/>
      </c>
      <c r="P10" s="59" t="str">
        <f>IF(ISBLANK(ETPT_TJ_DDG!$D$5),"",IF(ISERROR(ETPT_TJ!P10),"",IF(ETPT_TJ!P10=0,"",ETPT_TJ!P10)))</f>
        <v/>
      </c>
      <c r="Q10" s="59" t="str">
        <f>IF(ISBLANK(ETPT_TJ_DDG!$D$5),"",IF(ISERROR(ETPT_TJ!Q10),"",IF(ETPT_TJ!Q10=0,"",ETPT_TJ!Q10)))</f>
        <v/>
      </c>
      <c r="R10" s="59" t="str">
        <f>IF(ISBLANK(ETPT_TJ_DDG!$D$5),"",IF(ISERROR(ETPT_TJ!R10),"",IF(ETPT_TJ!R10=0,"",ETPT_TJ!R10)))</f>
        <v/>
      </c>
      <c r="S10" s="59" t="str">
        <f>IF(ISBLANK(ETPT_TJ_DDG!$D$5),"",IF(ISERROR(ETPT_TJ!S10),"",IF(ETPT_TJ!S10=0,"",ETPT_TJ!S10)))</f>
        <v/>
      </c>
      <c r="T10" s="59" t="str">
        <f>IF(ISBLANK(ETPT_TJ_DDG!$D$5),"",IF(ISERROR(ETPT_TJ!T10),"",IF(ETPT_TJ!T10=0,"",ETPT_TJ!T10)))</f>
        <v/>
      </c>
      <c r="U10" s="59" t="str">
        <f>IF(ISBLANK(ETPT_TJ_DDG!$D$5),"",IF(ISERROR(ETPT_TJ!U10),"",IF(ETPT_TJ!U10=0,"",ETPT_TJ!U10)))</f>
        <v/>
      </c>
      <c r="V10" s="59" t="str">
        <f>IF(ISBLANK(ETPT_TJ_DDG!$D$5),"",IF(ISERROR(ETPT_TJ!V10),"",IF(ETPT_TJ!V10=0,"",ETPT_TJ!V10)))</f>
        <v/>
      </c>
      <c r="W10" s="49">
        <f t="shared" si="1"/>
        <v>0</v>
      </c>
      <c r="X10" s="59" t="str">
        <f>IF(ISBLANK(ETPT_TJ_DDG!$D$5),"",IF(ISERROR(ETPT_TJ!X10),"",IF(ETPT_TJ!X10=0,"",ETPT_TJ!X10)))</f>
        <v/>
      </c>
      <c r="Y10" s="59" t="str">
        <f>IF(ISBLANK(ETPT_TJ_DDG!$D$5),"",IF(ISERROR(ETPT_TJ!Y10),"",IF(ETPT_TJ!Y10=0,"",ETPT_TJ!Y10)))</f>
        <v/>
      </c>
      <c r="Z10" s="59" t="str">
        <f>IF(ISBLANK(ETPT_TJ_DDG!$D$5),"",IF(ISERROR(ETPT_TJ!Z10),"",IF(ETPT_TJ!Z10=0,"",ETPT_TJ!Z10)))</f>
        <v/>
      </c>
      <c r="AA10" s="59" t="str">
        <f>IF(ISBLANK(ETPT_TJ_DDG!$D$5),"",IF(ISERROR(ETPT_TJ!AA10),"",IF(ETPT_TJ!AA10=0,"",ETPT_TJ!AA10)))</f>
        <v/>
      </c>
      <c r="AB10" s="49">
        <f t="shared" si="2"/>
        <v>0</v>
      </c>
      <c r="AC10" s="59" t="str">
        <f>IF(ISBLANK(ETPT_TJ_DDG!$D$5),"",IF(ISERROR(ETPT_TJ!AC10),"",IF(ETPT_TJ!AC10=0,"",ETPT_TJ!AC10)))</f>
        <v/>
      </c>
      <c r="AD10" s="59" t="str">
        <f>IF(ISBLANK(ETPT_TJ_DDG!$D$5),"",IF(ISERROR(ETPT_TJ!AD10),"",IF(ETPT_TJ!AD10=0,"",ETPT_TJ!AD10)))</f>
        <v/>
      </c>
      <c r="AE10" s="59" t="str">
        <f>IF(ISBLANK(ETPT_TJ_DDG!$D$5),"",IF(ISERROR(ETPT_TJ!AE10),"",IF(ETPT_TJ!AE10=0,"",ETPT_TJ!AE10)))</f>
        <v/>
      </c>
      <c r="AF10" s="59" t="str">
        <f>IF(ISBLANK(ETPT_TJ_DDG!$D$5),"",IF(ISERROR(ETPT_TJ!AF10),"",IF(ETPT_TJ!AF10=0,"",ETPT_TJ!AF10)))</f>
        <v/>
      </c>
      <c r="AG10" s="59" t="str">
        <f>IF(ISBLANK(ETPT_TJ_DDG!$D$5),"",IF(ISERROR(ETPT_TJ!AG10),"",IF(ETPT_TJ!AG10=0,"",ETPT_TJ!AG10)))</f>
        <v/>
      </c>
      <c r="AH10" s="59" t="str">
        <f>IF(ISBLANK(ETPT_TJ_DDG!$D$5),"",IF(ISERROR(ETPT_TJ!AH10),"",IF(ETPT_TJ!AH10=0,"",ETPT_TJ!AH10)))</f>
        <v/>
      </c>
      <c r="AI10" s="59" t="str">
        <f>IF(ISBLANK(ETPT_TJ_DDG!$D$5),"",IF(ISERROR(ETPT_TJ!AI10),"",IF(ETPT_TJ!AI10=0,"",ETPT_TJ!AI10)))</f>
        <v/>
      </c>
      <c r="AJ10" s="59" t="str">
        <f>IF(ISBLANK(ETPT_TJ_DDG!$D$5),"",IF(ISERROR(ETPT_TJ!AJ10),"",IF(ETPT_TJ!AJ10=0,"",ETPT_TJ!AJ10)))</f>
        <v/>
      </c>
      <c r="AK10" s="59" t="str">
        <f>IF(ISBLANK(ETPT_TJ_DDG!$D$5),"",IF(ISERROR(ETPT_TJ!AK10),"",IF(ETPT_TJ!AK10=0,"",ETPT_TJ!AK10)))</f>
        <v/>
      </c>
      <c r="AL10" s="49">
        <f t="shared" si="3"/>
        <v>0</v>
      </c>
      <c r="AM10" s="59" t="str">
        <f>IF(ISBLANK(ETPT_TJ_DDG!$D$5),"",IF(ISERROR(ETPT_TJ!AM10),"",IF(ETPT_TJ!AM10=0,"",ETPT_TJ!AM10)))</f>
        <v/>
      </c>
      <c r="AN10" s="59" t="str">
        <f>IF(ISBLANK(ETPT_TJ_DDG!$D$5),"",IF(ISERROR(ETPT_TJ!AN10),"",IF(ETPT_TJ!AN10=0,"",ETPT_TJ!AN10)))</f>
        <v/>
      </c>
      <c r="AO10" s="59" t="str">
        <f>IF(ISBLANK(ETPT_TJ_DDG!$D$5),"",IF(ISERROR(ETPT_TJ!AO10),"",IF(ETPT_TJ!AO10=0,"",ETPT_TJ!AO10)))</f>
        <v/>
      </c>
      <c r="AP10" s="59" t="str">
        <f>IF(ISBLANK(ETPT_TJ_DDG!$D$5),"",IF(ISERROR(ETPT_TJ!AP10),"",IF(ETPT_TJ!AP10=0,"",ETPT_TJ!AP10)))</f>
        <v/>
      </c>
      <c r="AQ10" s="59" t="str">
        <f>IF(ISBLANK(ETPT_TJ_DDG!$D$5),"",IF(ISERROR(ETPT_TJ!AQ10),"",IF(ETPT_TJ!AQ10=0,"",ETPT_TJ!AQ10)))</f>
        <v/>
      </c>
      <c r="AR10" s="59" t="str">
        <f>IF(ISBLANK(ETPT_TJ_DDG!$D$5),"",IF(ISERROR(ETPT_TJ!AR10),"",IF(ETPT_TJ!AR10=0,"",ETPT_TJ!AR10)))</f>
        <v/>
      </c>
      <c r="AS10" s="59" t="str">
        <f>IF(ISBLANK(ETPT_TJ_DDG!$D$5),"",IF(ISERROR(ETPT_TJ!AS10),"",IF(ETPT_TJ!AS10=0,"",ETPT_TJ!AS10)))</f>
        <v/>
      </c>
      <c r="AT10" s="59" t="str">
        <f>IF(ISBLANK(ETPT_TJ_DDG!$D$5),"",IF(ISERROR(ETPT_TJ!AT10),"",IF(ETPT_TJ!AT10=0,"",ETPT_TJ!AT10)))</f>
        <v/>
      </c>
      <c r="AU10" s="59" t="str">
        <f>IF(ISBLANK(ETPT_TJ_DDG!$D$5),"",IF(ISERROR(ETPT_TJ!AU10),"",IF(ETPT_TJ!AU10=0,"",ETPT_TJ!AU10)))</f>
        <v/>
      </c>
      <c r="AV10" s="59" t="str">
        <f>IF(ISBLANK(ETPT_TJ_DDG!$D$5),"",IF(ISERROR(ETPT_TJ!AV10),"",IF(ETPT_TJ!AV10=0,"",ETPT_TJ!AV10)))</f>
        <v/>
      </c>
      <c r="AW10" s="59" t="str">
        <f>IF(ISBLANK(ETPT_TJ_DDG!$D$5),"",IF(ISERROR(ETPT_TJ!AW10),"",IF(ETPT_TJ!AW10=0,"",ETPT_TJ!AW10)))</f>
        <v/>
      </c>
      <c r="AX10" s="59" t="str">
        <f>IF(ISBLANK(ETPT_TJ_DDG!$D$5),"",IF(ISERROR(ETPT_TJ!AX10),"",IF(ETPT_TJ!AX10=0,"",ETPT_TJ!AX10)))</f>
        <v/>
      </c>
      <c r="AY10" s="59" t="str">
        <f>IF(ISBLANK(ETPT_TJ_DDG!$D$5),"",IF(ISERROR(ETPT_TJ!AY10),"",IF(ETPT_TJ!AY10=0,"",ETPT_TJ!AY10)))</f>
        <v/>
      </c>
      <c r="AZ10" s="49">
        <f t="shared" si="4"/>
        <v>0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5"/>
        <v>0</v>
      </c>
    </row>
    <row r="11" spans="1:63" s="44" customFormat="1" ht="14.25" customHeight="1" x14ac:dyDescent="0.15">
      <c r="A11" s="54" t="s">
        <v>53</v>
      </c>
      <c r="B11" s="64"/>
      <c r="C11" s="64"/>
      <c r="D11" s="144" t="str">
        <f t="shared" si="6"/>
        <v/>
      </c>
      <c r="E11" s="64" t="s">
        <v>61</v>
      </c>
      <c r="F11" s="64" t="s">
        <v>60</v>
      </c>
      <c r="G11" s="59" t="str">
        <f>IF(ISBLANK(ETPT_TJ_DDG!$D$5),"",IF(ISERROR(ETPT_TJ!G11),"",IF(ETPT_TJ!G11=0,"",ETPT_TJ!G11)))</f>
        <v/>
      </c>
      <c r="H11" s="49">
        <f t="shared" si="0"/>
        <v>0</v>
      </c>
      <c r="I11" s="59" t="str">
        <f>IF(ISBLANK(ETPT_TJ_DDG!$D$5),"",IF(ISERROR(ETPT_TJ!I11),"",IF(ETPT_TJ!I11=0,"",ETPT_TJ!I11)))</f>
        <v/>
      </c>
      <c r="J11" s="59" t="str">
        <f>IF(ISBLANK(ETPT_TJ_DDG!$D$5),"",IF(ISERROR(ETPT_TJ!J11),"",IF(ETPT_TJ!J11=0,"",ETPT_TJ!J11)))</f>
        <v/>
      </c>
      <c r="K11" s="59" t="str">
        <f>IF(ISBLANK(ETPT_TJ_DDG!$D$5),"",IF(ISERROR(ETPT_TJ!K11),"",IF(ETPT_TJ!K11=0,"",ETPT_TJ!K11)))</f>
        <v/>
      </c>
      <c r="L11" s="59" t="str">
        <f>IF(ISBLANK(ETPT_TJ_DDG!$D$5),"",IF(ISERROR(ETPT_TJ!L11),"",IF(ETPT_TJ!L11=0,"",ETPT_TJ!L11)))</f>
        <v/>
      </c>
      <c r="M11" s="59" t="str">
        <f>IF(ISBLANK(ETPT_TJ_DDG!$D$5),"",IF(ISERROR(ETPT_TJ!M11),"",IF(ETPT_TJ!M11=0,"",ETPT_TJ!M11)))</f>
        <v/>
      </c>
      <c r="N11" s="59" t="str">
        <f>IF(ISBLANK(ETPT_TJ_DDG!$D$5),"",IF(ISERROR(ETPT_TJ!N11),"",IF(ETPT_TJ!N11=0,"",ETPT_TJ!N11)))</f>
        <v/>
      </c>
      <c r="O11" s="59" t="str">
        <f>IF(ISBLANK(ETPT_TJ_DDG!$D$5),"",IF(ISERROR(ETPT_TJ!O11),"",IF(ETPT_TJ!O11=0,"",ETPT_TJ!O11)))</f>
        <v/>
      </c>
      <c r="P11" s="59" t="str">
        <f>IF(ISBLANK(ETPT_TJ_DDG!$D$5),"",IF(ISERROR(ETPT_TJ!P11),"",IF(ETPT_TJ!P11=0,"",ETPT_TJ!P11)))</f>
        <v/>
      </c>
      <c r="Q11" s="59" t="str">
        <f>IF(ISBLANK(ETPT_TJ_DDG!$D$5),"",IF(ISERROR(ETPT_TJ!Q11),"",IF(ETPT_TJ!Q11=0,"",ETPT_TJ!Q11)))</f>
        <v/>
      </c>
      <c r="R11" s="59" t="str">
        <f>IF(ISBLANK(ETPT_TJ_DDG!$D$5),"",IF(ISERROR(ETPT_TJ!R11),"",IF(ETPT_TJ!R11=0,"",ETPT_TJ!R11)))</f>
        <v/>
      </c>
      <c r="S11" s="59" t="str">
        <f>IF(ISBLANK(ETPT_TJ_DDG!$D$5),"",IF(ISERROR(ETPT_TJ!S11),"",IF(ETPT_TJ!S11=0,"",ETPT_TJ!S11)))</f>
        <v/>
      </c>
      <c r="T11" s="59" t="str">
        <f>IF(ISBLANK(ETPT_TJ_DDG!$D$5),"",IF(ISERROR(ETPT_TJ!T11),"",IF(ETPT_TJ!T11=0,"",ETPT_TJ!T11)))</f>
        <v/>
      </c>
      <c r="U11" s="59" t="str">
        <f>IF(ISBLANK(ETPT_TJ_DDG!$D$5),"",IF(ISERROR(ETPT_TJ!U11),"",IF(ETPT_TJ!U11=0,"",ETPT_TJ!U11)))</f>
        <v/>
      </c>
      <c r="V11" s="59" t="str">
        <f>IF(ISBLANK(ETPT_TJ_DDG!$D$5),"",IF(ISERROR(ETPT_TJ!V11),"",IF(ETPT_TJ!V11=0,"",ETPT_TJ!V11)))</f>
        <v/>
      </c>
      <c r="W11" s="49">
        <f t="shared" si="1"/>
        <v>0</v>
      </c>
      <c r="X11" s="59" t="str">
        <f>IF(ISBLANK(ETPT_TJ_DDG!$D$5),"",IF(ISERROR(ETPT_TJ!X11),"",IF(ETPT_TJ!X11=0,"",ETPT_TJ!X11)))</f>
        <v/>
      </c>
      <c r="Y11" s="59" t="str">
        <f>IF(ISBLANK(ETPT_TJ_DDG!$D$5),"",IF(ISERROR(ETPT_TJ!Y11),"",IF(ETPT_TJ!Y11=0,"",ETPT_TJ!Y11)))</f>
        <v/>
      </c>
      <c r="Z11" s="59" t="str">
        <f>IF(ISBLANK(ETPT_TJ_DDG!$D$5),"",IF(ISERROR(ETPT_TJ!Z11),"",IF(ETPT_TJ!Z11=0,"",ETPT_TJ!Z11)))</f>
        <v/>
      </c>
      <c r="AA11" s="59" t="str">
        <f>IF(ISBLANK(ETPT_TJ_DDG!$D$5),"",IF(ISERROR(ETPT_TJ!AA11),"",IF(ETPT_TJ!AA11=0,"",ETPT_TJ!AA11)))</f>
        <v/>
      </c>
      <c r="AB11" s="49">
        <f t="shared" si="2"/>
        <v>0</v>
      </c>
      <c r="AC11" s="59" t="str">
        <f>IF(ISBLANK(ETPT_TJ_DDG!$D$5),"",IF(ISERROR(ETPT_TJ!AC11),"",IF(ETPT_TJ!AC11=0,"",ETPT_TJ!AC11)))</f>
        <v/>
      </c>
      <c r="AD11" s="59" t="str">
        <f>IF(ISBLANK(ETPT_TJ_DDG!$D$5),"",IF(ISERROR(ETPT_TJ!AD11),"",IF(ETPT_TJ!AD11=0,"",ETPT_TJ!AD11)))</f>
        <v/>
      </c>
      <c r="AE11" s="59" t="str">
        <f>IF(ISBLANK(ETPT_TJ_DDG!$D$5),"",IF(ISERROR(ETPT_TJ!AE11),"",IF(ETPT_TJ!AE11=0,"",ETPT_TJ!AE11)))</f>
        <v/>
      </c>
      <c r="AF11" s="59" t="str">
        <f>IF(ISBLANK(ETPT_TJ_DDG!$D$5),"",IF(ISERROR(ETPT_TJ!AF11),"",IF(ETPT_TJ!AF11=0,"",ETPT_TJ!AF11)))</f>
        <v/>
      </c>
      <c r="AG11" s="59" t="str">
        <f>IF(ISBLANK(ETPT_TJ_DDG!$D$5),"",IF(ISERROR(ETPT_TJ!AG11),"",IF(ETPT_TJ!AG11=0,"",ETPT_TJ!AG11)))</f>
        <v/>
      </c>
      <c r="AH11" s="59" t="str">
        <f>IF(ISBLANK(ETPT_TJ_DDG!$D$5),"",IF(ISERROR(ETPT_TJ!AH11),"",IF(ETPT_TJ!AH11=0,"",ETPT_TJ!AH11)))</f>
        <v/>
      </c>
      <c r="AI11" s="59" t="str">
        <f>IF(ISBLANK(ETPT_TJ_DDG!$D$5),"",IF(ISERROR(ETPT_TJ!AI11),"",IF(ETPT_TJ!AI11=0,"",ETPT_TJ!AI11)))</f>
        <v/>
      </c>
      <c r="AJ11" s="59" t="str">
        <f>IF(ISBLANK(ETPT_TJ_DDG!$D$5),"",IF(ISERROR(ETPT_TJ!AJ11),"",IF(ETPT_TJ!AJ11=0,"",ETPT_TJ!AJ11)))</f>
        <v/>
      </c>
      <c r="AK11" s="59" t="str">
        <f>IF(ISBLANK(ETPT_TJ_DDG!$D$5),"",IF(ISERROR(ETPT_TJ!AK11),"",IF(ETPT_TJ!AK11=0,"",ETPT_TJ!AK11)))</f>
        <v/>
      </c>
      <c r="AL11" s="49">
        <f t="shared" si="3"/>
        <v>0</v>
      </c>
      <c r="AM11" s="59" t="str">
        <f>IF(ISBLANK(ETPT_TJ_DDG!$D$5),"",IF(ISERROR(ETPT_TJ!AM11),"",IF(ETPT_TJ!AM11=0,"",ETPT_TJ!AM11)))</f>
        <v/>
      </c>
      <c r="AN11" s="59" t="str">
        <f>IF(ISBLANK(ETPT_TJ_DDG!$D$5),"",IF(ISERROR(ETPT_TJ!AN11),"",IF(ETPT_TJ!AN11=0,"",ETPT_TJ!AN11)))</f>
        <v/>
      </c>
      <c r="AO11" s="59" t="str">
        <f>IF(ISBLANK(ETPT_TJ_DDG!$D$5),"",IF(ISERROR(ETPT_TJ!AO11),"",IF(ETPT_TJ!AO11=0,"",ETPT_TJ!AO11)))</f>
        <v/>
      </c>
      <c r="AP11" s="59" t="str">
        <f>IF(ISBLANK(ETPT_TJ_DDG!$D$5),"",IF(ISERROR(ETPT_TJ!AP11),"",IF(ETPT_TJ!AP11=0,"",ETPT_TJ!AP11)))</f>
        <v/>
      </c>
      <c r="AQ11" s="59" t="str">
        <f>IF(ISBLANK(ETPT_TJ_DDG!$D$5),"",IF(ISERROR(ETPT_TJ!AQ11),"",IF(ETPT_TJ!AQ11=0,"",ETPT_TJ!AQ11)))</f>
        <v/>
      </c>
      <c r="AR11" s="59" t="str">
        <f>IF(ISBLANK(ETPT_TJ_DDG!$D$5),"",IF(ISERROR(ETPT_TJ!AR11),"",IF(ETPT_TJ!AR11=0,"",ETPT_TJ!AR11)))</f>
        <v/>
      </c>
      <c r="AS11" s="59" t="str">
        <f>IF(ISBLANK(ETPT_TJ_DDG!$D$5),"",IF(ISERROR(ETPT_TJ!AS11),"",IF(ETPT_TJ!AS11=0,"",ETPT_TJ!AS11)))</f>
        <v/>
      </c>
      <c r="AT11" s="59" t="str">
        <f>IF(ISBLANK(ETPT_TJ_DDG!$D$5),"",IF(ISERROR(ETPT_TJ!AT11),"",IF(ETPT_TJ!AT11=0,"",ETPT_TJ!AT11)))</f>
        <v/>
      </c>
      <c r="AU11" s="59" t="str">
        <f>IF(ISBLANK(ETPT_TJ_DDG!$D$5),"",IF(ISERROR(ETPT_TJ!AU11),"",IF(ETPT_TJ!AU11=0,"",ETPT_TJ!AU11)))</f>
        <v/>
      </c>
      <c r="AV11" s="59" t="str">
        <f>IF(ISBLANK(ETPT_TJ_DDG!$D$5),"",IF(ISERROR(ETPT_TJ!AV11),"",IF(ETPT_TJ!AV11=0,"",ETPT_TJ!AV11)))</f>
        <v/>
      </c>
      <c r="AW11" s="59" t="str">
        <f>IF(ISBLANK(ETPT_TJ_DDG!$D$5),"",IF(ISERROR(ETPT_TJ!AW11),"",IF(ETPT_TJ!AW11=0,"",ETPT_TJ!AW11)))</f>
        <v/>
      </c>
      <c r="AX11" s="59" t="str">
        <f>IF(ISBLANK(ETPT_TJ_DDG!$D$5),"",IF(ISERROR(ETPT_TJ!AX11),"",IF(ETPT_TJ!AX11=0,"",ETPT_TJ!AX11)))</f>
        <v/>
      </c>
      <c r="AY11" s="59" t="str">
        <f>IF(ISBLANK(ETPT_TJ_DDG!$D$5),"",IF(ISERROR(ETPT_TJ!AY11),"",IF(ETPT_TJ!AY11=0,"",ETPT_TJ!AY11)))</f>
        <v/>
      </c>
      <c r="AZ11" s="49">
        <f t="shared" si="4"/>
        <v>0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5"/>
        <v>0</v>
      </c>
    </row>
    <row r="12" spans="1:63" s="44" customFormat="1" ht="14.25" customHeight="1" x14ac:dyDescent="0.15">
      <c r="A12" s="54" t="s">
        <v>53</v>
      </c>
      <c r="B12" s="64"/>
      <c r="C12" s="64"/>
      <c r="D12" s="144" t="str">
        <f t="shared" si="6"/>
        <v/>
      </c>
      <c r="E12" s="64" t="s">
        <v>59</v>
      </c>
      <c r="F12" s="64" t="s">
        <v>58</v>
      </c>
      <c r="G12" s="59" t="str">
        <f>IF(ISBLANK(ETPT_TJ_DDG!$D$5),"",IF(ISERROR(ETPT_TJ!G12),"",IF(ETPT_TJ!G12=0,"",ETPT_TJ!G12)))</f>
        <v/>
      </c>
      <c r="H12" s="49">
        <f t="shared" si="0"/>
        <v>0</v>
      </c>
      <c r="I12" s="59" t="str">
        <f>IF(ISBLANK(ETPT_TJ_DDG!$D$5),"",IF(ISERROR(ETPT_TJ!I12),"",IF(ETPT_TJ!I12=0,"",ETPT_TJ!I12)))</f>
        <v/>
      </c>
      <c r="J12" s="59" t="str">
        <f>IF(ISBLANK(ETPT_TJ_DDG!$D$5),"",IF(ISERROR(ETPT_TJ!J12),"",IF(ETPT_TJ!J12=0,"",ETPT_TJ!J12)))</f>
        <v/>
      </c>
      <c r="K12" s="59" t="str">
        <f>IF(ISBLANK(ETPT_TJ_DDG!$D$5),"",IF(ISERROR(ETPT_TJ!K12),"",IF(ETPT_TJ!K12=0,"",ETPT_TJ!K12)))</f>
        <v/>
      </c>
      <c r="L12" s="59" t="str">
        <f>IF(ISBLANK(ETPT_TJ_DDG!$D$5),"",IF(ISERROR(ETPT_TJ!L12),"",IF(ETPT_TJ!L12=0,"",ETPT_TJ!L12)))</f>
        <v/>
      </c>
      <c r="M12" s="59" t="str">
        <f>IF(ISBLANK(ETPT_TJ_DDG!$D$5),"",IF(ISERROR(ETPT_TJ!M12),"",IF(ETPT_TJ!M12=0,"",ETPT_TJ!M12)))</f>
        <v/>
      </c>
      <c r="N12" s="59" t="str">
        <f>IF(ISBLANK(ETPT_TJ_DDG!$D$5),"",IF(ISERROR(ETPT_TJ!N12),"",IF(ETPT_TJ!N12=0,"",ETPT_TJ!N12)))</f>
        <v/>
      </c>
      <c r="O12" s="59" t="str">
        <f>IF(ISBLANK(ETPT_TJ_DDG!$D$5),"",IF(ISERROR(ETPT_TJ!O12),"",IF(ETPT_TJ!O12=0,"",ETPT_TJ!O12)))</f>
        <v/>
      </c>
      <c r="P12" s="59" t="str">
        <f>IF(ISBLANK(ETPT_TJ_DDG!$D$5),"",IF(ISERROR(ETPT_TJ!P12),"",IF(ETPT_TJ!P12=0,"",ETPT_TJ!P12)))</f>
        <v/>
      </c>
      <c r="Q12" s="59" t="str">
        <f>IF(ISBLANK(ETPT_TJ_DDG!$D$5),"",IF(ISERROR(ETPT_TJ!Q12),"",IF(ETPT_TJ!Q12=0,"",ETPT_TJ!Q12)))</f>
        <v/>
      </c>
      <c r="R12" s="59" t="str">
        <f>IF(ISBLANK(ETPT_TJ_DDG!$D$5),"",IF(ISERROR(ETPT_TJ!R12),"",IF(ETPT_TJ!R12=0,"",ETPT_TJ!R12)))</f>
        <v/>
      </c>
      <c r="S12" s="59" t="str">
        <f>IF(ISBLANK(ETPT_TJ_DDG!$D$5),"",IF(ISERROR(ETPT_TJ!S12),"",IF(ETPT_TJ!S12=0,"",ETPT_TJ!S12)))</f>
        <v/>
      </c>
      <c r="T12" s="59" t="str">
        <f>IF(ISBLANK(ETPT_TJ_DDG!$D$5),"",IF(ISERROR(ETPT_TJ!T12),"",IF(ETPT_TJ!T12=0,"",ETPT_TJ!T12)))</f>
        <v/>
      </c>
      <c r="U12" s="59" t="str">
        <f>IF(ISBLANK(ETPT_TJ_DDG!$D$5),"",IF(ISERROR(ETPT_TJ!U12),"",IF(ETPT_TJ!U12=0,"",ETPT_TJ!U12)))</f>
        <v/>
      </c>
      <c r="V12" s="59" t="str">
        <f>IF(ISBLANK(ETPT_TJ_DDG!$D$5),"",IF(ISERROR(ETPT_TJ!V12),"",IF(ETPT_TJ!V12=0,"",ETPT_TJ!V12)))</f>
        <v/>
      </c>
      <c r="W12" s="49">
        <f t="shared" si="1"/>
        <v>0</v>
      </c>
      <c r="X12" s="59" t="str">
        <f>IF(ISBLANK(ETPT_TJ_DDG!$D$5),"",IF(ISERROR(ETPT_TJ!X12),"",IF(ETPT_TJ!X12=0,"",ETPT_TJ!X12)))</f>
        <v/>
      </c>
      <c r="Y12" s="59" t="str">
        <f>IF(ISBLANK(ETPT_TJ_DDG!$D$5),"",IF(ISERROR(ETPT_TJ!Y12),"",IF(ETPT_TJ!Y12=0,"",ETPT_TJ!Y12)))</f>
        <v/>
      </c>
      <c r="Z12" s="59" t="str">
        <f>IF(ISBLANK(ETPT_TJ_DDG!$D$5),"",IF(ISERROR(ETPT_TJ!Z12),"",IF(ETPT_TJ!Z12=0,"",ETPT_TJ!Z12)))</f>
        <v/>
      </c>
      <c r="AA12" s="59" t="str">
        <f>IF(ISBLANK(ETPT_TJ_DDG!$D$5),"",IF(ISERROR(ETPT_TJ!AA12),"",IF(ETPT_TJ!AA12=0,"",ETPT_TJ!AA12)))</f>
        <v/>
      </c>
      <c r="AB12" s="49">
        <f t="shared" si="2"/>
        <v>0</v>
      </c>
      <c r="AC12" s="59" t="str">
        <f>IF(ISBLANK(ETPT_TJ_DDG!$D$5),"",IF(ISERROR(ETPT_TJ!AC12),"",IF(ETPT_TJ!AC12=0,"",ETPT_TJ!AC12)))</f>
        <v/>
      </c>
      <c r="AD12" s="59" t="str">
        <f>IF(ISBLANK(ETPT_TJ_DDG!$D$5),"",IF(ISERROR(ETPT_TJ!AD12),"",IF(ETPT_TJ!AD12=0,"",ETPT_TJ!AD12)))</f>
        <v/>
      </c>
      <c r="AE12" s="59" t="str">
        <f>IF(ISBLANK(ETPT_TJ_DDG!$D$5),"",IF(ISERROR(ETPT_TJ!AE12),"",IF(ETPT_TJ!AE12=0,"",ETPT_TJ!AE12)))</f>
        <v/>
      </c>
      <c r="AF12" s="59" t="str">
        <f>IF(ISBLANK(ETPT_TJ_DDG!$D$5),"",IF(ISERROR(ETPT_TJ!AF12),"",IF(ETPT_TJ!AF12=0,"",ETPT_TJ!AF12)))</f>
        <v/>
      </c>
      <c r="AG12" s="59" t="str">
        <f>IF(ISBLANK(ETPT_TJ_DDG!$D$5),"",IF(ISERROR(ETPT_TJ!AG12),"",IF(ETPT_TJ!AG12=0,"",ETPT_TJ!AG12)))</f>
        <v/>
      </c>
      <c r="AH12" s="59" t="str">
        <f>IF(ISBLANK(ETPT_TJ_DDG!$D$5),"",IF(ISERROR(ETPT_TJ!AH12),"",IF(ETPT_TJ!AH12=0,"",ETPT_TJ!AH12)))</f>
        <v/>
      </c>
      <c r="AI12" s="59" t="str">
        <f>IF(ISBLANK(ETPT_TJ_DDG!$D$5),"",IF(ISERROR(ETPT_TJ!AI12),"",IF(ETPT_TJ!AI12=0,"",ETPT_TJ!AI12)))</f>
        <v/>
      </c>
      <c r="AJ12" s="59" t="str">
        <f>IF(ISBLANK(ETPT_TJ_DDG!$D$5),"",IF(ISERROR(ETPT_TJ!AJ12),"",IF(ETPT_TJ!AJ12=0,"",ETPT_TJ!AJ12)))</f>
        <v/>
      </c>
      <c r="AK12" s="59" t="str">
        <f>IF(ISBLANK(ETPT_TJ_DDG!$D$5),"",IF(ISERROR(ETPT_TJ!AK12),"",IF(ETPT_TJ!AK12=0,"",ETPT_TJ!AK12)))</f>
        <v/>
      </c>
      <c r="AL12" s="49">
        <f t="shared" si="3"/>
        <v>0</v>
      </c>
      <c r="AM12" s="59" t="str">
        <f>IF(ISBLANK(ETPT_TJ_DDG!$D$5),"",IF(ISERROR(ETPT_TJ!AM12),"",IF(ETPT_TJ!AM12=0,"",ETPT_TJ!AM12)))</f>
        <v/>
      </c>
      <c r="AN12" s="59" t="str">
        <f>IF(ISBLANK(ETPT_TJ_DDG!$D$5),"",IF(ISERROR(ETPT_TJ!AN12),"",IF(ETPT_TJ!AN12=0,"",ETPT_TJ!AN12)))</f>
        <v/>
      </c>
      <c r="AO12" s="59" t="str">
        <f>IF(ISBLANK(ETPT_TJ_DDG!$D$5),"",IF(ISERROR(ETPT_TJ!AO12),"",IF(ETPT_TJ!AO12=0,"",ETPT_TJ!AO12)))</f>
        <v/>
      </c>
      <c r="AP12" s="59" t="str">
        <f>IF(ISBLANK(ETPT_TJ_DDG!$D$5),"",IF(ISERROR(ETPT_TJ!AP12),"",IF(ETPT_TJ!AP12=0,"",ETPT_TJ!AP12)))</f>
        <v/>
      </c>
      <c r="AQ12" s="59" t="str">
        <f>IF(ISBLANK(ETPT_TJ_DDG!$D$5),"",IF(ISERROR(ETPT_TJ!AQ12),"",IF(ETPT_TJ!AQ12=0,"",ETPT_TJ!AQ12)))</f>
        <v/>
      </c>
      <c r="AR12" s="59" t="str">
        <f>IF(ISBLANK(ETPT_TJ_DDG!$D$5),"",IF(ISERROR(ETPT_TJ!AR12),"",IF(ETPT_TJ!AR12=0,"",ETPT_TJ!AR12)))</f>
        <v/>
      </c>
      <c r="AS12" s="59" t="str">
        <f>IF(ISBLANK(ETPT_TJ_DDG!$D$5),"",IF(ISERROR(ETPT_TJ!AS12),"",IF(ETPT_TJ!AS12=0,"",ETPT_TJ!AS12)))</f>
        <v/>
      </c>
      <c r="AT12" s="59" t="str">
        <f>IF(ISBLANK(ETPT_TJ_DDG!$D$5),"",IF(ISERROR(ETPT_TJ!AT12),"",IF(ETPT_TJ!AT12=0,"",ETPT_TJ!AT12)))</f>
        <v/>
      </c>
      <c r="AU12" s="59" t="str">
        <f>IF(ISBLANK(ETPT_TJ_DDG!$D$5),"",IF(ISERROR(ETPT_TJ!AU12),"",IF(ETPT_TJ!AU12=0,"",ETPT_TJ!AU12)))</f>
        <v/>
      </c>
      <c r="AV12" s="59" t="str">
        <f>IF(ISBLANK(ETPT_TJ_DDG!$D$5),"",IF(ISERROR(ETPT_TJ!AV12),"",IF(ETPT_TJ!AV12=0,"",ETPT_TJ!AV12)))</f>
        <v/>
      </c>
      <c r="AW12" s="59" t="str">
        <f>IF(ISBLANK(ETPT_TJ_DDG!$D$5),"",IF(ISERROR(ETPT_TJ!AW12),"",IF(ETPT_TJ!AW12=0,"",ETPT_TJ!AW12)))</f>
        <v/>
      </c>
      <c r="AX12" s="59" t="str">
        <f>IF(ISBLANK(ETPT_TJ_DDG!$D$5),"",IF(ISERROR(ETPT_TJ!AX12),"",IF(ETPT_TJ!AX12=0,"",ETPT_TJ!AX12)))</f>
        <v/>
      </c>
      <c r="AY12" s="59" t="str">
        <f>IF(ISBLANK(ETPT_TJ_DDG!$D$5),"",IF(ISERROR(ETPT_TJ!AY12),"",IF(ETPT_TJ!AY12=0,"",ETPT_TJ!AY12)))</f>
        <v/>
      </c>
      <c r="AZ12" s="49">
        <f t="shared" si="4"/>
        <v>0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5"/>
        <v>0</v>
      </c>
    </row>
    <row r="13" spans="1:63" s="44" customFormat="1" ht="14.25" customHeight="1" x14ac:dyDescent="0.15">
      <c r="A13" s="54" t="s">
        <v>53</v>
      </c>
      <c r="B13" s="64"/>
      <c r="C13" s="64"/>
      <c r="D13" s="144" t="str">
        <f t="shared" si="6"/>
        <v/>
      </c>
      <c r="E13" s="64" t="s">
        <v>57</v>
      </c>
      <c r="F13" s="64" t="s">
        <v>56</v>
      </c>
      <c r="G13" s="59" t="str">
        <f>IF(ISBLANK(ETPT_TJ_DDG!$D$5),"",IF(ISERROR(ETPT_TJ!G13),"",IF(ETPT_TJ!G13=0,"",ETPT_TJ!G13)))</f>
        <v/>
      </c>
      <c r="H13" s="49">
        <f t="shared" si="0"/>
        <v>0</v>
      </c>
      <c r="I13" s="59" t="str">
        <f>IF(ISBLANK(ETPT_TJ_DDG!$D$5),"",IF(ISERROR(ETPT_TJ!I13),"",IF(ETPT_TJ!I13=0,"",ETPT_TJ!I13)))</f>
        <v/>
      </c>
      <c r="J13" s="59" t="str">
        <f>IF(ISBLANK(ETPT_TJ_DDG!$D$5),"",IF(ISERROR(ETPT_TJ!J13),"",IF(ETPT_TJ!J13=0,"",ETPT_TJ!J13)))</f>
        <v/>
      </c>
      <c r="K13" s="59" t="str">
        <f>IF(ISBLANK(ETPT_TJ_DDG!$D$5),"",IF(ISERROR(ETPT_TJ!K13),"",IF(ETPT_TJ!K13=0,"",ETPT_TJ!K13)))</f>
        <v/>
      </c>
      <c r="L13" s="59" t="str">
        <f>IF(ISBLANK(ETPT_TJ_DDG!$D$5),"",IF(ISERROR(ETPT_TJ!L13),"",IF(ETPT_TJ!L13=0,"",ETPT_TJ!L13)))</f>
        <v/>
      </c>
      <c r="M13" s="59" t="str">
        <f>IF(ISBLANK(ETPT_TJ_DDG!$D$5),"",IF(ISERROR(ETPT_TJ!M13),"",IF(ETPT_TJ!M13=0,"",ETPT_TJ!M13)))</f>
        <v/>
      </c>
      <c r="N13" s="59" t="str">
        <f>IF(ISBLANK(ETPT_TJ_DDG!$D$5),"",IF(ISERROR(ETPT_TJ!N13),"",IF(ETPT_TJ!N13=0,"",ETPT_TJ!N13)))</f>
        <v/>
      </c>
      <c r="O13" s="59" t="str">
        <f>IF(ISBLANK(ETPT_TJ_DDG!$D$5),"",IF(ISERROR(ETPT_TJ!O13),"",IF(ETPT_TJ!O13=0,"",ETPT_TJ!O13)))</f>
        <v/>
      </c>
      <c r="P13" s="59" t="str">
        <f>IF(ISBLANK(ETPT_TJ_DDG!$D$5),"",IF(ISERROR(ETPT_TJ!P13),"",IF(ETPT_TJ!P13=0,"",ETPT_TJ!P13)))</f>
        <v/>
      </c>
      <c r="Q13" s="59" t="str">
        <f>IF(ISBLANK(ETPT_TJ_DDG!$D$5),"",IF(ISERROR(ETPT_TJ!Q13),"",IF(ETPT_TJ!Q13=0,"",ETPT_TJ!Q13)))</f>
        <v/>
      </c>
      <c r="R13" s="59" t="str">
        <f>IF(ISBLANK(ETPT_TJ_DDG!$D$5),"",IF(ISERROR(ETPT_TJ!R13),"",IF(ETPT_TJ!R13=0,"",ETPT_TJ!R13)))</f>
        <v/>
      </c>
      <c r="S13" s="59" t="str">
        <f>IF(ISBLANK(ETPT_TJ_DDG!$D$5),"",IF(ISERROR(ETPT_TJ!S13),"",IF(ETPT_TJ!S13=0,"",ETPT_TJ!S13)))</f>
        <v/>
      </c>
      <c r="T13" s="59" t="str">
        <f>IF(ISBLANK(ETPT_TJ_DDG!$D$5),"",IF(ISERROR(ETPT_TJ!T13),"",IF(ETPT_TJ!T13=0,"",ETPT_TJ!T13)))</f>
        <v/>
      </c>
      <c r="U13" s="59" t="str">
        <f>IF(ISBLANK(ETPT_TJ_DDG!$D$5),"",IF(ISERROR(ETPT_TJ!U13),"",IF(ETPT_TJ!U13=0,"",ETPT_TJ!U13)))</f>
        <v/>
      </c>
      <c r="V13" s="59" t="str">
        <f>IF(ISBLANK(ETPT_TJ_DDG!$D$5),"",IF(ISERROR(ETPT_TJ!V13),"",IF(ETPT_TJ!V13=0,"",ETPT_TJ!V13)))</f>
        <v/>
      </c>
      <c r="W13" s="49">
        <f t="shared" si="1"/>
        <v>0</v>
      </c>
      <c r="X13" s="59" t="str">
        <f>IF(ISBLANK(ETPT_TJ_DDG!$D$5),"",IF(ISERROR(ETPT_TJ!X13),"",IF(ETPT_TJ!X13=0,"",ETPT_TJ!X13)))</f>
        <v/>
      </c>
      <c r="Y13" s="59" t="str">
        <f>IF(ISBLANK(ETPT_TJ_DDG!$D$5),"",IF(ISERROR(ETPT_TJ!Y13),"",IF(ETPT_TJ!Y13=0,"",ETPT_TJ!Y13)))</f>
        <v/>
      </c>
      <c r="Z13" s="59" t="str">
        <f>IF(ISBLANK(ETPT_TJ_DDG!$D$5),"",IF(ISERROR(ETPT_TJ!Z13),"",IF(ETPT_TJ!Z13=0,"",ETPT_TJ!Z13)))</f>
        <v/>
      </c>
      <c r="AA13" s="59" t="str">
        <f>IF(ISBLANK(ETPT_TJ_DDG!$D$5),"",IF(ISERROR(ETPT_TJ!AA13),"",IF(ETPT_TJ!AA13=0,"",ETPT_TJ!AA13)))</f>
        <v/>
      </c>
      <c r="AB13" s="49">
        <f t="shared" si="2"/>
        <v>0</v>
      </c>
      <c r="AC13" s="59" t="str">
        <f>IF(ISBLANK(ETPT_TJ_DDG!$D$5),"",IF(ISERROR(ETPT_TJ!AC13),"",IF(ETPT_TJ!AC13=0,"",ETPT_TJ!AC13)))</f>
        <v/>
      </c>
      <c r="AD13" s="59" t="str">
        <f>IF(ISBLANK(ETPT_TJ_DDG!$D$5),"",IF(ISERROR(ETPT_TJ!AD13),"",IF(ETPT_TJ!AD13=0,"",ETPT_TJ!AD13)))</f>
        <v/>
      </c>
      <c r="AE13" s="59" t="str">
        <f>IF(ISBLANK(ETPT_TJ_DDG!$D$5),"",IF(ISERROR(ETPT_TJ!AE13),"",IF(ETPT_TJ!AE13=0,"",ETPT_TJ!AE13)))</f>
        <v/>
      </c>
      <c r="AF13" s="59" t="str">
        <f>IF(ISBLANK(ETPT_TJ_DDG!$D$5),"",IF(ISERROR(ETPT_TJ!AF13),"",IF(ETPT_TJ!AF13=0,"",ETPT_TJ!AF13)))</f>
        <v/>
      </c>
      <c r="AG13" s="59" t="str">
        <f>IF(ISBLANK(ETPT_TJ_DDG!$D$5),"",IF(ISERROR(ETPT_TJ!AG13),"",IF(ETPT_TJ!AG13=0,"",ETPT_TJ!AG13)))</f>
        <v/>
      </c>
      <c r="AH13" s="59" t="str">
        <f>IF(ISBLANK(ETPT_TJ_DDG!$D$5),"",IF(ISERROR(ETPT_TJ!AH13),"",IF(ETPT_TJ!AH13=0,"",ETPT_TJ!AH13)))</f>
        <v/>
      </c>
      <c r="AI13" s="59" t="str">
        <f>IF(ISBLANK(ETPT_TJ_DDG!$D$5),"",IF(ISERROR(ETPT_TJ!AI13),"",IF(ETPT_TJ!AI13=0,"",ETPT_TJ!AI13)))</f>
        <v/>
      </c>
      <c r="AJ13" s="59" t="str">
        <f>IF(ISBLANK(ETPT_TJ_DDG!$D$5),"",IF(ISERROR(ETPT_TJ!AJ13),"",IF(ETPT_TJ!AJ13=0,"",ETPT_TJ!AJ13)))</f>
        <v/>
      </c>
      <c r="AK13" s="59" t="str">
        <f>IF(ISBLANK(ETPT_TJ_DDG!$D$5),"",IF(ISERROR(ETPT_TJ!AK13),"",IF(ETPT_TJ!AK13=0,"",ETPT_TJ!AK13)))</f>
        <v/>
      </c>
      <c r="AL13" s="49">
        <f t="shared" si="3"/>
        <v>0</v>
      </c>
      <c r="AM13" s="59" t="str">
        <f>IF(ISBLANK(ETPT_TJ_DDG!$D$5),"",IF(ISERROR(ETPT_TJ!AM13),"",IF(ETPT_TJ!AM13=0,"",ETPT_TJ!AM13)))</f>
        <v/>
      </c>
      <c r="AN13" s="59" t="str">
        <f>IF(ISBLANK(ETPT_TJ_DDG!$D$5),"",IF(ISERROR(ETPT_TJ!AN13),"",IF(ETPT_TJ!AN13=0,"",ETPT_TJ!AN13)))</f>
        <v/>
      </c>
      <c r="AO13" s="59" t="str">
        <f>IF(ISBLANK(ETPT_TJ_DDG!$D$5),"",IF(ISERROR(ETPT_TJ!AO13),"",IF(ETPT_TJ!AO13=0,"",ETPT_TJ!AO13)))</f>
        <v/>
      </c>
      <c r="AP13" s="59" t="str">
        <f>IF(ISBLANK(ETPT_TJ_DDG!$D$5),"",IF(ISERROR(ETPT_TJ!AP13),"",IF(ETPT_TJ!AP13=0,"",ETPT_TJ!AP13)))</f>
        <v/>
      </c>
      <c r="AQ13" s="59" t="str">
        <f>IF(ISBLANK(ETPT_TJ_DDG!$D$5),"",IF(ISERROR(ETPT_TJ!AQ13),"",IF(ETPT_TJ!AQ13=0,"",ETPT_TJ!AQ13)))</f>
        <v/>
      </c>
      <c r="AR13" s="59" t="str">
        <f>IF(ISBLANK(ETPT_TJ_DDG!$D$5),"",IF(ISERROR(ETPT_TJ!AR13),"",IF(ETPT_TJ!AR13=0,"",ETPT_TJ!AR13)))</f>
        <v/>
      </c>
      <c r="AS13" s="59" t="str">
        <f>IF(ISBLANK(ETPT_TJ_DDG!$D$5),"",IF(ISERROR(ETPT_TJ!AS13),"",IF(ETPT_TJ!AS13=0,"",ETPT_TJ!AS13)))</f>
        <v/>
      </c>
      <c r="AT13" s="59" t="str">
        <f>IF(ISBLANK(ETPT_TJ_DDG!$D$5),"",IF(ISERROR(ETPT_TJ!AT13),"",IF(ETPT_TJ!AT13=0,"",ETPT_TJ!AT13)))</f>
        <v/>
      </c>
      <c r="AU13" s="59" t="str">
        <f>IF(ISBLANK(ETPT_TJ_DDG!$D$5),"",IF(ISERROR(ETPT_TJ!AU13),"",IF(ETPT_TJ!AU13=0,"",ETPT_TJ!AU13)))</f>
        <v/>
      </c>
      <c r="AV13" s="59" t="str">
        <f>IF(ISBLANK(ETPT_TJ_DDG!$D$5),"",IF(ISERROR(ETPT_TJ!AV13),"",IF(ETPT_TJ!AV13=0,"",ETPT_TJ!AV13)))</f>
        <v/>
      </c>
      <c r="AW13" s="59" t="str">
        <f>IF(ISBLANK(ETPT_TJ_DDG!$D$5),"",IF(ISERROR(ETPT_TJ!AW13),"",IF(ETPT_TJ!AW13=0,"",ETPT_TJ!AW13)))</f>
        <v/>
      </c>
      <c r="AX13" s="59" t="str">
        <f>IF(ISBLANK(ETPT_TJ_DDG!$D$5),"",IF(ISERROR(ETPT_TJ!AX13),"",IF(ETPT_TJ!AX13=0,"",ETPT_TJ!AX13)))</f>
        <v/>
      </c>
      <c r="AY13" s="59" t="str">
        <f>IF(ISBLANK(ETPT_TJ_DDG!$D$5),"",IF(ISERROR(ETPT_TJ!AY13),"",IF(ETPT_TJ!AY13=0,"",ETPT_TJ!AY13)))</f>
        <v/>
      </c>
      <c r="AZ13" s="49">
        <f t="shared" si="4"/>
        <v>0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5"/>
        <v>0</v>
      </c>
    </row>
    <row r="14" spans="1:63" s="44" customFormat="1" ht="14.25" customHeight="1" x14ac:dyDescent="0.15">
      <c r="A14" s="54" t="s">
        <v>53</v>
      </c>
      <c r="B14" s="64"/>
      <c r="C14" s="64"/>
      <c r="D14" s="144" t="str">
        <f t="shared" si="6"/>
        <v/>
      </c>
      <c r="E14" s="64" t="s">
        <v>55</v>
      </c>
      <c r="F14" s="64" t="s">
        <v>54</v>
      </c>
      <c r="G14" s="59" t="str">
        <f>IF(ISBLANK(ETPT_TJ_DDG!$D$5),"",IF(ISERROR(ETPT_TJ!G14),"",IF(ETPT_TJ!G14=0,"",ETPT_TJ!G14)))</f>
        <v/>
      </c>
      <c r="H14" s="49">
        <f t="shared" si="0"/>
        <v>0</v>
      </c>
      <c r="I14" s="59" t="str">
        <f>IF(ISBLANK(ETPT_TJ_DDG!$D$5),"",IF(ISERROR(ETPT_TJ!I14),"",IF(ETPT_TJ!I14=0,"",ETPT_TJ!I14)))</f>
        <v/>
      </c>
      <c r="J14" s="59" t="str">
        <f>IF(ISBLANK(ETPT_TJ_DDG!$D$5),"",IF(ISERROR(ETPT_TJ!J14),"",IF(ETPT_TJ!J14=0,"",ETPT_TJ!J14)))</f>
        <v/>
      </c>
      <c r="K14" s="59" t="str">
        <f>IF(ISBLANK(ETPT_TJ_DDG!$D$5),"",IF(ISERROR(ETPT_TJ!K14),"",IF(ETPT_TJ!K14=0,"",ETPT_TJ!K14)))</f>
        <v/>
      </c>
      <c r="L14" s="59" t="str">
        <f>IF(ISBLANK(ETPT_TJ_DDG!$D$5),"",IF(ISERROR(ETPT_TJ!L14),"",IF(ETPT_TJ!L14=0,"",ETPT_TJ!L14)))</f>
        <v/>
      </c>
      <c r="M14" s="59" t="str">
        <f>IF(ISBLANK(ETPT_TJ_DDG!$D$5),"",IF(ISERROR(ETPT_TJ!M14),"",IF(ETPT_TJ!M14=0,"",ETPT_TJ!M14)))</f>
        <v/>
      </c>
      <c r="N14" s="59" t="str">
        <f>IF(ISBLANK(ETPT_TJ_DDG!$D$5),"",IF(ISERROR(ETPT_TJ!N14),"",IF(ETPT_TJ!N14=0,"",ETPT_TJ!N14)))</f>
        <v/>
      </c>
      <c r="O14" s="59" t="str">
        <f>IF(ISBLANK(ETPT_TJ_DDG!$D$5),"",IF(ISERROR(ETPT_TJ!O14),"",IF(ETPT_TJ!O14=0,"",ETPT_TJ!O14)))</f>
        <v/>
      </c>
      <c r="P14" s="59" t="str">
        <f>IF(ISBLANK(ETPT_TJ_DDG!$D$5),"",IF(ISERROR(ETPT_TJ!P14),"",IF(ETPT_TJ!P14=0,"",ETPT_TJ!P14)))</f>
        <v/>
      </c>
      <c r="Q14" s="59" t="str">
        <f>IF(ISBLANK(ETPT_TJ_DDG!$D$5),"",IF(ISERROR(ETPT_TJ!Q14),"",IF(ETPT_TJ!Q14=0,"",ETPT_TJ!Q14)))</f>
        <v/>
      </c>
      <c r="R14" s="59" t="str">
        <f>IF(ISBLANK(ETPT_TJ_DDG!$D$5),"",IF(ISERROR(ETPT_TJ!R14),"",IF(ETPT_TJ!R14=0,"",ETPT_TJ!R14)))</f>
        <v/>
      </c>
      <c r="S14" s="59" t="str">
        <f>IF(ISBLANK(ETPT_TJ_DDG!$D$5),"",IF(ISERROR(ETPT_TJ!S14),"",IF(ETPT_TJ!S14=0,"",ETPT_TJ!S14)))</f>
        <v/>
      </c>
      <c r="T14" s="59" t="str">
        <f>IF(ISBLANK(ETPT_TJ_DDG!$D$5),"",IF(ISERROR(ETPT_TJ!T14),"",IF(ETPT_TJ!T14=0,"",ETPT_TJ!T14)))</f>
        <v/>
      </c>
      <c r="U14" s="59" t="str">
        <f>IF(ISBLANK(ETPT_TJ_DDG!$D$5),"",IF(ISERROR(ETPT_TJ!U14),"",IF(ETPT_TJ!U14=0,"",ETPT_TJ!U14)))</f>
        <v/>
      </c>
      <c r="V14" s="59" t="str">
        <f>IF(ISBLANK(ETPT_TJ_DDG!$D$5),"",IF(ISERROR(ETPT_TJ!V14),"",IF(ETPT_TJ!V14=0,"",ETPT_TJ!V14)))</f>
        <v/>
      </c>
      <c r="W14" s="49">
        <f t="shared" si="1"/>
        <v>0</v>
      </c>
      <c r="X14" s="59" t="str">
        <f>IF(ISBLANK(ETPT_TJ_DDG!$D$5),"",IF(ISERROR(ETPT_TJ!X14),"",IF(ETPT_TJ!X14=0,"",ETPT_TJ!X14)))</f>
        <v/>
      </c>
      <c r="Y14" s="59" t="str">
        <f>IF(ISBLANK(ETPT_TJ_DDG!$D$5),"",IF(ISERROR(ETPT_TJ!Y14),"",IF(ETPT_TJ!Y14=0,"",ETPT_TJ!Y14)))</f>
        <v/>
      </c>
      <c r="Z14" s="59" t="str">
        <f>IF(ISBLANK(ETPT_TJ_DDG!$D$5),"",IF(ISERROR(ETPT_TJ!Z14),"",IF(ETPT_TJ!Z14=0,"",ETPT_TJ!Z14)))</f>
        <v/>
      </c>
      <c r="AA14" s="59" t="str">
        <f>IF(ISBLANK(ETPT_TJ_DDG!$D$5),"",IF(ISERROR(ETPT_TJ!AA14),"",IF(ETPT_TJ!AA14=0,"",ETPT_TJ!AA14)))</f>
        <v/>
      </c>
      <c r="AB14" s="49">
        <f t="shared" si="2"/>
        <v>0</v>
      </c>
      <c r="AC14" s="59" t="str">
        <f>IF(ISBLANK(ETPT_TJ_DDG!$D$5),"",IF(ISERROR(ETPT_TJ!AC14),"",IF(ETPT_TJ!AC14=0,"",ETPT_TJ!AC14)))</f>
        <v/>
      </c>
      <c r="AD14" s="59" t="str">
        <f>IF(ISBLANK(ETPT_TJ_DDG!$D$5),"",IF(ISERROR(ETPT_TJ!AD14),"",IF(ETPT_TJ!AD14=0,"",ETPT_TJ!AD14)))</f>
        <v/>
      </c>
      <c r="AE14" s="59" t="str">
        <f>IF(ISBLANK(ETPT_TJ_DDG!$D$5),"",IF(ISERROR(ETPT_TJ!AE14),"",IF(ETPT_TJ!AE14=0,"",ETPT_TJ!AE14)))</f>
        <v/>
      </c>
      <c r="AF14" s="59" t="str">
        <f>IF(ISBLANK(ETPT_TJ_DDG!$D$5),"",IF(ISERROR(ETPT_TJ!AF14),"",IF(ETPT_TJ!AF14=0,"",ETPT_TJ!AF14)))</f>
        <v/>
      </c>
      <c r="AG14" s="59" t="str">
        <f>IF(ISBLANK(ETPT_TJ_DDG!$D$5),"",IF(ISERROR(ETPT_TJ!AG14),"",IF(ETPT_TJ!AG14=0,"",ETPT_TJ!AG14)))</f>
        <v/>
      </c>
      <c r="AH14" s="59" t="str">
        <f>IF(ISBLANK(ETPT_TJ_DDG!$D$5),"",IF(ISERROR(ETPT_TJ!AH14),"",IF(ETPT_TJ!AH14=0,"",ETPT_TJ!AH14)))</f>
        <v/>
      </c>
      <c r="AI14" s="59" t="str">
        <f>IF(ISBLANK(ETPT_TJ_DDG!$D$5),"",IF(ISERROR(ETPT_TJ!AI14),"",IF(ETPT_TJ!AI14=0,"",ETPT_TJ!AI14)))</f>
        <v/>
      </c>
      <c r="AJ14" s="59" t="str">
        <f>IF(ISBLANK(ETPT_TJ_DDG!$D$5),"",IF(ISERROR(ETPT_TJ!AJ14),"",IF(ETPT_TJ!AJ14=0,"",ETPT_TJ!AJ14)))</f>
        <v/>
      </c>
      <c r="AK14" s="59" t="str">
        <f>IF(ISBLANK(ETPT_TJ_DDG!$D$5),"",IF(ISERROR(ETPT_TJ!AK14),"",IF(ETPT_TJ!AK14=0,"",ETPT_TJ!AK14)))</f>
        <v/>
      </c>
      <c r="AL14" s="49">
        <f t="shared" si="3"/>
        <v>0</v>
      </c>
      <c r="AM14" s="59" t="str">
        <f>IF(ISBLANK(ETPT_TJ_DDG!$D$5),"",IF(ISERROR(ETPT_TJ!AM14),"",IF(ETPT_TJ!AM14=0,"",ETPT_TJ!AM14)))</f>
        <v/>
      </c>
      <c r="AN14" s="59" t="str">
        <f>IF(ISBLANK(ETPT_TJ_DDG!$D$5),"",IF(ISERROR(ETPT_TJ!AN14),"",IF(ETPT_TJ!AN14=0,"",ETPT_TJ!AN14)))</f>
        <v/>
      </c>
      <c r="AO14" s="59" t="str">
        <f>IF(ISBLANK(ETPT_TJ_DDG!$D$5),"",IF(ISERROR(ETPT_TJ!AO14),"",IF(ETPT_TJ!AO14=0,"",ETPT_TJ!AO14)))</f>
        <v/>
      </c>
      <c r="AP14" s="59" t="str">
        <f>IF(ISBLANK(ETPT_TJ_DDG!$D$5),"",IF(ISERROR(ETPT_TJ!AP14),"",IF(ETPT_TJ!AP14=0,"",ETPT_TJ!AP14)))</f>
        <v/>
      </c>
      <c r="AQ14" s="59" t="str">
        <f>IF(ISBLANK(ETPT_TJ_DDG!$D$5),"",IF(ISERROR(ETPT_TJ!AQ14),"",IF(ETPT_TJ!AQ14=0,"",ETPT_TJ!AQ14)))</f>
        <v/>
      </c>
      <c r="AR14" s="59" t="str">
        <f>IF(ISBLANK(ETPT_TJ_DDG!$D$5),"",IF(ISERROR(ETPT_TJ!AR14),"",IF(ETPT_TJ!AR14=0,"",ETPT_TJ!AR14)))</f>
        <v/>
      </c>
      <c r="AS14" s="59" t="str">
        <f>IF(ISBLANK(ETPT_TJ_DDG!$D$5),"",IF(ISERROR(ETPT_TJ!AS14),"",IF(ETPT_TJ!AS14=0,"",ETPT_TJ!AS14)))</f>
        <v/>
      </c>
      <c r="AT14" s="59" t="str">
        <f>IF(ISBLANK(ETPT_TJ_DDG!$D$5),"",IF(ISERROR(ETPT_TJ!AT14),"",IF(ETPT_TJ!AT14=0,"",ETPT_TJ!AT14)))</f>
        <v/>
      </c>
      <c r="AU14" s="59" t="str">
        <f>IF(ISBLANK(ETPT_TJ_DDG!$D$5),"",IF(ISERROR(ETPT_TJ!AU14),"",IF(ETPT_TJ!AU14=0,"",ETPT_TJ!AU14)))</f>
        <v/>
      </c>
      <c r="AV14" s="59" t="str">
        <f>IF(ISBLANK(ETPT_TJ_DDG!$D$5),"",IF(ISERROR(ETPT_TJ!AV14),"",IF(ETPT_TJ!AV14=0,"",ETPT_TJ!AV14)))</f>
        <v/>
      </c>
      <c r="AW14" s="59" t="str">
        <f>IF(ISBLANK(ETPT_TJ_DDG!$D$5),"",IF(ISERROR(ETPT_TJ!AW14),"",IF(ETPT_TJ!AW14=0,"",ETPT_TJ!AW14)))</f>
        <v/>
      </c>
      <c r="AX14" s="59" t="str">
        <f>IF(ISBLANK(ETPT_TJ_DDG!$D$5),"",IF(ISERROR(ETPT_TJ!AX14),"",IF(ETPT_TJ!AX14=0,"",ETPT_TJ!AX14)))</f>
        <v/>
      </c>
      <c r="AY14" s="59" t="str">
        <f>IF(ISBLANK(ETPT_TJ_DDG!$D$5),"",IF(ISERROR(ETPT_TJ!AY14),"",IF(ETPT_TJ!AY14=0,"",ETPT_TJ!AY14)))</f>
        <v/>
      </c>
      <c r="AZ14" s="49">
        <f t="shared" si="4"/>
        <v>0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5"/>
        <v>0</v>
      </c>
    </row>
    <row r="15" spans="1:63" s="44" customFormat="1" ht="14.25" customHeight="1" x14ac:dyDescent="0.15">
      <c r="A15" s="54" t="s">
        <v>53</v>
      </c>
      <c r="B15" s="64"/>
      <c r="C15" s="64"/>
      <c r="D15" s="144" t="str">
        <f t="shared" si="6"/>
        <v/>
      </c>
      <c r="E15" s="64" t="s">
        <v>52</v>
      </c>
      <c r="F15" s="64" t="s">
        <v>51</v>
      </c>
      <c r="G15" s="59" t="str">
        <f>IF(ISBLANK(ETPT_TJ_DDG!$D$5),"",IF(ISERROR(ETPT_TJ!G15),"",IF(ETPT_TJ!G15=0,"",ETPT_TJ!G15)))</f>
        <v/>
      </c>
      <c r="H15" s="49">
        <f t="shared" si="0"/>
        <v>0</v>
      </c>
      <c r="I15" s="59" t="str">
        <f>IF(ISBLANK(ETPT_TJ_DDG!$D$5),"",IF(ISERROR(ETPT_TJ!I15),"",IF(ETPT_TJ!I15=0,"",ETPT_TJ!I15)))</f>
        <v/>
      </c>
      <c r="J15" s="59" t="str">
        <f>IF(ISBLANK(ETPT_TJ_DDG!$D$5),"",IF(ISERROR(ETPT_TJ!J15),"",IF(ETPT_TJ!J15=0,"",ETPT_TJ!J15)))</f>
        <v/>
      </c>
      <c r="K15" s="59" t="str">
        <f>IF(ISBLANK(ETPT_TJ_DDG!$D$5),"",IF(ISERROR(ETPT_TJ!K15),"",IF(ETPT_TJ!K15=0,"",ETPT_TJ!K15)))</f>
        <v/>
      </c>
      <c r="L15" s="59" t="str">
        <f>IF(ISBLANK(ETPT_TJ_DDG!$D$5),"",IF(ISERROR(ETPT_TJ!L15),"",IF(ETPT_TJ!L15=0,"",ETPT_TJ!L15)))</f>
        <v/>
      </c>
      <c r="M15" s="59" t="str">
        <f>IF(ISBLANK(ETPT_TJ_DDG!$D$5),"",IF(ISERROR(ETPT_TJ!M15),"",IF(ETPT_TJ!M15=0,"",ETPT_TJ!M15)))</f>
        <v/>
      </c>
      <c r="N15" s="59" t="str">
        <f>IF(ISBLANK(ETPT_TJ_DDG!$D$5),"",IF(ISERROR(ETPT_TJ!N15),"",IF(ETPT_TJ!N15=0,"",ETPT_TJ!N15)))</f>
        <v/>
      </c>
      <c r="O15" s="59" t="str">
        <f>IF(ISBLANK(ETPT_TJ_DDG!$D$5),"",IF(ISERROR(ETPT_TJ!O15),"",IF(ETPT_TJ!O15=0,"",ETPT_TJ!O15)))</f>
        <v/>
      </c>
      <c r="P15" s="59" t="str">
        <f>IF(ISBLANK(ETPT_TJ_DDG!$D$5),"",IF(ISERROR(ETPT_TJ!P15),"",IF(ETPT_TJ!P15=0,"",ETPT_TJ!P15)))</f>
        <v/>
      </c>
      <c r="Q15" s="59" t="str">
        <f>IF(ISBLANK(ETPT_TJ_DDG!$D$5),"",IF(ISERROR(ETPT_TJ!Q15),"",IF(ETPT_TJ!Q15=0,"",ETPT_TJ!Q15)))</f>
        <v/>
      </c>
      <c r="R15" s="59" t="str">
        <f>IF(ISBLANK(ETPT_TJ_DDG!$D$5),"",IF(ISERROR(ETPT_TJ!R15),"",IF(ETPT_TJ!R15=0,"",ETPT_TJ!R15)))</f>
        <v/>
      </c>
      <c r="S15" s="59" t="str">
        <f>IF(ISBLANK(ETPT_TJ_DDG!$D$5),"",IF(ISERROR(ETPT_TJ!S15),"",IF(ETPT_TJ!S15=0,"",ETPT_TJ!S15)))</f>
        <v/>
      </c>
      <c r="T15" s="59" t="str">
        <f>IF(ISBLANK(ETPT_TJ_DDG!$D$5),"",IF(ISERROR(ETPT_TJ!T15),"",IF(ETPT_TJ!T15=0,"",ETPT_TJ!T15)))</f>
        <v/>
      </c>
      <c r="U15" s="59" t="str">
        <f>IF(ISBLANK(ETPT_TJ_DDG!$D$5),"",IF(ISERROR(ETPT_TJ!U15),"",IF(ETPT_TJ!U15=0,"",ETPT_TJ!U15)))</f>
        <v/>
      </c>
      <c r="V15" s="59" t="str">
        <f>IF(ISBLANK(ETPT_TJ_DDG!$D$5),"",IF(ISERROR(ETPT_TJ!V15),"",IF(ETPT_TJ!V15=0,"",ETPT_TJ!V15)))</f>
        <v/>
      </c>
      <c r="W15" s="49">
        <f t="shared" si="1"/>
        <v>0</v>
      </c>
      <c r="X15" s="59" t="str">
        <f>IF(ISBLANK(ETPT_TJ_DDG!$D$5),"",IF(ISERROR(ETPT_TJ!X15),"",IF(ETPT_TJ!X15=0,"",ETPT_TJ!X15)))</f>
        <v/>
      </c>
      <c r="Y15" s="59" t="str">
        <f>IF(ISBLANK(ETPT_TJ_DDG!$D$5),"",IF(ISERROR(ETPT_TJ!Y15),"",IF(ETPT_TJ!Y15=0,"",ETPT_TJ!Y15)))</f>
        <v/>
      </c>
      <c r="Z15" s="59" t="str">
        <f>IF(ISBLANK(ETPT_TJ_DDG!$D$5),"",IF(ISERROR(ETPT_TJ!Z15),"",IF(ETPT_TJ!Z15=0,"",ETPT_TJ!Z15)))</f>
        <v/>
      </c>
      <c r="AA15" s="59" t="str">
        <f>IF(ISBLANK(ETPT_TJ_DDG!$D$5),"",IF(ISERROR(ETPT_TJ!AA15),"",IF(ETPT_TJ!AA15=0,"",ETPT_TJ!AA15)))</f>
        <v/>
      </c>
      <c r="AB15" s="49">
        <f t="shared" si="2"/>
        <v>0</v>
      </c>
      <c r="AC15" s="59" t="str">
        <f>IF(ISBLANK(ETPT_TJ_DDG!$D$5),"",IF(ISERROR(ETPT_TJ!AC15),"",IF(ETPT_TJ!AC15=0,"",ETPT_TJ!AC15)))</f>
        <v/>
      </c>
      <c r="AD15" s="59" t="str">
        <f>IF(ISBLANK(ETPT_TJ_DDG!$D$5),"",IF(ISERROR(ETPT_TJ!AD15),"",IF(ETPT_TJ!AD15=0,"",ETPT_TJ!AD15)))</f>
        <v/>
      </c>
      <c r="AE15" s="59" t="str">
        <f>IF(ISBLANK(ETPT_TJ_DDG!$D$5),"",IF(ISERROR(ETPT_TJ!AE15),"",IF(ETPT_TJ!AE15=0,"",ETPT_TJ!AE15)))</f>
        <v/>
      </c>
      <c r="AF15" s="59" t="str">
        <f>IF(ISBLANK(ETPT_TJ_DDG!$D$5),"",IF(ISERROR(ETPT_TJ!AF15),"",IF(ETPT_TJ!AF15=0,"",ETPT_TJ!AF15)))</f>
        <v/>
      </c>
      <c r="AG15" s="59" t="str">
        <f>IF(ISBLANK(ETPT_TJ_DDG!$D$5),"",IF(ISERROR(ETPT_TJ!AG15),"",IF(ETPT_TJ!AG15=0,"",ETPT_TJ!AG15)))</f>
        <v/>
      </c>
      <c r="AH15" s="59" t="str">
        <f>IF(ISBLANK(ETPT_TJ_DDG!$D$5),"",IF(ISERROR(ETPT_TJ!AH15),"",IF(ETPT_TJ!AH15=0,"",ETPT_TJ!AH15)))</f>
        <v/>
      </c>
      <c r="AI15" s="59" t="str">
        <f>IF(ISBLANK(ETPT_TJ_DDG!$D$5),"",IF(ISERROR(ETPT_TJ!AI15),"",IF(ETPT_TJ!AI15=0,"",ETPT_TJ!AI15)))</f>
        <v/>
      </c>
      <c r="AJ15" s="59" t="str">
        <f>IF(ISBLANK(ETPT_TJ_DDG!$D$5),"",IF(ISERROR(ETPT_TJ!AJ15),"",IF(ETPT_TJ!AJ15=0,"",ETPT_TJ!AJ15)))</f>
        <v/>
      </c>
      <c r="AK15" s="59" t="str">
        <f>IF(ISBLANK(ETPT_TJ_DDG!$D$5),"",IF(ISERROR(ETPT_TJ!AK15),"",IF(ETPT_TJ!AK15=0,"",ETPT_TJ!AK15)))</f>
        <v/>
      </c>
      <c r="AL15" s="49">
        <f t="shared" si="3"/>
        <v>0</v>
      </c>
      <c r="AM15" s="59" t="str">
        <f>IF(ISBLANK(ETPT_TJ_DDG!$D$5),"",IF(ISERROR(ETPT_TJ!AM15),"",IF(ETPT_TJ!AM15=0,"",ETPT_TJ!AM15)))</f>
        <v/>
      </c>
      <c r="AN15" s="59" t="str">
        <f>IF(ISBLANK(ETPT_TJ_DDG!$D$5),"",IF(ISERROR(ETPT_TJ!AN15),"",IF(ETPT_TJ!AN15=0,"",ETPT_TJ!AN15)))</f>
        <v/>
      </c>
      <c r="AO15" s="59" t="str">
        <f>IF(ISBLANK(ETPT_TJ_DDG!$D$5),"",IF(ISERROR(ETPT_TJ!AO15),"",IF(ETPT_TJ!AO15=0,"",ETPT_TJ!AO15)))</f>
        <v/>
      </c>
      <c r="AP15" s="59" t="str">
        <f>IF(ISBLANK(ETPT_TJ_DDG!$D$5),"",IF(ISERROR(ETPT_TJ!AP15),"",IF(ETPT_TJ!AP15=0,"",ETPT_TJ!AP15)))</f>
        <v/>
      </c>
      <c r="AQ15" s="59" t="str">
        <f>IF(ISBLANK(ETPT_TJ_DDG!$D$5),"",IF(ISERROR(ETPT_TJ!AQ15),"",IF(ETPT_TJ!AQ15=0,"",ETPT_TJ!AQ15)))</f>
        <v/>
      </c>
      <c r="AR15" s="59" t="str">
        <f>IF(ISBLANK(ETPT_TJ_DDG!$D$5),"",IF(ISERROR(ETPT_TJ!AR15),"",IF(ETPT_TJ!AR15=0,"",ETPT_TJ!AR15)))</f>
        <v/>
      </c>
      <c r="AS15" s="59" t="str">
        <f>IF(ISBLANK(ETPT_TJ_DDG!$D$5),"",IF(ISERROR(ETPT_TJ!AS15),"",IF(ETPT_TJ!AS15=0,"",ETPT_TJ!AS15)))</f>
        <v/>
      </c>
      <c r="AT15" s="59" t="str">
        <f>IF(ISBLANK(ETPT_TJ_DDG!$D$5),"",IF(ISERROR(ETPT_TJ!AT15),"",IF(ETPT_TJ!AT15=0,"",ETPT_TJ!AT15)))</f>
        <v/>
      </c>
      <c r="AU15" s="59" t="str">
        <f>IF(ISBLANK(ETPT_TJ_DDG!$D$5),"",IF(ISERROR(ETPT_TJ!AU15),"",IF(ETPT_TJ!AU15=0,"",ETPT_TJ!AU15)))</f>
        <v/>
      </c>
      <c r="AV15" s="59" t="str">
        <f>IF(ISBLANK(ETPT_TJ_DDG!$D$5),"",IF(ISERROR(ETPT_TJ!AV15),"",IF(ETPT_TJ!AV15=0,"",ETPT_TJ!AV15)))</f>
        <v/>
      </c>
      <c r="AW15" s="59" t="str">
        <f>IF(ISBLANK(ETPT_TJ_DDG!$D$5),"",IF(ISERROR(ETPT_TJ!AW15),"",IF(ETPT_TJ!AW15=0,"",ETPT_TJ!AW15)))</f>
        <v/>
      </c>
      <c r="AX15" s="59" t="str">
        <f>IF(ISBLANK(ETPT_TJ_DDG!$D$5),"",IF(ISERROR(ETPT_TJ!AX15),"",IF(ETPT_TJ!AX15=0,"",ETPT_TJ!AX15)))</f>
        <v/>
      </c>
      <c r="AY15" s="59" t="str">
        <f>IF(ISBLANK(ETPT_TJ_DDG!$D$5),"",IF(ISERROR(ETPT_TJ!AY15),"",IF(ETPT_TJ!AY15=0,"",ETPT_TJ!AY15)))</f>
        <v/>
      </c>
      <c r="AZ15" s="49">
        <f t="shared" si="4"/>
        <v>0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5"/>
        <v>0</v>
      </c>
    </row>
    <row r="16" spans="1:63" s="44" customFormat="1" ht="14.25" customHeight="1" x14ac:dyDescent="0.15">
      <c r="A16" s="54"/>
      <c r="B16" s="53"/>
      <c r="C16" s="53"/>
      <c r="D16" s="53"/>
      <c r="E16" s="53"/>
      <c r="F16" s="52" t="s">
        <v>50</v>
      </c>
      <c r="G16" s="50">
        <f t="shared" ref="G16:AL16" si="7">SUM(G5:G15)</f>
        <v>0</v>
      </c>
      <c r="H16" s="49">
        <f t="shared" si="7"/>
        <v>0</v>
      </c>
      <c r="I16" s="50">
        <f t="shared" si="7"/>
        <v>0</v>
      </c>
      <c r="J16" s="50">
        <f t="shared" si="7"/>
        <v>0</v>
      </c>
      <c r="K16" s="50">
        <f t="shared" si="7"/>
        <v>0</v>
      </c>
      <c r="L16" s="50">
        <f t="shared" si="7"/>
        <v>0</v>
      </c>
      <c r="M16" s="50">
        <f t="shared" si="7"/>
        <v>0</v>
      </c>
      <c r="N16" s="50">
        <f t="shared" si="7"/>
        <v>0</v>
      </c>
      <c r="O16" s="50">
        <f t="shared" si="7"/>
        <v>0</v>
      </c>
      <c r="P16" s="50">
        <f t="shared" si="7"/>
        <v>0</v>
      </c>
      <c r="Q16" s="50">
        <f t="shared" si="7"/>
        <v>0</v>
      </c>
      <c r="R16" s="50">
        <f t="shared" si="7"/>
        <v>0</v>
      </c>
      <c r="S16" s="50">
        <f t="shared" si="7"/>
        <v>0</v>
      </c>
      <c r="T16" s="50">
        <f t="shared" si="7"/>
        <v>0</v>
      </c>
      <c r="U16" s="50">
        <f t="shared" si="7"/>
        <v>0</v>
      </c>
      <c r="V16" s="50">
        <f t="shared" si="7"/>
        <v>0</v>
      </c>
      <c r="W16" s="49">
        <f t="shared" si="7"/>
        <v>0</v>
      </c>
      <c r="X16" s="50">
        <f t="shared" si="7"/>
        <v>0</v>
      </c>
      <c r="Y16" s="50">
        <f t="shared" si="7"/>
        <v>0</v>
      </c>
      <c r="Z16" s="50">
        <f t="shared" si="7"/>
        <v>0</v>
      </c>
      <c r="AA16" s="50">
        <f t="shared" si="7"/>
        <v>0</v>
      </c>
      <c r="AB16" s="49">
        <f t="shared" si="7"/>
        <v>0</v>
      </c>
      <c r="AC16" s="50">
        <f t="shared" si="7"/>
        <v>0</v>
      </c>
      <c r="AD16" s="50">
        <f t="shared" si="7"/>
        <v>0</v>
      </c>
      <c r="AE16" s="50">
        <f t="shared" si="7"/>
        <v>0</v>
      </c>
      <c r="AF16" s="50">
        <f t="shared" si="7"/>
        <v>0</v>
      </c>
      <c r="AG16" s="50">
        <f t="shared" si="7"/>
        <v>0</v>
      </c>
      <c r="AH16" s="50">
        <f t="shared" si="7"/>
        <v>0</v>
      </c>
      <c r="AI16" s="50">
        <f t="shared" si="7"/>
        <v>0</v>
      </c>
      <c r="AJ16" s="50">
        <f t="shared" si="7"/>
        <v>0</v>
      </c>
      <c r="AK16" s="50">
        <f t="shared" si="7"/>
        <v>0</v>
      </c>
      <c r="AL16" s="49">
        <f t="shared" si="7"/>
        <v>0</v>
      </c>
      <c r="AM16" s="50">
        <f t="shared" ref="AM16:BJ16" si="8">SUM(AM5:AM15)</f>
        <v>0</v>
      </c>
      <c r="AN16" s="50">
        <f t="shared" si="8"/>
        <v>0</v>
      </c>
      <c r="AO16" s="50">
        <f t="shared" si="8"/>
        <v>0</v>
      </c>
      <c r="AP16" s="50">
        <f t="shared" si="8"/>
        <v>0</v>
      </c>
      <c r="AQ16" s="50">
        <f t="shared" si="8"/>
        <v>0</v>
      </c>
      <c r="AR16" s="50">
        <f t="shared" si="8"/>
        <v>0</v>
      </c>
      <c r="AS16" s="50">
        <f t="shared" si="8"/>
        <v>0</v>
      </c>
      <c r="AT16" s="50">
        <f t="shared" si="8"/>
        <v>0</v>
      </c>
      <c r="AU16" s="50">
        <f t="shared" si="8"/>
        <v>0</v>
      </c>
      <c r="AV16" s="50">
        <f t="shared" si="8"/>
        <v>0</v>
      </c>
      <c r="AW16" s="50">
        <f t="shared" si="8"/>
        <v>0</v>
      </c>
      <c r="AX16" s="50">
        <f t="shared" si="8"/>
        <v>0</v>
      </c>
      <c r="AY16" s="50">
        <f t="shared" si="8"/>
        <v>0</v>
      </c>
      <c r="AZ16" s="49">
        <f t="shared" si="8"/>
        <v>0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4:52" ht="17" thickBot="1" x14ac:dyDescent="0.25">
      <c r="W17" s="43"/>
      <c r="AZ17" s="43"/>
    </row>
    <row r="18" spans="4:52" ht="18" thickTop="1" thickBot="1" x14ac:dyDescent="0.25">
      <c r="D18" s="160" t="s">
        <v>185</v>
      </c>
      <c r="E18" s="162"/>
      <c r="F18" s="162"/>
      <c r="G18" s="162"/>
      <c r="H18" s="162"/>
      <c r="I18" s="163"/>
      <c r="W18" s="293" t="e">
        <f>H16+W16-W14-H14-H15-W15+ETPT_CPH!G5-H12-H13-W12-W13</f>
        <v>#N/A</v>
      </c>
      <c r="AZ18" s="293">
        <f>AZ16+AL16-AZ14-AL14-AZ13-AZ12-AL13-AL12</f>
        <v>0</v>
      </c>
    </row>
    <row r="19" spans="4:52" ht="17" thickTop="1" x14ac:dyDescent="0.2"/>
    <row r="20" spans="4:52" ht="28" x14ac:dyDescent="0.2">
      <c r="F20" s="305" t="s">
        <v>402</v>
      </c>
      <c r="G20" s="236" t="str">
        <f>IF(ISBLANK(ETPT_TJ_DDG!$D$5),"",IF(ISERROR(ETPT_TJ!G20),"",IF(ETPT_TJ!G20=0,"",ETPT_TJ!G20)))</f>
        <v/>
      </c>
      <c r="U20" s="306" t="s">
        <v>404</v>
      </c>
      <c r="V20" s="236" t="str">
        <f>IF(ISBLANK(ETPT_TJ_DDG!$D$5),"",IF(ISERROR(ETPT_TJ!V20),"",IF(ETPT_TJ!V20=0,"",ETPT_TJ!V20)))</f>
        <v/>
      </c>
      <c r="AH20" s="41"/>
      <c r="AX20" s="304" t="s">
        <v>400</v>
      </c>
      <c r="AY20" s="178" t="str">
        <f>IF(ISBLANK(ETPT_TJ_DDG!$D$5),"",IF(ISERROR(ETPT_TJ!AY20),"",IF(ETPT_TJ!AY20=0,"",ETPT_TJ!AY20)))</f>
        <v/>
      </c>
    </row>
    <row r="21" spans="4:52" x14ac:dyDescent="0.2">
      <c r="E21" s="42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60" sqref="D60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231</v>
      </c>
      <c r="B1" s="5"/>
      <c r="C1" s="5"/>
      <c r="D1" s="3" t="s">
        <v>235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7" t="s">
        <v>181</v>
      </c>
      <c r="J2" s="87" t="s">
        <v>181</v>
      </c>
      <c r="K2" s="87" t="s">
        <v>181</v>
      </c>
      <c r="L2" s="87" t="s">
        <v>181</v>
      </c>
      <c r="M2" s="87" t="s">
        <v>181</v>
      </c>
      <c r="N2" s="87" t="s">
        <v>181</v>
      </c>
      <c r="O2" s="87" t="s">
        <v>181</v>
      </c>
      <c r="P2" s="87" t="s">
        <v>181</v>
      </c>
      <c r="Q2" s="87" t="s">
        <v>181</v>
      </c>
      <c r="R2" s="87" t="s">
        <v>181</v>
      </c>
      <c r="S2" s="346" t="s">
        <v>180</v>
      </c>
      <c r="T2" s="87" t="s">
        <v>45</v>
      </c>
      <c r="U2" s="346" t="s">
        <v>179</v>
      </c>
      <c r="V2" s="87" t="s">
        <v>178</v>
      </c>
      <c r="W2" s="87" t="s">
        <v>178</v>
      </c>
      <c r="X2" s="87" t="s">
        <v>178</v>
      </c>
      <c r="Y2" s="87" t="s">
        <v>178</v>
      </c>
      <c r="Z2" s="87" t="s">
        <v>178</v>
      </c>
      <c r="AA2" s="87" t="s">
        <v>178</v>
      </c>
      <c r="AB2" s="87" t="s">
        <v>178</v>
      </c>
      <c r="AC2" s="87" t="s">
        <v>178</v>
      </c>
      <c r="AD2" s="87" t="s">
        <v>178</v>
      </c>
      <c r="AE2" s="346" t="s">
        <v>227</v>
      </c>
      <c r="AF2" s="87" t="s">
        <v>226</v>
      </c>
      <c r="AG2" s="87" t="s">
        <v>226</v>
      </c>
      <c r="AH2" s="87" t="s">
        <v>226</v>
      </c>
      <c r="AI2" s="346" t="s">
        <v>225</v>
      </c>
    </row>
    <row r="3" spans="1:62" ht="36" x14ac:dyDescent="0.2">
      <c r="A3" s="90"/>
      <c r="B3" s="90"/>
      <c r="C3" s="90"/>
      <c r="D3" s="90"/>
      <c r="E3" s="90"/>
      <c r="F3" s="90"/>
      <c r="G3" s="87" t="s">
        <v>172</v>
      </c>
      <c r="H3" s="346"/>
      <c r="I3" s="87" t="s">
        <v>224</v>
      </c>
      <c r="J3" s="87" t="s">
        <v>223</v>
      </c>
      <c r="K3" s="87" t="s">
        <v>222</v>
      </c>
      <c r="L3" s="87" t="s">
        <v>221</v>
      </c>
      <c r="M3" s="87" t="s">
        <v>220</v>
      </c>
      <c r="N3" s="87" t="s">
        <v>219</v>
      </c>
      <c r="O3" s="87" t="s">
        <v>218</v>
      </c>
      <c r="P3" s="87" t="s">
        <v>217</v>
      </c>
      <c r="Q3" s="87" t="s">
        <v>216</v>
      </c>
      <c r="R3" s="87" t="s">
        <v>159</v>
      </c>
      <c r="S3" s="346"/>
      <c r="T3" s="87" t="s">
        <v>156</v>
      </c>
      <c r="U3" s="346"/>
      <c r="V3" s="87" t="s">
        <v>215</v>
      </c>
      <c r="W3" s="87" t="s">
        <v>214</v>
      </c>
      <c r="X3" s="87" t="s">
        <v>213</v>
      </c>
      <c r="Y3" s="87" t="s">
        <v>212</v>
      </c>
      <c r="Z3" s="87" t="s">
        <v>211</v>
      </c>
      <c r="AA3" s="87" t="s">
        <v>210</v>
      </c>
      <c r="AB3" s="87" t="s">
        <v>209</v>
      </c>
      <c r="AC3" s="87" t="s">
        <v>208</v>
      </c>
      <c r="AD3" s="87" t="s">
        <v>207</v>
      </c>
      <c r="AE3" s="346"/>
      <c r="AF3" s="87" t="s">
        <v>206</v>
      </c>
      <c r="AG3" s="87" t="s">
        <v>142</v>
      </c>
      <c r="AH3" s="87" t="s">
        <v>136</v>
      </c>
      <c r="AI3" s="346"/>
    </row>
    <row r="4" spans="1:62" ht="60" x14ac:dyDescent="0.2">
      <c r="A4" s="90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7" t="s">
        <v>205</v>
      </c>
      <c r="J4" s="87" t="s">
        <v>204</v>
      </c>
      <c r="K4" s="87" t="s">
        <v>203</v>
      </c>
      <c r="L4" s="87" t="s">
        <v>202</v>
      </c>
      <c r="M4" s="87" t="s">
        <v>201</v>
      </c>
      <c r="N4" s="87" t="s">
        <v>200</v>
      </c>
      <c r="O4" s="87" t="s">
        <v>199</v>
      </c>
      <c r="P4" s="87" t="s">
        <v>198</v>
      </c>
      <c r="Q4" s="87" t="s">
        <v>197</v>
      </c>
      <c r="R4" s="87" t="s">
        <v>108</v>
      </c>
      <c r="S4" s="346"/>
      <c r="T4" s="87" t="s">
        <v>104</v>
      </c>
      <c r="U4" s="346"/>
      <c r="V4" s="87" t="s">
        <v>196</v>
      </c>
      <c r="W4" s="87" t="s">
        <v>195</v>
      </c>
      <c r="X4" s="87" t="s">
        <v>194</v>
      </c>
      <c r="Y4" s="87" t="s">
        <v>193</v>
      </c>
      <c r="Z4" s="87" t="s">
        <v>192</v>
      </c>
      <c r="AA4" s="87" t="s">
        <v>191</v>
      </c>
      <c r="AB4" s="87" t="s">
        <v>190</v>
      </c>
      <c r="AC4" s="87" t="s">
        <v>189</v>
      </c>
      <c r="AD4" s="87" t="s">
        <v>188</v>
      </c>
      <c r="AE4" s="346"/>
      <c r="AF4" s="87" t="s">
        <v>187</v>
      </c>
      <c r="AG4" s="87" t="s">
        <v>89</v>
      </c>
      <c r="AH4" s="87" t="s">
        <v>83</v>
      </c>
      <c r="AI4" s="346"/>
    </row>
    <row r="5" spans="1:62" x14ac:dyDescent="0.2">
      <c r="A5" s="93" t="s">
        <v>186</v>
      </c>
      <c r="B5" s="65"/>
      <c r="C5" s="65"/>
      <c r="D5" s="124"/>
      <c r="E5" s="65" t="s">
        <v>73</v>
      </c>
      <c r="F5" s="65" t="s">
        <v>72</v>
      </c>
      <c r="G5" s="72" t="str">
        <f>IF(ISBLANK(ETPT_TPRX_DDG!$D$5),"",IF(ISERROR(ETPT_TPRX!G5),"",IF(ETPT_TPRX!G5=0,"",ETPT_TPRX!G5)))</f>
        <v/>
      </c>
      <c r="H5" s="49">
        <f t="shared" ref="H5:H15" si="0">SUM(G5)</f>
        <v>0</v>
      </c>
      <c r="I5" s="72" t="str">
        <f>IF(ISBLANK(ETPT_TPRX_DDG!$D$5),"",IF(ISERROR(ETPT_TPRX!I5),"",IF(ETPT_TPRX!I5=0,"",ETPT_TPRX!I5)))</f>
        <v/>
      </c>
      <c r="J5" s="72" t="str">
        <f>IF(ISBLANK(ETPT_TPRX_DDG!$D$5),"",IF(ISERROR(ETPT_TPRX!J5),"",IF(ETPT_TPRX!J5=0,"",ETPT_TPRX!J5)))</f>
        <v/>
      </c>
      <c r="K5" s="72" t="str">
        <f>IF(ISBLANK(ETPT_TPRX_DDG!$D$5),"",IF(ISERROR(ETPT_TPRX!K5),"",IF(ETPT_TPRX!K5=0,"",ETPT_TPRX!K5)))</f>
        <v/>
      </c>
      <c r="L5" s="72" t="str">
        <f>IF(ISBLANK(ETPT_TPRX_DDG!$D$5),"",IF(ISERROR(ETPT_TPRX!L5),"",IF(ETPT_TPRX!L5=0,"",ETPT_TPRX!L5)))</f>
        <v/>
      </c>
      <c r="M5" s="72" t="str">
        <f>IF(ISBLANK(ETPT_TPRX_DDG!$D$5),"",IF(ISERROR(ETPT_TPRX!M5),"",IF(ETPT_TPRX!M5=0,"",ETPT_TPRX!M5)))</f>
        <v/>
      </c>
      <c r="N5" s="72" t="str">
        <f>IF(ISBLANK(ETPT_TPRX_DDG!$D$5),"",IF(ISERROR(ETPT_TPRX!N5),"",IF(ETPT_TPRX!N5=0,"",ETPT_TPRX!N5)))</f>
        <v/>
      </c>
      <c r="O5" s="72" t="str">
        <f>IF(ISBLANK(ETPT_TPRX_DDG!$D$5),"",IF(ISERROR(ETPT_TPRX!O5),"",IF(ETPT_TPRX!O5=0,"",ETPT_TPRX!O5)))</f>
        <v/>
      </c>
      <c r="P5" s="72" t="str">
        <f>IF(ISBLANK(ETPT_TPRX_DDG!$D$5),"",IF(ISERROR(ETPT_TPRX!P5),"",IF(ETPT_TPRX!P5=0,"",ETPT_TPRX!P5)))</f>
        <v/>
      </c>
      <c r="Q5" s="72" t="str">
        <f>IF(ISBLANK(ETPT_TPRX_DDG!$D$5),"",IF(ISERROR(ETPT_TPRX!Q5),"",IF(ETPT_TPRX!Q5=0,"",ETPT_TPRX!Q5)))</f>
        <v/>
      </c>
      <c r="R5" s="72" t="str">
        <f>IF(ISBLANK(ETPT_TPRX_DDG!$D$5),"",IF(ISERROR(ETPT_TPRX!R5),"",IF(ETPT_TPRX!R5=0,"",ETPT_TPRX!R5)))</f>
        <v/>
      </c>
      <c r="S5" s="49">
        <f t="shared" ref="S5:S15" si="1">SUM(I5:R5)</f>
        <v>0</v>
      </c>
      <c r="T5" s="72" t="str">
        <f>IF(ISBLANK(ETPT_TPRX_DDG!$D$5),"",IF(ISERROR(ETPT_TPRX!T5),"",IF(ETPT_TPRX!T5=0,"",ETPT_TPRX!T5)))</f>
        <v/>
      </c>
      <c r="U5" s="49">
        <f t="shared" ref="U5:U15" si="2">SUM(T5)</f>
        <v>0</v>
      </c>
      <c r="V5" s="72" t="str">
        <f>IF(ISBLANK(ETPT_TPRX_DDG!$D$5),"",IF(ISERROR(ETPT_TPRX!V5),"",IF(ETPT_TPRX!V5=0,"",ETPT_TPRX!V5)))</f>
        <v/>
      </c>
      <c r="W5" s="72" t="str">
        <f>IF(ISBLANK(ETPT_TPRX_DDG!$D$5),"",IF(ISERROR(ETPT_TPRX!W5),"",IF(ETPT_TPRX!W5=0,"",ETPT_TPRX!W5)))</f>
        <v/>
      </c>
      <c r="X5" s="72" t="str">
        <f>IF(ISBLANK(ETPT_TPRX_DDG!$D$5),"",IF(ISERROR(ETPT_TPRX!X5),"",IF(ETPT_TPRX!X5=0,"",ETPT_TPRX!X5)))</f>
        <v/>
      </c>
      <c r="Y5" s="72" t="str">
        <f>IF(ISBLANK(ETPT_TPRX_DDG!$D$5),"",IF(ISERROR(ETPT_TPRX!Y5),"",IF(ETPT_TPRX!Y5=0,"",ETPT_TPRX!Y5)))</f>
        <v/>
      </c>
      <c r="Z5" s="72" t="str">
        <f>IF(ISBLANK(ETPT_TPRX_DDG!$D$5),"",IF(ISERROR(ETPT_TPRX!Z5),"",IF(ETPT_TPRX!Z5=0,"",ETPT_TPRX!Z5)))</f>
        <v/>
      </c>
      <c r="AA5" s="72" t="str">
        <f>IF(ISBLANK(ETPT_TPRX_DDG!$D$5),"",IF(ISERROR(ETPT_TPRX!AA5),"",IF(ETPT_TPRX!AA5=0,"",ETPT_TPRX!AA5)))</f>
        <v/>
      </c>
      <c r="AB5" s="72" t="str">
        <f>IF(ISBLANK(ETPT_TPRX_DDG!$D$5),"",IF(ISERROR(ETPT_TPRX!AB5),"",IF(ETPT_TPRX!AB5=0,"",ETPT_TPRX!AB5)))</f>
        <v/>
      </c>
      <c r="AC5" s="72" t="str">
        <f>IF(ISBLANK(ETPT_TPRX_DDG!$D$5),"",IF(ISERROR(ETPT_TPRX!AC5),"",IF(ETPT_TPRX!AC5=0,"",ETPT_TPRX!AC5)))</f>
        <v/>
      </c>
      <c r="AD5" s="72" t="str">
        <f>IF(ISBLANK(ETPT_TPRX_DDG!$D$5),"",IF(ISERROR(ETPT_TPRX!AD5),"",IF(ETPT_TPRX!AD5=0,"",ETPT_TPRX!AD5)))</f>
        <v/>
      </c>
      <c r="AE5" s="49">
        <f t="shared" ref="AE5:AE15" si="3">SUM(V5:AD5)</f>
        <v>0</v>
      </c>
      <c r="AF5" s="72" t="str">
        <f>IF(ISBLANK(ETPT_TPRX_DDG!$D$5),"",IF(ISERROR(ETPT_TPRX!AF5),"",IF(ETPT_TPRX!AF5=0,"",ETPT_TPRX!AF5)))</f>
        <v/>
      </c>
      <c r="AG5" s="72" t="str">
        <f>IF(ISBLANK(ETPT_TPRX_DDG!$D$5),"",IF(ISERROR(ETPT_TPRX!AG5),"",IF(ETPT_TPRX!AG5=0,"",ETPT_TPRX!AG5)))</f>
        <v/>
      </c>
      <c r="AH5" s="72" t="str">
        <f>IF(ISBLANK(ETPT_TPRX_DDG!$D$5),"",IF(ISERROR(ETPT_TPRX!AH5),"",IF(ETPT_TPRX!AH5=0,"",ETPT_TPRX!AH5)))</f>
        <v/>
      </c>
      <c r="AI5" s="49">
        <f t="shared" ref="AI5:AI15" si="4">SUM(AF5:AH5)</f>
        <v>0</v>
      </c>
    </row>
    <row r="6" spans="1:62" x14ac:dyDescent="0.2">
      <c r="A6" s="93" t="s">
        <v>186</v>
      </c>
      <c r="B6" s="65"/>
      <c r="C6" s="65"/>
      <c r="D6" s="65" t="str">
        <f t="shared" ref="D6:D15" si="5">IF(ISBLANK($D$5),"",$D$5)</f>
        <v/>
      </c>
      <c r="E6" s="65" t="s">
        <v>71</v>
      </c>
      <c r="F6" s="65" t="s">
        <v>70</v>
      </c>
      <c r="G6" s="72" t="str">
        <f>IF(ISBLANK(ETPT_TPRX_DDG!$D$5),"",IF(ISERROR(ETPT_TPRX!G6),"",IF(ETPT_TPRX!G6=0,"",ETPT_TPRX!G6)))</f>
        <v/>
      </c>
      <c r="H6" s="49">
        <f t="shared" si="0"/>
        <v>0</v>
      </c>
      <c r="I6" s="72" t="str">
        <f>IF(ISBLANK(ETPT_TPRX_DDG!$D$5),"",IF(ISERROR(ETPT_TPRX!I6),"",IF(ETPT_TPRX!I6=0,"",ETPT_TPRX!I6)))</f>
        <v/>
      </c>
      <c r="J6" s="72" t="str">
        <f>IF(ISBLANK(ETPT_TPRX_DDG!$D$5),"",IF(ISERROR(ETPT_TPRX!J6),"",IF(ETPT_TPRX!J6=0,"",ETPT_TPRX!J6)))</f>
        <v/>
      </c>
      <c r="K6" s="72" t="str">
        <f>IF(ISBLANK(ETPT_TPRX_DDG!$D$5),"",IF(ISERROR(ETPT_TPRX!K6),"",IF(ETPT_TPRX!K6=0,"",ETPT_TPRX!K6)))</f>
        <v/>
      </c>
      <c r="L6" s="72" t="str">
        <f>IF(ISBLANK(ETPT_TPRX_DDG!$D$5),"",IF(ISERROR(ETPT_TPRX!L6),"",IF(ETPT_TPRX!L6=0,"",ETPT_TPRX!L6)))</f>
        <v/>
      </c>
      <c r="M6" s="72" t="str">
        <f>IF(ISBLANK(ETPT_TPRX_DDG!$D$5),"",IF(ISERROR(ETPT_TPRX!M6),"",IF(ETPT_TPRX!M6=0,"",ETPT_TPRX!M6)))</f>
        <v/>
      </c>
      <c r="N6" s="72" t="str">
        <f>IF(ISBLANK(ETPT_TPRX_DDG!$D$5),"",IF(ISERROR(ETPT_TPRX!N6),"",IF(ETPT_TPRX!N6=0,"",ETPT_TPRX!N6)))</f>
        <v/>
      </c>
      <c r="O6" s="72" t="str">
        <f>IF(ISBLANK(ETPT_TPRX_DDG!$D$5),"",IF(ISERROR(ETPT_TPRX!O6),"",IF(ETPT_TPRX!O6=0,"",ETPT_TPRX!O6)))</f>
        <v/>
      </c>
      <c r="P6" s="72" t="str">
        <f>IF(ISBLANK(ETPT_TPRX_DDG!$D$5),"",IF(ISERROR(ETPT_TPRX!P6),"",IF(ETPT_TPRX!P6=0,"",ETPT_TPRX!P6)))</f>
        <v/>
      </c>
      <c r="Q6" s="72" t="str">
        <f>IF(ISBLANK(ETPT_TPRX_DDG!$D$5),"",IF(ISERROR(ETPT_TPRX!Q6),"",IF(ETPT_TPRX!Q6=0,"",ETPT_TPRX!Q6)))</f>
        <v/>
      </c>
      <c r="R6" s="72" t="str">
        <f>IF(ISBLANK(ETPT_TPRX_DDG!$D$5),"",IF(ISERROR(ETPT_TPRX!R6),"",IF(ETPT_TPRX!R6=0,"",ETPT_TPRX!R6)))</f>
        <v/>
      </c>
      <c r="S6" s="49">
        <f t="shared" si="1"/>
        <v>0</v>
      </c>
      <c r="T6" s="72" t="str">
        <f>IF(ISBLANK(ETPT_TPRX_DDG!$D$5),"",IF(ISERROR(ETPT_TPRX!T6),"",IF(ETPT_TPRX!T6=0,"",ETPT_TPRX!T6)))</f>
        <v/>
      </c>
      <c r="U6" s="49">
        <f t="shared" si="2"/>
        <v>0</v>
      </c>
      <c r="V6" s="72" t="str">
        <f>IF(ISBLANK(ETPT_TPRX_DDG!$D$5),"",IF(ISERROR(ETPT_TPRX!V6),"",IF(ETPT_TPRX!V6=0,"",ETPT_TPRX!V6)))</f>
        <v/>
      </c>
      <c r="W6" s="72" t="str">
        <f>IF(ISBLANK(ETPT_TPRX_DDG!$D$5),"",IF(ISERROR(ETPT_TPRX!W6),"",IF(ETPT_TPRX!W6=0,"",ETPT_TPRX!W6)))</f>
        <v/>
      </c>
      <c r="X6" s="72" t="str">
        <f>IF(ISBLANK(ETPT_TPRX_DDG!$D$5),"",IF(ISERROR(ETPT_TPRX!X6),"",IF(ETPT_TPRX!X6=0,"",ETPT_TPRX!X6)))</f>
        <v/>
      </c>
      <c r="Y6" s="72" t="str">
        <f>IF(ISBLANK(ETPT_TPRX_DDG!$D$5),"",IF(ISERROR(ETPT_TPRX!Y6),"",IF(ETPT_TPRX!Y6=0,"",ETPT_TPRX!Y6)))</f>
        <v/>
      </c>
      <c r="Z6" s="72" t="str">
        <f>IF(ISBLANK(ETPT_TPRX_DDG!$D$5),"",IF(ISERROR(ETPT_TPRX!Z6),"",IF(ETPT_TPRX!Z6=0,"",ETPT_TPRX!Z6)))</f>
        <v/>
      </c>
      <c r="AA6" s="72" t="str">
        <f>IF(ISBLANK(ETPT_TPRX_DDG!$D$5),"",IF(ISERROR(ETPT_TPRX!AA6),"",IF(ETPT_TPRX!AA6=0,"",ETPT_TPRX!AA6)))</f>
        <v/>
      </c>
      <c r="AB6" s="72" t="str">
        <f>IF(ISBLANK(ETPT_TPRX_DDG!$D$5),"",IF(ISERROR(ETPT_TPRX!AB6),"",IF(ETPT_TPRX!AB6=0,"",ETPT_TPRX!AB6)))</f>
        <v/>
      </c>
      <c r="AC6" s="72" t="str">
        <f>IF(ISBLANK(ETPT_TPRX_DDG!$D$5),"",IF(ISERROR(ETPT_TPRX!AC6),"",IF(ETPT_TPRX!AC6=0,"",ETPT_TPRX!AC6)))</f>
        <v/>
      </c>
      <c r="AD6" s="72" t="str">
        <f>IF(ISBLANK(ETPT_TPRX_DDG!$D$5),"",IF(ISERROR(ETPT_TPRX!AD6),"",IF(ETPT_TPRX!AD6=0,"",ETPT_TPRX!AD6)))</f>
        <v/>
      </c>
      <c r="AE6" s="49">
        <f t="shared" si="3"/>
        <v>0</v>
      </c>
      <c r="AF6" s="72" t="str">
        <f>IF(ISBLANK(ETPT_TPRX_DDG!$D$5),"",IF(ISERROR(ETPT_TPRX!AF6),"",IF(ETPT_TPRX!AF6=0,"",ETPT_TPRX!AF6)))</f>
        <v/>
      </c>
      <c r="AG6" s="72" t="str">
        <f>IF(ISBLANK(ETPT_TPRX_DDG!$D$5),"",IF(ISERROR(ETPT_TPRX!AG6),"",IF(ETPT_TPRX!AG6=0,"",ETPT_TPRX!AG6)))</f>
        <v/>
      </c>
      <c r="AH6" s="72" t="str">
        <f>IF(ISBLANK(ETPT_TPRX_DDG!$D$5),"",IF(ISERROR(ETPT_TPRX!AH6),"",IF(ETPT_TPRX!AH6=0,"",ETPT_TPRX!AH6)))</f>
        <v/>
      </c>
      <c r="AI6" s="49">
        <f t="shared" si="4"/>
        <v>0</v>
      </c>
    </row>
    <row r="7" spans="1:62" x14ac:dyDescent="0.2">
      <c r="A7" s="93" t="s">
        <v>186</v>
      </c>
      <c r="B7" s="65"/>
      <c r="C7" s="65"/>
      <c r="D7" s="65" t="str">
        <f t="shared" si="5"/>
        <v/>
      </c>
      <c r="E7" s="65" t="s">
        <v>69</v>
      </c>
      <c r="F7" s="65" t="s">
        <v>68</v>
      </c>
      <c r="G7" s="72" t="str">
        <f>IF(ISBLANK(ETPT_TPRX_DDG!$D$5),"",IF(ISERROR(ETPT_TPRX!G7),"",IF(ETPT_TPRX!G7=0,"",ETPT_TPRX!G7)))</f>
        <v/>
      </c>
      <c r="H7" s="49">
        <f t="shared" si="0"/>
        <v>0</v>
      </c>
      <c r="I7" s="72" t="str">
        <f>IF(ISBLANK(ETPT_TPRX_DDG!$D$5),"",IF(ISERROR(ETPT_TPRX!I7),"",IF(ETPT_TPRX!I7=0,"",ETPT_TPRX!I7)))</f>
        <v/>
      </c>
      <c r="J7" s="72" t="str">
        <f>IF(ISBLANK(ETPT_TPRX_DDG!$D$5),"",IF(ISERROR(ETPT_TPRX!J7),"",IF(ETPT_TPRX!J7=0,"",ETPT_TPRX!J7)))</f>
        <v/>
      </c>
      <c r="K7" s="72" t="str">
        <f>IF(ISBLANK(ETPT_TPRX_DDG!$D$5),"",IF(ISERROR(ETPT_TPRX!K7),"",IF(ETPT_TPRX!K7=0,"",ETPT_TPRX!K7)))</f>
        <v/>
      </c>
      <c r="L7" s="72" t="str">
        <f>IF(ISBLANK(ETPT_TPRX_DDG!$D$5),"",IF(ISERROR(ETPT_TPRX!L7),"",IF(ETPT_TPRX!L7=0,"",ETPT_TPRX!L7)))</f>
        <v/>
      </c>
      <c r="M7" s="72" t="str">
        <f>IF(ISBLANK(ETPT_TPRX_DDG!$D$5),"",IF(ISERROR(ETPT_TPRX!M7),"",IF(ETPT_TPRX!M7=0,"",ETPT_TPRX!M7)))</f>
        <v/>
      </c>
      <c r="N7" s="72" t="str">
        <f>IF(ISBLANK(ETPT_TPRX_DDG!$D$5),"",IF(ISERROR(ETPT_TPRX!N7),"",IF(ETPT_TPRX!N7=0,"",ETPT_TPRX!N7)))</f>
        <v/>
      </c>
      <c r="O7" s="72" t="str">
        <f>IF(ISBLANK(ETPT_TPRX_DDG!$D$5),"",IF(ISERROR(ETPT_TPRX!O7),"",IF(ETPT_TPRX!O7=0,"",ETPT_TPRX!O7)))</f>
        <v/>
      </c>
      <c r="P7" s="72" t="str">
        <f>IF(ISBLANK(ETPT_TPRX_DDG!$D$5),"",IF(ISERROR(ETPT_TPRX!P7),"",IF(ETPT_TPRX!P7=0,"",ETPT_TPRX!P7)))</f>
        <v/>
      </c>
      <c r="Q7" s="72" t="str">
        <f>IF(ISBLANK(ETPT_TPRX_DDG!$D$5),"",IF(ISERROR(ETPT_TPRX!Q7),"",IF(ETPT_TPRX!Q7=0,"",ETPT_TPRX!Q7)))</f>
        <v/>
      </c>
      <c r="R7" s="72" t="str">
        <f>IF(ISBLANK(ETPT_TPRX_DDG!$D$5),"",IF(ISERROR(ETPT_TPRX!R7),"",IF(ETPT_TPRX!R7=0,"",ETPT_TPRX!R7)))</f>
        <v/>
      </c>
      <c r="S7" s="49">
        <f t="shared" si="1"/>
        <v>0</v>
      </c>
      <c r="T7" s="72" t="str">
        <f>IF(ISBLANK(ETPT_TPRX_DDG!$D$5),"",IF(ISERROR(ETPT_TPRX!T7),"",IF(ETPT_TPRX!T7=0,"",ETPT_TPRX!T7)))</f>
        <v/>
      </c>
      <c r="U7" s="49">
        <f t="shared" si="2"/>
        <v>0</v>
      </c>
      <c r="V7" s="72" t="str">
        <f>IF(ISBLANK(ETPT_TPRX_DDG!$D$5),"",IF(ISERROR(ETPT_TPRX!V7),"",IF(ETPT_TPRX!V7=0,"",ETPT_TPRX!V7)))</f>
        <v/>
      </c>
      <c r="W7" s="72" t="str">
        <f>IF(ISBLANK(ETPT_TPRX_DDG!$D$5),"",IF(ISERROR(ETPT_TPRX!W7),"",IF(ETPT_TPRX!W7=0,"",ETPT_TPRX!W7)))</f>
        <v/>
      </c>
      <c r="X7" s="72" t="str">
        <f>IF(ISBLANK(ETPT_TPRX_DDG!$D$5),"",IF(ISERROR(ETPT_TPRX!X7),"",IF(ETPT_TPRX!X7=0,"",ETPT_TPRX!X7)))</f>
        <v/>
      </c>
      <c r="Y7" s="72" t="str">
        <f>IF(ISBLANK(ETPT_TPRX_DDG!$D$5),"",IF(ISERROR(ETPT_TPRX!Y7),"",IF(ETPT_TPRX!Y7=0,"",ETPT_TPRX!Y7)))</f>
        <v/>
      </c>
      <c r="Z7" s="72" t="str">
        <f>IF(ISBLANK(ETPT_TPRX_DDG!$D$5),"",IF(ISERROR(ETPT_TPRX!Z7),"",IF(ETPT_TPRX!Z7=0,"",ETPT_TPRX!Z7)))</f>
        <v/>
      </c>
      <c r="AA7" s="72" t="str">
        <f>IF(ISBLANK(ETPT_TPRX_DDG!$D$5),"",IF(ISERROR(ETPT_TPRX!AA7),"",IF(ETPT_TPRX!AA7=0,"",ETPT_TPRX!AA7)))</f>
        <v/>
      </c>
      <c r="AB7" s="72" t="str">
        <f>IF(ISBLANK(ETPT_TPRX_DDG!$D$5),"",IF(ISERROR(ETPT_TPRX!AB7),"",IF(ETPT_TPRX!AB7=0,"",ETPT_TPRX!AB7)))</f>
        <v/>
      </c>
      <c r="AC7" s="72" t="str">
        <f>IF(ISBLANK(ETPT_TPRX_DDG!$D$5),"",IF(ISERROR(ETPT_TPRX!AC7),"",IF(ETPT_TPRX!AC7=0,"",ETPT_TPRX!AC7)))</f>
        <v/>
      </c>
      <c r="AD7" s="72" t="str">
        <f>IF(ISBLANK(ETPT_TPRX_DDG!$D$5),"",IF(ISERROR(ETPT_TPRX!AD7),"",IF(ETPT_TPRX!AD7=0,"",ETPT_TPRX!AD7)))</f>
        <v/>
      </c>
      <c r="AE7" s="49">
        <f t="shared" si="3"/>
        <v>0</v>
      </c>
      <c r="AF7" s="72" t="str">
        <f>IF(ISBLANK(ETPT_TPRX_DDG!$D$5),"",IF(ISERROR(ETPT_TPRX!AF7),"",IF(ETPT_TPRX!AF7=0,"",ETPT_TPRX!AF7)))</f>
        <v/>
      </c>
      <c r="AG7" s="72" t="str">
        <f>IF(ISBLANK(ETPT_TPRX_DDG!$D$5),"",IF(ISERROR(ETPT_TPRX!AG7),"",IF(ETPT_TPRX!AG7=0,"",ETPT_TPRX!AG7)))</f>
        <v/>
      </c>
      <c r="AH7" s="72" t="str">
        <f>IF(ISBLANK(ETPT_TPRX_DDG!$D$5),"",IF(ISERROR(ETPT_TPRX!AH7),"",IF(ETPT_TPRX!AH7=0,"",ETPT_TPRX!AH7)))</f>
        <v/>
      </c>
      <c r="AI7" s="49">
        <f t="shared" si="4"/>
        <v>0</v>
      </c>
    </row>
    <row r="8" spans="1:62" x14ac:dyDescent="0.2">
      <c r="A8" s="93" t="s">
        <v>186</v>
      </c>
      <c r="B8" s="65"/>
      <c r="C8" s="65"/>
      <c r="D8" s="65" t="str">
        <f t="shared" si="5"/>
        <v/>
      </c>
      <c r="E8" s="65" t="s">
        <v>67</v>
      </c>
      <c r="F8" s="65" t="s">
        <v>66</v>
      </c>
      <c r="G8" s="72" t="str">
        <f>IF(ISBLANK(ETPT_TPRX_DDG!$D$5),"",IF(ISERROR(ETPT_TPRX!G8),"",IF(ETPT_TPRX!G8=0,"",ETPT_TPRX!G8)))</f>
        <v/>
      </c>
      <c r="H8" s="49">
        <f t="shared" si="0"/>
        <v>0</v>
      </c>
      <c r="I8" s="72" t="str">
        <f>IF(ISBLANK(ETPT_TPRX_DDG!$D$5),"",IF(ISERROR(ETPT_TPRX!I8),"",IF(ETPT_TPRX!I8=0,"",ETPT_TPRX!I8)))</f>
        <v/>
      </c>
      <c r="J8" s="72" t="str">
        <f>IF(ISBLANK(ETPT_TPRX_DDG!$D$5),"",IF(ISERROR(ETPT_TPRX!J8),"",IF(ETPT_TPRX!J8=0,"",ETPT_TPRX!J8)))</f>
        <v/>
      </c>
      <c r="K8" s="72" t="str">
        <f>IF(ISBLANK(ETPT_TPRX_DDG!$D$5),"",IF(ISERROR(ETPT_TPRX!K8),"",IF(ETPT_TPRX!K8=0,"",ETPT_TPRX!K8)))</f>
        <v/>
      </c>
      <c r="L8" s="72" t="str">
        <f>IF(ISBLANK(ETPT_TPRX_DDG!$D$5),"",IF(ISERROR(ETPT_TPRX!L8),"",IF(ETPT_TPRX!L8=0,"",ETPT_TPRX!L8)))</f>
        <v/>
      </c>
      <c r="M8" s="72" t="str">
        <f>IF(ISBLANK(ETPT_TPRX_DDG!$D$5),"",IF(ISERROR(ETPT_TPRX!M8),"",IF(ETPT_TPRX!M8=0,"",ETPT_TPRX!M8)))</f>
        <v/>
      </c>
      <c r="N8" s="72" t="str">
        <f>IF(ISBLANK(ETPT_TPRX_DDG!$D$5),"",IF(ISERROR(ETPT_TPRX!N8),"",IF(ETPT_TPRX!N8=0,"",ETPT_TPRX!N8)))</f>
        <v/>
      </c>
      <c r="O8" s="72" t="str">
        <f>IF(ISBLANK(ETPT_TPRX_DDG!$D$5),"",IF(ISERROR(ETPT_TPRX!O8),"",IF(ETPT_TPRX!O8=0,"",ETPT_TPRX!O8)))</f>
        <v/>
      </c>
      <c r="P8" s="72" t="str">
        <f>IF(ISBLANK(ETPT_TPRX_DDG!$D$5),"",IF(ISERROR(ETPT_TPRX!P8),"",IF(ETPT_TPRX!P8=0,"",ETPT_TPRX!P8)))</f>
        <v/>
      </c>
      <c r="Q8" s="72" t="str">
        <f>IF(ISBLANK(ETPT_TPRX_DDG!$D$5),"",IF(ISERROR(ETPT_TPRX!Q8),"",IF(ETPT_TPRX!Q8=0,"",ETPT_TPRX!Q8)))</f>
        <v/>
      </c>
      <c r="R8" s="72" t="str">
        <f>IF(ISBLANK(ETPT_TPRX_DDG!$D$5),"",IF(ISERROR(ETPT_TPRX!R8),"",IF(ETPT_TPRX!R8=0,"",ETPT_TPRX!R8)))</f>
        <v/>
      </c>
      <c r="S8" s="49">
        <f t="shared" si="1"/>
        <v>0</v>
      </c>
      <c r="T8" s="72" t="str">
        <f>IF(ISBLANK(ETPT_TPRX_DDG!$D$5),"",IF(ISERROR(ETPT_TPRX!T8),"",IF(ETPT_TPRX!T8=0,"",ETPT_TPRX!T8)))</f>
        <v/>
      </c>
      <c r="U8" s="49">
        <f t="shared" si="2"/>
        <v>0</v>
      </c>
      <c r="V8" s="72" t="str">
        <f>IF(ISBLANK(ETPT_TPRX_DDG!$D$5),"",IF(ISERROR(ETPT_TPRX!V8),"",IF(ETPT_TPRX!V8=0,"",ETPT_TPRX!V8)))</f>
        <v/>
      </c>
      <c r="W8" s="72" t="str">
        <f>IF(ISBLANK(ETPT_TPRX_DDG!$D$5),"",IF(ISERROR(ETPT_TPRX!W8),"",IF(ETPT_TPRX!W8=0,"",ETPT_TPRX!W8)))</f>
        <v/>
      </c>
      <c r="X8" s="72" t="str">
        <f>IF(ISBLANK(ETPT_TPRX_DDG!$D$5),"",IF(ISERROR(ETPT_TPRX!X8),"",IF(ETPT_TPRX!X8=0,"",ETPT_TPRX!X8)))</f>
        <v/>
      </c>
      <c r="Y8" s="72" t="str">
        <f>IF(ISBLANK(ETPT_TPRX_DDG!$D$5),"",IF(ISERROR(ETPT_TPRX!Y8),"",IF(ETPT_TPRX!Y8=0,"",ETPT_TPRX!Y8)))</f>
        <v/>
      </c>
      <c r="Z8" s="72" t="str">
        <f>IF(ISBLANK(ETPT_TPRX_DDG!$D$5),"",IF(ISERROR(ETPT_TPRX!Z8),"",IF(ETPT_TPRX!Z8=0,"",ETPT_TPRX!Z8)))</f>
        <v/>
      </c>
      <c r="AA8" s="72" t="str">
        <f>IF(ISBLANK(ETPT_TPRX_DDG!$D$5),"",IF(ISERROR(ETPT_TPRX!AA8),"",IF(ETPT_TPRX!AA8=0,"",ETPT_TPRX!AA8)))</f>
        <v/>
      </c>
      <c r="AB8" s="72" t="str">
        <f>IF(ISBLANK(ETPT_TPRX_DDG!$D$5),"",IF(ISERROR(ETPT_TPRX!AB8),"",IF(ETPT_TPRX!AB8=0,"",ETPT_TPRX!AB8)))</f>
        <v/>
      </c>
      <c r="AC8" s="72" t="str">
        <f>IF(ISBLANK(ETPT_TPRX_DDG!$D$5),"",IF(ISERROR(ETPT_TPRX!AC8),"",IF(ETPT_TPRX!AC8=0,"",ETPT_TPRX!AC8)))</f>
        <v/>
      </c>
      <c r="AD8" s="72" t="str">
        <f>IF(ISBLANK(ETPT_TPRX_DDG!$D$5),"",IF(ISERROR(ETPT_TPRX!AD8),"",IF(ETPT_TPRX!AD8=0,"",ETPT_TPRX!AD8)))</f>
        <v/>
      </c>
      <c r="AE8" s="49">
        <f t="shared" si="3"/>
        <v>0</v>
      </c>
      <c r="AF8" s="72" t="str">
        <f>IF(ISBLANK(ETPT_TPRX_DDG!$D$5),"",IF(ISERROR(ETPT_TPRX!AF8),"",IF(ETPT_TPRX!AF8=0,"",ETPT_TPRX!AF8)))</f>
        <v/>
      </c>
      <c r="AG8" s="72" t="str">
        <f>IF(ISBLANK(ETPT_TPRX_DDG!$D$5),"",IF(ISERROR(ETPT_TPRX!AG8),"",IF(ETPT_TPRX!AG8=0,"",ETPT_TPRX!AG8)))</f>
        <v/>
      </c>
      <c r="AH8" s="72" t="str">
        <f>IF(ISBLANK(ETPT_TPRX_DDG!$D$5),"",IF(ISERROR(ETPT_TPRX!AH8),"",IF(ETPT_TPRX!AH8=0,"",ETPT_TPRX!AH8)))</f>
        <v/>
      </c>
      <c r="AI8" s="49">
        <f t="shared" si="4"/>
        <v>0</v>
      </c>
    </row>
    <row r="9" spans="1:62" x14ac:dyDescent="0.2">
      <c r="A9" s="93" t="s">
        <v>186</v>
      </c>
      <c r="B9" s="65"/>
      <c r="C9" s="65"/>
      <c r="D9" s="65" t="str">
        <f t="shared" si="5"/>
        <v/>
      </c>
      <c r="E9" s="65" t="s">
        <v>65</v>
      </c>
      <c r="F9" s="65" t="s">
        <v>64</v>
      </c>
      <c r="G9" s="72" t="str">
        <f>IF(ISBLANK(ETPT_TPRX_DDG!$D$5),"",IF(ISERROR(ETPT_TPRX!G9),"",IF(ETPT_TPRX!G9=0,"",ETPT_TPRX!G9)))</f>
        <v/>
      </c>
      <c r="H9" s="49">
        <f t="shared" si="0"/>
        <v>0</v>
      </c>
      <c r="I9" s="72" t="str">
        <f>IF(ISBLANK(ETPT_TPRX_DDG!$D$5),"",IF(ISERROR(ETPT_TPRX!I9),"",IF(ETPT_TPRX!I9=0,"",ETPT_TPRX!I9)))</f>
        <v/>
      </c>
      <c r="J9" s="72" t="str">
        <f>IF(ISBLANK(ETPT_TPRX_DDG!$D$5),"",IF(ISERROR(ETPT_TPRX!J9),"",IF(ETPT_TPRX!J9=0,"",ETPT_TPRX!J9)))</f>
        <v/>
      </c>
      <c r="K9" s="72" t="str">
        <f>IF(ISBLANK(ETPT_TPRX_DDG!$D$5),"",IF(ISERROR(ETPT_TPRX!K9),"",IF(ETPT_TPRX!K9=0,"",ETPT_TPRX!K9)))</f>
        <v/>
      </c>
      <c r="L9" s="72" t="str">
        <f>IF(ISBLANK(ETPT_TPRX_DDG!$D$5),"",IF(ISERROR(ETPT_TPRX!L9),"",IF(ETPT_TPRX!L9=0,"",ETPT_TPRX!L9)))</f>
        <v/>
      </c>
      <c r="M9" s="72" t="str">
        <f>IF(ISBLANK(ETPT_TPRX_DDG!$D$5),"",IF(ISERROR(ETPT_TPRX!M9),"",IF(ETPT_TPRX!M9=0,"",ETPT_TPRX!M9)))</f>
        <v/>
      </c>
      <c r="N9" s="72" t="str">
        <f>IF(ISBLANK(ETPT_TPRX_DDG!$D$5),"",IF(ISERROR(ETPT_TPRX!N9),"",IF(ETPT_TPRX!N9=0,"",ETPT_TPRX!N9)))</f>
        <v/>
      </c>
      <c r="O9" s="72" t="str">
        <f>IF(ISBLANK(ETPT_TPRX_DDG!$D$5),"",IF(ISERROR(ETPT_TPRX!O9),"",IF(ETPT_TPRX!O9=0,"",ETPT_TPRX!O9)))</f>
        <v/>
      </c>
      <c r="P9" s="72" t="str">
        <f>IF(ISBLANK(ETPT_TPRX_DDG!$D$5),"",IF(ISERROR(ETPT_TPRX!P9),"",IF(ETPT_TPRX!P9=0,"",ETPT_TPRX!P9)))</f>
        <v/>
      </c>
      <c r="Q9" s="72" t="str">
        <f>IF(ISBLANK(ETPT_TPRX_DDG!$D$5),"",IF(ISERROR(ETPT_TPRX!Q9),"",IF(ETPT_TPRX!Q9=0,"",ETPT_TPRX!Q9)))</f>
        <v/>
      </c>
      <c r="R9" s="72" t="str">
        <f>IF(ISBLANK(ETPT_TPRX_DDG!$D$5),"",IF(ISERROR(ETPT_TPRX!R9),"",IF(ETPT_TPRX!R9=0,"",ETPT_TPRX!R9)))</f>
        <v/>
      </c>
      <c r="S9" s="49">
        <f t="shared" si="1"/>
        <v>0</v>
      </c>
      <c r="T9" s="72" t="str">
        <f>IF(ISBLANK(ETPT_TPRX_DDG!$D$5),"",IF(ISERROR(ETPT_TPRX!T9),"",IF(ETPT_TPRX!T9=0,"",ETPT_TPRX!T9)))</f>
        <v/>
      </c>
      <c r="U9" s="49">
        <f t="shared" si="2"/>
        <v>0</v>
      </c>
      <c r="V9" s="72" t="str">
        <f>IF(ISBLANK(ETPT_TPRX_DDG!$D$5),"",IF(ISERROR(ETPT_TPRX!V9),"",IF(ETPT_TPRX!V9=0,"",ETPT_TPRX!V9)))</f>
        <v/>
      </c>
      <c r="W9" s="72" t="str">
        <f>IF(ISBLANK(ETPT_TPRX_DDG!$D$5),"",IF(ISERROR(ETPT_TPRX!W9),"",IF(ETPT_TPRX!W9=0,"",ETPT_TPRX!W9)))</f>
        <v/>
      </c>
      <c r="X9" s="72" t="str">
        <f>IF(ISBLANK(ETPT_TPRX_DDG!$D$5),"",IF(ISERROR(ETPT_TPRX!X9),"",IF(ETPT_TPRX!X9=0,"",ETPT_TPRX!X9)))</f>
        <v/>
      </c>
      <c r="Y9" s="72" t="str">
        <f>IF(ISBLANK(ETPT_TPRX_DDG!$D$5),"",IF(ISERROR(ETPT_TPRX!Y9),"",IF(ETPT_TPRX!Y9=0,"",ETPT_TPRX!Y9)))</f>
        <v/>
      </c>
      <c r="Z9" s="72" t="str">
        <f>IF(ISBLANK(ETPT_TPRX_DDG!$D$5),"",IF(ISERROR(ETPT_TPRX!Z9),"",IF(ETPT_TPRX!Z9=0,"",ETPT_TPRX!Z9)))</f>
        <v/>
      </c>
      <c r="AA9" s="72" t="str">
        <f>IF(ISBLANK(ETPT_TPRX_DDG!$D$5),"",IF(ISERROR(ETPT_TPRX!AA9),"",IF(ETPT_TPRX!AA9=0,"",ETPT_TPRX!AA9)))</f>
        <v/>
      </c>
      <c r="AB9" s="72" t="str">
        <f>IF(ISBLANK(ETPT_TPRX_DDG!$D$5),"",IF(ISERROR(ETPT_TPRX!AB9),"",IF(ETPT_TPRX!AB9=0,"",ETPT_TPRX!AB9)))</f>
        <v/>
      </c>
      <c r="AC9" s="72" t="str">
        <f>IF(ISBLANK(ETPT_TPRX_DDG!$D$5),"",IF(ISERROR(ETPT_TPRX!AC9),"",IF(ETPT_TPRX!AC9=0,"",ETPT_TPRX!AC9)))</f>
        <v/>
      </c>
      <c r="AD9" s="72" t="str">
        <f>IF(ISBLANK(ETPT_TPRX_DDG!$D$5),"",IF(ISERROR(ETPT_TPRX!AD9),"",IF(ETPT_TPRX!AD9=0,"",ETPT_TPRX!AD9)))</f>
        <v/>
      </c>
      <c r="AE9" s="49">
        <f t="shared" si="3"/>
        <v>0</v>
      </c>
      <c r="AF9" s="72" t="str">
        <f>IF(ISBLANK(ETPT_TPRX_DDG!$D$5),"",IF(ISERROR(ETPT_TPRX!AF9),"",IF(ETPT_TPRX!AF9=0,"",ETPT_TPRX!AF9)))</f>
        <v/>
      </c>
      <c r="AG9" s="72" t="str">
        <f>IF(ISBLANK(ETPT_TPRX_DDG!$D$5),"",IF(ISERROR(ETPT_TPRX!AG9),"",IF(ETPT_TPRX!AG9=0,"",ETPT_TPRX!AG9)))</f>
        <v/>
      </c>
      <c r="AH9" s="72" t="str">
        <f>IF(ISBLANK(ETPT_TPRX_DDG!$D$5),"",IF(ISERROR(ETPT_TPRX!AH9),"",IF(ETPT_TPRX!AH9=0,"",ETPT_TPRX!AH9)))</f>
        <v/>
      </c>
      <c r="AI9" s="49">
        <f t="shared" si="4"/>
        <v>0</v>
      </c>
    </row>
    <row r="10" spans="1:62" x14ac:dyDescent="0.2">
      <c r="A10" s="93" t="s">
        <v>186</v>
      </c>
      <c r="B10" s="65"/>
      <c r="C10" s="65"/>
      <c r="D10" s="65" t="str">
        <f t="shared" si="5"/>
        <v/>
      </c>
      <c r="E10" s="65" t="s">
        <v>63</v>
      </c>
      <c r="F10" s="65" t="s">
        <v>62</v>
      </c>
      <c r="G10" s="72" t="str">
        <f>IF(ISBLANK(ETPT_TPRX_DDG!$D$5),"",IF(ISERROR(ETPT_TPRX!G10),"",IF(ETPT_TPRX!G10=0,"",ETPT_TPRX!G10)))</f>
        <v/>
      </c>
      <c r="H10" s="49">
        <f t="shared" si="0"/>
        <v>0</v>
      </c>
      <c r="I10" s="72" t="str">
        <f>IF(ISBLANK(ETPT_TPRX_DDG!$D$5),"",IF(ISERROR(ETPT_TPRX!I10),"",IF(ETPT_TPRX!I10=0,"",ETPT_TPRX!I10)))</f>
        <v/>
      </c>
      <c r="J10" s="72" t="str">
        <f>IF(ISBLANK(ETPT_TPRX_DDG!$D$5),"",IF(ISERROR(ETPT_TPRX!J10),"",IF(ETPT_TPRX!J10=0,"",ETPT_TPRX!J10)))</f>
        <v/>
      </c>
      <c r="K10" s="72" t="str">
        <f>IF(ISBLANK(ETPT_TPRX_DDG!$D$5),"",IF(ISERROR(ETPT_TPRX!K10),"",IF(ETPT_TPRX!K10=0,"",ETPT_TPRX!K10)))</f>
        <v/>
      </c>
      <c r="L10" s="72" t="str">
        <f>IF(ISBLANK(ETPT_TPRX_DDG!$D$5),"",IF(ISERROR(ETPT_TPRX!L10),"",IF(ETPT_TPRX!L10=0,"",ETPT_TPRX!L10)))</f>
        <v/>
      </c>
      <c r="M10" s="72" t="str">
        <f>IF(ISBLANK(ETPT_TPRX_DDG!$D$5),"",IF(ISERROR(ETPT_TPRX!M10),"",IF(ETPT_TPRX!M10=0,"",ETPT_TPRX!M10)))</f>
        <v/>
      </c>
      <c r="N10" s="72" t="str">
        <f>IF(ISBLANK(ETPT_TPRX_DDG!$D$5),"",IF(ISERROR(ETPT_TPRX!N10),"",IF(ETPT_TPRX!N10=0,"",ETPT_TPRX!N10)))</f>
        <v/>
      </c>
      <c r="O10" s="72" t="str">
        <f>IF(ISBLANK(ETPT_TPRX_DDG!$D$5),"",IF(ISERROR(ETPT_TPRX!O10),"",IF(ETPT_TPRX!O10=0,"",ETPT_TPRX!O10)))</f>
        <v/>
      </c>
      <c r="P10" s="72" t="str">
        <f>IF(ISBLANK(ETPT_TPRX_DDG!$D$5),"",IF(ISERROR(ETPT_TPRX!P10),"",IF(ETPT_TPRX!P10=0,"",ETPT_TPRX!P10)))</f>
        <v/>
      </c>
      <c r="Q10" s="72" t="str">
        <f>IF(ISBLANK(ETPT_TPRX_DDG!$D$5),"",IF(ISERROR(ETPT_TPRX!Q10),"",IF(ETPT_TPRX!Q10=0,"",ETPT_TPRX!Q10)))</f>
        <v/>
      </c>
      <c r="R10" s="72" t="str">
        <f>IF(ISBLANK(ETPT_TPRX_DDG!$D$5),"",IF(ISERROR(ETPT_TPRX!R10),"",IF(ETPT_TPRX!R10=0,"",ETPT_TPRX!R10)))</f>
        <v/>
      </c>
      <c r="S10" s="49">
        <f t="shared" si="1"/>
        <v>0</v>
      </c>
      <c r="T10" s="72" t="str">
        <f>IF(ISBLANK(ETPT_TPRX_DDG!$D$5),"",IF(ISERROR(ETPT_TPRX!T10),"",IF(ETPT_TPRX!T10=0,"",ETPT_TPRX!T10)))</f>
        <v/>
      </c>
      <c r="U10" s="49">
        <f t="shared" si="2"/>
        <v>0</v>
      </c>
      <c r="V10" s="72" t="str">
        <f>IF(ISBLANK(ETPT_TPRX_DDG!$D$5),"",IF(ISERROR(ETPT_TPRX!V10),"",IF(ETPT_TPRX!V10=0,"",ETPT_TPRX!V10)))</f>
        <v/>
      </c>
      <c r="W10" s="72" t="str">
        <f>IF(ISBLANK(ETPT_TPRX_DDG!$D$5),"",IF(ISERROR(ETPT_TPRX!W10),"",IF(ETPT_TPRX!W10=0,"",ETPT_TPRX!W10)))</f>
        <v/>
      </c>
      <c r="X10" s="72" t="str">
        <f>IF(ISBLANK(ETPT_TPRX_DDG!$D$5),"",IF(ISERROR(ETPT_TPRX!X10),"",IF(ETPT_TPRX!X10=0,"",ETPT_TPRX!X10)))</f>
        <v/>
      </c>
      <c r="Y10" s="72" t="str">
        <f>IF(ISBLANK(ETPT_TPRX_DDG!$D$5),"",IF(ISERROR(ETPT_TPRX!Y10),"",IF(ETPT_TPRX!Y10=0,"",ETPT_TPRX!Y10)))</f>
        <v/>
      </c>
      <c r="Z10" s="72" t="str">
        <f>IF(ISBLANK(ETPT_TPRX_DDG!$D$5),"",IF(ISERROR(ETPT_TPRX!Z10),"",IF(ETPT_TPRX!Z10=0,"",ETPT_TPRX!Z10)))</f>
        <v/>
      </c>
      <c r="AA10" s="72" t="str">
        <f>IF(ISBLANK(ETPT_TPRX_DDG!$D$5),"",IF(ISERROR(ETPT_TPRX!AA10),"",IF(ETPT_TPRX!AA10=0,"",ETPT_TPRX!AA10)))</f>
        <v/>
      </c>
      <c r="AB10" s="72" t="str">
        <f>IF(ISBLANK(ETPT_TPRX_DDG!$D$5),"",IF(ISERROR(ETPT_TPRX!AB10),"",IF(ETPT_TPRX!AB10=0,"",ETPT_TPRX!AB10)))</f>
        <v/>
      </c>
      <c r="AC10" s="72" t="str">
        <f>IF(ISBLANK(ETPT_TPRX_DDG!$D$5),"",IF(ISERROR(ETPT_TPRX!AC10),"",IF(ETPT_TPRX!AC10=0,"",ETPT_TPRX!AC10)))</f>
        <v/>
      </c>
      <c r="AD10" s="72" t="str">
        <f>IF(ISBLANK(ETPT_TPRX_DDG!$D$5),"",IF(ISERROR(ETPT_TPRX!AD10),"",IF(ETPT_TPRX!AD10=0,"",ETPT_TPRX!AD10)))</f>
        <v/>
      </c>
      <c r="AE10" s="49">
        <f t="shared" si="3"/>
        <v>0</v>
      </c>
      <c r="AF10" s="72" t="str">
        <f>IF(ISBLANK(ETPT_TPRX_DDG!$D$5),"",IF(ISERROR(ETPT_TPRX!AF10),"",IF(ETPT_TPRX!AF10=0,"",ETPT_TPRX!AF10)))</f>
        <v/>
      </c>
      <c r="AG10" s="72" t="str">
        <f>IF(ISBLANK(ETPT_TPRX_DDG!$D$5),"",IF(ISERROR(ETPT_TPRX!AG10),"",IF(ETPT_TPRX!AG10=0,"",ETPT_TPRX!AG10)))</f>
        <v/>
      </c>
      <c r="AH10" s="72" t="str">
        <f>IF(ISBLANK(ETPT_TPRX_DDG!$D$5),"",IF(ISERROR(ETPT_TPRX!AH10),"",IF(ETPT_TPRX!AH10=0,"",ETPT_TPRX!AH10)))</f>
        <v/>
      </c>
      <c r="AI10" s="49">
        <f t="shared" si="4"/>
        <v>0</v>
      </c>
    </row>
    <row r="11" spans="1:62" x14ac:dyDescent="0.2">
      <c r="A11" s="93" t="s">
        <v>186</v>
      </c>
      <c r="B11" s="65"/>
      <c r="C11" s="65"/>
      <c r="D11" s="65" t="str">
        <f t="shared" si="5"/>
        <v/>
      </c>
      <c r="E11" s="65" t="s">
        <v>61</v>
      </c>
      <c r="F11" s="65" t="s">
        <v>60</v>
      </c>
      <c r="G11" s="72" t="str">
        <f>IF(ISBLANK(ETPT_TPRX_DDG!$D$5),"",IF(ISERROR(ETPT_TPRX!G11),"",IF(ETPT_TPRX!G11=0,"",ETPT_TPRX!G11)))</f>
        <v/>
      </c>
      <c r="H11" s="49">
        <f t="shared" si="0"/>
        <v>0</v>
      </c>
      <c r="I11" s="72" t="str">
        <f>IF(ISBLANK(ETPT_TPRX_DDG!$D$5),"",IF(ISERROR(ETPT_TPRX!I11),"",IF(ETPT_TPRX!I11=0,"",ETPT_TPRX!I11)))</f>
        <v/>
      </c>
      <c r="J11" s="72" t="str">
        <f>IF(ISBLANK(ETPT_TPRX_DDG!$D$5),"",IF(ISERROR(ETPT_TPRX!J11),"",IF(ETPT_TPRX!J11=0,"",ETPT_TPRX!J11)))</f>
        <v/>
      </c>
      <c r="K11" s="72" t="str">
        <f>IF(ISBLANK(ETPT_TPRX_DDG!$D$5),"",IF(ISERROR(ETPT_TPRX!K11),"",IF(ETPT_TPRX!K11=0,"",ETPT_TPRX!K11)))</f>
        <v/>
      </c>
      <c r="L11" s="72" t="str">
        <f>IF(ISBLANK(ETPT_TPRX_DDG!$D$5),"",IF(ISERROR(ETPT_TPRX!L11),"",IF(ETPT_TPRX!L11=0,"",ETPT_TPRX!L11)))</f>
        <v/>
      </c>
      <c r="M11" s="72" t="str">
        <f>IF(ISBLANK(ETPT_TPRX_DDG!$D$5),"",IF(ISERROR(ETPT_TPRX!M11),"",IF(ETPT_TPRX!M11=0,"",ETPT_TPRX!M11)))</f>
        <v/>
      </c>
      <c r="N11" s="72" t="str">
        <f>IF(ISBLANK(ETPT_TPRX_DDG!$D$5),"",IF(ISERROR(ETPT_TPRX!N11),"",IF(ETPT_TPRX!N11=0,"",ETPT_TPRX!N11)))</f>
        <v/>
      </c>
      <c r="O11" s="72" t="str">
        <f>IF(ISBLANK(ETPT_TPRX_DDG!$D$5),"",IF(ISERROR(ETPT_TPRX!O11),"",IF(ETPT_TPRX!O11=0,"",ETPT_TPRX!O11)))</f>
        <v/>
      </c>
      <c r="P11" s="72" t="str">
        <f>IF(ISBLANK(ETPT_TPRX_DDG!$D$5),"",IF(ISERROR(ETPT_TPRX!P11),"",IF(ETPT_TPRX!P11=0,"",ETPT_TPRX!P11)))</f>
        <v/>
      </c>
      <c r="Q11" s="72" t="str">
        <f>IF(ISBLANK(ETPT_TPRX_DDG!$D$5),"",IF(ISERROR(ETPT_TPRX!Q11),"",IF(ETPT_TPRX!Q11=0,"",ETPT_TPRX!Q11)))</f>
        <v/>
      </c>
      <c r="R11" s="72" t="str">
        <f>IF(ISBLANK(ETPT_TPRX_DDG!$D$5),"",IF(ISERROR(ETPT_TPRX!R11),"",IF(ETPT_TPRX!R11=0,"",ETPT_TPRX!R11)))</f>
        <v/>
      </c>
      <c r="S11" s="49">
        <f t="shared" si="1"/>
        <v>0</v>
      </c>
      <c r="T11" s="72" t="str">
        <f>IF(ISBLANK(ETPT_TPRX_DDG!$D$5),"",IF(ISERROR(ETPT_TPRX!T11),"",IF(ETPT_TPRX!T11=0,"",ETPT_TPRX!T11)))</f>
        <v/>
      </c>
      <c r="U11" s="49">
        <f t="shared" si="2"/>
        <v>0</v>
      </c>
      <c r="V11" s="72" t="str">
        <f>IF(ISBLANK(ETPT_TPRX_DDG!$D$5),"",IF(ISERROR(ETPT_TPRX!V11),"",IF(ETPT_TPRX!V11=0,"",ETPT_TPRX!V11)))</f>
        <v/>
      </c>
      <c r="W11" s="72" t="str">
        <f>IF(ISBLANK(ETPT_TPRX_DDG!$D$5),"",IF(ISERROR(ETPT_TPRX!W11),"",IF(ETPT_TPRX!W11=0,"",ETPT_TPRX!W11)))</f>
        <v/>
      </c>
      <c r="X11" s="72" t="str">
        <f>IF(ISBLANK(ETPT_TPRX_DDG!$D$5),"",IF(ISERROR(ETPT_TPRX!X11),"",IF(ETPT_TPRX!X11=0,"",ETPT_TPRX!X11)))</f>
        <v/>
      </c>
      <c r="Y11" s="72" t="str">
        <f>IF(ISBLANK(ETPT_TPRX_DDG!$D$5),"",IF(ISERROR(ETPT_TPRX!Y11),"",IF(ETPT_TPRX!Y11=0,"",ETPT_TPRX!Y11)))</f>
        <v/>
      </c>
      <c r="Z11" s="72" t="str">
        <f>IF(ISBLANK(ETPT_TPRX_DDG!$D$5),"",IF(ISERROR(ETPT_TPRX!Z11),"",IF(ETPT_TPRX!Z11=0,"",ETPT_TPRX!Z11)))</f>
        <v/>
      </c>
      <c r="AA11" s="72" t="str">
        <f>IF(ISBLANK(ETPT_TPRX_DDG!$D$5),"",IF(ISERROR(ETPT_TPRX!AA11),"",IF(ETPT_TPRX!AA11=0,"",ETPT_TPRX!AA11)))</f>
        <v/>
      </c>
      <c r="AB11" s="72" t="str">
        <f>IF(ISBLANK(ETPT_TPRX_DDG!$D$5),"",IF(ISERROR(ETPT_TPRX!AB11),"",IF(ETPT_TPRX!AB11=0,"",ETPT_TPRX!AB11)))</f>
        <v/>
      </c>
      <c r="AC11" s="72" t="str">
        <f>IF(ISBLANK(ETPT_TPRX_DDG!$D$5),"",IF(ISERROR(ETPT_TPRX!AC11),"",IF(ETPT_TPRX!AC11=0,"",ETPT_TPRX!AC11)))</f>
        <v/>
      </c>
      <c r="AD11" s="72" t="str">
        <f>IF(ISBLANK(ETPT_TPRX_DDG!$D$5),"",IF(ISERROR(ETPT_TPRX!AD11),"",IF(ETPT_TPRX!AD11=0,"",ETPT_TPRX!AD11)))</f>
        <v/>
      </c>
      <c r="AE11" s="49">
        <f t="shared" si="3"/>
        <v>0</v>
      </c>
      <c r="AF11" s="72" t="str">
        <f>IF(ISBLANK(ETPT_TPRX_DDG!$D$5),"",IF(ISERROR(ETPT_TPRX!AF11),"",IF(ETPT_TPRX!AF11=0,"",ETPT_TPRX!AF11)))</f>
        <v/>
      </c>
      <c r="AG11" s="72" t="str">
        <f>IF(ISBLANK(ETPT_TPRX_DDG!$D$5),"",IF(ISERROR(ETPT_TPRX!AG11),"",IF(ETPT_TPRX!AG11=0,"",ETPT_TPRX!AG11)))</f>
        <v/>
      </c>
      <c r="AH11" s="72" t="str">
        <f>IF(ISBLANK(ETPT_TPRX_DDG!$D$5),"",IF(ISERROR(ETPT_TPRX!AH11),"",IF(ETPT_TPRX!AH11=0,"",ETPT_TPRX!AH11)))</f>
        <v/>
      </c>
      <c r="AI11" s="49">
        <f t="shared" si="4"/>
        <v>0</v>
      </c>
    </row>
    <row r="12" spans="1:62" x14ac:dyDescent="0.2">
      <c r="A12" s="93" t="s">
        <v>186</v>
      </c>
      <c r="B12" s="65"/>
      <c r="C12" s="65"/>
      <c r="D12" s="65" t="str">
        <f t="shared" si="5"/>
        <v/>
      </c>
      <c r="E12" s="65" t="s">
        <v>59</v>
      </c>
      <c r="F12" s="65" t="s">
        <v>58</v>
      </c>
      <c r="G12" s="72" t="str">
        <f>IF(ISBLANK(ETPT_TPRX_DDG!$D$5),"",IF(ISERROR(ETPT_TPRX!G12),"",IF(ETPT_TPRX!G12=0,"",ETPT_TPRX!G12)))</f>
        <v/>
      </c>
      <c r="H12" s="49">
        <f t="shared" si="0"/>
        <v>0</v>
      </c>
      <c r="I12" s="72" t="str">
        <f>IF(ISBLANK(ETPT_TPRX_DDG!$D$5),"",IF(ISERROR(ETPT_TPRX!I12),"",IF(ETPT_TPRX!I12=0,"",ETPT_TPRX!I12)))</f>
        <v/>
      </c>
      <c r="J12" s="72" t="str">
        <f>IF(ISBLANK(ETPT_TPRX_DDG!$D$5),"",IF(ISERROR(ETPT_TPRX!J12),"",IF(ETPT_TPRX!J12=0,"",ETPT_TPRX!J12)))</f>
        <v/>
      </c>
      <c r="K12" s="72" t="str">
        <f>IF(ISBLANK(ETPT_TPRX_DDG!$D$5),"",IF(ISERROR(ETPT_TPRX!K12),"",IF(ETPT_TPRX!K12=0,"",ETPT_TPRX!K12)))</f>
        <v/>
      </c>
      <c r="L12" s="72" t="str">
        <f>IF(ISBLANK(ETPT_TPRX_DDG!$D$5),"",IF(ISERROR(ETPT_TPRX!L12),"",IF(ETPT_TPRX!L12=0,"",ETPT_TPRX!L12)))</f>
        <v/>
      </c>
      <c r="M12" s="72" t="str">
        <f>IF(ISBLANK(ETPT_TPRX_DDG!$D$5),"",IF(ISERROR(ETPT_TPRX!M12),"",IF(ETPT_TPRX!M12=0,"",ETPT_TPRX!M12)))</f>
        <v/>
      </c>
      <c r="N12" s="72" t="str">
        <f>IF(ISBLANK(ETPT_TPRX_DDG!$D$5),"",IF(ISERROR(ETPT_TPRX!N12),"",IF(ETPT_TPRX!N12=0,"",ETPT_TPRX!N12)))</f>
        <v/>
      </c>
      <c r="O12" s="72" t="str">
        <f>IF(ISBLANK(ETPT_TPRX_DDG!$D$5),"",IF(ISERROR(ETPT_TPRX!O12),"",IF(ETPT_TPRX!O12=0,"",ETPT_TPRX!O12)))</f>
        <v/>
      </c>
      <c r="P12" s="72" t="str">
        <f>IF(ISBLANK(ETPT_TPRX_DDG!$D$5),"",IF(ISERROR(ETPT_TPRX!P12),"",IF(ETPT_TPRX!P12=0,"",ETPT_TPRX!P12)))</f>
        <v/>
      </c>
      <c r="Q12" s="72" t="str">
        <f>IF(ISBLANK(ETPT_TPRX_DDG!$D$5),"",IF(ISERROR(ETPT_TPRX!Q12),"",IF(ETPT_TPRX!Q12=0,"",ETPT_TPRX!Q12)))</f>
        <v/>
      </c>
      <c r="R12" s="72" t="str">
        <f>IF(ISBLANK(ETPT_TPRX_DDG!$D$5),"",IF(ISERROR(ETPT_TPRX!R12),"",IF(ETPT_TPRX!R12=0,"",ETPT_TPRX!R12)))</f>
        <v/>
      </c>
      <c r="S12" s="49">
        <f t="shared" si="1"/>
        <v>0</v>
      </c>
      <c r="T12" s="72" t="str">
        <f>IF(ISBLANK(ETPT_TPRX_DDG!$D$5),"",IF(ISERROR(ETPT_TPRX!T12),"",IF(ETPT_TPRX!T12=0,"",ETPT_TPRX!T12)))</f>
        <v/>
      </c>
      <c r="U12" s="49">
        <f t="shared" si="2"/>
        <v>0</v>
      </c>
      <c r="V12" s="72" t="str">
        <f>IF(ISBLANK(ETPT_TPRX_DDG!$D$5),"",IF(ISERROR(ETPT_TPRX!V12),"",IF(ETPT_TPRX!V12=0,"",ETPT_TPRX!V12)))</f>
        <v/>
      </c>
      <c r="W12" s="72" t="str">
        <f>IF(ISBLANK(ETPT_TPRX_DDG!$D$5),"",IF(ISERROR(ETPT_TPRX!W12),"",IF(ETPT_TPRX!W12=0,"",ETPT_TPRX!W12)))</f>
        <v/>
      </c>
      <c r="X12" s="72" t="str">
        <f>IF(ISBLANK(ETPT_TPRX_DDG!$D$5),"",IF(ISERROR(ETPT_TPRX!X12),"",IF(ETPT_TPRX!X12=0,"",ETPT_TPRX!X12)))</f>
        <v/>
      </c>
      <c r="Y12" s="72" t="str">
        <f>IF(ISBLANK(ETPT_TPRX_DDG!$D$5),"",IF(ISERROR(ETPT_TPRX!Y12),"",IF(ETPT_TPRX!Y12=0,"",ETPT_TPRX!Y12)))</f>
        <v/>
      </c>
      <c r="Z12" s="72" t="str">
        <f>IF(ISBLANK(ETPT_TPRX_DDG!$D$5),"",IF(ISERROR(ETPT_TPRX!Z12),"",IF(ETPT_TPRX!Z12=0,"",ETPT_TPRX!Z12)))</f>
        <v/>
      </c>
      <c r="AA12" s="72" t="str">
        <f>IF(ISBLANK(ETPT_TPRX_DDG!$D$5),"",IF(ISERROR(ETPT_TPRX!AA12),"",IF(ETPT_TPRX!AA12=0,"",ETPT_TPRX!AA12)))</f>
        <v/>
      </c>
      <c r="AB12" s="72" t="str">
        <f>IF(ISBLANK(ETPT_TPRX_DDG!$D$5),"",IF(ISERROR(ETPT_TPRX!AB12),"",IF(ETPT_TPRX!AB12=0,"",ETPT_TPRX!AB12)))</f>
        <v/>
      </c>
      <c r="AC12" s="72" t="str">
        <f>IF(ISBLANK(ETPT_TPRX_DDG!$D$5),"",IF(ISERROR(ETPT_TPRX!AC12),"",IF(ETPT_TPRX!AC12=0,"",ETPT_TPRX!AC12)))</f>
        <v/>
      </c>
      <c r="AD12" s="72" t="str">
        <f>IF(ISBLANK(ETPT_TPRX_DDG!$D$5),"",IF(ISERROR(ETPT_TPRX!AD12),"",IF(ETPT_TPRX!AD12=0,"",ETPT_TPRX!AD12)))</f>
        <v/>
      </c>
      <c r="AE12" s="49">
        <f t="shared" si="3"/>
        <v>0</v>
      </c>
      <c r="AF12" s="72" t="str">
        <f>IF(ISBLANK(ETPT_TPRX_DDG!$D$5),"",IF(ISERROR(ETPT_TPRX!AF12),"",IF(ETPT_TPRX!AF12=0,"",ETPT_TPRX!AF12)))</f>
        <v/>
      </c>
      <c r="AG12" s="72" t="str">
        <f>IF(ISBLANK(ETPT_TPRX_DDG!$D$5),"",IF(ISERROR(ETPT_TPRX!AG12),"",IF(ETPT_TPRX!AG12=0,"",ETPT_TPRX!AG12)))</f>
        <v/>
      </c>
      <c r="AH12" s="72" t="str">
        <f>IF(ISBLANK(ETPT_TPRX_DDG!$D$5),"",IF(ISERROR(ETPT_TPRX!AH12),"",IF(ETPT_TPRX!AH12=0,"",ETPT_TPRX!AH12)))</f>
        <v/>
      </c>
      <c r="AI12" s="49">
        <f t="shared" si="4"/>
        <v>0</v>
      </c>
    </row>
    <row r="13" spans="1:62" x14ac:dyDescent="0.2">
      <c r="A13" s="93" t="s">
        <v>186</v>
      </c>
      <c r="B13" s="65"/>
      <c r="C13" s="65"/>
      <c r="D13" s="65" t="str">
        <f t="shared" si="5"/>
        <v/>
      </c>
      <c r="E13" s="65" t="s">
        <v>57</v>
      </c>
      <c r="F13" s="65" t="s">
        <v>56</v>
      </c>
      <c r="G13" s="72" t="str">
        <f>IF(ISBLANK(ETPT_TPRX_DDG!$D$5),"",IF(ISERROR(ETPT_TPRX!G13),"",IF(ETPT_TPRX!G13=0,"",ETPT_TPRX!G13)))</f>
        <v/>
      </c>
      <c r="H13" s="49">
        <f t="shared" si="0"/>
        <v>0</v>
      </c>
      <c r="I13" s="72" t="str">
        <f>IF(ISBLANK(ETPT_TPRX_DDG!$D$5),"",IF(ISERROR(ETPT_TPRX!I13),"",IF(ETPT_TPRX!I13=0,"",ETPT_TPRX!I13)))</f>
        <v/>
      </c>
      <c r="J13" s="72" t="str">
        <f>IF(ISBLANK(ETPT_TPRX_DDG!$D$5),"",IF(ISERROR(ETPT_TPRX!J13),"",IF(ETPT_TPRX!J13=0,"",ETPT_TPRX!J13)))</f>
        <v/>
      </c>
      <c r="K13" s="72" t="str">
        <f>IF(ISBLANK(ETPT_TPRX_DDG!$D$5),"",IF(ISERROR(ETPT_TPRX!K13),"",IF(ETPT_TPRX!K13=0,"",ETPT_TPRX!K13)))</f>
        <v/>
      </c>
      <c r="L13" s="72" t="str">
        <f>IF(ISBLANK(ETPT_TPRX_DDG!$D$5),"",IF(ISERROR(ETPT_TPRX!L13),"",IF(ETPT_TPRX!L13=0,"",ETPT_TPRX!L13)))</f>
        <v/>
      </c>
      <c r="M13" s="72" t="str">
        <f>IF(ISBLANK(ETPT_TPRX_DDG!$D$5),"",IF(ISERROR(ETPT_TPRX!M13),"",IF(ETPT_TPRX!M13=0,"",ETPT_TPRX!M13)))</f>
        <v/>
      </c>
      <c r="N13" s="72" t="str">
        <f>IF(ISBLANK(ETPT_TPRX_DDG!$D$5),"",IF(ISERROR(ETPT_TPRX!N13),"",IF(ETPT_TPRX!N13=0,"",ETPT_TPRX!N13)))</f>
        <v/>
      </c>
      <c r="O13" s="72" t="str">
        <f>IF(ISBLANK(ETPT_TPRX_DDG!$D$5),"",IF(ISERROR(ETPT_TPRX!O13),"",IF(ETPT_TPRX!O13=0,"",ETPT_TPRX!O13)))</f>
        <v/>
      </c>
      <c r="P13" s="72" t="str">
        <f>IF(ISBLANK(ETPT_TPRX_DDG!$D$5),"",IF(ISERROR(ETPT_TPRX!P13),"",IF(ETPT_TPRX!P13=0,"",ETPT_TPRX!P13)))</f>
        <v/>
      </c>
      <c r="Q13" s="72" t="str">
        <f>IF(ISBLANK(ETPT_TPRX_DDG!$D$5),"",IF(ISERROR(ETPT_TPRX!Q13),"",IF(ETPT_TPRX!Q13=0,"",ETPT_TPRX!Q13)))</f>
        <v/>
      </c>
      <c r="R13" s="72" t="str">
        <f>IF(ISBLANK(ETPT_TPRX_DDG!$D$5),"",IF(ISERROR(ETPT_TPRX!R13),"",IF(ETPT_TPRX!R13=0,"",ETPT_TPRX!R13)))</f>
        <v/>
      </c>
      <c r="S13" s="49">
        <f t="shared" si="1"/>
        <v>0</v>
      </c>
      <c r="T13" s="72" t="str">
        <f>IF(ISBLANK(ETPT_TPRX_DDG!$D$5),"",IF(ISERROR(ETPT_TPRX!T13),"",IF(ETPT_TPRX!T13=0,"",ETPT_TPRX!T13)))</f>
        <v/>
      </c>
      <c r="U13" s="49">
        <f t="shared" si="2"/>
        <v>0</v>
      </c>
      <c r="V13" s="72" t="str">
        <f>IF(ISBLANK(ETPT_TPRX_DDG!$D$5),"",IF(ISERROR(ETPT_TPRX!V13),"",IF(ETPT_TPRX!V13=0,"",ETPT_TPRX!V13)))</f>
        <v/>
      </c>
      <c r="W13" s="72" t="str">
        <f>IF(ISBLANK(ETPT_TPRX_DDG!$D$5),"",IF(ISERROR(ETPT_TPRX!W13),"",IF(ETPT_TPRX!W13=0,"",ETPT_TPRX!W13)))</f>
        <v/>
      </c>
      <c r="X13" s="72" t="str">
        <f>IF(ISBLANK(ETPT_TPRX_DDG!$D$5),"",IF(ISERROR(ETPT_TPRX!X13),"",IF(ETPT_TPRX!X13=0,"",ETPT_TPRX!X13)))</f>
        <v/>
      </c>
      <c r="Y13" s="72" t="str">
        <f>IF(ISBLANK(ETPT_TPRX_DDG!$D$5),"",IF(ISERROR(ETPT_TPRX!Y13),"",IF(ETPT_TPRX!Y13=0,"",ETPT_TPRX!Y13)))</f>
        <v/>
      </c>
      <c r="Z13" s="72" t="str">
        <f>IF(ISBLANK(ETPT_TPRX_DDG!$D$5),"",IF(ISERROR(ETPT_TPRX!Z13),"",IF(ETPT_TPRX!Z13=0,"",ETPT_TPRX!Z13)))</f>
        <v/>
      </c>
      <c r="AA13" s="72" t="str">
        <f>IF(ISBLANK(ETPT_TPRX_DDG!$D$5),"",IF(ISERROR(ETPT_TPRX!AA13),"",IF(ETPT_TPRX!AA13=0,"",ETPT_TPRX!AA13)))</f>
        <v/>
      </c>
      <c r="AB13" s="72" t="str">
        <f>IF(ISBLANK(ETPT_TPRX_DDG!$D$5),"",IF(ISERROR(ETPT_TPRX!AB13),"",IF(ETPT_TPRX!AB13=0,"",ETPT_TPRX!AB13)))</f>
        <v/>
      </c>
      <c r="AC13" s="72" t="str">
        <f>IF(ISBLANK(ETPT_TPRX_DDG!$D$5),"",IF(ISERROR(ETPT_TPRX!AC13),"",IF(ETPT_TPRX!AC13=0,"",ETPT_TPRX!AC13)))</f>
        <v/>
      </c>
      <c r="AD13" s="72" t="str">
        <f>IF(ISBLANK(ETPT_TPRX_DDG!$D$5),"",IF(ISERROR(ETPT_TPRX!AD13),"",IF(ETPT_TPRX!AD13=0,"",ETPT_TPRX!AD13)))</f>
        <v/>
      </c>
      <c r="AE13" s="49">
        <f t="shared" si="3"/>
        <v>0</v>
      </c>
      <c r="AF13" s="72" t="str">
        <f>IF(ISBLANK(ETPT_TPRX_DDG!$D$5),"",IF(ISERROR(ETPT_TPRX!AF13),"",IF(ETPT_TPRX!AF13=0,"",ETPT_TPRX!AF13)))</f>
        <v/>
      </c>
      <c r="AG13" s="72" t="str">
        <f>IF(ISBLANK(ETPT_TPRX_DDG!$D$5),"",IF(ISERROR(ETPT_TPRX!AG13),"",IF(ETPT_TPRX!AG13=0,"",ETPT_TPRX!AG13)))</f>
        <v/>
      </c>
      <c r="AH13" s="72" t="str">
        <f>IF(ISBLANK(ETPT_TPRX_DDG!$D$5),"",IF(ISERROR(ETPT_TPRX!AH13),"",IF(ETPT_TPRX!AH13=0,"",ETPT_TPRX!AH13)))</f>
        <v/>
      </c>
      <c r="AI13" s="49">
        <f t="shared" si="4"/>
        <v>0</v>
      </c>
    </row>
    <row r="14" spans="1:62" x14ac:dyDescent="0.2">
      <c r="A14" s="93" t="s">
        <v>186</v>
      </c>
      <c r="B14" s="65"/>
      <c r="C14" s="65"/>
      <c r="D14" s="65" t="str">
        <f t="shared" si="5"/>
        <v/>
      </c>
      <c r="E14" s="65" t="s">
        <v>55</v>
      </c>
      <c r="F14" s="65" t="s">
        <v>54</v>
      </c>
      <c r="G14" s="72" t="str">
        <f>IF(ISBLANK(ETPT_TPRX_DDG!$D$5),"",IF(ISERROR(ETPT_TPRX!G14),"",IF(ETPT_TPRX!G14=0,"",ETPT_TPRX!G14)))</f>
        <v/>
      </c>
      <c r="H14" s="49">
        <f t="shared" si="0"/>
        <v>0</v>
      </c>
      <c r="I14" s="72" t="str">
        <f>IF(ISBLANK(ETPT_TPRX_DDG!$D$5),"",IF(ISERROR(ETPT_TPRX!I14),"",IF(ETPT_TPRX!I14=0,"",ETPT_TPRX!I14)))</f>
        <v/>
      </c>
      <c r="J14" s="72" t="str">
        <f>IF(ISBLANK(ETPT_TPRX_DDG!$D$5),"",IF(ISERROR(ETPT_TPRX!J14),"",IF(ETPT_TPRX!J14=0,"",ETPT_TPRX!J14)))</f>
        <v/>
      </c>
      <c r="K14" s="72" t="str">
        <f>IF(ISBLANK(ETPT_TPRX_DDG!$D$5),"",IF(ISERROR(ETPT_TPRX!K14),"",IF(ETPT_TPRX!K14=0,"",ETPT_TPRX!K14)))</f>
        <v/>
      </c>
      <c r="L14" s="72" t="str">
        <f>IF(ISBLANK(ETPT_TPRX_DDG!$D$5),"",IF(ISERROR(ETPT_TPRX!L14),"",IF(ETPT_TPRX!L14=0,"",ETPT_TPRX!L14)))</f>
        <v/>
      </c>
      <c r="M14" s="72" t="str">
        <f>IF(ISBLANK(ETPT_TPRX_DDG!$D$5),"",IF(ISERROR(ETPT_TPRX!M14),"",IF(ETPT_TPRX!M14=0,"",ETPT_TPRX!M14)))</f>
        <v/>
      </c>
      <c r="N14" s="72" t="str">
        <f>IF(ISBLANK(ETPT_TPRX_DDG!$D$5),"",IF(ISERROR(ETPT_TPRX!N14),"",IF(ETPT_TPRX!N14=0,"",ETPT_TPRX!N14)))</f>
        <v/>
      </c>
      <c r="O14" s="72" t="str">
        <f>IF(ISBLANK(ETPT_TPRX_DDG!$D$5),"",IF(ISERROR(ETPT_TPRX!O14),"",IF(ETPT_TPRX!O14=0,"",ETPT_TPRX!O14)))</f>
        <v/>
      </c>
      <c r="P14" s="72" t="str">
        <f>IF(ISBLANK(ETPT_TPRX_DDG!$D$5),"",IF(ISERROR(ETPT_TPRX!P14),"",IF(ETPT_TPRX!P14=0,"",ETPT_TPRX!P14)))</f>
        <v/>
      </c>
      <c r="Q14" s="72" t="str">
        <f>IF(ISBLANK(ETPT_TPRX_DDG!$D$5),"",IF(ISERROR(ETPT_TPRX!Q14),"",IF(ETPT_TPRX!Q14=0,"",ETPT_TPRX!Q14)))</f>
        <v/>
      </c>
      <c r="R14" s="72" t="str">
        <f>IF(ISBLANK(ETPT_TPRX_DDG!$D$5),"",IF(ISERROR(ETPT_TPRX!R14),"",IF(ETPT_TPRX!R14=0,"",ETPT_TPRX!R14)))</f>
        <v/>
      </c>
      <c r="S14" s="49">
        <f t="shared" si="1"/>
        <v>0</v>
      </c>
      <c r="T14" s="72" t="str">
        <f>IF(ISBLANK(ETPT_TPRX_DDG!$D$5),"",IF(ISERROR(ETPT_TPRX!T14),"",IF(ETPT_TPRX!T14=0,"",ETPT_TPRX!T14)))</f>
        <v/>
      </c>
      <c r="U14" s="49">
        <f t="shared" si="2"/>
        <v>0</v>
      </c>
      <c r="V14" s="72" t="str">
        <f>IF(ISBLANK(ETPT_TPRX_DDG!$D$5),"",IF(ISERROR(ETPT_TPRX!V14),"",IF(ETPT_TPRX!V14=0,"",ETPT_TPRX!V14)))</f>
        <v/>
      </c>
      <c r="W14" s="72" t="str">
        <f>IF(ISBLANK(ETPT_TPRX_DDG!$D$5),"",IF(ISERROR(ETPT_TPRX!W14),"",IF(ETPT_TPRX!W14=0,"",ETPT_TPRX!W14)))</f>
        <v/>
      </c>
      <c r="X14" s="72" t="str">
        <f>IF(ISBLANK(ETPT_TPRX_DDG!$D$5),"",IF(ISERROR(ETPT_TPRX!X14),"",IF(ETPT_TPRX!X14=0,"",ETPT_TPRX!X14)))</f>
        <v/>
      </c>
      <c r="Y14" s="72" t="str">
        <f>IF(ISBLANK(ETPT_TPRX_DDG!$D$5),"",IF(ISERROR(ETPT_TPRX!Y14),"",IF(ETPT_TPRX!Y14=0,"",ETPT_TPRX!Y14)))</f>
        <v/>
      </c>
      <c r="Z14" s="72" t="str">
        <f>IF(ISBLANK(ETPT_TPRX_DDG!$D$5),"",IF(ISERROR(ETPT_TPRX!Z14),"",IF(ETPT_TPRX!Z14=0,"",ETPT_TPRX!Z14)))</f>
        <v/>
      </c>
      <c r="AA14" s="72" t="str">
        <f>IF(ISBLANK(ETPT_TPRX_DDG!$D$5),"",IF(ISERROR(ETPT_TPRX!AA14),"",IF(ETPT_TPRX!AA14=0,"",ETPT_TPRX!AA14)))</f>
        <v/>
      </c>
      <c r="AB14" s="72" t="str">
        <f>IF(ISBLANK(ETPT_TPRX_DDG!$D$5),"",IF(ISERROR(ETPT_TPRX!AB14),"",IF(ETPT_TPRX!AB14=0,"",ETPT_TPRX!AB14)))</f>
        <v/>
      </c>
      <c r="AC14" s="72" t="str">
        <f>IF(ISBLANK(ETPT_TPRX_DDG!$D$5),"",IF(ISERROR(ETPT_TPRX!AC14),"",IF(ETPT_TPRX!AC14=0,"",ETPT_TPRX!AC14)))</f>
        <v/>
      </c>
      <c r="AD14" s="72" t="str">
        <f>IF(ISBLANK(ETPT_TPRX_DDG!$D$5),"",IF(ISERROR(ETPT_TPRX!AD14),"",IF(ETPT_TPRX!AD14=0,"",ETPT_TPRX!AD14)))</f>
        <v/>
      </c>
      <c r="AE14" s="49">
        <f t="shared" si="3"/>
        <v>0</v>
      </c>
      <c r="AF14" s="72" t="str">
        <f>IF(ISBLANK(ETPT_TPRX_DDG!$D$5),"",IF(ISERROR(ETPT_TPRX!AF14),"",IF(ETPT_TPRX!AF14=0,"",ETPT_TPRX!AF14)))</f>
        <v/>
      </c>
      <c r="AG14" s="72" t="str">
        <f>IF(ISBLANK(ETPT_TPRX_DDG!$D$5),"",IF(ISERROR(ETPT_TPRX!AG14),"",IF(ETPT_TPRX!AG14=0,"",ETPT_TPRX!AG14)))</f>
        <v/>
      </c>
      <c r="AH14" s="72" t="str">
        <f>IF(ISBLANK(ETPT_TPRX_DDG!$D$5),"",IF(ISERROR(ETPT_TPRX!AH14),"",IF(ETPT_TPRX!AH14=0,"",ETPT_TPRX!AH14)))</f>
        <v/>
      </c>
      <c r="AI14" s="49">
        <f t="shared" si="4"/>
        <v>0</v>
      </c>
    </row>
    <row r="15" spans="1:62" x14ac:dyDescent="0.2">
      <c r="A15" s="93" t="s">
        <v>186</v>
      </c>
      <c r="B15" s="65"/>
      <c r="C15" s="65"/>
      <c r="D15" s="65" t="str">
        <f t="shared" si="5"/>
        <v/>
      </c>
      <c r="E15" s="65" t="s">
        <v>52</v>
      </c>
      <c r="F15" s="65" t="s">
        <v>51</v>
      </c>
      <c r="G15" s="72" t="str">
        <f>IF(ISBLANK(ETPT_TPRX_DDG!$D$5),"",IF(ISERROR(ETPT_TPRX!G15),"",IF(ETPT_TPRX!G15=0,"",ETPT_TPRX!G15)))</f>
        <v/>
      </c>
      <c r="H15" s="49">
        <f t="shared" si="0"/>
        <v>0</v>
      </c>
      <c r="I15" s="72" t="str">
        <f>IF(ISBLANK(ETPT_TPRX_DDG!$D$5),"",IF(ISERROR(ETPT_TPRX!I15),"",IF(ETPT_TPRX!I15=0,"",ETPT_TPRX!I15)))</f>
        <v/>
      </c>
      <c r="J15" s="72" t="str">
        <f>IF(ISBLANK(ETPT_TPRX_DDG!$D$5),"",IF(ISERROR(ETPT_TPRX!J15),"",IF(ETPT_TPRX!J15=0,"",ETPT_TPRX!J15)))</f>
        <v/>
      </c>
      <c r="K15" s="72" t="str">
        <f>IF(ISBLANK(ETPT_TPRX_DDG!$D$5),"",IF(ISERROR(ETPT_TPRX!K15),"",IF(ETPT_TPRX!K15=0,"",ETPT_TPRX!K15)))</f>
        <v/>
      </c>
      <c r="L15" s="72" t="str">
        <f>IF(ISBLANK(ETPT_TPRX_DDG!$D$5),"",IF(ISERROR(ETPT_TPRX!L15),"",IF(ETPT_TPRX!L15=0,"",ETPT_TPRX!L15)))</f>
        <v/>
      </c>
      <c r="M15" s="72" t="str">
        <f>IF(ISBLANK(ETPT_TPRX_DDG!$D$5),"",IF(ISERROR(ETPT_TPRX!M15),"",IF(ETPT_TPRX!M15=0,"",ETPT_TPRX!M15)))</f>
        <v/>
      </c>
      <c r="N15" s="72" t="str">
        <f>IF(ISBLANK(ETPT_TPRX_DDG!$D$5),"",IF(ISERROR(ETPT_TPRX!N15),"",IF(ETPT_TPRX!N15=0,"",ETPT_TPRX!N15)))</f>
        <v/>
      </c>
      <c r="O15" s="72" t="str">
        <f>IF(ISBLANK(ETPT_TPRX_DDG!$D$5),"",IF(ISERROR(ETPT_TPRX!O15),"",IF(ETPT_TPRX!O15=0,"",ETPT_TPRX!O15)))</f>
        <v/>
      </c>
      <c r="P15" s="72" t="str">
        <f>IF(ISBLANK(ETPT_TPRX_DDG!$D$5),"",IF(ISERROR(ETPT_TPRX!P15),"",IF(ETPT_TPRX!P15=0,"",ETPT_TPRX!P15)))</f>
        <v/>
      </c>
      <c r="Q15" s="72" t="str">
        <f>IF(ISBLANK(ETPT_TPRX_DDG!$D$5),"",IF(ISERROR(ETPT_TPRX!Q15),"",IF(ETPT_TPRX!Q15=0,"",ETPT_TPRX!Q15)))</f>
        <v/>
      </c>
      <c r="R15" s="72" t="str">
        <f>IF(ISBLANK(ETPT_TPRX_DDG!$D$5),"",IF(ISERROR(ETPT_TPRX!R15),"",IF(ETPT_TPRX!R15=0,"",ETPT_TPRX!R15)))</f>
        <v/>
      </c>
      <c r="S15" s="49">
        <f t="shared" si="1"/>
        <v>0</v>
      </c>
      <c r="T15" s="72" t="str">
        <f>IF(ISBLANK(ETPT_TPRX_DDG!$D$5),"",IF(ISERROR(ETPT_TPRX!T15),"",IF(ETPT_TPRX!T15=0,"",ETPT_TPRX!T15)))</f>
        <v/>
      </c>
      <c r="U15" s="49">
        <f t="shared" si="2"/>
        <v>0</v>
      </c>
      <c r="V15" s="72" t="str">
        <f>IF(ISBLANK(ETPT_TPRX_DDG!$D$5),"",IF(ISERROR(ETPT_TPRX!V15),"",IF(ETPT_TPRX!V15=0,"",ETPT_TPRX!V15)))</f>
        <v/>
      </c>
      <c r="W15" s="72" t="str">
        <f>IF(ISBLANK(ETPT_TPRX_DDG!$D$5),"",IF(ISERROR(ETPT_TPRX!W15),"",IF(ETPT_TPRX!W15=0,"",ETPT_TPRX!W15)))</f>
        <v/>
      </c>
      <c r="X15" s="72" t="str">
        <f>IF(ISBLANK(ETPT_TPRX_DDG!$D$5),"",IF(ISERROR(ETPT_TPRX!X15),"",IF(ETPT_TPRX!X15=0,"",ETPT_TPRX!X15)))</f>
        <v/>
      </c>
      <c r="Y15" s="72" t="str">
        <f>IF(ISBLANK(ETPT_TPRX_DDG!$D$5),"",IF(ISERROR(ETPT_TPRX!Y15),"",IF(ETPT_TPRX!Y15=0,"",ETPT_TPRX!Y15)))</f>
        <v/>
      </c>
      <c r="Z15" s="72" t="str">
        <f>IF(ISBLANK(ETPT_TPRX_DDG!$D$5),"",IF(ISERROR(ETPT_TPRX!Z15),"",IF(ETPT_TPRX!Z15=0,"",ETPT_TPRX!Z15)))</f>
        <v/>
      </c>
      <c r="AA15" s="72" t="str">
        <f>IF(ISBLANK(ETPT_TPRX_DDG!$D$5),"",IF(ISERROR(ETPT_TPRX!AA15),"",IF(ETPT_TPRX!AA15=0,"",ETPT_TPRX!AA15)))</f>
        <v/>
      </c>
      <c r="AB15" s="72" t="str">
        <f>IF(ISBLANK(ETPT_TPRX_DDG!$D$5),"",IF(ISERROR(ETPT_TPRX!AB15),"",IF(ETPT_TPRX!AB15=0,"",ETPT_TPRX!AB15)))</f>
        <v/>
      </c>
      <c r="AC15" s="72" t="str">
        <f>IF(ISBLANK(ETPT_TPRX_DDG!$D$5),"",IF(ISERROR(ETPT_TPRX!AC15),"",IF(ETPT_TPRX!AC15=0,"",ETPT_TPRX!AC15)))</f>
        <v/>
      </c>
      <c r="AD15" s="72" t="str">
        <f>IF(ISBLANK(ETPT_TPRX_DDG!$D$5),"",IF(ISERROR(ETPT_TPRX!AD15),"",IF(ETPT_TPRX!AD15=0,"",ETPT_TPRX!AD15)))</f>
        <v/>
      </c>
      <c r="AE15" s="49">
        <f t="shared" si="3"/>
        <v>0</v>
      </c>
      <c r="AF15" s="72" t="str">
        <f>IF(ISBLANK(ETPT_TPRX_DDG!$D$5),"",IF(ISERROR(ETPT_TPRX!AF15),"",IF(ETPT_TPRX!AF15=0,"",ETPT_TPRX!AF15)))</f>
        <v/>
      </c>
      <c r="AG15" s="72" t="str">
        <f>IF(ISBLANK(ETPT_TPRX_DDG!$D$5),"",IF(ISERROR(ETPT_TPRX!AG15),"",IF(ETPT_TPRX!AG15=0,"",ETPT_TPRX!AG15)))</f>
        <v/>
      </c>
      <c r="AH15" s="72" t="str">
        <f>IF(ISBLANK(ETPT_TPRX_DDG!$D$5),"",IF(ISERROR(ETPT_TPRX!AH15),"",IF(ETPT_TPRX!AH15=0,"",ETPT_TPRX!AH15)))</f>
        <v/>
      </c>
      <c r="AI15" s="49">
        <f t="shared" si="4"/>
        <v>0</v>
      </c>
    </row>
    <row r="16" spans="1:62" x14ac:dyDescent="0.2">
      <c r="A16" s="93"/>
      <c r="B16" s="92"/>
      <c r="C16" s="92"/>
      <c r="D16" s="92"/>
      <c r="E16" s="92"/>
      <c r="F16" s="91" t="s">
        <v>50</v>
      </c>
      <c r="G16" s="49">
        <f t="shared" ref="G16:AI16" si="6">SUM(G5:G15)</f>
        <v>0</v>
      </c>
      <c r="H16" s="49">
        <f t="shared" si="6"/>
        <v>0</v>
      </c>
      <c r="I16" s="49">
        <f t="shared" si="6"/>
        <v>0</v>
      </c>
      <c r="J16" s="49">
        <f t="shared" si="6"/>
        <v>0</v>
      </c>
      <c r="K16" s="49">
        <f t="shared" si="6"/>
        <v>0</v>
      </c>
      <c r="L16" s="49">
        <f t="shared" si="6"/>
        <v>0</v>
      </c>
      <c r="M16" s="49">
        <f t="shared" si="6"/>
        <v>0</v>
      </c>
      <c r="N16" s="49">
        <f t="shared" si="6"/>
        <v>0</v>
      </c>
      <c r="O16" s="49">
        <f t="shared" si="6"/>
        <v>0</v>
      </c>
      <c r="P16" s="49">
        <f t="shared" si="6"/>
        <v>0</v>
      </c>
      <c r="Q16" s="49">
        <f t="shared" si="6"/>
        <v>0</v>
      </c>
      <c r="R16" s="49">
        <f t="shared" si="6"/>
        <v>0</v>
      </c>
      <c r="S16" s="49">
        <f t="shared" si="6"/>
        <v>0</v>
      </c>
      <c r="T16" s="49">
        <f t="shared" si="6"/>
        <v>0</v>
      </c>
      <c r="U16" s="49">
        <f t="shared" si="6"/>
        <v>0</v>
      </c>
      <c r="V16" s="49">
        <f t="shared" si="6"/>
        <v>0</v>
      </c>
      <c r="W16" s="49">
        <f t="shared" si="6"/>
        <v>0</v>
      </c>
      <c r="X16" s="49">
        <f t="shared" si="6"/>
        <v>0</v>
      </c>
      <c r="Y16" s="49">
        <f t="shared" si="6"/>
        <v>0</v>
      </c>
      <c r="Z16" s="49">
        <f t="shared" si="6"/>
        <v>0</v>
      </c>
      <c r="AA16" s="49">
        <f t="shared" si="6"/>
        <v>0</v>
      </c>
      <c r="AB16" s="49">
        <f t="shared" si="6"/>
        <v>0</v>
      </c>
      <c r="AC16" s="49">
        <f t="shared" si="6"/>
        <v>0</v>
      </c>
      <c r="AD16" s="49">
        <f t="shared" si="6"/>
        <v>0</v>
      </c>
      <c r="AE16" s="49">
        <f t="shared" si="6"/>
        <v>0</v>
      </c>
      <c r="AF16" s="49">
        <f t="shared" si="6"/>
        <v>0</v>
      </c>
      <c r="AG16" s="49">
        <f t="shared" si="6"/>
        <v>0</v>
      </c>
      <c r="AH16" s="49">
        <f t="shared" si="6"/>
        <v>0</v>
      </c>
      <c r="AI16" s="49">
        <f t="shared" si="6"/>
        <v>0</v>
      </c>
    </row>
    <row r="17" spans="4:34" x14ac:dyDescent="0.2">
      <c r="S17" s="43"/>
    </row>
    <row r="18" spans="4:34" ht="93" customHeight="1" x14ac:dyDescent="0.2">
      <c r="D18" s="308"/>
      <c r="E18"/>
      <c r="F18" s="305" t="s">
        <v>402</v>
      </c>
      <c r="G18" s="236" t="str">
        <f>IF(ISBLANK(ETPT_TPRX_DDG!$D$5),"",IF(ISERROR(ETPT_TPRX!G18),"",IF(ETPT_TPRX!G18=0,"",ETPT_TPRX!G18)))</f>
        <v/>
      </c>
      <c r="H18"/>
      <c r="I18"/>
      <c r="J18"/>
      <c r="K18"/>
      <c r="Q18" s="306" t="s">
        <v>404</v>
      </c>
      <c r="R18" s="236" t="str">
        <f>IF(ISBLANK(ETPT_TPRX_DDG!$D$5),"",IF(ISERROR(ETPT_TPRX!R18),"",IF(ETPT_TPRX!R18=0,"",ETPT_TPRX!R18)))</f>
        <v/>
      </c>
      <c r="AF18" s="307"/>
      <c r="AG18" s="304" t="s">
        <v>400</v>
      </c>
      <c r="AH18" s="236" t="str">
        <f>IF(ISBLANK(ETPT_TPRX_DDG!$D$5),"",IF(ISERROR(ETPT_TPRX!AH18),"",IF(ETPT_TPRX!AH18=0,"",ETPT_TPRX!AH18)))</f>
        <v/>
      </c>
    </row>
    <row r="19" spans="4:34" ht="17" thickBot="1" x14ac:dyDescent="0.25">
      <c r="D19" s="158" t="s">
        <v>264</v>
      </c>
      <c r="E19" s="159"/>
      <c r="F19" s="159"/>
      <c r="G19" s="159"/>
      <c r="H19" s="159"/>
      <c r="I19" s="159"/>
      <c r="J19" s="159"/>
      <c r="K19" s="159"/>
    </row>
    <row r="20" spans="4:34" ht="18" thickTop="1" thickBot="1" x14ac:dyDescent="0.25">
      <c r="D20" s="160" t="s">
        <v>185</v>
      </c>
      <c r="E20" s="161"/>
      <c r="F20" s="162"/>
      <c r="G20" s="162"/>
      <c r="H20" s="162"/>
      <c r="I20" s="162"/>
      <c r="J20" s="163"/>
      <c r="K20" s="4"/>
    </row>
    <row r="21" spans="4:34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92" sqref="D92"/>
    </sheetView>
  </sheetViews>
  <sheetFormatPr baseColWidth="10" defaultColWidth="11" defaultRowHeight="16" x14ac:dyDescent="0.2"/>
  <cols>
    <col min="1" max="3" width="11" style="40" hidden="1" customWidth="1"/>
    <col min="4" max="4" width="13.5" style="40" bestFit="1" customWidth="1"/>
    <col min="5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231</v>
      </c>
      <c r="B1" s="5"/>
      <c r="C1" s="5"/>
      <c r="D1" s="3" t="s">
        <v>236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11"/>
      <c r="B2" s="110"/>
      <c r="C2" s="110"/>
      <c r="D2" s="110"/>
      <c r="E2" s="110"/>
      <c r="F2" s="110"/>
      <c r="G2" s="87" t="s">
        <v>181</v>
      </c>
      <c r="H2" s="346" t="s">
        <v>180</v>
      </c>
      <c r="I2" s="87" t="s">
        <v>45</v>
      </c>
      <c r="J2" s="346" t="s">
        <v>179</v>
      </c>
    </row>
    <row r="3" spans="1:62" ht="36" x14ac:dyDescent="0.2">
      <c r="A3" s="111"/>
      <c r="B3" s="110"/>
      <c r="C3" s="110"/>
      <c r="D3" s="110"/>
      <c r="E3" s="110"/>
      <c r="F3" s="110"/>
      <c r="G3" s="87" t="s">
        <v>159</v>
      </c>
      <c r="H3" s="346"/>
      <c r="I3" s="87" t="s">
        <v>156</v>
      </c>
      <c r="J3" s="346"/>
    </row>
    <row r="4" spans="1:62" ht="36" x14ac:dyDescent="0.2">
      <c r="A4" s="109"/>
      <c r="B4" s="108" t="s">
        <v>126</v>
      </c>
      <c r="C4" s="108" t="s">
        <v>125</v>
      </c>
      <c r="D4" s="108" t="s">
        <v>32</v>
      </c>
      <c r="E4" s="108" t="s">
        <v>124</v>
      </c>
      <c r="F4" s="108" t="s">
        <v>123</v>
      </c>
      <c r="G4" s="87" t="s">
        <v>108</v>
      </c>
      <c r="H4" s="346"/>
      <c r="I4" s="87" t="s">
        <v>104</v>
      </c>
      <c r="J4" s="346"/>
    </row>
    <row r="5" spans="1:62" x14ac:dyDescent="0.2">
      <c r="A5" s="103" t="s">
        <v>229</v>
      </c>
      <c r="B5" s="102"/>
      <c r="C5" s="102"/>
      <c r="D5" s="125"/>
      <c r="E5" s="102" t="s">
        <v>73</v>
      </c>
      <c r="F5" s="102" t="s">
        <v>72</v>
      </c>
      <c r="G5" s="59" t="str">
        <f>IF(ISBLANK(ETPT_CPH_DDG!$D$5),"",IF(ISERROR(ETPT_CPH!G5),"",IF(ETPT_CPH!G5=0,"",ETPT_CPH!G5)))</f>
        <v/>
      </c>
      <c r="H5" s="96">
        <f t="shared" ref="H5:H13" si="0">SUM(G5)</f>
        <v>0</v>
      </c>
      <c r="I5" s="59" t="str">
        <f>IF(ISBLANK(ETPT_CPH_DDG!$D$5),"",IF(ISERROR(ETPT_CPH!I5),"",IF(ETPT_CPH!I5=0,"",ETPT_CPH!I5)))</f>
        <v/>
      </c>
      <c r="J5" s="96">
        <f t="shared" ref="J5:J13" si="1">SUM(I5)</f>
        <v>0</v>
      </c>
    </row>
    <row r="6" spans="1:62" x14ac:dyDescent="0.2">
      <c r="A6" s="103" t="s">
        <v>229</v>
      </c>
      <c r="B6" s="102"/>
      <c r="C6" s="102"/>
      <c r="D6" s="65" t="str">
        <f t="shared" ref="D6:D13" si="2">IF(ISBLANK($D$5),"",$D$5)</f>
        <v/>
      </c>
      <c r="E6" s="102" t="s">
        <v>67</v>
      </c>
      <c r="F6" s="102" t="s">
        <v>66</v>
      </c>
      <c r="G6" s="59" t="str">
        <f>IF(ISBLANK(ETPT_CPH_DDG!$D$5),"",IF(ISERROR(ETPT_CPH!G6),"",IF(ETPT_CPH!G6=0,"",ETPT_CPH!G6)))</f>
        <v/>
      </c>
      <c r="H6" s="96">
        <f t="shared" si="0"/>
        <v>0</v>
      </c>
      <c r="I6" s="59" t="str">
        <f>IF(ISBLANK(ETPT_CPH_DDG!$D$5),"",IF(ISERROR(ETPT_CPH!I6),"",IF(ETPT_CPH!I6=0,"",ETPT_CPH!I6)))</f>
        <v/>
      </c>
      <c r="J6" s="96">
        <f t="shared" si="1"/>
        <v>0</v>
      </c>
    </row>
    <row r="7" spans="1:62" x14ac:dyDescent="0.2">
      <c r="A7" s="103" t="s">
        <v>229</v>
      </c>
      <c r="B7" s="102"/>
      <c r="C7" s="102"/>
      <c r="D7" s="65" t="str">
        <f t="shared" si="2"/>
        <v/>
      </c>
      <c r="E7" s="102" t="s">
        <v>65</v>
      </c>
      <c r="F7" s="102" t="s">
        <v>64</v>
      </c>
      <c r="G7" s="59" t="str">
        <f>IF(ISBLANK(ETPT_CPH_DDG!$D$5),"",IF(ISERROR(ETPT_CPH!G7),"",IF(ETPT_CPH!G7=0,"",ETPT_CPH!G7)))</f>
        <v/>
      </c>
      <c r="H7" s="96">
        <f t="shared" si="0"/>
        <v>0</v>
      </c>
      <c r="I7" s="59" t="str">
        <f>IF(ISBLANK(ETPT_CPH_DDG!$D$5),"",IF(ISERROR(ETPT_CPH!I7),"",IF(ETPT_CPH!I7=0,"",ETPT_CPH!I7)))</f>
        <v/>
      </c>
      <c r="J7" s="96">
        <f t="shared" si="1"/>
        <v>0</v>
      </c>
    </row>
    <row r="8" spans="1:62" x14ac:dyDescent="0.2">
      <c r="A8" s="103" t="s">
        <v>229</v>
      </c>
      <c r="B8" s="102"/>
      <c r="C8" s="102"/>
      <c r="D8" s="65" t="str">
        <f t="shared" si="2"/>
        <v/>
      </c>
      <c r="E8" s="102" t="s">
        <v>63</v>
      </c>
      <c r="F8" s="102" t="s">
        <v>62</v>
      </c>
      <c r="G8" s="59" t="str">
        <f>IF(ISBLANK(ETPT_CPH_DDG!$D$5),"",IF(ISERROR(ETPT_CPH!G8),"",IF(ETPT_CPH!G8=0,"",ETPT_CPH!G8)))</f>
        <v/>
      </c>
      <c r="H8" s="96">
        <f t="shared" si="0"/>
        <v>0</v>
      </c>
      <c r="I8" s="59" t="str">
        <f>IF(ISBLANK(ETPT_CPH_DDG!$D$5),"",IF(ISERROR(ETPT_CPH!I8),"",IF(ETPT_CPH!I8=0,"",ETPT_CPH!I8)))</f>
        <v/>
      </c>
      <c r="J8" s="96">
        <f t="shared" si="1"/>
        <v>0</v>
      </c>
    </row>
    <row r="9" spans="1:62" x14ac:dyDescent="0.2">
      <c r="A9" s="103" t="s">
        <v>229</v>
      </c>
      <c r="B9" s="102"/>
      <c r="C9" s="102"/>
      <c r="D9" s="65" t="str">
        <f t="shared" si="2"/>
        <v/>
      </c>
      <c r="E9" s="102" t="s">
        <v>61</v>
      </c>
      <c r="F9" s="102" t="s">
        <v>60</v>
      </c>
      <c r="G9" s="59" t="str">
        <f>IF(ISBLANK(ETPT_CPH_DDG!$D$5),"",IF(ISERROR(ETPT_CPH!G9),"",IF(ETPT_CPH!G9=0,"",ETPT_CPH!G9)))</f>
        <v/>
      </c>
      <c r="H9" s="96">
        <f t="shared" si="0"/>
        <v>0</v>
      </c>
      <c r="I9" s="59" t="str">
        <f>IF(ISBLANK(ETPT_CPH_DDG!$D$5),"",IF(ISERROR(ETPT_CPH!I9),"",IF(ETPT_CPH!I9=0,"",ETPT_CPH!I9)))</f>
        <v/>
      </c>
      <c r="J9" s="96">
        <f t="shared" si="1"/>
        <v>0</v>
      </c>
    </row>
    <row r="10" spans="1:62" x14ac:dyDescent="0.2">
      <c r="A10" s="103" t="s">
        <v>229</v>
      </c>
      <c r="B10" s="102"/>
      <c r="C10" s="102"/>
      <c r="D10" s="65" t="str">
        <f t="shared" si="2"/>
        <v/>
      </c>
      <c r="E10" s="102" t="s">
        <v>59</v>
      </c>
      <c r="F10" s="102" t="s">
        <v>58</v>
      </c>
      <c r="G10" s="59" t="str">
        <f>IF(ISBLANK(ETPT_CPH_DDG!$D$5),"",IF(ISERROR(ETPT_CPH!G10),"",IF(ETPT_CPH!G10=0,"",ETPT_CPH!G10)))</f>
        <v/>
      </c>
      <c r="H10" s="96">
        <f t="shared" si="0"/>
        <v>0</v>
      </c>
      <c r="I10" s="59" t="str">
        <f>IF(ISBLANK(ETPT_CPH_DDG!$D$5),"",IF(ISERROR(ETPT_CPH!I10),"",IF(ETPT_CPH!I10=0,"",ETPT_CPH!I10)))</f>
        <v/>
      </c>
      <c r="J10" s="96">
        <f t="shared" si="1"/>
        <v>0</v>
      </c>
    </row>
    <row r="11" spans="1:62" x14ac:dyDescent="0.2">
      <c r="A11" s="103" t="s">
        <v>229</v>
      </c>
      <c r="B11" s="102"/>
      <c r="C11" s="102"/>
      <c r="D11" s="65" t="str">
        <f t="shared" si="2"/>
        <v/>
      </c>
      <c r="E11" s="102" t="s">
        <v>57</v>
      </c>
      <c r="F11" s="102" t="s">
        <v>56</v>
      </c>
      <c r="G11" s="59" t="str">
        <f>IF(ISBLANK(ETPT_CPH_DDG!$D$5),"",IF(ISERROR(ETPT_CPH!G11),"",IF(ETPT_CPH!G11=0,"",ETPT_CPH!G11)))</f>
        <v/>
      </c>
      <c r="H11" s="96">
        <f t="shared" si="0"/>
        <v>0</v>
      </c>
      <c r="I11" s="59" t="str">
        <f>IF(ISBLANK(ETPT_CPH_DDG!$D$5),"",IF(ISERROR(ETPT_CPH!I11),"",IF(ETPT_CPH!I11=0,"",ETPT_CPH!I11)))</f>
        <v/>
      </c>
      <c r="J11" s="96">
        <f t="shared" si="1"/>
        <v>0</v>
      </c>
    </row>
    <row r="12" spans="1:62" x14ac:dyDescent="0.2">
      <c r="A12" s="103" t="s">
        <v>229</v>
      </c>
      <c r="B12" s="102"/>
      <c r="C12" s="102"/>
      <c r="D12" s="65" t="str">
        <f t="shared" si="2"/>
        <v/>
      </c>
      <c r="E12" s="102" t="s">
        <v>55</v>
      </c>
      <c r="F12" s="102" t="s">
        <v>54</v>
      </c>
      <c r="G12" s="59" t="str">
        <f>IF(ISBLANK(ETPT_CPH_DDG!$D$5),"",IF(ISERROR(ETPT_CPH!G12),"",IF(ETPT_CPH!G12=0,"",ETPT_CPH!G12)))</f>
        <v/>
      </c>
      <c r="H12" s="96">
        <f t="shared" si="0"/>
        <v>0</v>
      </c>
      <c r="I12" s="59" t="str">
        <f>IF(ISBLANK(ETPT_CPH_DDG!$D$5),"",IF(ISERROR(ETPT_CPH!I12),"",IF(ETPT_CPH!I12=0,"",ETPT_CPH!I12)))</f>
        <v/>
      </c>
      <c r="J12" s="96">
        <f t="shared" si="1"/>
        <v>0</v>
      </c>
    </row>
    <row r="13" spans="1:62" x14ac:dyDescent="0.2">
      <c r="A13" s="103" t="s">
        <v>229</v>
      </c>
      <c r="B13" s="102"/>
      <c r="C13" s="102"/>
      <c r="D13" s="65" t="str">
        <f t="shared" si="2"/>
        <v/>
      </c>
      <c r="E13" s="102" t="s">
        <v>52</v>
      </c>
      <c r="F13" s="102" t="s">
        <v>51</v>
      </c>
      <c r="G13" s="59" t="str">
        <f>IF(ISBLANK(ETPT_CPH_DDG!$D$5),"",IF(ISERROR(ETPT_CPH!G13),"",IF(ETPT_CPH!G13=0,"",ETPT_CPH!G13)))</f>
        <v/>
      </c>
      <c r="H13" s="96">
        <f t="shared" si="0"/>
        <v>0</v>
      </c>
      <c r="I13" s="59" t="str">
        <f>IF(ISBLANK(ETPT_CPH_DDG!$D$5),"",IF(ISERROR(ETPT_CPH!I13),"",IF(ETPT_CPH!I13=0,"",ETPT_CPH!I13)))</f>
        <v/>
      </c>
      <c r="J13" s="96">
        <f t="shared" si="1"/>
        <v>0</v>
      </c>
    </row>
    <row r="14" spans="1:62" x14ac:dyDescent="0.2">
      <c r="A14" s="100"/>
      <c r="B14" s="99"/>
      <c r="C14" s="99"/>
      <c r="D14" s="99"/>
      <c r="E14" s="98"/>
      <c r="F14" s="97" t="s">
        <v>50</v>
      </c>
      <c r="G14" s="96">
        <f>SUM(G5:G13)</f>
        <v>0</v>
      </c>
      <c r="H14" s="96">
        <f>SUM(H5:H13)</f>
        <v>0</v>
      </c>
      <c r="I14" s="96">
        <f>SUM(I5:I13)</f>
        <v>0</v>
      </c>
      <c r="J14" s="96">
        <f>SUM(J5:J13)</f>
        <v>0</v>
      </c>
    </row>
    <row r="16" spans="1:62" x14ac:dyDescent="0.2">
      <c r="D16" s="158" t="s">
        <v>264</v>
      </c>
      <c r="E16" s="159"/>
      <c r="F16" s="21"/>
      <c r="G16" s="21"/>
      <c r="H16" s="21"/>
      <c r="I16" s="21"/>
      <c r="J16" s="21"/>
    </row>
    <row r="17" spans="4:10" ht="26" customHeight="1" x14ac:dyDescent="0.2">
      <c r="D17" s="42"/>
      <c r="E17" s="21"/>
      <c r="F17" s="21"/>
      <c r="G17" s="21"/>
      <c r="H17" s="21"/>
      <c r="I17" s="21"/>
      <c r="J17" s="21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27"/>
  <sheetViews>
    <sheetView zoomScaleNormal="100" workbookViewId="0">
      <pane xSplit="5" ySplit="1" topLeftCell="F9" activePane="bottomRight" state="frozen"/>
      <selection pane="topRight" activeCell="G1" sqref="G1"/>
      <selection pane="bottomLeft" activeCell="A2" sqref="A2"/>
      <selection pane="bottomRight" activeCell="AC13" sqref="AC13"/>
    </sheetView>
  </sheetViews>
  <sheetFormatPr baseColWidth="10" defaultColWidth="10.83203125" defaultRowHeight="16" x14ac:dyDescent="0.2"/>
  <cols>
    <col min="1" max="1" width="5.83203125" style="198" bestFit="1" customWidth="1"/>
    <col min="2" max="2" width="17.1640625" style="199" hidden="1" customWidth="1"/>
    <col min="3" max="3" width="6.33203125" style="199" customWidth="1"/>
    <col min="4" max="4" width="6.5" style="198" customWidth="1"/>
    <col min="5" max="5" width="19.5" style="198" customWidth="1"/>
    <col min="6" max="6" width="23" style="199" customWidth="1"/>
    <col min="7" max="7" width="9.33203125" style="199" customWidth="1"/>
    <col min="8" max="8" width="11.33203125" style="199" customWidth="1"/>
    <col min="9" max="9" width="9" style="199" customWidth="1"/>
    <col min="10" max="28" width="9.33203125" style="199" customWidth="1"/>
    <col min="29" max="29" width="11.6640625" style="199" customWidth="1"/>
    <col min="30" max="37" width="9.33203125" style="199" customWidth="1"/>
    <col min="38" max="38" width="7.83203125" style="199" customWidth="1"/>
    <col min="39" max="39" width="8.6640625" style="199" customWidth="1"/>
    <col min="40" max="42" width="9.33203125" style="199" customWidth="1"/>
    <col min="43" max="43" width="10.83203125" style="199" customWidth="1"/>
    <col min="44" max="48" width="9.33203125" style="199" customWidth="1"/>
    <col min="49" max="49" width="15.5" style="199" customWidth="1"/>
    <col min="50" max="50" width="16.5" style="199" customWidth="1"/>
    <col min="51" max="51" width="9.33203125" style="199" customWidth="1"/>
    <col min="52" max="61" width="9.33203125" style="199" hidden="1" customWidth="1"/>
    <col min="62" max="62" width="4" style="199" customWidth="1"/>
    <col min="63" max="16384" width="10.83203125" style="199"/>
  </cols>
  <sheetData>
    <row r="1" spans="1:61" s="168" customFormat="1" ht="12" customHeight="1" x14ac:dyDescent="0.15">
      <c r="A1" s="167"/>
      <c r="B1" s="350" t="s">
        <v>184</v>
      </c>
      <c r="C1" s="350"/>
      <c r="D1" s="350"/>
      <c r="E1" s="350"/>
      <c r="F1" s="350"/>
      <c r="G1" s="169"/>
      <c r="H1" s="169"/>
      <c r="I1" s="169"/>
      <c r="J1" s="169"/>
      <c r="K1" s="169"/>
      <c r="L1" s="169"/>
      <c r="M1" s="169"/>
      <c r="N1" s="169"/>
      <c r="O1" s="169"/>
    </row>
    <row r="2" spans="1:61" s="168" customFormat="1" ht="12" customHeight="1" x14ac:dyDescent="0.15">
      <c r="A2" s="170"/>
      <c r="B2" s="170"/>
      <c r="C2" s="170"/>
      <c r="D2" s="170"/>
      <c r="E2" s="170"/>
      <c r="F2" s="170"/>
      <c r="G2" s="171" t="s">
        <v>178</v>
      </c>
      <c r="H2" s="171" t="s">
        <v>178</v>
      </c>
      <c r="I2" s="171" t="s">
        <v>178</v>
      </c>
      <c r="J2" s="171" t="s">
        <v>178</v>
      </c>
      <c r="K2" s="171" t="s">
        <v>178</v>
      </c>
      <c r="L2" s="171" t="s">
        <v>178</v>
      </c>
      <c r="M2" s="171" t="s">
        <v>178</v>
      </c>
      <c r="N2" s="171" t="s">
        <v>178</v>
      </c>
      <c r="O2" s="171" t="s">
        <v>178</v>
      </c>
      <c r="P2" s="349" t="s">
        <v>177</v>
      </c>
      <c r="Q2" s="171" t="s">
        <v>176</v>
      </c>
      <c r="R2" s="171" t="s">
        <v>176</v>
      </c>
      <c r="S2" s="171" t="s">
        <v>176</v>
      </c>
      <c r="T2" s="171" t="s">
        <v>176</v>
      </c>
      <c r="U2" s="171" t="s">
        <v>176</v>
      </c>
      <c r="V2" s="171" t="s">
        <v>176</v>
      </c>
      <c r="W2" s="171" t="s">
        <v>176</v>
      </c>
      <c r="X2" s="171" t="s">
        <v>176</v>
      </c>
      <c r="Y2" s="171" t="s">
        <v>176</v>
      </c>
      <c r="Z2" s="171" t="s">
        <v>176</v>
      </c>
      <c r="AA2" s="171" t="s">
        <v>176</v>
      </c>
      <c r="AB2" s="171" t="s">
        <v>176</v>
      </c>
      <c r="AC2" s="171" t="s">
        <v>176</v>
      </c>
      <c r="AD2" s="349" t="s">
        <v>175</v>
      </c>
      <c r="AE2" s="172" t="s">
        <v>174</v>
      </c>
      <c r="AF2" s="172" t="s">
        <v>174</v>
      </c>
      <c r="AG2" s="172" t="s">
        <v>174</v>
      </c>
      <c r="AH2" s="172" t="s">
        <v>174</v>
      </c>
      <c r="AI2" s="172" t="s">
        <v>174</v>
      </c>
      <c r="AJ2" s="172" t="s">
        <v>174</v>
      </c>
      <c r="AK2" s="172" t="s">
        <v>174</v>
      </c>
      <c r="AL2" s="172" t="s">
        <v>174</v>
      </c>
      <c r="AM2" s="172" t="s">
        <v>174</v>
      </c>
      <c r="AN2" s="349" t="s">
        <v>173</v>
      </c>
      <c r="AQ2" s="171"/>
      <c r="AR2" s="171"/>
      <c r="AS2" s="171"/>
      <c r="AT2" s="171"/>
      <c r="AU2" s="171"/>
      <c r="AV2" s="171"/>
      <c r="AW2" s="171"/>
      <c r="AX2" s="171"/>
      <c r="AY2" s="349"/>
      <c r="AZ2" s="172"/>
      <c r="BA2" s="172"/>
      <c r="BB2" s="172"/>
      <c r="BC2" s="172"/>
      <c r="BD2" s="172"/>
      <c r="BE2" s="172"/>
      <c r="BF2" s="172"/>
      <c r="BG2" s="172"/>
      <c r="BH2" s="172"/>
      <c r="BI2" s="349"/>
    </row>
    <row r="3" spans="1:61" s="168" customFormat="1" ht="36" customHeight="1" x14ac:dyDescent="0.15">
      <c r="A3" s="170"/>
      <c r="B3" s="170"/>
      <c r="C3" s="170"/>
      <c r="D3" s="170"/>
      <c r="E3" s="170"/>
      <c r="F3" s="170"/>
      <c r="G3" s="171" t="s">
        <v>155</v>
      </c>
      <c r="H3" s="171" t="s">
        <v>154</v>
      </c>
      <c r="I3" s="171" t="s">
        <v>153</v>
      </c>
      <c r="J3" s="171" t="s">
        <v>152</v>
      </c>
      <c r="K3" s="171" t="s">
        <v>151</v>
      </c>
      <c r="L3" s="171" t="s">
        <v>150</v>
      </c>
      <c r="M3" s="171" t="s">
        <v>42</v>
      </c>
      <c r="N3" s="171" t="s">
        <v>41</v>
      </c>
      <c r="O3" s="171" t="s">
        <v>149</v>
      </c>
      <c r="P3" s="349"/>
      <c r="Q3" s="171" t="s">
        <v>148</v>
      </c>
      <c r="R3" s="171" t="s">
        <v>147</v>
      </c>
      <c r="S3" s="171" t="s">
        <v>146</v>
      </c>
      <c r="T3" s="171" t="s">
        <v>145</v>
      </c>
      <c r="U3" s="171" t="s">
        <v>144</v>
      </c>
      <c r="V3" s="171" t="s">
        <v>143</v>
      </c>
      <c r="W3" s="171" t="s">
        <v>142</v>
      </c>
      <c r="X3" s="171" t="s">
        <v>141</v>
      </c>
      <c r="Y3" s="171" t="s">
        <v>140</v>
      </c>
      <c r="Z3" s="171" t="s">
        <v>139</v>
      </c>
      <c r="AA3" s="171" t="s">
        <v>138</v>
      </c>
      <c r="AB3" s="171" t="s">
        <v>137</v>
      </c>
      <c r="AC3" s="171" t="s">
        <v>136</v>
      </c>
      <c r="AD3" s="349"/>
      <c r="AE3" s="172" t="s">
        <v>135</v>
      </c>
      <c r="AF3" s="172" t="s">
        <v>134</v>
      </c>
      <c r="AG3" s="172" t="s">
        <v>133</v>
      </c>
      <c r="AH3" s="172" t="s">
        <v>132</v>
      </c>
      <c r="AI3" s="172" t="s">
        <v>131</v>
      </c>
      <c r="AJ3" s="172" t="s">
        <v>130</v>
      </c>
      <c r="AK3" s="172" t="s">
        <v>129</v>
      </c>
      <c r="AL3" s="172" t="s">
        <v>128</v>
      </c>
      <c r="AM3" s="172" t="s">
        <v>127</v>
      </c>
      <c r="AN3" s="349"/>
      <c r="AQ3" s="171"/>
      <c r="AR3" s="171"/>
      <c r="AS3" s="171"/>
      <c r="AT3" s="171"/>
      <c r="AU3" s="171"/>
      <c r="AV3" s="171"/>
      <c r="AW3" s="171"/>
      <c r="AX3" s="171"/>
      <c r="AY3" s="349"/>
      <c r="AZ3" s="172"/>
      <c r="BA3" s="172"/>
      <c r="BB3" s="172"/>
      <c r="BC3" s="172"/>
      <c r="BD3" s="172"/>
      <c r="BE3" s="172"/>
      <c r="BF3" s="172"/>
      <c r="BG3" s="172"/>
      <c r="BH3" s="172"/>
      <c r="BI3" s="349"/>
    </row>
    <row r="4" spans="1:61" s="168" customFormat="1" ht="60" customHeight="1" x14ac:dyDescent="0.15">
      <c r="A4" s="173"/>
      <c r="B4" s="174" t="s">
        <v>126</v>
      </c>
      <c r="C4" s="174" t="s">
        <v>125</v>
      </c>
      <c r="D4" s="174" t="s">
        <v>32</v>
      </c>
      <c r="E4" s="174" t="s">
        <v>124</v>
      </c>
      <c r="F4" s="174" t="s">
        <v>123</v>
      </c>
      <c r="G4" s="171" t="s">
        <v>103</v>
      </c>
      <c r="H4" s="171" t="s">
        <v>102</v>
      </c>
      <c r="I4" s="171" t="s">
        <v>101</v>
      </c>
      <c r="J4" s="171" t="s">
        <v>100</v>
      </c>
      <c r="K4" s="171" t="s">
        <v>99</v>
      </c>
      <c r="L4" s="171" t="s">
        <v>98</v>
      </c>
      <c r="M4" s="171" t="s">
        <v>42</v>
      </c>
      <c r="N4" s="171" t="s">
        <v>97</v>
      </c>
      <c r="O4" s="171" t="s">
        <v>96</v>
      </c>
      <c r="P4" s="349"/>
      <c r="Q4" s="171" t="s">
        <v>95</v>
      </c>
      <c r="R4" s="171" t="s">
        <v>94</v>
      </c>
      <c r="S4" s="171" t="s">
        <v>93</v>
      </c>
      <c r="T4" s="171" t="s">
        <v>92</v>
      </c>
      <c r="U4" s="171" t="s">
        <v>91</v>
      </c>
      <c r="V4" s="171" t="s">
        <v>90</v>
      </c>
      <c r="W4" s="171" t="s">
        <v>89</v>
      </c>
      <c r="X4" s="171" t="s">
        <v>88</v>
      </c>
      <c r="Y4" s="171" t="s">
        <v>87</v>
      </c>
      <c r="Z4" s="171" t="s">
        <v>86</v>
      </c>
      <c r="AA4" s="171" t="s">
        <v>85</v>
      </c>
      <c r="AB4" s="171" t="s">
        <v>84</v>
      </c>
      <c r="AC4" s="171" t="s">
        <v>83</v>
      </c>
      <c r="AD4" s="349"/>
      <c r="AE4" s="172" t="s">
        <v>82</v>
      </c>
      <c r="AF4" s="172" t="s">
        <v>81</v>
      </c>
      <c r="AG4" s="172" t="s">
        <v>80</v>
      </c>
      <c r="AH4" s="172" t="s">
        <v>79</v>
      </c>
      <c r="AI4" s="172" t="s">
        <v>78</v>
      </c>
      <c r="AJ4" s="172" t="s">
        <v>77</v>
      </c>
      <c r="AK4" s="172" t="s">
        <v>76</v>
      </c>
      <c r="AL4" s="172" t="s">
        <v>75</v>
      </c>
      <c r="AM4" s="172" t="s">
        <v>74</v>
      </c>
      <c r="AN4" s="349"/>
      <c r="AQ4" s="171"/>
      <c r="AR4" s="171"/>
      <c r="AS4" s="171"/>
      <c r="AT4" s="171"/>
      <c r="AU4" s="171"/>
      <c r="AV4" s="171"/>
      <c r="AW4" s="171"/>
      <c r="AX4" s="171"/>
      <c r="AY4" s="349"/>
      <c r="AZ4" s="172"/>
      <c r="BA4" s="172"/>
      <c r="BB4" s="172"/>
      <c r="BC4" s="172"/>
      <c r="BD4" s="172"/>
      <c r="BE4" s="172"/>
      <c r="BF4" s="172"/>
      <c r="BG4" s="172"/>
      <c r="BH4" s="172"/>
      <c r="BI4" s="349"/>
    </row>
    <row r="5" spans="1:61" s="168" customFormat="1" ht="144" customHeight="1" x14ac:dyDescent="0.15">
      <c r="A5" s="175" t="s">
        <v>53</v>
      </c>
      <c r="B5" s="176"/>
      <c r="C5" s="176"/>
      <c r="D5" s="177"/>
      <c r="E5" s="177" t="s">
        <v>73</v>
      </c>
      <c r="F5" s="177" t="s">
        <v>72</v>
      </c>
      <c r="G5" s="178" t="s">
        <v>265</v>
      </c>
      <c r="H5" s="178" t="s">
        <v>266</v>
      </c>
      <c r="I5" s="180"/>
      <c r="J5" s="180"/>
      <c r="K5" s="180"/>
      <c r="L5" s="180"/>
      <c r="M5" s="181"/>
      <c r="N5" s="178" t="s">
        <v>267</v>
      </c>
      <c r="O5" s="178" t="s">
        <v>268</v>
      </c>
      <c r="P5" s="179">
        <f>SUMIF($G$2:O$2,O$2,$G5:O5)</f>
        <v>0</v>
      </c>
      <c r="Q5" s="180"/>
      <c r="R5" s="180"/>
      <c r="S5" s="180"/>
      <c r="T5" s="180"/>
      <c r="U5" s="180"/>
      <c r="V5" s="180"/>
      <c r="W5" s="178" t="s">
        <v>269</v>
      </c>
      <c r="X5" s="178" t="s">
        <v>270</v>
      </c>
      <c r="Y5" s="178" t="s">
        <v>271</v>
      </c>
      <c r="Z5" s="178" t="s">
        <v>272</v>
      </c>
      <c r="AA5" s="178" t="s">
        <v>273</v>
      </c>
      <c r="AB5" s="178" t="s">
        <v>274</v>
      </c>
      <c r="AC5" s="178" t="s">
        <v>275</v>
      </c>
      <c r="AD5" s="179">
        <f>SUMIF($G$2:AC$2,Y$2,$G5:AC5)</f>
        <v>0</v>
      </c>
      <c r="AE5" s="182"/>
      <c r="AF5" s="182"/>
      <c r="AG5" s="183"/>
      <c r="AH5" s="183"/>
      <c r="AI5" s="183"/>
      <c r="AJ5" s="183"/>
      <c r="AK5" s="183"/>
      <c r="AL5" s="183"/>
      <c r="AM5" s="182"/>
      <c r="AN5" s="179">
        <f>SUMIF($G$2:AM$2,AM$2,$G5:AM5)</f>
        <v>0</v>
      </c>
      <c r="AQ5" s="180"/>
      <c r="AR5" s="178"/>
      <c r="AS5" s="178"/>
      <c r="AT5" s="178"/>
      <c r="AU5" s="178"/>
      <c r="AV5" s="178"/>
      <c r="AW5" s="178"/>
      <c r="AX5" s="178"/>
      <c r="AY5" s="179"/>
      <c r="AZ5" s="182"/>
      <c r="BA5" s="182"/>
      <c r="BB5" s="183"/>
      <c r="BC5" s="183"/>
      <c r="BD5" s="183"/>
      <c r="BE5" s="183"/>
      <c r="BF5" s="183"/>
      <c r="BG5" s="183"/>
      <c r="BH5" s="182"/>
      <c r="BI5" s="179"/>
    </row>
    <row r="6" spans="1:61" s="168" customFormat="1" ht="409.6" x14ac:dyDescent="0.15">
      <c r="A6" s="175" t="s">
        <v>53</v>
      </c>
      <c r="B6" s="176"/>
      <c r="C6" s="176"/>
      <c r="D6" s="177"/>
      <c r="E6" s="177" t="s">
        <v>71</v>
      </c>
      <c r="F6" s="177" t="s">
        <v>70</v>
      </c>
      <c r="G6" s="180"/>
      <c r="H6" s="180"/>
      <c r="I6" s="178" t="s">
        <v>276</v>
      </c>
      <c r="J6" s="178" t="s">
        <v>277</v>
      </c>
      <c r="K6" s="178" t="s">
        <v>278</v>
      </c>
      <c r="L6" s="178" t="s">
        <v>279</v>
      </c>
      <c r="M6" s="178" t="s">
        <v>280</v>
      </c>
      <c r="N6" s="178" t="s">
        <v>281</v>
      </c>
      <c r="O6" s="178" t="s">
        <v>282</v>
      </c>
      <c r="P6" s="179">
        <f>SUMIF($G$2:O$2,O$2,$G6:O6)</f>
        <v>0</v>
      </c>
      <c r="Q6" s="178" t="s">
        <v>283</v>
      </c>
      <c r="R6" s="178" t="s">
        <v>284</v>
      </c>
      <c r="S6" s="178" t="s">
        <v>285</v>
      </c>
      <c r="T6" s="178" t="s">
        <v>286</v>
      </c>
      <c r="U6" s="178" t="s">
        <v>287</v>
      </c>
      <c r="V6" s="178" t="s">
        <v>288</v>
      </c>
      <c r="W6" s="180"/>
      <c r="X6" s="180"/>
      <c r="Y6" s="180"/>
      <c r="Z6" s="180"/>
      <c r="AA6" s="180"/>
      <c r="AB6" s="178" t="s">
        <v>289</v>
      </c>
      <c r="AC6" s="178" t="s">
        <v>290</v>
      </c>
      <c r="AD6" s="179">
        <f>SUMIF($G$2:AC$2,Y$2,$G6:AC6)</f>
        <v>0</v>
      </c>
      <c r="AE6" s="182"/>
      <c r="AF6" s="183"/>
      <c r="AG6" s="183"/>
      <c r="AH6" s="183"/>
      <c r="AI6" s="183"/>
      <c r="AJ6" s="183"/>
      <c r="AK6" s="183"/>
      <c r="AL6" s="183"/>
      <c r="AM6" s="182"/>
      <c r="AN6" s="179">
        <f>SUMIF($G$2:AM$2,AM$2,$G6:AM6)</f>
        <v>0</v>
      </c>
      <c r="AQ6" s="178"/>
      <c r="AR6" s="180"/>
      <c r="AS6" s="180"/>
      <c r="AT6" s="180"/>
      <c r="AU6" s="180"/>
      <c r="AV6" s="180"/>
      <c r="AW6" s="178"/>
      <c r="AX6" s="178"/>
      <c r="AY6" s="179"/>
      <c r="AZ6" s="182"/>
      <c r="BA6" s="183"/>
      <c r="BB6" s="183"/>
      <c r="BC6" s="183"/>
      <c r="BD6" s="183"/>
      <c r="BE6" s="183"/>
      <c r="BF6" s="183"/>
      <c r="BG6" s="183"/>
      <c r="BH6" s="182"/>
      <c r="BI6" s="179"/>
    </row>
    <row r="7" spans="1:61" s="168" customFormat="1" ht="48" customHeight="1" x14ac:dyDescent="0.15">
      <c r="A7" s="175" t="s">
        <v>53</v>
      </c>
      <c r="B7" s="176"/>
      <c r="C7" s="176"/>
      <c r="D7" s="177"/>
      <c r="E7" s="177" t="s">
        <v>69</v>
      </c>
      <c r="F7" s="177" t="s">
        <v>68</v>
      </c>
      <c r="G7" s="185"/>
      <c r="H7" s="178" t="s">
        <v>291</v>
      </c>
      <c r="I7" s="178" t="s">
        <v>292</v>
      </c>
      <c r="J7" s="185"/>
      <c r="K7" s="185"/>
      <c r="L7" s="185"/>
      <c r="M7" s="178" t="s">
        <v>293</v>
      </c>
      <c r="N7" s="178" t="s">
        <v>294</v>
      </c>
      <c r="O7" s="178" t="s">
        <v>295</v>
      </c>
      <c r="P7" s="179">
        <f>SUMIF($G$2:O$2,O$2,$G7:O7)</f>
        <v>0</v>
      </c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78" t="s">
        <v>296</v>
      </c>
      <c r="AD7" s="179">
        <f>SUMIF($G$2:AC$2,Y$2,$G7:AC7)</f>
        <v>0</v>
      </c>
      <c r="AE7" s="182"/>
      <c r="AF7" s="182"/>
      <c r="AG7" s="182"/>
      <c r="AH7" s="182"/>
      <c r="AI7" s="182"/>
      <c r="AJ7" s="182"/>
      <c r="AK7" s="182"/>
      <c r="AL7" s="182"/>
      <c r="AM7" s="186"/>
      <c r="AN7" s="179">
        <f>SUMIF($G$2:AM$2,AM$2,$G7:AM7)</f>
        <v>0</v>
      </c>
      <c r="AQ7" s="185"/>
      <c r="AR7" s="185"/>
      <c r="AS7" s="185"/>
      <c r="AT7" s="185"/>
      <c r="AU7" s="185"/>
      <c r="AV7" s="185"/>
      <c r="AW7" s="185"/>
      <c r="AX7" s="178"/>
      <c r="AY7" s="179"/>
      <c r="AZ7" s="182"/>
      <c r="BA7" s="182"/>
      <c r="BB7" s="182"/>
      <c r="BC7" s="182"/>
      <c r="BD7" s="182"/>
      <c r="BE7" s="182"/>
      <c r="BF7" s="182"/>
      <c r="BG7" s="182"/>
      <c r="BH7" s="186"/>
      <c r="BI7" s="179"/>
    </row>
    <row r="8" spans="1:61" s="168" customFormat="1" ht="24" customHeight="1" x14ac:dyDescent="0.15">
      <c r="A8" s="175" t="s">
        <v>53</v>
      </c>
      <c r="B8" s="176"/>
      <c r="C8" s="176"/>
      <c r="D8" s="177"/>
      <c r="E8" s="177" t="s">
        <v>67</v>
      </c>
      <c r="F8" s="177" t="s">
        <v>66</v>
      </c>
      <c r="G8" s="187"/>
      <c r="H8" s="187"/>
      <c r="I8" s="187"/>
      <c r="J8" s="187"/>
      <c r="K8" s="187"/>
      <c r="L8" s="187"/>
      <c r="M8" s="187"/>
      <c r="N8" s="187"/>
      <c r="O8" s="187"/>
      <c r="P8" s="179">
        <f>SUMIF($G$2:O$2,O$2,$G8:O8)</f>
        <v>0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4"/>
      <c r="AD8" s="179">
        <f>SUMIF($G$2:AC$2,Y$2,$G8:AC8)</f>
        <v>0</v>
      </c>
      <c r="AE8" s="182"/>
      <c r="AF8" s="182"/>
      <c r="AG8" s="182"/>
      <c r="AH8" s="182"/>
      <c r="AI8" s="182"/>
      <c r="AJ8" s="182"/>
      <c r="AK8" s="182"/>
      <c r="AL8" s="182"/>
      <c r="AM8" s="182"/>
      <c r="AN8" s="179">
        <f>SUMIF($G$2:AM$2,AM$2,$G8:AM8)</f>
        <v>0</v>
      </c>
      <c r="AQ8" s="185"/>
      <c r="AR8" s="185"/>
      <c r="AS8" s="185"/>
      <c r="AT8" s="185"/>
      <c r="AU8" s="185"/>
      <c r="AV8" s="185"/>
      <c r="AW8" s="185"/>
      <c r="AX8" s="184"/>
      <c r="AY8" s="179"/>
      <c r="AZ8" s="182"/>
      <c r="BA8" s="182"/>
      <c r="BB8" s="182"/>
      <c r="BC8" s="182"/>
      <c r="BD8" s="182"/>
      <c r="BE8" s="182"/>
      <c r="BF8" s="182"/>
      <c r="BG8" s="182"/>
      <c r="BH8" s="182"/>
      <c r="BI8" s="179"/>
    </row>
    <row r="9" spans="1:61" s="168" customFormat="1" ht="156" customHeight="1" x14ac:dyDescent="0.15">
      <c r="A9" s="175" t="s">
        <v>53</v>
      </c>
      <c r="B9" s="176"/>
      <c r="C9" s="176"/>
      <c r="D9" s="177"/>
      <c r="E9" s="177" t="s">
        <v>65</v>
      </c>
      <c r="F9" s="177" t="s">
        <v>64</v>
      </c>
      <c r="G9" s="188"/>
      <c r="H9" s="178" t="s">
        <v>297</v>
      </c>
      <c r="I9" s="178" t="s">
        <v>298</v>
      </c>
      <c r="J9" s="189"/>
      <c r="K9" s="189"/>
      <c r="L9" s="189"/>
      <c r="M9" s="178" t="s">
        <v>299</v>
      </c>
      <c r="N9" s="178" t="s">
        <v>300</v>
      </c>
      <c r="O9" s="178" t="s">
        <v>301</v>
      </c>
      <c r="P9" s="190">
        <f>SUMIF($G$2:O$2,O$2,$G9:O9)</f>
        <v>0</v>
      </c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78" t="s">
        <v>302</v>
      </c>
      <c r="AD9" s="179">
        <f>SUMIF($G$2:AC$2,Y$2,$G9:AC9)</f>
        <v>0</v>
      </c>
      <c r="AE9" s="182"/>
      <c r="AF9" s="182"/>
      <c r="AG9" s="182"/>
      <c r="AH9" s="182"/>
      <c r="AI9" s="182"/>
      <c r="AJ9" s="182"/>
      <c r="AK9" s="182"/>
      <c r="AL9" s="182"/>
      <c r="AM9" s="182"/>
      <c r="AN9" s="179">
        <f>SUMIF($G$2:AM$2,AM$2,$G9:AM9)</f>
        <v>0</v>
      </c>
      <c r="AQ9" s="185"/>
      <c r="AR9" s="185"/>
      <c r="AS9" s="185"/>
      <c r="AT9" s="185"/>
      <c r="AU9" s="185"/>
      <c r="AV9" s="185"/>
      <c r="AW9" s="185"/>
      <c r="AX9" s="178"/>
      <c r="AY9" s="179"/>
      <c r="AZ9" s="182"/>
      <c r="BA9" s="182"/>
      <c r="BB9" s="182"/>
      <c r="BC9" s="182"/>
      <c r="BD9" s="182"/>
      <c r="BE9" s="182"/>
      <c r="BF9" s="182"/>
      <c r="BG9" s="182"/>
      <c r="BH9" s="182"/>
      <c r="BI9" s="179"/>
    </row>
    <row r="10" spans="1:61" s="168" customFormat="1" ht="72" customHeight="1" x14ac:dyDescent="0.15">
      <c r="A10" s="175" t="s">
        <v>53</v>
      </c>
      <c r="B10" s="176"/>
      <c r="C10" s="176"/>
      <c r="D10" s="177"/>
      <c r="E10" s="177" t="s">
        <v>63</v>
      </c>
      <c r="F10" s="177" t="s">
        <v>62</v>
      </c>
      <c r="G10" s="188"/>
      <c r="H10" s="178" t="s">
        <v>303</v>
      </c>
      <c r="I10" s="178" t="s">
        <v>304</v>
      </c>
      <c r="J10" s="189"/>
      <c r="K10" s="189"/>
      <c r="L10" s="189"/>
      <c r="M10" s="178" t="s">
        <v>305</v>
      </c>
      <c r="N10" s="178" t="s">
        <v>306</v>
      </c>
      <c r="O10" s="178" t="s">
        <v>307</v>
      </c>
      <c r="P10" s="190">
        <f>SUMIF($G$2:O$2,O$2,$G10:O10)</f>
        <v>0</v>
      </c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78" t="s">
        <v>308</v>
      </c>
      <c r="AD10" s="179">
        <f>SUMIF($G$2:AC$2,Y$2,$G10:AC10)</f>
        <v>0</v>
      </c>
      <c r="AE10" s="182"/>
      <c r="AF10" s="182"/>
      <c r="AG10" s="182"/>
      <c r="AH10" s="182"/>
      <c r="AI10" s="182"/>
      <c r="AJ10" s="182"/>
      <c r="AK10" s="182"/>
      <c r="AL10" s="182"/>
      <c r="AM10" s="182"/>
      <c r="AN10" s="179">
        <f>SUMIF($G$2:AM$2,AM$2,$G10:AM10)</f>
        <v>0</v>
      </c>
      <c r="AQ10" s="185"/>
      <c r="AR10" s="185"/>
      <c r="AS10" s="185"/>
      <c r="AT10" s="185"/>
      <c r="AU10" s="185"/>
      <c r="AV10" s="185"/>
      <c r="AW10" s="185"/>
      <c r="AX10" s="178"/>
      <c r="AY10" s="179"/>
      <c r="AZ10" s="182"/>
      <c r="BA10" s="182"/>
      <c r="BB10" s="182"/>
      <c r="BC10" s="182"/>
      <c r="BD10" s="182"/>
      <c r="BE10" s="182"/>
      <c r="BF10" s="182"/>
      <c r="BG10" s="182"/>
      <c r="BH10" s="182"/>
      <c r="BI10" s="179"/>
    </row>
    <row r="11" spans="1:61" s="168" customFormat="1" ht="72" customHeight="1" x14ac:dyDescent="0.15">
      <c r="A11" s="175" t="s">
        <v>53</v>
      </c>
      <c r="B11" s="176"/>
      <c r="C11" s="176"/>
      <c r="D11" s="177"/>
      <c r="E11" s="177" t="s">
        <v>61</v>
      </c>
      <c r="F11" s="177" t="s">
        <v>60</v>
      </c>
      <c r="G11" s="188"/>
      <c r="H11" s="178" t="s">
        <v>309</v>
      </c>
      <c r="I11" s="178" t="s">
        <v>310</v>
      </c>
      <c r="J11" s="188"/>
      <c r="K11" s="188"/>
      <c r="L11" s="188"/>
      <c r="M11" s="178" t="s">
        <v>311</v>
      </c>
      <c r="N11" s="178" t="s">
        <v>312</v>
      </c>
      <c r="O11" s="178" t="s">
        <v>313</v>
      </c>
      <c r="P11" s="190">
        <f>SUMIF($G$2:O$2,O$2,$G11:O11)</f>
        <v>0</v>
      </c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78" t="s">
        <v>314</v>
      </c>
      <c r="AD11" s="179">
        <f>SUMIF($G$2:AC$2,Y$2,$G11:AC11)</f>
        <v>0</v>
      </c>
      <c r="AE11" s="182"/>
      <c r="AF11" s="182"/>
      <c r="AG11" s="182"/>
      <c r="AH11" s="182"/>
      <c r="AI11" s="182"/>
      <c r="AJ11" s="182"/>
      <c r="AK11" s="182"/>
      <c r="AL11" s="182"/>
      <c r="AM11" s="182"/>
      <c r="AN11" s="179">
        <f>SUMIF($G$2:AM$2,AM$2,$G11:AM11)</f>
        <v>0</v>
      </c>
      <c r="AQ11" s="185"/>
      <c r="AR11" s="185"/>
      <c r="AS11" s="185"/>
      <c r="AT11" s="185"/>
      <c r="AU11" s="185"/>
      <c r="AV11" s="185"/>
      <c r="AW11" s="185"/>
      <c r="AX11" s="178"/>
      <c r="AY11" s="179"/>
      <c r="AZ11" s="182"/>
      <c r="BA11" s="182"/>
      <c r="BB11" s="182"/>
      <c r="BC11" s="182"/>
      <c r="BD11" s="182"/>
      <c r="BE11" s="182"/>
      <c r="BF11" s="182"/>
      <c r="BG11" s="182"/>
      <c r="BH11" s="182"/>
      <c r="BI11" s="179"/>
    </row>
    <row r="12" spans="1:61" s="168" customFormat="1" ht="72" customHeight="1" x14ac:dyDescent="0.15">
      <c r="A12" s="175" t="s">
        <v>53</v>
      </c>
      <c r="B12" s="176"/>
      <c r="C12" s="176"/>
      <c r="D12" s="177"/>
      <c r="E12" s="177" t="s">
        <v>59</v>
      </c>
      <c r="F12" s="177" t="s">
        <v>58</v>
      </c>
      <c r="G12" s="188"/>
      <c r="H12" s="178" t="s">
        <v>407</v>
      </c>
      <c r="I12" s="178" t="s">
        <v>408</v>
      </c>
      <c r="J12" s="189"/>
      <c r="K12" s="189"/>
      <c r="L12" s="189"/>
      <c r="M12" s="178" t="s">
        <v>409</v>
      </c>
      <c r="N12" s="178" t="s">
        <v>410</v>
      </c>
      <c r="O12" s="178" t="s">
        <v>411</v>
      </c>
      <c r="P12" s="190">
        <f>SUMIF($G$2:O$2,O$2,$G12:O12)</f>
        <v>0</v>
      </c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78" t="s">
        <v>412</v>
      </c>
      <c r="AD12" s="179">
        <f>SUMIF($G$2:AC$2,Y$2,$G12:AC12)</f>
        <v>0</v>
      </c>
      <c r="AE12" s="182"/>
      <c r="AF12" s="182"/>
      <c r="AG12" s="182"/>
      <c r="AH12" s="182"/>
      <c r="AI12" s="182"/>
      <c r="AJ12" s="182"/>
      <c r="AK12" s="182"/>
      <c r="AL12" s="182"/>
      <c r="AM12" s="182"/>
      <c r="AN12" s="179">
        <f>SUMIF($G$2:AM$2,AM$2,$G12:AM12)</f>
        <v>0</v>
      </c>
      <c r="AQ12" s="185"/>
      <c r="AR12" s="185"/>
      <c r="AS12" s="185"/>
      <c r="AT12" s="185"/>
      <c r="AU12" s="185"/>
      <c r="AV12" s="185"/>
      <c r="AW12" s="185"/>
      <c r="AX12" s="178"/>
      <c r="AY12" s="179"/>
      <c r="AZ12" s="182"/>
      <c r="BA12" s="182"/>
      <c r="BB12" s="182"/>
      <c r="BC12" s="182"/>
      <c r="BD12" s="182"/>
      <c r="BE12" s="182"/>
      <c r="BF12" s="182"/>
      <c r="BG12" s="182"/>
      <c r="BH12" s="182"/>
      <c r="BI12" s="179"/>
    </row>
    <row r="13" spans="1:61" s="168" customFormat="1" ht="79" customHeight="1" x14ac:dyDescent="0.15">
      <c r="A13" s="175" t="s">
        <v>53</v>
      </c>
      <c r="B13" s="176"/>
      <c r="C13" s="176"/>
      <c r="D13" s="177"/>
      <c r="E13" s="177" t="s">
        <v>57</v>
      </c>
      <c r="F13" s="177" t="s">
        <v>56</v>
      </c>
      <c r="G13" s="191"/>
      <c r="H13" s="178" t="s">
        <v>413</v>
      </c>
      <c r="I13" s="178" t="s">
        <v>414</v>
      </c>
      <c r="J13" s="189"/>
      <c r="K13" s="189"/>
      <c r="L13" s="189"/>
      <c r="M13" s="178" t="s">
        <v>415</v>
      </c>
      <c r="N13" s="178" t="s">
        <v>416</v>
      </c>
      <c r="O13" s="178" t="s">
        <v>417</v>
      </c>
      <c r="P13" s="179">
        <f>SUMIF($G$2:O$2,O$2,$G13:O13)</f>
        <v>0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78" t="s">
        <v>418</v>
      </c>
      <c r="AD13" s="179">
        <f>SUMIF($G$2:AC$2,Y$2,$G13:AC13)</f>
        <v>0</v>
      </c>
      <c r="AE13" s="182"/>
      <c r="AF13" s="182"/>
      <c r="AG13" s="182"/>
      <c r="AH13" s="182"/>
      <c r="AI13" s="182"/>
      <c r="AJ13" s="182"/>
      <c r="AK13" s="182"/>
      <c r="AL13" s="182"/>
      <c r="AM13" s="182"/>
      <c r="AN13" s="179">
        <f>SUMIF($G$2:AM$2,AM$2,$G13:AM13)</f>
        <v>0</v>
      </c>
      <c r="AQ13" s="185"/>
      <c r="AR13" s="185"/>
      <c r="AS13" s="185"/>
      <c r="AT13" s="185"/>
      <c r="AU13" s="185"/>
      <c r="AV13" s="185"/>
      <c r="AW13" s="185"/>
      <c r="AX13" s="185"/>
      <c r="AY13" s="179"/>
      <c r="AZ13" s="182"/>
      <c r="BA13" s="182"/>
      <c r="BB13" s="182"/>
      <c r="BC13" s="182"/>
      <c r="BD13" s="182"/>
      <c r="BE13" s="182"/>
      <c r="BF13" s="182"/>
      <c r="BG13" s="182"/>
      <c r="BH13" s="182"/>
      <c r="BI13" s="179"/>
    </row>
    <row r="14" spans="1:61" s="168" customFormat="1" ht="180" customHeight="1" x14ac:dyDescent="0.15">
      <c r="A14" s="175" t="s">
        <v>53</v>
      </c>
      <c r="B14" s="176"/>
      <c r="C14" s="176"/>
      <c r="D14" s="177"/>
      <c r="E14" s="177" t="s">
        <v>55</v>
      </c>
      <c r="F14" s="177" t="s">
        <v>54</v>
      </c>
      <c r="G14" s="178" t="s">
        <v>315</v>
      </c>
      <c r="H14" s="178" t="s">
        <v>316</v>
      </c>
      <c r="I14" s="178" t="s">
        <v>317</v>
      </c>
      <c r="J14" s="178" t="s">
        <v>318</v>
      </c>
      <c r="K14" s="178" t="s">
        <v>319</v>
      </c>
      <c r="L14" s="178" t="s">
        <v>320</v>
      </c>
      <c r="M14" s="178" t="s">
        <v>321</v>
      </c>
      <c r="N14" s="178" t="s">
        <v>322</v>
      </c>
      <c r="O14" s="178" t="s">
        <v>323</v>
      </c>
      <c r="P14" s="179">
        <f>SUMIF($G$2:O$2,O$2,$G14:O14)</f>
        <v>0</v>
      </c>
      <c r="Q14" s="178" t="s">
        <v>324</v>
      </c>
      <c r="R14" s="178" t="s">
        <v>325</v>
      </c>
      <c r="S14" s="178" t="s">
        <v>326</v>
      </c>
      <c r="T14" s="178" t="s">
        <v>327</v>
      </c>
      <c r="U14" s="178" t="s">
        <v>328</v>
      </c>
      <c r="V14" s="178" t="s">
        <v>329</v>
      </c>
      <c r="W14" s="178" t="s">
        <v>330</v>
      </c>
      <c r="X14" s="178" t="s">
        <v>331</v>
      </c>
      <c r="Y14" s="178" t="s">
        <v>332</v>
      </c>
      <c r="Z14" s="178" t="s">
        <v>333</v>
      </c>
      <c r="AA14" s="178" t="s">
        <v>334</v>
      </c>
      <c r="AB14" s="193"/>
      <c r="AC14" s="178" t="s">
        <v>419</v>
      </c>
      <c r="AD14" s="179">
        <f>SUMIF($G$2:AC$2,Y$2,$G14:AC14)</f>
        <v>0</v>
      </c>
      <c r="AE14" s="182"/>
      <c r="AF14" s="182"/>
      <c r="AG14" s="182"/>
      <c r="AH14" s="182"/>
      <c r="AI14" s="182"/>
      <c r="AJ14" s="182"/>
      <c r="AK14" s="182"/>
      <c r="AL14" s="182"/>
      <c r="AM14" s="182"/>
      <c r="AN14" s="179">
        <f>SUMIF($G$2:AM$2,AM$2,$G14:AM14)</f>
        <v>0</v>
      </c>
      <c r="AQ14" s="178"/>
      <c r="AR14" s="178"/>
      <c r="AS14" s="178"/>
      <c r="AT14" s="178"/>
      <c r="AU14" s="178"/>
      <c r="AV14" s="178"/>
      <c r="AW14" s="193"/>
      <c r="AX14" s="178"/>
      <c r="AY14" s="179"/>
      <c r="AZ14" s="182"/>
      <c r="BA14" s="182"/>
      <c r="BB14" s="182"/>
      <c r="BC14" s="182"/>
      <c r="BD14" s="182"/>
      <c r="BE14" s="182"/>
      <c r="BF14" s="182"/>
      <c r="BG14" s="182"/>
      <c r="BH14" s="182"/>
      <c r="BI14" s="179"/>
    </row>
    <row r="15" spans="1:61" s="168" customFormat="1" ht="180" customHeight="1" x14ac:dyDescent="0.15">
      <c r="A15" s="175" t="s">
        <v>53</v>
      </c>
      <c r="B15" s="176"/>
      <c r="C15" s="176"/>
      <c r="D15" s="177"/>
      <c r="E15" s="177" t="s">
        <v>52</v>
      </c>
      <c r="F15" s="177" t="s">
        <v>51</v>
      </c>
      <c r="G15" s="178" t="s">
        <v>315</v>
      </c>
      <c r="H15" s="178" t="s">
        <v>316</v>
      </c>
      <c r="I15" s="178" t="s">
        <v>317</v>
      </c>
      <c r="J15" s="178" t="s">
        <v>318</v>
      </c>
      <c r="K15" s="178" t="s">
        <v>319</v>
      </c>
      <c r="L15" s="178" t="s">
        <v>320</v>
      </c>
      <c r="M15" s="178" t="s">
        <v>321</v>
      </c>
      <c r="N15" s="178" t="s">
        <v>322</v>
      </c>
      <c r="O15" s="178" t="s">
        <v>323</v>
      </c>
      <c r="P15" s="179">
        <f>SUMIF($G$2:O$2,O$2,$G15:O15)</f>
        <v>0</v>
      </c>
      <c r="Q15" s="178" t="s">
        <v>324</v>
      </c>
      <c r="R15" s="178" t="s">
        <v>325</v>
      </c>
      <c r="S15" s="178" t="s">
        <v>326</v>
      </c>
      <c r="T15" s="178" t="s">
        <v>327</v>
      </c>
      <c r="U15" s="178" t="s">
        <v>328</v>
      </c>
      <c r="V15" s="178" t="s">
        <v>329</v>
      </c>
      <c r="W15" s="178" t="s">
        <v>330</v>
      </c>
      <c r="X15" s="178" t="s">
        <v>331</v>
      </c>
      <c r="Y15" s="178" t="s">
        <v>332</v>
      </c>
      <c r="Z15" s="178" t="s">
        <v>333</v>
      </c>
      <c r="AA15" s="178" t="s">
        <v>334</v>
      </c>
      <c r="AB15" s="185"/>
      <c r="AC15" s="178" t="s">
        <v>419</v>
      </c>
      <c r="AD15" s="179">
        <f>SUMIF($G$2:AC$2,Y$2,$G15:AC15)</f>
        <v>0</v>
      </c>
      <c r="AE15" s="182"/>
      <c r="AF15" s="182"/>
      <c r="AG15" s="182"/>
      <c r="AH15" s="182"/>
      <c r="AI15" s="182"/>
      <c r="AJ15" s="182"/>
      <c r="AK15" s="182"/>
      <c r="AL15" s="182"/>
      <c r="AM15" s="182"/>
      <c r="AN15" s="179">
        <f>SUMIF($G$2:AM$2,AM$2,$G15:AM15)</f>
        <v>0</v>
      </c>
      <c r="AQ15" s="178"/>
      <c r="AR15" s="178"/>
      <c r="AS15" s="178"/>
      <c r="AT15" s="178"/>
      <c r="AU15" s="178"/>
      <c r="AV15" s="178"/>
      <c r="AW15" s="185"/>
      <c r="AX15" s="178"/>
      <c r="AY15" s="179"/>
      <c r="AZ15" s="182"/>
      <c r="BA15" s="182"/>
      <c r="BB15" s="182"/>
      <c r="BC15" s="182"/>
      <c r="BD15" s="182"/>
      <c r="BE15" s="182"/>
      <c r="BF15" s="182"/>
      <c r="BG15" s="182"/>
      <c r="BH15" s="182"/>
      <c r="BI15" s="179"/>
    </row>
    <row r="16" spans="1:61" s="168" customFormat="1" ht="12" customHeight="1" x14ac:dyDescent="0.15">
      <c r="A16" s="175"/>
      <c r="B16" s="194"/>
      <c r="C16" s="194"/>
      <c r="D16" s="195"/>
      <c r="E16" s="195"/>
      <c r="F16" s="196" t="s">
        <v>50</v>
      </c>
      <c r="G16" s="197">
        <f>SUMIF($C$5:$C15,$C15,G$5:G15)</f>
        <v>0</v>
      </c>
      <c r="H16" s="197">
        <f>SUMIF($C$5:$C15,$C15,H$5:H15)</f>
        <v>0</v>
      </c>
      <c r="I16" s="197">
        <f>SUMIF($C$5:$C15,$C15,I$5:I15)</f>
        <v>0</v>
      </c>
      <c r="J16" s="197">
        <f>SUMIF($C$5:$C15,$C15,J$5:J15)</f>
        <v>0</v>
      </c>
      <c r="K16" s="197">
        <f>SUMIF($C$5:$C15,$C15,K$5:K15)</f>
        <v>0</v>
      </c>
      <c r="L16" s="197">
        <f>SUMIF($C$5:$C15,$C15,L$5:L15)</f>
        <v>0</v>
      </c>
      <c r="M16" s="197">
        <f>SUMIF($C$5:$C15,$C15,M$5:M15)</f>
        <v>0</v>
      </c>
      <c r="N16" s="197">
        <f>SUMIF($C$5:$C15,$C15,N$5:N15)</f>
        <v>0</v>
      </c>
      <c r="O16" s="197">
        <f>SUMIF($C$5:$C15,$C15,O$5:O15)</f>
        <v>0</v>
      </c>
      <c r="P16" s="179">
        <f>SUMIF($C$5:$C15,$C15,P$5:P15)</f>
        <v>0</v>
      </c>
      <c r="Q16" s="197">
        <f>SUMIF($C$5:$C15,$C15,Q$5:Q15)</f>
        <v>0</v>
      </c>
      <c r="R16" s="197">
        <f>SUMIF($C$5:$C15,$C15,R$5:R15)</f>
        <v>0</v>
      </c>
      <c r="S16" s="197">
        <f>SUMIF($C$5:$C15,$C15,S$5:S15)</f>
        <v>0</v>
      </c>
      <c r="T16" s="197">
        <f>SUMIF($C$5:$C15,$C15,T$5:T15)</f>
        <v>0</v>
      </c>
      <c r="U16" s="197">
        <f>SUMIF($C$5:$C15,$C15,U$5:U15)</f>
        <v>0</v>
      </c>
      <c r="V16" s="197">
        <f>SUMIF($C$5:$C15,$C15,V$5:V15)</f>
        <v>0</v>
      </c>
      <c r="W16" s="197">
        <f>SUMIF($C$5:$C15,$C15,W$5:W15)</f>
        <v>0</v>
      </c>
      <c r="X16" s="197">
        <f>SUMIF($C$5:$C15,$C15,X$5:X15)</f>
        <v>0</v>
      </c>
      <c r="Y16" s="197">
        <f>SUMIF($C$5:$C15,$C15,Y$5:Y15)</f>
        <v>0</v>
      </c>
      <c r="Z16" s="197">
        <f>SUMIF($C$5:$C15,$C15,Z$5:Z15)</f>
        <v>0</v>
      </c>
      <c r="AA16" s="197">
        <f>SUMIF($C$5:$C15,$C15,AA$5:AA15)</f>
        <v>0</v>
      </c>
      <c r="AB16" s="197">
        <f>SUMIF($C$5:$C15,$C15,AB$5:AB15)</f>
        <v>0</v>
      </c>
      <c r="AC16" s="197">
        <f>SUMIF($C$5:$C15,$C15,AC$5:AC15)</f>
        <v>0</v>
      </c>
      <c r="AD16" s="179">
        <f>SUMIF($C$5:$C15,$C15,AD$5:AD15)</f>
        <v>0</v>
      </c>
      <c r="AE16" s="197">
        <f>SUMIF($C$5:$C15,$C15,AE$5:AE15)</f>
        <v>0</v>
      </c>
      <c r="AF16" s="197">
        <f>SUMIF($C$5:$C15,$C15,AF$5:AF15)</f>
        <v>0</v>
      </c>
      <c r="AG16" s="197">
        <f>SUMIF($C$5:$C15,$C15,AG$5:AG15)</f>
        <v>0</v>
      </c>
      <c r="AH16" s="197">
        <f>SUMIF($C$5:$C15,$C15,AH$5:AH15)</f>
        <v>0</v>
      </c>
      <c r="AI16" s="197">
        <f>SUMIF($C$5:$C15,$C15,AI$5:AI15)</f>
        <v>0</v>
      </c>
      <c r="AJ16" s="197">
        <f>SUMIF($C$5:$C15,$C15,AJ$5:AJ15)</f>
        <v>0</v>
      </c>
      <c r="AK16" s="197">
        <f>SUMIF($C$5:$C15,$C15,AK$5:AK15)</f>
        <v>0</v>
      </c>
      <c r="AL16" s="197">
        <f>SUMIF($C$5:$C15,$C15,AL$5:AL15)</f>
        <v>0</v>
      </c>
      <c r="AM16" s="197">
        <f>SUMIF($C$5:$C15,$C15,AM$5:AM15)</f>
        <v>0</v>
      </c>
      <c r="AN16" s="179">
        <f>SUMIF($C$5:$C15,$C15,AN$5:AN15)</f>
        <v>0</v>
      </c>
      <c r="AQ16" s="197"/>
      <c r="AR16" s="197"/>
      <c r="AS16" s="197"/>
      <c r="AT16" s="197"/>
      <c r="AU16" s="197"/>
      <c r="AV16" s="197"/>
      <c r="AW16" s="197"/>
      <c r="AX16" s="197"/>
      <c r="AY16" s="179"/>
      <c r="AZ16" s="197"/>
      <c r="BA16" s="197"/>
      <c r="BB16" s="197"/>
      <c r="BC16" s="197"/>
      <c r="BD16" s="197"/>
      <c r="BE16" s="197"/>
      <c r="BF16" s="197"/>
      <c r="BG16" s="197"/>
      <c r="BH16" s="197"/>
      <c r="BI16" s="179"/>
    </row>
    <row r="17" spans="1:42" ht="16" customHeight="1" x14ac:dyDescent="0.2">
      <c r="A17" s="309"/>
      <c r="B17" s="307"/>
      <c r="C17" s="307"/>
      <c r="D17" s="309"/>
      <c r="E17" s="309"/>
      <c r="F17" s="309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</row>
    <row r="18" spans="1:42" ht="16" customHeight="1" x14ac:dyDescent="0.2">
      <c r="A18" s="309"/>
      <c r="B18" s="307"/>
      <c r="C18" s="307"/>
      <c r="D18" s="309"/>
      <c r="E18" s="309"/>
      <c r="F18" s="309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  <c r="AO18" s="307"/>
      <c r="AP18" s="307"/>
    </row>
    <row r="19" spans="1:42" ht="84" x14ac:dyDescent="0.2">
      <c r="A19" s="309"/>
      <c r="B19" s="307"/>
      <c r="C19" s="307"/>
      <c r="D19" s="309"/>
      <c r="E19" s="309"/>
      <c r="F19" s="309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4" t="s">
        <v>400</v>
      </c>
      <c r="AC19" s="178" t="s">
        <v>401</v>
      </c>
      <c r="AD19" s="307"/>
      <c r="AE19" s="307"/>
      <c r="AF19" s="307"/>
      <c r="AG19" s="307"/>
      <c r="AH19" s="307"/>
      <c r="AI19" s="307"/>
      <c r="AJ19" s="307"/>
      <c r="AK19" s="307"/>
      <c r="AL19" s="307"/>
      <c r="AM19" s="307"/>
      <c r="AN19" s="307"/>
      <c r="AO19" s="307"/>
      <c r="AP19" s="307"/>
    </row>
    <row r="20" spans="1:42" x14ac:dyDescent="0.2">
      <c r="A20" s="309"/>
      <c r="B20" s="307"/>
      <c r="C20" s="307"/>
      <c r="D20" s="309"/>
      <c r="E20" s="309"/>
      <c r="F20" s="309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  <c r="AO20" s="307"/>
      <c r="AP20" s="307"/>
    </row>
    <row r="21" spans="1:42" x14ac:dyDescent="0.2">
      <c r="A21" s="309"/>
      <c r="B21" s="307"/>
      <c r="C21" s="307"/>
      <c r="D21" s="309"/>
      <c r="E21" s="309"/>
      <c r="F21" s="309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7"/>
      <c r="AN21" s="307"/>
      <c r="AO21" s="307"/>
      <c r="AP21" s="307"/>
    </row>
    <row r="22" spans="1:42" x14ac:dyDescent="0.2">
      <c r="A22" s="309"/>
      <c r="B22" s="307"/>
      <c r="C22" s="307"/>
      <c r="D22" s="309"/>
      <c r="E22" s="309"/>
      <c r="F22" s="309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  <c r="AP22" s="307"/>
    </row>
    <row r="23" spans="1:42" x14ac:dyDescent="0.2">
      <c r="A23" s="309"/>
      <c r="B23" s="307"/>
      <c r="C23" s="307"/>
      <c r="D23" s="309"/>
      <c r="E23" s="309"/>
      <c r="F23" s="309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7"/>
      <c r="AM23" s="307"/>
      <c r="AN23" s="307"/>
      <c r="AO23" s="307"/>
      <c r="AP23" s="307"/>
    </row>
    <row r="24" spans="1:42" x14ac:dyDescent="0.2">
      <c r="A24" s="309"/>
      <c r="B24" s="307"/>
      <c r="C24" s="307"/>
      <c r="D24" s="309"/>
      <c r="E24" s="309"/>
      <c r="F24" s="309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</row>
    <row r="25" spans="1:42" x14ac:dyDescent="0.2">
      <c r="A25" s="309"/>
      <c r="B25" s="307"/>
      <c r="C25" s="307"/>
      <c r="D25" s="309"/>
      <c r="E25" s="309"/>
      <c r="F25" s="309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7"/>
      <c r="AN25" s="307"/>
      <c r="AO25" s="307"/>
      <c r="AP25" s="307"/>
    </row>
    <row r="26" spans="1:42" x14ac:dyDescent="0.2">
      <c r="A26" s="309"/>
      <c r="B26" s="307"/>
      <c r="C26" s="307"/>
      <c r="D26" s="309"/>
      <c r="E26" s="309"/>
      <c r="F26" s="309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</row>
    <row r="27" spans="1:42" x14ac:dyDescent="0.2">
      <c r="A27" s="309"/>
      <c r="B27" s="307"/>
      <c r="C27" s="307"/>
      <c r="D27" s="309"/>
      <c r="E27" s="309"/>
      <c r="F27" s="309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</row>
  </sheetData>
  <mergeCells count="6">
    <mergeCell ref="BI2:BI4"/>
    <mergeCell ref="AY2:AY4"/>
    <mergeCell ref="B1:F1"/>
    <mergeCell ref="P2:P4"/>
    <mergeCell ref="AD2:AD4"/>
    <mergeCell ref="AN2:AN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9"/>
  <sheetViews>
    <sheetView topLeftCell="A11"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0" ht="31" customHeight="1" x14ac:dyDescent="0.2">
      <c r="A1" s="351" t="s">
        <v>228</v>
      </c>
      <c r="B1" s="351"/>
      <c r="C1" s="351"/>
      <c r="D1" s="351"/>
      <c r="E1" s="351"/>
      <c r="F1" s="351"/>
      <c r="G1" s="200"/>
      <c r="H1" s="200"/>
      <c r="I1" s="200"/>
      <c r="J1" s="200"/>
      <c r="K1" s="200"/>
      <c r="L1" s="200"/>
      <c r="M1" s="201"/>
      <c r="N1" s="201"/>
      <c r="O1" s="200"/>
      <c r="P1" s="200"/>
      <c r="Q1" s="200"/>
      <c r="R1" s="200"/>
      <c r="S1" s="200"/>
      <c r="T1" s="200"/>
    </row>
    <row r="2" spans="1:20" x14ac:dyDescent="0.2">
      <c r="A2" s="202"/>
      <c r="B2" s="202"/>
      <c r="C2" s="202"/>
      <c r="D2" s="202"/>
      <c r="E2" s="202"/>
      <c r="F2" s="202"/>
      <c r="G2" s="203" t="s">
        <v>178</v>
      </c>
      <c r="H2" s="203" t="s">
        <v>178</v>
      </c>
      <c r="I2" s="203" t="s">
        <v>178</v>
      </c>
      <c r="J2" s="203" t="s">
        <v>178</v>
      </c>
      <c r="K2" s="203" t="s">
        <v>178</v>
      </c>
      <c r="L2" s="203" t="s">
        <v>178</v>
      </c>
      <c r="M2" s="204" t="s">
        <v>178</v>
      </c>
      <c r="N2" s="204" t="s">
        <v>178</v>
      </c>
      <c r="O2" s="203" t="s">
        <v>178</v>
      </c>
      <c r="P2" s="352" t="s">
        <v>227</v>
      </c>
      <c r="Q2" s="203" t="s">
        <v>226</v>
      </c>
      <c r="R2" s="203" t="s">
        <v>226</v>
      </c>
      <c r="S2" s="203" t="s">
        <v>226</v>
      </c>
      <c r="T2" s="352" t="s">
        <v>225</v>
      </c>
    </row>
    <row r="3" spans="1:20" ht="24" x14ac:dyDescent="0.2">
      <c r="A3" s="202"/>
      <c r="B3" s="202"/>
      <c r="C3" s="202"/>
      <c r="D3" s="202"/>
      <c r="E3" s="202"/>
      <c r="F3" s="202"/>
      <c r="G3" s="203" t="s">
        <v>215</v>
      </c>
      <c r="H3" s="203" t="s">
        <v>214</v>
      </c>
      <c r="I3" s="203" t="s">
        <v>213</v>
      </c>
      <c r="J3" s="203" t="s">
        <v>212</v>
      </c>
      <c r="K3" s="203" t="s">
        <v>211</v>
      </c>
      <c r="L3" s="203" t="s">
        <v>210</v>
      </c>
      <c r="M3" s="204" t="s">
        <v>209</v>
      </c>
      <c r="N3" s="204" t="s">
        <v>208</v>
      </c>
      <c r="O3" s="203" t="s">
        <v>207</v>
      </c>
      <c r="P3" s="352"/>
      <c r="Q3" s="203" t="s">
        <v>206</v>
      </c>
      <c r="R3" s="203" t="s">
        <v>142</v>
      </c>
      <c r="S3" s="203" t="s">
        <v>136</v>
      </c>
      <c r="T3" s="352"/>
    </row>
    <row r="4" spans="1:20" ht="60" x14ac:dyDescent="0.2">
      <c r="A4" s="202"/>
      <c r="B4" s="205" t="s">
        <v>126</v>
      </c>
      <c r="C4" s="205" t="s">
        <v>125</v>
      </c>
      <c r="D4" s="205" t="s">
        <v>32</v>
      </c>
      <c r="E4" s="205" t="s">
        <v>124</v>
      </c>
      <c r="F4" s="205" t="s">
        <v>123</v>
      </c>
      <c r="G4" s="203" t="s">
        <v>196</v>
      </c>
      <c r="H4" s="203" t="s">
        <v>195</v>
      </c>
      <c r="I4" s="203" t="s">
        <v>194</v>
      </c>
      <c r="J4" s="203" t="s">
        <v>193</v>
      </c>
      <c r="K4" s="203" t="s">
        <v>192</v>
      </c>
      <c r="L4" s="203" t="s">
        <v>191</v>
      </c>
      <c r="M4" s="204" t="s">
        <v>190</v>
      </c>
      <c r="N4" s="204" t="s">
        <v>189</v>
      </c>
      <c r="O4" s="203" t="s">
        <v>188</v>
      </c>
      <c r="P4" s="352"/>
      <c r="Q4" s="203" t="s">
        <v>187</v>
      </c>
      <c r="R4" s="203" t="s">
        <v>89</v>
      </c>
      <c r="S4" s="203" t="s">
        <v>83</v>
      </c>
      <c r="T4" s="352"/>
    </row>
    <row r="5" spans="1:20" ht="317" x14ac:dyDescent="0.2">
      <c r="A5" s="206" t="s">
        <v>186</v>
      </c>
      <c r="B5" s="207"/>
      <c r="C5" s="207"/>
      <c r="D5" s="208"/>
      <c r="E5" s="207" t="s">
        <v>73</v>
      </c>
      <c r="F5" s="207" t="s">
        <v>72</v>
      </c>
      <c r="G5" s="209"/>
      <c r="H5" s="178" t="s">
        <v>335</v>
      </c>
      <c r="I5" s="178" t="s">
        <v>336</v>
      </c>
      <c r="J5" s="178" t="s">
        <v>337</v>
      </c>
      <c r="K5" s="210" t="s">
        <v>338</v>
      </c>
      <c r="L5" s="210" t="s">
        <v>338</v>
      </c>
      <c r="M5" s="210"/>
      <c r="N5" s="210"/>
      <c r="O5" s="210" t="s">
        <v>338</v>
      </c>
      <c r="P5" s="211">
        <f t="shared" ref="P5:P15" si="0">SUM(G5:O5)</f>
        <v>0</v>
      </c>
      <c r="Q5" s="210" t="s">
        <v>338</v>
      </c>
      <c r="R5" s="178" t="s">
        <v>339</v>
      </c>
      <c r="S5" s="212" t="s">
        <v>340</v>
      </c>
      <c r="T5" s="211">
        <f t="shared" ref="T5:T15" si="1">SUM(Q5:S5)</f>
        <v>0</v>
      </c>
    </row>
    <row r="6" spans="1:20" ht="48" x14ac:dyDescent="0.2">
      <c r="A6" s="213" t="s">
        <v>186</v>
      </c>
      <c r="B6" s="208"/>
      <c r="C6" s="208"/>
      <c r="D6" s="208"/>
      <c r="E6" s="208" t="s">
        <v>71</v>
      </c>
      <c r="F6" s="208" t="s">
        <v>70</v>
      </c>
      <c r="G6" s="214"/>
      <c r="H6" s="215"/>
      <c r="I6" s="215"/>
      <c r="J6" s="215"/>
      <c r="K6" s="215"/>
      <c r="L6" s="215"/>
      <c r="M6" s="210" t="s">
        <v>338</v>
      </c>
      <c r="N6" s="210" t="s">
        <v>338</v>
      </c>
      <c r="O6" s="210" t="s">
        <v>338</v>
      </c>
      <c r="P6" s="216">
        <f t="shared" si="0"/>
        <v>0</v>
      </c>
      <c r="Q6" s="215"/>
      <c r="R6" s="215"/>
      <c r="S6" s="215"/>
      <c r="T6" s="216">
        <f t="shared" si="1"/>
        <v>0</v>
      </c>
    </row>
    <row r="7" spans="1:20" x14ac:dyDescent="0.2">
      <c r="A7" s="206" t="s">
        <v>186</v>
      </c>
      <c r="B7" s="207"/>
      <c r="C7" s="207"/>
      <c r="D7" s="207"/>
      <c r="E7" s="207" t="s">
        <v>69</v>
      </c>
      <c r="F7" s="207" t="s">
        <v>68</v>
      </c>
      <c r="G7" s="209"/>
      <c r="H7" s="217"/>
      <c r="I7" s="217"/>
      <c r="J7" s="217"/>
      <c r="K7" s="217"/>
      <c r="L7" s="217"/>
      <c r="M7" s="215"/>
      <c r="N7" s="215"/>
      <c r="O7" s="215"/>
      <c r="P7" s="211">
        <f t="shared" si="0"/>
        <v>0</v>
      </c>
      <c r="Q7" s="217"/>
      <c r="R7" s="217"/>
      <c r="S7" s="192"/>
      <c r="T7" s="211">
        <f t="shared" si="1"/>
        <v>0</v>
      </c>
    </row>
    <row r="8" spans="1:20" x14ac:dyDescent="0.2">
      <c r="A8" s="206" t="s">
        <v>186</v>
      </c>
      <c r="B8" s="207"/>
      <c r="C8" s="207"/>
      <c r="D8" s="207"/>
      <c r="E8" s="207" t="s">
        <v>67</v>
      </c>
      <c r="F8" s="207" t="s">
        <v>66</v>
      </c>
      <c r="G8" s="209"/>
      <c r="H8" s="217"/>
      <c r="I8" s="217"/>
      <c r="J8" s="217"/>
      <c r="K8" s="217"/>
      <c r="L8" s="217"/>
      <c r="M8" s="215"/>
      <c r="N8" s="215"/>
      <c r="O8" s="215"/>
      <c r="P8" s="211">
        <f t="shared" si="0"/>
        <v>0</v>
      </c>
      <c r="Q8" s="217"/>
      <c r="R8" s="217"/>
      <c r="S8" s="184"/>
      <c r="T8" s="211">
        <f t="shared" si="1"/>
        <v>0</v>
      </c>
    </row>
    <row r="9" spans="1:20" ht="144" x14ac:dyDescent="0.2">
      <c r="A9" s="206" t="s">
        <v>186</v>
      </c>
      <c r="B9" s="207"/>
      <c r="C9" s="207"/>
      <c r="D9" s="207"/>
      <c r="E9" s="207" t="s">
        <v>65</v>
      </c>
      <c r="F9" s="207" t="s">
        <v>64</v>
      </c>
      <c r="G9" s="209"/>
      <c r="H9" s="217"/>
      <c r="I9" s="217"/>
      <c r="J9" s="217"/>
      <c r="K9" s="217"/>
      <c r="L9" s="217"/>
      <c r="M9" s="215"/>
      <c r="N9" s="215"/>
      <c r="O9" s="215"/>
      <c r="P9" s="211">
        <f t="shared" si="0"/>
        <v>0</v>
      </c>
      <c r="Q9" s="217"/>
      <c r="R9" s="217"/>
      <c r="S9" s="178" t="s">
        <v>341</v>
      </c>
      <c r="T9" s="211">
        <f t="shared" si="1"/>
        <v>0</v>
      </c>
    </row>
    <row r="10" spans="1:20" ht="96" x14ac:dyDescent="0.2">
      <c r="A10" s="206" t="s">
        <v>186</v>
      </c>
      <c r="B10" s="207"/>
      <c r="C10" s="207"/>
      <c r="D10" s="207"/>
      <c r="E10" s="207" t="s">
        <v>63</v>
      </c>
      <c r="F10" s="207" t="s">
        <v>62</v>
      </c>
      <c r="G10" s="209"/>
      <c r="H10" s="217"/>
      <c r="I10" s="217"/>
      <c r="J10" s="217"/>
      <c r="K10" s="217"/>
      <c r="L10" s="217"/>
      <c r="M10" s="215"/>
      <c r="N10" s="215"/>
      <c r="O10" s="215"/>
      <c r="P10" s="211">
        <f t="shared" si="0"/>
        <v>0</v>
      </c>
      <c r="Q10" s="217"/>
      <c r="R10" s="217"/>
      <c r="S10" s="178" t="s">
        <v>342</v>
      </c>
      <c r="T10" s="211">
        <f t="shared" si="1"/>
        <v>0</v>
      </c>
    </row>
    <row r="11" spans="1:20" ht="96" x14ac:dyDescent="0.2">
      <c r="A11" s="206" t="s">
        <v>186</v>
      </c>
      <c r="B11" s="207"/>
      <c r="C11" s="207"/>
      <c r="D11" s="207"/>
      <c r="E11" s="207" t="s">
        <v>61</v>
      </c>
      <c r="F11" s="207" t="s">
        <v>60</v>
      </c>
      <c r="G11" s="209"/>
      <c r="H11" s="217"/>
      <c r="I11" s="217"/>
      <c r="J11" s="217"/>
      <c r="K11" s="217"/>
      <c r="L11" s="217"/>
      <c r="M11" s="215"/>
      <c r="N11" s="215"/>
      <c r="O11" s="215"/>
      <c r="P11" s="211">
        <f t="shared" si="0"/>
        <v>0</v>
      </c>
      <c r="Q11" s="217"/>
      <c r="R11" s="217"/>
      <c r="S11" s="178" t="s">
        <v>343</v>
      </c>
      <c r="T11" s="211">
        <f t="shared" si="1"/>
        <v>0</v>
      </c>
    </row>
    <row r="12" spans="1:20" ht="120" x14ac:dyDescent="0.2">
      <c r="A12" s="206" t="s">
        <v>186</v>
      </c>
      <c r="B12" s="207"/>
      <c r="C12" s="207"/>
      <c r="D12" s="207"/>
      <c r="E12" s="207" t="s">
        <v>59</v>
      </c>
      <c r="F12" s="207" t="s">
        <v>58</v>
      </c>
      <c r="G12" s="209"/>
      <c r="H12" s="217"/>
      <c r="I12" s="217"/>
      <c r="J12" s="217"/>
      <c r="K12" s="217"/>
      <c r="L12" s="217"/>
      <c r="M12" s="215"/>
      <c r="N12" s="215"/>
      <c r="O12" s="215"/>
      <c r="P12" s="211">
        <f t="shared" si="0"/>
        <v>0</v>
      </c>
      <c r="Q12" s="217"/>
      <c r="R12" s="217"/>
      <c r="S12" s="178" t="s">
        <v>420</v>
      </c>
      <c r="T12" s="211">
        <f t="shared" si="1"/>
        <v>0</v>
      </c>
    </row>
    <row r="13" spans="1:20" ht="96" x14ac:dyDescent="0.2">
      <c r="A13" s="206" t="s">
        <v>186</v>
      </c>
      <c r="B13" s="207"/>
      <c r="C13" s="207"/>
      <c r="D13" s="207"/>
      <c r="E13" s="207" t="s">
        <v>57</v>
      </c>
      <c r="F13" s="207" t="s">
        <v>56</v>
      </c>
      <c r="G13" s="209"/>
      <c r="H13" s="217"/>
      <c r="I13" s="217"/>
      <c r="J13" s="217"/>
      <c r="K13" s="217"/>
      <c r="L13" s="217"/>
      <c r="M13" s="215"/>
      <c r="N13" s="215"/>
      <c r="O13" s="215"/>
      <c r="P13" s="211">
        <f t="shared" si="0"/>
        <v>0</v>
      </c>
      <c r="Q13" s="217"/>
      <c r="R13" s="217"/>
      <c r="S13" s="178" t="s">
        <v>421</v>
      </c>
      <c r="T13" s="211">
        <f t="shared" si="1"/>
        <v>0</v>
      </c>
    </row>
    <row r="14" spans="1:20" ht="132" x14ac:dyDescent="0.2">
      <c r="A14" s="206" t="s">
        <v>186</v>
      </c>
      <c r="B14" s="207"/>
      <c r="C14" s="207"/>
      <c r="D14" s="207"/>
      <c r="E14" s="207" t="s">
        <v>55</v>
      </c>
      <c r="F14" s="207" t="s">
        <v>54</v>
      </c>
      <c r="G14" s="209"/>
      <c r="H14" s="178" t="s">
        <v>344</v>
      </c>
      <c r="I14" s="178" t="s">
        <v>345</v>
      </c>
      <c r="J14" s="178" t="s">
        <v>346</v>
      </c>
      <c r="K14" s="218"/>
      <c r="L14" s="218"/>
      <c r="M14" s="215"/>
      <c r="N14" s="215"/>
      <c r="O14" s="215"/>
      <c r="P14" s="211">
        <f t="shared" si="0"/>
        <v>0</v>
      </c>
      <c r="Q14" s="215"/>
      <c r="R14" s="178" t="s">
        <v>347</v>
      </c>
      <c r="S14" s="212" t="s">
        <v>422</v>
      </c>
      <c r="T14" s="211">
        <f t="shared" si="1"/>
        <v>0</v>
      </c>
    </row>
    <row r="15" spans="1:20" ht="132" x14ac:dyDescent="0.2">
      <c r="A15" s="206" t="s">
        <v>186</v>
      </c>
      <c r="B15" s="207"/>
      <c r="C15" s="207"/>
      <c r="D15" s="207"/>
      <c r="E15" s="207" t="s">
        <v>52</v>
      </c>
      <c r="F15" s="207" t="s">
        <v>51</v>
      </c>
      <c r="G15" s="209"/>
      <c r="H15" s="178" t="s">
        <v>344</v>
      </c>
      <c r="I15" s="178" t="s">
        <v>345</v>
      </c>
      <c r="J15" s="178" t="s">
        <v>346</v>
      </c>
      <c r="K15" s="218"/>
      <c r="L15" s="218"/>
      <c r="M15" s="215"/>
      <c r="N15" s="215"/>
      <c r="O15" s="215"/>
      <c r="P15" s="211">
        <f t="shared" si="0"/>
        <v>0</v>
      </c>
      <c r="Q15" s="217"/>
      <c r="R15" s="178" t="s">
        <v>347</v>
      </c>
      <c r="S15" s="212" t="s">
        <v>422</v>
      </c>
      <c r="T15" s="211">
        <f t="shared" si="1"/>
        <v>0</v>
      </c>
    </row>
    <row r="16" spans="1:20" x14ac:dyDescent="0.2">
      <c r="A16" s="206"/>
      <c r="B16" s="219"/>
      <c r="C16" s="219"/>
      <c r="D16" s="219"/>
      <c r="E16" s="219"/>
      <c r="F16" s="220" t="s">
        <v>50</v>
      </c>
      <c r="G16" s="221">
        <f t="shared" ref="G16:T16" si="2">SUM(G5:G15)</f>
        <v>0</v>
      </c>
      <c r="H16" s="221">
        <f t="shared" si="2"/>
        <v>0</v>
      </c>
      <c r="I16" s="221">
        <f t="shared" si="2"/>
        <v>0</v>
      </c>
      <c r="J16" s="221">
        <f t="shared" si="2"/>
        <v>0</v>
      </c>
      <c r="K16" s="221">
        <f t="shared" si="2"/>
        <v>0</v>
      </c>
      <c r="L16" s="221">
        <f t="shared" si="2"/>
        <v>0</v>
      </c>
      <c r="M16" s="222">
        <f t="shared" si="2"/>
        <v>0</v>
      </c>
      <c r="N16" s="222">
        <f t="shared" si="2"/>
        <v>0</v>
      </c>
      <c r="O16" s="221">
        <f t="shared" si="2"/>
        <v>0</v>
      </c>
      <c r="P16" s="221">
        <f t="shared" si="2"/>
        <v>0</v>
      </c>
      <c r="Q16" s="221">
        <f t="shared" si="2"/>
        <v>0</v>
      </c>
      <c r="R16" s="221">
        <f t="shared" si="2"/>
        <v>0</v>
      </c>
      <c r="S16" s="221">
        <f t="shared" si="2"/>
        <v>0</v>
      </c>
      <c r="T16" s="221">
        <f t="shared" si="2"/>
        <v>0</v>
      </c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8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07"/>
      <c r="R19" s="304" t="s">
        <v>400</v>
      </c>
      <c r="S19" s="178" t="s">
        <v>406</v>
      </c>
      <c r="T19" s="4"/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8" ht="23" customHeight="1" x14ac:dyDescent="0.2">
      <c r="A1" s="226"/>
      <c r="B1" s="354" t="s">
        <v>184</v>
      </c>
      <c r="C1" s="354"/>
      <c r="D1" s="354"/>
      <c r="E1" s="354"/>
      <c r="F1" s="354"/>
      <c r="G1" s="354"/>
      <c r="H1" s="354"/>
      <c r="I1" s="354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</row>
    <row r="2" spans="1:28" ht="28" x14ac:dyDescent="0.2">
      <c r="A2" s="224"/>
      <c r="B2" s="224"/>
      <c r="C2" s="224"/>
      <c r="D2" s="224"/>
      <c r="E2" s="224"/>
      <c r="F2" s="224"/>
      <c r="G2" s="225" t="s">
        <v>183</v>
      </c>
      <c r="H2" s="353" t="s">
        <v>182</v>
      </c>
      <c r="I2" s="228" t="s">
        <v>181</v>
      </c>
      <c r="J2" s="228" t="s">
        <v>181</v>
      </c>
      <c r="K2" s="228" t="s">
        <v>181</v>
      </c>
      <c r="L2" s="228" t="s">
        <v>181</v>
      </c>
      <c r="M2" s="228" t="s">
        <v>181</v>
      </c>
      <c r="N2" s="228" t="s">
        <v>181</v>
      </c>
      <c r="O2" s="228" t="s">
        <v>181</v>
      </c>
      <c r="P2" s="228" t="s">
        <v>181</v>
      </c>
      <c r="Q2" s="228" t="s">
        <v>181</v>
      </c>
      <c r="R2" s="228" t="s">
        <v>181</v>
      </c>
      <c r="S2" s="228" t="s">
        <v>181</v>
      </c>
      <c r="T2" s="228" t="s">
        <v>181</v>
      </c>
      <c r="U2" s="228" t="s">
        <v>181</v>
      </c>
      <c r="V2" s="228" t="s">
        <v>181</v>
      </c>
      <c r="W2" s="353" t="s">
        <v>180</v>
      </c>
      <c r="X2" s="225" t="s">
        <v>45</v>
      </c>
      <c r="Y2" s="225" t="s">
        <v>45</v>
      </c>
      <c r="Z2" s="225" t="s">
        <v>45</v>
      </c>
      <c r="AA2" s="225" t="s">
        <v>45</v>
      </c>
      <c r="AB2" s="353" t="s">
        <v>179</v>
      </c>
    </row>
    <row r="3" spans="1:28" ht="56" x14ac:dyDescent="0.2">
      <c r="A3" s="224"/>
      <c r="B3" s="224"/>
      <c r="C3" s="224"/>
      <c r="D3" s="224"/>
      <c r="E3" s="224"/>
      <c r="F3" s="224"/>
      <c r="G3" s="225" t="s">
        <v>172</v>
      </c>
      <c r="H3" s="353"/>
      <c r="I3" s="228" t="s">
        <v>171</v>
      </c>
      <c r="J3" s="228" t="s">
        <v>170</v>
      </c>
      <c r="K3" s="228" t="s">
        <v>169</v>
      </c>
      <c r="L3" s="228" t="s">
        <v>168</v>
      </c>
      <c r="M3" s="228" t="s">
        <v>167</v>
      </c>
      <c r="N3" s="228" t="s">
        <v>166</v>
      </c>
      <c r="O3" s="228" t="s">
        <v>165</v>
      </c>
      <c r="P3" s="228" t="s">
        <v>164</v>
      </c>
      <c r="Q3" s="228" t="s">
        <v>163</v>
      </c>
      <c r="R3" s="228"/>
      <c r="S3" s="228" t="s">
        <v>162</v>
      </c>
      <c r="T3" s="228" t="s">
        <v>161</v>
      </c>
      <c r="U3" s="228" t="s">
        <v>160</v>
      </c>
      <c r="V3" s="228" t="s">
        <v>159</v>
      </c>
      <c r="W3" s="353"/>
      <c r="X3" s="227"/>
      <c r="Y3" s="225" t="s">
        <v>158</v>
      </c>
      <c r="Z3" s="225" t="s">
        <v>157</v>
      </c>
      <c r="AA3" s="225" t="s">
        <v>156</v>
      </c>
      <c r="AB3" s="353"/>
    </row>
    <row r="4" spans="1:28" ht="98" x14ac:dyDescent="0.2">
      <c r="A4" s="229"/>
      <c r="B4" s="230" t="s">
        <v>126</v>
      </c>
      <c r="C4" s="230" t="s">
        <v>125</v>
      </c>
      <c r="D4" s="230" t="s">
        <v>32</v>
      </c>
      <c r="E4" s="230" t="s">
        <v>124</v>
      </c>
      <c r="F4" s="230" t="s">
        <v>123</v>
      </c>
      <c r="G4" s="225" t="s">
        <v>122</v>
      </c>
      <c r="H4" s="353"/>
      <c r="I4" s="228" t="s">
        <v>121</v>
      </c>
      <c r="J4" s="231" t="s">
        <v>120</v>
      </c>
      <c r="K4" s="228" t="s">
        <v>119</v>
      </c>
      <c r="L4" s="228" t="s">
        <v>118</v>
      </c>
      <c r="M4" s="228" t="s">
        <v>117</v>
      </c>
      <c r="N4" s="228" t="s">
        <v>116</v>
      </c>
      <c r="O4" s="228" t="s">
        <v>115</v>
      </c>
      <c r="P4" s="228" t="s">
        <v>114</v>
      </c>
      <c r="Q4" s="228" t="s">
        <v>113</v>
      </c>
      <c r="R4" s="231" t="s">
        <v>112</v>
      </c>
      <c r="S4" s="228" t="s">
        <v>111</v>
      </c>
      <c r="T4" s="228" t="s">
        <v>110</v>
      </c>
      <c r="U4" s="228" t="s">
        <v>109</v>
      </c>
      <c r="V4" s="231" t="s">
        <v>108</v>
      </c>
      <c r="W4" s="353"/>
      <c r="X4" s="232" t="s">
        <v>107</v>
      </c>
      <c r="Y4" s="232" t="s">
        <v>106</v>
      </c>
      <c r="Z4" s="232" t="s">
        <v>105</v>
      </c>
      <c r="AA4" s="232" t="s">
        <v>104</v>
      </c>
      <c r="AB4" s="353"/>
    </row>
    <row r="5" spans="1:28" ht="196" x14ac:dyDescent="0.2">
      <c r="A5" s="233" t="s">
        <v>53</v>
      </c>
      <c r="B5" s="234"/>
      <c r="C5" s="234"/>
      <c r="D5" s="235"/>
      <c r="E5" s="235" t="s">
        <v>73</v>
      </c>
      <c r="F5" s="235" t="s">
        <v>72</v>
      </c>
      <c r="G5" s="236" t="s">
        <v>348</v>
      </c>
      <c r="H5" s="237">
        <f>SUMIF($G$2:G$2,G$2,$G5:G5)</f>
        <v>0</v>
      </c>
      <c r="I5" s="236" t="s">
        <v>349</v>
      </c>
      <c r="J5" s="238"/>
      <c r="K5" s="239"/>
      <c r="L5" s="239"/>
      <c r="M5" s="239"/>
      <c r="N5" s="239"/>
      <c r="O5" s="239"/>
      <c r="P5" s="236" t="s">
        <v>350</v>
      </c>
      <c r="Q5" s="236" t="s">
        <v>351</v>
      </c>
      <c r="R5" s="236" t="s">
        <v>352</v>
      </c>
      <c r="S5" s="236" t="s">
        <v>353</v>
      </c>
      <c r="T5" s="236" t="s">
        <v>354</v>
      </c>
      <c r="U5" s="236" t="s">
        <v>355</v>
      </c>
      <c r="V5" s="236" t="s">
        <v>356</v>
      </c>
      <c r="W5" s="237">
        <f>SUMIF($G$2:V$2,V$2,$G5:V5)</f>
        <v>0</v>
      </c>
      <c r="X5" s="236" t="s">
        <v>357</v>
      </c>
      <c r="Y5" s="236" t="s">
        <v>357</v>
      </c>
      <c r="Z5" s="236" t="s">
        <v>357</v>
      </c>
      <c r="AA5" s="236" t="s">
        <v>357</v>
      </c>
      <c r="AB5" s="240">
        <f>SUMIF($G$2:AA$2,AA$2,$G5:AA5)</f>
        <v>0</v>
      </c>
    </row>
    <row r="6" spans="1:28" ht="266" x14ac:dyDescent="0.2">
      <c r="A6" s="233" t="s">
        <v>53</v>
      </c>
      <c r="B6" s="234"/>
      <c r="C6" s="234"/>
      <c r="D6" s="235"/>
      <c r="E6" s="235" t="s">
        <v>71</v>
      </c>
      <c r="F6" s="235" t="s">
        <v>70</v>
      </c>
      <c r="G6" s="236" t="s">
        <v>358</v>
      </c>
      <c r="H6" s="237">
        <f>SUMIF($G$2:G$2,G$2,$G6:G6)</f>
        <v>0</v>
      </c>
      <c r="I6" s="238"/>
      <c r="J6" s="236" t="s">
        <v>359</v>
      </c>
      <c r="K6" s="236" t="s">
        <v>360</v>
      </c>
      <c r="L6" s="236" t="s">
        <v>361</v>
      </c>
      <c r="M6" s="236" t="s">
        <v>362</v>
      </c>
      <c r="N6" s="236" t="s">
        <v>363</v>
      </c>
      <c r="O6" s="236" t="s">
        <v>364</v>
      </c>
      <c r="P6" s="239"/>
      <c r="Q6" s="239"/>
      <c r="R6" s="236" t="s">
        <v>365</v>
      </c>
      <c r="S6" s="239"/>
      <c r="T6" s="239"/>
      <c r="U6" s="239"/>
      <c r="V6" s="236" t="s">
        <v>366</v>
      </c>
      <c r="W6" s="237">
        <f>SUMIF($G$2:V$2,V$2,$G6:V6)</f>
        <v>0</v>
      </c>
      <c r="X6" s="236" t="s">
        <v>367</v>
      </c>
      <c r="Y6" s="236" t="s">
        <v>367</v>
      </c>
      <c r="Z6" s="236" t="s">
        <v>367</v>
      </c>
      <c r="AA6" s="236" t="s">
        <v>367</v>
      </c>
      <c r="AB6" s="240">
        <f>SUMIF($G$2:AA$2,AA$2,$G6:AA6)</f>
        <v>0</v>
      </c>
    </row>
    <row r="7" spans="1:28" ht="70" x14ac:dyDescent="0.2">
      <c r="A7" s="233" t="s">
        <v>53</v>
      </c>
      <c r="B7" s="234"/>
      <c r="C7" s="234"/>
      <c r="D7" s="235"/>
      <c r="E7" s="235" t="s">
        <v>69</v>
      </c>
      <c r="F7" s="235" t="s">
        <v>68</v>
      </c>
      <c r="G7" s="241"/>
      <c r="H7" s="237">
        <f>SUMIF($G$2:G$2,G$2,$G7:G7)</f>
        <v>0</v>
      </c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1"/>
      <c r="W7" s="237">
        <f>SUMIF($G$2:V$2,V$2,$G7:V7)</f>
        <v>0</v>
      </c>
      <c r="X7" s="243"/>
      <c r="Y7" s="243"/>
      <c r="Z7" s="243"/>
      <c r="AA7" s="243"/>
      <c r="AB7" s="240">
        <f>SUMIF($G$2:AA$2,AA$2,$G7:AA7)</f>
        <v>0</v>
      </c>
    </row>
    <row r="8" spans="1:28" ht="70" x14ac:dyDescent="0.2">
      <c r="A8" s="233" t="s">
        <v>53</v>
      </c>
      <c r="B8" s="234"/>
      <c r="C8" s="234"/>
      <c r="D8" s="235"/>
      <c r="E8" s="235" t="s">
        <v>67</v>
      </c>
      <c r="F8" s="235" t="s">
        <v>66</v>
      </c>
      <c r="G8" s="236" t="s">
        <v>368</v>
      </c>
      <c r="H8" s="237">
        <f>SUMIF($G$2:G$2,G$2,$G8:G8)</f>
        <v>0</v>
      </c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36" t="s">
        <v>368</v>
      </c>
      <c r="W8" s="237">
        <f>SUMIF($G$2:V$2,V$2,$G8:V8)</f>
        <v>0</v>
      </c>
      <c r="X8" s="236" t="s">
        <v>368</v>
      </c>
      <c r="Y8" s="236" t="s">
        <v>368</v>
      </c>
      <c r="Z8" s="236" t="s">
        <v>368</v>
      </c>
      <c r="AA8" s="236" t="s">
        <v>368</v>
      </c>
      <c r="AB8" s="240">
        <f>SUMIF($G$2:AA$2,AA$2,$G8:AA8)</f>
        <v>0</v>
      </c>
    </row>
    <row r="9" spans="1:28" ht="238" x14ac:dyDescent="0.2">
      <c r="A9" s="233" t="s">
        <v>53</v>
      </c>
      <c r="B9" s="234"/>
      <c r="C9" s="234"/>
      <c r="D9" s="235"/>
      <c r="E9" s="235" t="s">
        <v>65</v>
      </c>
      <c r="F9" s="235" t="s">
        <v>64</v>
      </c>
      <c r="G9" s="236" t="s">
        <v>369</v>
      </c>
      <c r="H9" s="237">
        <f>SUMIF($G$2:G$2,G$2,$G9:G9)</f>
        <v>0</v>
      </c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36" t="s">
        <v>370</v>
      </c>
      <c r="W9" s="237">
        <f>SUMIF($G$2:V$2,V$2,$G9:V9)</f>
        <v>0</v>
      </c>
      <c r="X9" s="236" t="s">
        <v>369</v>
      </c>
      <c r="Y9" s="236" t="s">
        <v>369</v>
      </c>
      <c r="Z9" s="236" t="s">
        <v>369</v>
      </c>
      <c r="AA9" s="236" t="s">
        <v>369</v>
      </c>
      <c r="AB9" s="244">
        <f>SUMIF($G$2:AA$2,AA$2,$G9:AA9)</f>
        <v>0</v>
      </c>
    </row>
    <row r="10" spans="1:28" ht="84" x14ac:dyDescent="0.2">
      <c r="A10" s="233" t="s">
        <v>53</v>
      </c>
      <c r="B10" s="234"/>
      <c r="C10" s="234"/>
      <c r="D10" s="235"/>
      <c r="E10" s="235" t="s">
        <v>63</v>
      </c>
      <c r="F10" s="235" t="s">
        <v>62</v>
      </c>
      <c r="G10" s="236" t="s">
        <v>371</v>
      </c>
      <c r="H10" s="237">
        <f>SUMIF($G$2:G$2,G$2,$G10:G10)</f>
        <v>0</v>
      </c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36" t="s">
        <v>371</v>
      </c>
      <c r="W10" s="237">
        <f>SUMIF($G$2:V$2,V$2,$G10:V10)</f>
        <v>0</v>
      </c>
      <c r="X10" s="236" t="s">
        <v>372</v>
      </c>
      <c r="Y10" s="236" t="s">
        <v>372</v>
      </c>
      <c r="Z10" s="236" t="s">
        <v>372</v>
      </c>
      <c r="AA10" s="236" t="s">
        <v>372</v>
      </c>
      <c r="AB10" s="244">
        <f>SUMIF($G$2:AA$2,AA$2,$G10:AA10)</f>
        <v>0</v>
      </c>
    </row>
    <row r="11" spans="1:28" ht="70" x14ac:dyDescent="0.2">
      <c r="A11" s="233" t="s">
        <v>53</v>
      </c>
      <c r="B11" s="234"/>
      <c r="C11" s="234"/>
      <c r="D11" s="235"/>
      <c r="E11" s="235" t="s">
        <v>61</v>
      </c>
      <c r="F11" s="235" t="s">
        <v>60</v>
      </c>
      <c r="G11" s="236" t="s">
        <v>373</v>
      </c>
      <c r="H11" s="237">
        <f>SUMIF($G$2:G$2,G$2,$G11:G11)</f>
        <v>0</v>
      </c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36" t="s">
        <v>373</v>
      </c>
      <c r="W11" s="237">
        <f>SUMIF($G$2:V$2,V$2,$G11:V11)</f>
        <v>0</v>
      </c>
      <c r="X11" s="236" t="s">
        <v>373</v>
      </c>
      <c r="Y11" s="236" t="s">
        <v>373</v>
      </c>
      <c r="Z11" s="236" t="s">
        <v>373</v>
      </c>
      <c r="AA11" s="236" t="s">
        <v>373</v>
      </c>
      <c r="AB11" s="244">
        <f>SUMIF($G$2:AA$2,AA$2,$G11:AA11)</f>
        <v>0</v>
      </c>
    </row>
    <row r="12" spans="1:28" ht="98" x14ac:dyDescent="0.2">
      <c r="A12" s="233" t="s">
        <v>53</v>
      </c>
      <c r="B12" s="234"/>
      <c r="C12" s="234"/>
      <c r="D12" s="235"/>
      <c r="E12" s="235" t="s">
        <v>59</v>
      </c>
      <c r="F12" s="235" t="s">
        <v>58</v>
      </c>
      <c r="G12" s="236" t="s">
        <v>374</v>
      </c>
      <c r="H12" s="237">
        <f>SUMIF($G$2:G$2,G$2,$G12:G12)</f>
        <v>0</v>
      </c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36" t="s">
        <v>374</v>
      </c>
      <c r="W12" s="237">
        <f>SUMIF($G$2:V$2,V$2,$G12:V12)</f>
        <v>0</v>
      </c>
      <c r="X12" s="236" t="s">
        <v>374</v>
      </c>
      <c r="Y12" s="236" t="s">
        <v>374</v>
      </c>
      <c r="Z12" s="236" t="s">
        <v>374</v>
      </c>
      <c r="AA12" s="236" t="s">
        <v>374</v>
      </c>
      <c r="AB12" s="244">
        <f>SUMIF($G$2:AA$2,AA$2,$G12:AA12)</f>
        <v>0</v>
      </c>
    </row>
    <row r="13" spans="1:28" ht="112" x14ac:dyDescent="0.2">
      <c r="A13" s="233" t="s">
        <v>53</v>
      </c>
      <c r="B13" s="234"/>
      <c r="C13" s="234"/>
      <c r="D13" s="235"/>
      <c r="E13" s="235" t="s">
        <v>57</v>
      </c>
      <c r="F13" s="235" t="s">
        <v>56</v>
      </c>
      <c r="G13" s="236" t="s">
        <v>375</v>
      </c>
      <c r="H13" s="237">
        <f>SUMIF($G$2:G$2,G$2,$G13:G13)</f>
        <v>0</v>
      </c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36" t="s">
        <v>375</v>
      </c>
      <c r="W13" s="237">
        <f>SUMIF($G$2:V$2,V$2,$G13:V13)</f>
        <v>0</v>
      </c>
      <c r="X13" s="236" t="s">
        <v>375</v>
      </c>
      <c r="Y13" s="236" t="s">
        <v>375</v>
      </c>
      <c r="Z13" s="236" t="s">
        <v>375</v>
      </c>
      <c r="AA13" s="236" t="s">
        <v>375</v>
      </c>
      <c r="AB13" s="240">
        <f>SUMIF($G$2:AA$2,AA$2,$G13:AA13)</f>
        <v>0</v>
      </c>
    </row>
    <row r="14" spans="1:28" ht="319" x14ac:dyDescent="0.2">
      <c r="A14" s="233" t="s">
        <v>53</v>
      </c>
      <c r="B14" s="234"/>
      <c r="C14" s="234"/>
      <c r="D14" s="235"/>
      <c r="E14" s="235" t="s">
        <v>55</v>
      </c>
      <c r="F14" s="235" t="s">
        <v>54</v>
      </c>
      <c r="G14" s="236" t="s">
        <v>423</v>
      </c>
      <c r="H14" s="237">
        <f>SUMIF($G$2:G$2,G$2,$G14:G14)</f>
        <v>0</v>
      </c>
      <c r="I14" s="236" t="s">
        <v>349</v>
      </c>
      <c r="J14" s="236" t="s">
        <v>376</v>
      </c>
      <c r="K14" s="236" t="s">
        <v>377</v>
      </c>
      <c r="L14" s="236" t="s">
        <v>378</v>
      </c>
      <c r="M14" s="236" t="s">
        <v>379</v>
      </c>
      <c r="N14" s="236" t="s">
        <v>380</v>
      </c>
      <c r="O14" s="236" t="s">
        <v>381</v>
      </c>
      <c r="P14" s="236" t="s">
        <v>350</v>
      </c>
      <c r="Q14" s="236" t="s">
        <v>351</v>
      </c>
      <c r="R14" s="236" t="s">
        <v>382</v>
      </c>
      <c r="S14" s="236" t="s">
        <v>353</v>
      </c>
      <c r="T14" s="236" t="s">
        <v>354</v>
      </c>
      <c r="U14" s="236" t="s">
        <v>355</v>
      </c>
      <c r="V14" s="236" t="s">
        <v>424</v>
      </c>
      <c r="W14" s="237">
        <f>SUMIF($G$2:V$2,V$2,$G14:V14)</f>
        <v>0</v>
      </c>
      <c r="X14" s="245"/>
      <c r="Y14" s="245"/>
      <c r="Z14" s="245"/>
      <c r="AA14" s="245"/>
      <c r="AB14" s="240">
        <f>SUMIF($G$2:AA$2,AA$2,$G14:AA14)</f>
        <v>0</v>
      </c>
    </row>
    <row r="15" spans="1:28" ht="319" x14ac:dyDescent="0.2">
      <c r="A15" s="233" t="s">
        <v>53</v>
      </c>
      <c r="B15" s="234"/>
      <c r="C15" s="234"/>
      <c r="D15" s="235"/>
      <c r="E15" s="235" t="s">
        <v>52</v>
      </c>
      <c r="F15" s="235" t="s">
        <v>51</v>
      </c>
      <c r="G15" s="236" t="s">
        <v>423</v>
      </c>
      <c r="H15" s="237">
        <f>SUMIF($G$2:G$2,G$2,$G15:G15)</f>
        <v>0</v>
      </c>
      <c r="I15" s="236" t="s">
        <v>349</v>
      </c>
      <c r="J15" s="236" t="s">
        <v>376</v>
      </c>
      <c r="K15" s="236" t="s">
        <v>377</v>
      </c>
      <c r="L15" s="236" t="s">
        <v>378</v>
      </c>
      <c r="M15" s="236" t="s">
        <v>379</v>
      </c>
      <c r="N15" s="236" t="s">
        <v>380</v>
      </c>
      <c r="O15" s="236" t="s">
        <v>381</v>
      </c>
      <c r="P15" s="236" t="s">
        <v>350</v>
      </c>
      <c r="Q15" s="236" t="s">
        <v>351</v>
      </c>
      <c r="R15" s="236" t="s">
        <v>382</v>
      </c>
      <c r="S15" s="236" t="s">
        <v>353</v>
      </c>
      <c r="T15" s="236" t="s">
        <v>354</v>
      </c>
      <c r="U15" s="236" t="s">
        <v>355</v>
      </c>
      <c r="V15" s="236" t="s">
        <v>424</v>
      </c>
      <c r="W15" s="237">
        <f>SUMIF($G$2:V$2,V$2,$G15:V15)</f>
        <v>0</v>
      </c>
      <c r="X15" s="245"/>
      <c r="Y15" s="245"/>
      <c r="Z15" s="245"/>
      <c r="AA15" s="245"/>
      <c r="AB15" s="240">
        <f>SUMIF($G$2:AA$2,AA$2,$G15:AA15)</f>
        <v>0</v>
      </c>
    </row>
    <row r="16" spans="1:28" ht="28" x14ac:dyDescent="0.2">
      <c r="A16" s="233"/>
      <c r="B16" s="246"/>
      <c r="C16" s="246"/>
      <c r="D16" s="247"/>
      <c r="E16" s="247"/>
      <c r="F16" s="248" t="s">
        <v>50</v>
      </c>
      <c r="G16" s="249">
        <f>SUMIF($C$5:$C15,$C15,G$5:G15)</f>
        <v>0</v>
      </c>
      <c r="H16" s="237">
        <f>SUMIF($C$5:$C15,$C15,H$5:H15)</f>
        <v>0</v>
      </c>
      <c r="I16" s="249">
        <f>SUMIF($C$5:$C15,$C15,I$5:I15)</f>
        <v>0</v>
      </c>
      <c r="J16" s="249">
        <f>SUMIF($C$5:$C15,$C15,J$5:J15)</f>
        <v>0</v>
      </c>
      <c r="K16" s="249">
        <f>SUMIF($C$5:$C15,$C15,K$5:K15)</f>
        <v>0</v>
      </c>
      <c r="L16" s="249">
        <f>SUMIF($C$5:$C15,$C15,L$5:L15)</f>
        <v>0</v>
      </c>
      <c r="M16" s="249">
        <f>SUMIF($C$5:$C15,$C15,M$5:M15)</f>
        <v>0</v>
      </c>
      <c r="N16" s="249">
        <f>SUMIF($C$5:$C15,$C15,N$5:N15)</f>
        <v>0</v>
      </c>
      <c r="O16" s="249">
        <f>SUMIF($C$5:$C15,$C15,O$5:O15)</f>
        <v>0</v>
      </c>
      <c r="P16" s="249">
        <f>SUMIF($C$5:$C15,$C15,P$5:P15)</f>
        <v>0</v>
      </c>
      <c r="Q16" s="249">
        <f>SUMIF($C$5:$C15,$C15,Q$5:Q15)</f>
        <v>0</v>
      </c>
      <c r="R16" s="249"/>
      <c r="S16" s="249">
        <f>SUMIF($C$5:$C15,$C15,S$5:S15)</f>
        <v>0</v>
      </c>
      <c r="T16" s="249">
        <f>SUMIF($C$5:$C15,$C15,T$5:T15)</f>
        <v>0</v>
      </c>
      <c r="U16" s="249">
        <f>SUMIF($C$5:$C15,$C15,U$5:U15)</f>
        <v>0</v>
      </c>
      <c r="V16" s="249">
        <f>SUMIF($C$5:$C15,$C15,V$5:V15)</f>
        <v>0</v>
      </c>
      <c r="W16" s="237">
        <f>SUMIF($C$5:$C15,$C15,W$5:W15)</f>
        <v>0</v>
      </c>
      <c r="X16" s="250">
        <f>SUMIF($C$5:$C15,$C15,X$5:X15)</f>
        <v>0</v>
      </c>
      <c r="Y16" s="250">
        <f>SUMIF($C$5:$C15,$C15,Y$5:Y15)</f>
        <v>0</v>
      </c>
      <c r="Z16" s="250">
        <f>SUMIF($C$5:$C15,$C15,Z$5:Z15)</f>
        <v>0</v>
      </c>
      <c r="AA16" s="250">
        <f>SUMIF($C$5:$C15,$C15,AA$5:AA15)</f>
        <v>0</v>
      </c>
      <c r="AB16" s="240">
        <f>SUMIF($C$5:$C15,$C15,AB$5:AB15)</f>
        <v>0</v>
      </c>
    </row>
    <row r="17" spans="1:28" x14ac:dyDescent="0.2">
      <c r="A17" s="310"/>
      <c r="B17" s="310"/>
      <c r="C17" s="310"/>
      <c r="D17" s="310"/>
      <c r="E17" s="310"/>
      <c r="F17" s="310"/>
      <c r="G17" s="311"/>
      <c r="H17" s="311"/>
      <c r="I17" s="311"/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11"/>
      <c r="W17" s="311"/>
      <c r="X17" s="311"/>
      <c r="Y17" s="311"/>
      <c r="Z17" s="311"/>
      <c r="AA17" s="311"/>
      <c r="AB17" s="311"/>
    </row>
    <row r="18" spans="1:28" x14ac:dyDescent="0.2">
      <c r="A18" s="310"/>
      <c r="B18" s="310"/>
      <c r="C18" s="310"/>
      <c r="D18" s="310"/>
      <c r="E18" s="310"/>
      <c r="F18" s="310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1"/>
      <c r="AA18" s="311"/>
      <c r="AB18" s="311"/>
    </row>
    <row r="19" spans="1:28" ht="210" x14ac:dyDescent="0.2">
      <c r="A19" s="310"/>
      <c r="B19" s="310"/>
      <c r="C19" s="310"/>
      <c r="D19" s="310"/>
      <c r="E19" s="310"/>
      <c r="F19" s="305" t="s">
        <v>402</v>
      </c>
      <c r="G19" s="236" t="s">
        <v>403</v>
      </c>
      <c r="H19" s="311"/>
      <c r="I19" s="311"/>
      <c r="J19" s="311"/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06" t="s">
        <v>404</v>
      </c>
      <c r="V19" s="236" t="s">
        <v>405</v>
      </c>
      <c r="W19" s="311"/>
      <c r="X19" s="311"/>
      <c r="Y19" s="311"/>
      <c r="Z19" s="311"/>
      <c r="AA19" s="311"/>
      <c r="AB19" s="311"/>
    </row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1" ht="42" customHeight="1" x14ac:dyDescent="0.2">
      <c r="A1" s="356" t="s">
        <v>228</v>
      </c>
      <c r="B1" s="356"/>
      <c r="C1" s="356"/>
      <c r="D1" s="356"/>
      <c r="E1" s="356"/>
      <c r="F1" s="356"/>
      <c r="G1" s="356"/>
      <c r="H1" s="356"/>
      <c r="I1" s="273"/>
      <c r="J1" s="273"/>
      <c r="K1" s="273"/>
      <c r="L1" s="273"/>
      <c r="M1" s="273"/>
      <c r="N1" s="273"/>
      <c r="O1" s="274"/>
      <c r="P1" s="274"/>
      <c r="Q1" s="273"/>
      <c r="R1" s="273"/>
      <c r="S1" s="273"/>
      <c r="T1" s="273"/>
      <c r="U1" s="273"/>
    </row>
    <row r="2" spans="1:21" ht="28" x14ac:dyDescent="0.2">
      <c r="A2" s="272"/>
      <c r="B2" s="272"/>
      <c r="C2" s="272"/>
      <c r="D2" s="272"/>
      <c r="E2" s="272"/>
      <c r="F2" s="272"/>
      <c r="G2" s="275" t="s">
        <v>183</v>
      </c>
      <c r="H2" s="355" t="s">
        <v>182</v>
      </c>
      <c r="I2" s="275" t="s">
        <v>181</v>
      </c>
      <c r="J2" s="275" t="s">
        <v>181</v>
      </c>
      <c r="K2" s="275" t="s">
        <v>181</v>
      </c>
      <c r="L2" s="275" t="s">
        <v>181</v>
      </c>
      <c r="M2" s="275" t="s">
        <v>181</v>
      </c>
      <c r="N2" s="275" t="s">
        <v>181</v>
      </c>
      <c r="O2" s="276" t="s">
        <v>181</v>
      </c>
      <c r="P2" s="276" t="s">
        <v>181</v>
      </c>
      <c r="Q2" s="275" t="s">
        <v>181</v>
      </c>
      <c r="R2" s="275" t="s">
        <v>181</v>
      </c>
      <c r="S2" s="355" t="s">
        <v>180</v>
      </c>
      <c r="T2" s="275" t="s">
        <v>45</v>
      </c>
      <c r="U2" s="355" t="s">
        <v>179</v>
      </c>
    </row>
    <row r="3" spans="1:21" ht="56" x14ac:dyDescent="0.2">
      <c r="A3" s="272"/>
      <c r="B3" s="272"/>
      <c r="C3" s="272"/>
      <c r="D3" s="272"/>
      <c r="E3" s="272"/>
      <c r="F3" s="272"/>
      <c r="G3" s="275" t="s">
        <v>172</v>
      </c>
      <c r="H3" s="355"/>
      <c r="I3" s="275" t="s">
        <v>224</v>
      </c>
      <c r="J3" s="275" t="s">
        <v>223</v>
      </c>
      <c r="K3" s="275" t="s">
        <v>222</v>
      </c>
      <c r="L3" s="275" t="s">
        <v>221</v>
      </c>
      <c r="M3" s="275" t="s">
        <v>220</v>
      </c>
      <c r="N3" s="275" t="s">
        <v>219</v>
      </c>
      <c r="O3" s="276" t="s">
        <v>218</v>
      </c>
      <c r="P3" s="276" t="s">
        <v>217</v>
      </c>
      <c r="Q3" s="275" t="s">
        <v>216</v>
      </c>
      <c r="R3" s="275" t="s">
        <v>159</v>
      </c>
      <c r="S3" s="355"/>
      <c r="T3" s="275" t="s">
        <v>156</v>
      </c>
      <c r="U3" s="355"/>
    </row>
    <row r="4" spans="1:21" ht="112" x14ac:dyDescent="0.2">
      <c r="A4" s="272"/>
      <c r="B4" s="277" t="s">
        <v>126</v>
      </c>
      <c r="C4" s="277" t="s">
        <v>125</v>
      </c>
      <c r="D4" s="277" t="s">
        <v>32</v>
      </c>
      <c r="E4" s="277" t="s">
        <v>124</v>
      </c>
      <c r="F4" s="277" t="s">
        <v>123</v>
      </c>
      <c r="G4" s="275" t="s">
        <v>122</v>
      </c>
      <c r="H4" s="355"/>
      <c r="I4" s="275" t="s">
        <v>205</v>
      </c>
      <c r="J4" s="275" t="s">
        <v>204</v>
      </c>
      <c r="K4" s="275" t="s">
        <v>203</v>
      </c>
      <c r="L4" s="275" t="s">
        <v>202</v>
      </c>
      <c r="M4" s="275" t="s">
        <v>201</v>
      </c>
      <c r="N4" s="275" t="s">
        <v>200</v>
      </c>
      <c r="O4" s="276" t="s">
        <v>199</v>
      </c>
      <c r="P4" s="276" t="s">
        <v>198</v>
      </c>
      <c r="Q4" s="275" t="s">
        <v>197</v>
      </c>
      <c r="R4" s="275" t="s">
        <v>108</v>
      </c>
      <c r="S4" s="355"/>
      <c r="T4" s="275" t="s">
        <v>104</v>
      </c>
      <c r="U4" s="355"/>
    </row>
    <row r="5" spans="1:21" ht="196" x14ac:dyDescent="0.2">
      <c r="A5" s="278" t="s">
        <v>186</v>
      </c>
      <c r="B5" s="279"/>
      <c r="C5" s="279"/>
      <c r="D5" s="280"/>
      <c r="E5" s="279" t="s">
        <v>73</v>
      </c>
      <c r="F5" s="279" t="s">
        <v>72</v>
      </c>
      <c r="G5" s="236" t="s">
        <v>384</v>
      </c>
      <c r="H5" s="281">
        <f t="shared" ref="H5:H15" si="0">SUM(G5)</f>
        <v>0</v>
      </c>
      <c r="I5" s="282"/>
      <c r="J5" s="236" t="s">
        <v>385</v>
      </c>
      <c r="K5" s="236" t="s">
        <v>386</v>
      </c>
      <c r="L5" s="236" t="s">
        <v>387</v>
      </c>
      <c r="M5" s="283"/>
      <c r="N5" s="283"/>
      <c r="O5" s="284"/>
      <c r="P5" s="284"/>
      <c r="Q5" s="285"/>
      <c r="R5" s="236" t="s">
        <v>388</v>
      </c>
      <c r="S5" s="281">
        <f t="shared" ref="S5:S15" si="1">SUM(I5:R5)</f>
        <v>0</v>
      </c>
      <c r="T5" s="236" t="s">
        <v>389</v>
      </c>
      <c r="U5" s="281">
        <f t="shared" ref="U5:U15" si="2">SUM(T5)</f>
        <v>0</v>
      </c>
    </row>
    <row r="6" spans="1:21" x14ac:dyDescent="0.2">
      <c r="A6" s="286" t="s">
        <v>186</v>
      </c>
      <c r="B6" s="280"/>
      <c r="C6" s="280"/>
      <c r="D6" s="280"/>
      <c r="E6" s="280" t="s">
        <v>71</v>
      </c>
      <c r="F6" s="280" t="s">
        <v>70</v>
      </c>
      <c r="G6" s="283"/>
      <c r="H6" s="287">
        <f t="shared" si="0"/>
        <v>0</v>
      </c>
      <c r="I6" s="288"/>
      <c r="J6" s="284"/>
      <c r="K6" s="284"/>
      <c r="L6" s="284"/>
      <c r="M6" s="284"/>
      <c r="N6" s="283"/>
      <c r="O6" s="284"/>
      <c r="P6" s="284"/>
      <c r="Q6" s="284"/>
      <c r="R6" s="283"/>
      <c r="S6" s="287">
        <f t="shared" si="1"/>
        <v>0</v>
      </c>
      <c r="T6" s="283"/>
      <c r="U6" s="287">
        <f t="shared" si="2"/>
        <v>0</v>
      </c>
    </row>
    <row r="7" spans="1:21" x14ac:dyDescent="0.2">
      <c r="A7" s="278" t="s">
        <v>186</v>
      </c>
      <c r="B7" s="279"/>
      <c r="C7" s="279"/>
      <c r="D7" s="279"/>
      <c r="E7" s="279" t="s">
        <v>69</v>
      </c>
      <c r="F7" s="279" t="s">
        <v>68</v>
      </c>
      <c r="G7" s="283"/>
      <c r="H7" s="281">
        <f t="shared" si="0"/>
        <v>0</v>
      </c>
      <c r="I7" s="282"/>
      <c r="J7" s="285"/>
      <c r="K7" s="285"/>
      <c r="L7" s="285"/>
      <c r="M7" s="285"/>
      <c r="N7" s="289"/>
      <c r="O7" s="284"/>
      <c r="P7" s="284"/>
      <c r="Q7" s="285"/>
      <c r="R7" s="285"/>
      <c r="S7" s="281">
        <f t="shared" si="1"/>
        <v>0</v>
      </c>
      <c r="T7" s="288"/>
      <c r="U7" s="281">
        <f t="shared" si="2"/>
        <v>0</v>
      </c>
    </row>
    <row r="8" spans="1:21" ht="70" x14ac:dyDescent="0.2">
      <c r="A8" s="278" t="s">
        <v>186</v>
      </c>
      <c r="B8" s="279"/>
      <c r="C8" s="279"/>
      <c r="D8" s="279"/>
      <c r="E8" s="279" t="s">
        <v>67</v>
      </c>
      <c r="F8" s="279" t="s">
        <v>66</v>
      </c>
      <c r="G8" s="236" t="s">
        <v>390</v>
      </c>
      <c r="H8" s="281">
        <f t="shared" si="0"/>
        <v>0</v>
      </c>
      <c r="I8" s="282"/>
      <c r="J8" s="285"/>
      <c r="K8" s="285"/>
      <c r="L8" s="285"/>
      <c r="M8" s="285"/>
      <c r="N8" s="289"/>
      <c r="O8" s="284"/>
      <c r="P8" s="284"/>
      <c r="Q8" s="285"/>
      <c r="R8" s="236" t="s">
        <v>390</v>
      </c>
      <c r="S8" s="281">
        <f t="shared" si="1"/>
        <v>0</v>
      </c>
      <c r="T8" s="236" t="s">
        <v>390</v>
      </c>
      <c r="U8" s="281">
        <f t="shared" si="2"/>
        <v>0</v>
      </c>
    </row>
    <row r="9" spans="1:21" ht="238" x14ac:dyDescent="0.2">
      <c r="A9" s="278" t="s">
        <v>186</v>
      </c>
      <c r="B9" s="279"/>
      <c r="C9" s="279"/>
      <c r="D9" s="279"/>
      <c r="E9" s="279" t="s">
        <v>65</v>
      </c>
      <c r="F9" s="279" t="s">
        <v>64</v>
      </c>
      <c r="G9" s="236" t="s">
        <v>391</v>
      </c>
      <c r="H9" s="281">
        <f t="shared" si="0"/>
        <v>0</v>
      </c>
      <c r="I9" s="282"/>
      <c r="J9" s="285"/>
      <c r="K9" s="285"/>
      <c r="L9" s="285"/>
      <c r="M9" s="285"/>
      <c r="N9" s="289"/>
      <c r="O9" s="284"/>
      <c r="P9" s="284"/>
      <c r="Q9" s="285"/>
      <c r="R9" s="236" t="s">
        <v>392</v>
      </c>
      <c r="S9" s="281">
        <f t="shared" si="1"/>
        <v>0</v>
      </c>
      <c r="T9" s="236" t="s">
        <v>391</v>
      </c>
      <c r="U9" s="281">
        <f t="shared" si="2"/>
        <v>0</v>
      </c>
    </row>
    <row r="10" spans="1:21" ht="70" x14ac:dyDescent="0.2">
      <c r="A10" s="278" t="s">
        <v>186</v>
      </c>
      <c r="B10" s="279"/>
      <c r="C10" s="279"/>
      <c r="D10" s="279"/>
      <c r="E10" s="279" t="s">
        <v>63</v>
      </c>
      <c r="F10" s="279" t="s">
        <v>62</v>
      </c>
      <c r="G10" s="236" t="s">
        <v>393</v>
      </c>
      <c r="H10" s="281">
        <f t="shared" si="0"/>
        <v>0</v>
      </c>
      <c r="I10" s="282"/>
      <c r="J10" s="285"/>
      <c r="K10" s="285"/>
      <c r="L10" s="285"/>
      <c r="M10" s="285"/>
      <c r="N10" s="289"/>
      <c r="O10" s="284"/>
      <c r="P10" s="284"/>
      <c r="Q10" s="285"/>
      <c r="R10" s="236" t="s">
        <v>393</v>
      </c>
      <c r="S10" s="281">
        <f t="shared" si="1"/>
        <v>0</v>
      </c>
      <c r="T10" s="236" t="s">
        <v>393</v>
      </c>
      <c r="U10" s="281">
        <f t="shared" si="2"/>
        <v>0</v>
      </c>
    </row>
    <row r="11" spans="1:21" ht="70" x14ac:dyDescent="0.2">
      <c r="A11" s="278" t="s">
        <v>186</v>
      </c>
      <c r="B11" s="279"/>
      <c r="C11" s="279"/>
      <c r="D11" s="279"/>
      <c r="E11" s="279" t="s">
        <v>61</v>
      </c>
      <c r="F11" s="279" t="s">
        <v>60</v>
      </c>
      <c r="G11" s="236" t="s">
        <v>394</v>
      </c>
      <c r="H11" s="281">
        <f t="shared" si="0"/>
        <v>0</v>
      </c>
      <c r="I11" s="282"/>
      <c r="J11" s="285"/>
      <c r="K11" s="285"/>
      <c r="L11" s="285"/>
      <c r="M11" s="285"/>
      <c r="N11" s="289"/>
      <c r="O11" s="284"/>
      <c r="P11" s="284"/>
      <c r="Q11" s="285"/>
      <c r="R11" s="236" t="s">
        <v>394</v>
      </c>
      <c r="S11" s="281">
        <f t="shared" si="1"/>
        <v>0</v>
      </c>
      <c r="T11" s="236" t="s">
        <v>394</v>
      </c>
      <c r="U11" s="281">
        <f t="shared" si="2"/>
        <v>0</v>
      </c>
    </row>
    <row r="12" spans="1:21" ht="98" x14ac:dyDescent="0.2">
      <c r="A12" s="278" t="s">
        <v>186</v>
      </c>
      <c r="B12" s="279"/>
      <c r="C12" s="279"/>
      <c r="D12" s="279"/>
      <c r="E12" s="279" t="s">
        <v>59</v>
      </c>
      <c r="F12" s="279" t="s">
        <v>58</v>
      </c>
      <c r="G12" s="236" t="s">
        <v>395</v>
      </c>
      <c r="H12" s="281">
        <f t="shared" si="0"/>
        <v>0</v>
      </c>
      <c r="I12" s="282"/>
      <c r="J12" s="285"/>
      <c r="K12" s="285"/>
      <c r="L12" s="285"/>
      <c r="M12" s="285"/>
      <c r="N12" s="289"/>
      <c r="O12" s="284"/>
      <c r="P12" s="284"/>
      <c r="Q12" s="285"/>
      <c r="R12" s="236" t="s">
        <v>395</v>
      </c>
      <c r="S12" s="281">
        <f t="shared" si="1"/>
        <v>0</v>
      </c>
      <c r="T12" s="236" t="s">
        <v>395</v>
      </c>
      <c r="U12" s="281">
        <f t="shared" si="2"/>
        <v>0</v>
      </c>
    </row>
    <row r="13" spans="1:21" ht="112" x14ac:dyDescent="0.2">
      <c r="A13" s="278" t="s">
        <v>186</v>
      </c>
      <c r="B13" s="279"/>
      <c r="C13" s="279"/>
      <c r="D13" s="279"/>
      <c r="E13" s="279" t="s">
        <v>57</v>
      </c>
      <c r="F13" s="290" t="s">
        <v>56</v>
      </c>
      <c r="G13" s="236" t="s">
        <v>396</v>
      </c>
      <c r="H13" s="281">
        <f t="shared" si="0"/>
        <v>0</v>
      </c>
      <c r="I13" s="282"/>
      <c r="J13" s="285"/>
      <c r="K13" s="285"/>
      <c r="L13" s="285"/>
      <c r="M13" s="285"/>
      <c r="N13" s="289"/>
      <c r="O13" s="284"/>
      <c r="P13" s="284"/>
      <c r="Q13" s="285"/>
      <c r="R13" s="236" t="s">
        <v>396</v>
      </c>
      <c r="S13" s="281">
        <f t="shared" si="1"/>
        <v>0</v>
      </c>
      <c r="T13" s="236" t="s">
        <v>396</v>
      </c>
      <c r="U13" s="281">
        <f t="shared" si="2"/>
        <v>0</v>
      </c>
    </row>
    <row r="14" spans="1:21" ht="196" x14ac:dyDescent="0.2">
      <c r="A14" s="278" t="s">
        <v>186</v>
      </c>
      <c r="B14" s="279"/>
      <c r="C14" s="279"/>
      <c r="D14" s="279"/>
      <c r="E14" s="279" t="s">
        <v>55</v>
      </c>
      <c r="F14" s="279" t="s">
        <v>54</v>
      </c>
      <c r="G14" s="236" t="s">
        <v>425</v>
      </c>
      <c r="H14" s="281">
        <f t="shared" si="0"/>
        <v>0</v>
      </c>
      <c r="I14" s="282"/>
      <c r="J14" s="236" t="s">
        <v>385</v>
      </c>
      <c r="K14" s="236" t="s">
        <v>386</v>
      </c>
      <c r="L14" s="236" t="s">
        <v>387</v>
      </c>
      <c r="M14" s="283"/>
      <c r="N14" s="283"/>
      <c r="O14" s="284"/>
      <c r="P14" s="284"/>
      <c r="Q14" s="285"/>
      <c r="R14" s="236" t="s">
        <v>426</v>
      </c>
      <c r="S14" s="281">
        <f t="shared" si="1"/>
        <v>0</v>
      </c>
      <c r="T14" s="288"/>
      <c r="U14" s="281">
        <f t="shared" si="2"/>
        <v>0</v>
      </c>
    </row>
    <row r="15" spans="1:21" ht="196" x14ac:dyDescent="0.2">
      <c r="A15" s="278" t="s">
        <v>186</v>
      </c>
      <c r="B15" s="279"/>
      <c r="C15" s="279"/>
      <c r="D15" s="279"/>
      <c r="E15" s="279" t="s">
        <v>52</v>
      </c>
      <c r="F15" s="279" t="s">
        <v>51</v>
      </c>
      <c r="G15" s="236" t="s">
        <v>425</v>
      </c>
      <c r="H15" s="281">
        <f t="shared" si="0"/>
        <v>0</v>
      </c>
      <c r="I15" s="282"/>
      <c r="J15" s="236" t="s">
        <v>385</v>
      </c>
      <c r="K15" s="236" t="s">
        <v>386</v>
      </c>
      <c r="L15" s="236" t="s">
        <v>387</v>
      </c>
      <c r="M15" s="283"/>
      <c r="N15" s="283"/>
      <c r="O15" s="284"/>
      <c r="P15" s="284"/>
      <c r="Q15" s="285"/>
      <c r="R15" s="236" t="s">
        <v>426</v>
      </c>
      <c r="S15" s="281">
        <f t="shared" si="1"/>
        <v>0</v>
      </c>
      <c r="T15" s="288"/>
      <c r="U15" s="281">
        <f t="shared" si="2"/>
        <v>0</v>
      </c>
    </row>
    <row r="16" spans="1:21" x14ac:dyDescent="0.2">
      <c r="A16" s="278"/>
      <c r="B16" s="291"/>
      <c r="C16" s="291"/>
      <c r="D16" s="291"/>
      <c r="E16" s="291"/>
      <c r="F16" s="292" t="s">
        <v>50</v>
      </c>
      <c r="G16" s="281">
        <f t="shared" ref="G16:U16" si="3">SUM(G5:G15)</f>
        <v>0</v>
      </c>
      <c r="H16" s="281">
        <f t="shared" si="3"/>
        <v>0</v>
      </c>
      <c r="I16" s="281">
        <f t="shared" si="3"/>
        <v>0</v>
      </c>
      <c r="J16" s="281">
        <f t="shared" si="3"/>
        <v>0</v>
      </c>
      <c r="K16" s="281">
        <f t="shared" si="3"/>
        <v>0</v>
      </c>
      <c r="L16" s="281">
        <f t="shared" si="3"/>
        <v>0</v>
      </c>
      <c r="M16" s="281">
        <f t="shared" si="3"/>
        <v>0</v>
      </c>
      <c r="N16" s="281">
        <f t="shared" si="3"/>
        <v>0</v>
      </c>
      <c r="O16" s="287">
        <f t="shared" si="3"/>
        <v>0</v>
      </c>
      <c r="P16" s="287">
        <f t="shared" si="3"/>
        <v>0</v>
      </c>
      <c r="Q16" s="281">
        <f t="shared" si="3"/>
        <v>0</v>
      </c>
      <c r="R16" s="281">
        <f>SUM(R5:R15)</f>
        <v>0</v>
      </c>
      <c r="S16" s="281">
        <f t="shared" si="3"/>
        <v>0</v>
      </c>
      <c r="T16" s="281">
        <f t="shared" si="3"/>
        <v>0</v>
      </c>
      <c r="U16" s="281">
        <f t="shared" si="3"/>
        <v>0</v>
      </c>
    </row>
    <row r="17" spans="1:21" x14ac:dyDescent="0.2">
      <c r="A17" s="312"/>
      <c r="B17" s="312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3"/>
      <c r="T17" s="312"/>
      <c r="U17" s="312"/>
    </row>
    <row r="18" spans="1:21" x14ac:dyDescent="0.2">
      <c r="A18" s="312"/>
      <c r="B18" s="312"/>
      <c r="C18" s="312"/>
      <c r="D18" s="312"/>
      <c r="E18" s="312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4"/>
      <c r="T18" s="312"/>
      <c r="U18" s="312"/>
    </row>
    <row r="19" spans="1:21" ht="210" x14ac:dyDescent="0.2">
      <c r="A19" s="315"/>
      <c r="B19" s="315"/>
      <c r="C19" s="315"/>
      <c r="D19" s="316"/>
      <c r="E19" s="315"/>
      <c r="F19" s="305" t="s">
        <v>402</v>
      </c>
      <c r="G19" s="236" t="s">
        <v>403</v>
      </c>
      <c r="H19" s="315"/>
      <c r="I19" s="315"/>
      <c r="J19" s="315"/>
      <c r="K19" s="315"/>
      <c r="L19" s="315"/>
      <c r="M19" s="315"/>
      <c r="N19" s="315"/>
      <c r="O19" s="315"/>
      <c r="P19" s="315"/>
      <c r="Q19" s="306" t="s">
        <v>404</v>
      </c>
      <c r="R19" s="236" t="s">
        <v>405</v>
      </c>
      <c r="S19" s="315"/>
      <c r="T19" s="315"/>
      <c r="U19" s="315"/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N17"/>
  <sheetViews>
    <sheetView topLeftCell="E1" workbookViewId="0">
      <selection activeCell="F1" sqref="F1:F1048576"/>
    </sheetView>
  </sheetViews>
  <sheetFormatPr baseColWidth="10" defaultColWidth="11" defaultRowHeight="37" customHeight="1" x14ac:dyDescent="0.2"/>
  <cols>
    <col min="1" max="3" width="0" style="252" hidden="1" customWidth="1"/>
    <col min="4" max="4" width="15.1640625" style="252" hidden="1" customWidth="1"/>
    <col min="5" max="5" width="11" style="252"/>
    <col min="6" max="6" width="53.33203125" style="252" hidden="1" customWidth="1"/>
    <col min="7" max="7" width="13.5" style="252" customWidth="1"/>
    <col min="8" max="8" width="11" style="252"/>
    <col min="9" max="9" width="13.5" style="252" customWidth="1"/>
    <col min="10" max="16384" width="11" style="252"/>
  </cols>
  <sheetData>
    <row r="1" spans="1:14" ht="37" customHeight="1" x14ac:dyDescent="0.2">
      <c r="A1" s="251"/>
      <c r="C1" s="253"/>
      <c r="E1" s="251"/>
      <c r="F1" s="317"/>
      <c r="G1" s="253"/>
      <c r="H1" s="317"/>
      <c r="I1" s="253" t="s">
        <v>230</v>
      </c>
      <c r="J1" s="253"/>
      <c r="K1" s="251"/>
      <c r="L1" s="251"/>
      <c r="M1" s="251"/>
      <c r="N1" s="251"/>
    </row>
    <row r="2" spans="1:14" ht="37" customHeight="1" x14ac:dyDescent="0.2">
      <c r="A2" s="254"/>
      <c r="B2" s="255"/>
      <c r="C2" s="255"/>
      <c r="D2" s="255"/>
      <c r="E2" s="254"/>
      <c r="F2" s="255"/>
      <c r="G2" s="255"/>
      <c r="H2" s="255"/>
      <c r="I2" s="255"/>
      <c r="J2" s="255"/>
      <c r="K2" s="203" t="s">
        <v>181</v>
      </c>
      <c r="L2" s="352" t="s">
        <v>180</v>
      </c>
      <c r="M2" s="203" t="s">
        <v>45</v>
      </c>
      <c r="N2" s="352" t="s">
        <v>179</v>
      </c>
    </row>
    <row r="3" spans="1:14" ht="37" customHeight="1" x14ac:dyDescent="0.2">
      <c r="A3" s="254"/>
      <c r="B3" s="255"/>
      <c r="C3" s="255"/>
      <c r="D3" s="255"/>
      <c r="E3" s="254"/>
      <c r="F3" s="255"/>
      <c r="G3" s="255"/>
      <c r="H3" s="255"/>
      <c r="I3" s="255"/>
      <c r="J3" s="255"/>
      <c r="K3" s="203" t="s">
        <v>159</v>
      </c>
      <c r="L3" s="352"/>
      <c r="M3" s="203" t="s">
        <v>156</v>
      </c>
      <c r="N3" s="352"/>
    </row>
    <row r="4" spans="1:14" ht="37" customHeight="1" x14ac:dyDescent="0.2">
      <c r="A4" s="256"/>
      <c r="B4" s="257"/>
      <c r="C4" s="257"/>
      <c r="D4" s="257"/>
      <c r="E4" s="256"/>
      <c r="F4" s="257" t="s">
        <v>126</v>
      </c>
      <c r="G4" s="257" t="s">
        <v>125</v>
      </c>
      <c r="H4" s="257" t="s">
        <v>32</v>
      </c>
      <c r="I4" s="257" t="s">
        <v>124</v>
      </c>
      <c r="J4" s="257" t="s">
        <v>123</v>
      </c>
      <c r="K4" s="203" t="s">
        <v>108</v>
      </c>
      <c r="L4" s="352"/>
      <c r="M4" s="203" t="s">
        <v>104</v>
      </c>
      <c r="N4" s="352"/>
    </row>
    <row r="5" spans="1:14" ht="37" customHeight="1" x14ac:dyDescent="0.2">
      <c r="A5" s="258"/>
      <c r="B5" s="259"/>
      <c r="C5" s="259"/>
      <c r="D5" s="260"/>
      <c r="E5" s="258" t="s">
        <v>229</v>
      </c>
      <c r="F5" s="259"/>
      <c r="G5" s="259"/>
      <c r="H5" s="260"/>
      <c r="I5" s="259" t="s">
        <v>73</v>
      </c>
      <c r="J5" s="259" t="s">
        <v>72</v>
      </c>
      <c r="K5" s="261" t="s">
        <v>383</v>
      </c>
      <c r="L5" s="262">
        <f t="shared" ref="L5:L13" si="0">SUM(K5)</f>
        <v>0</v>
      </c>
      <c r="M5" s="261" t="s">
        <v>383</v>
      </c>
      <c r="N5" s="262">
        <f t="shared" ref="N5:N13" si="1">SUM(M5)</f>
        <v>0</v>
      </c>
    </row>
    <row r="6" spans="1:14" ht="37" customHeight="1" x14ac:dyDescent="0.2">
      <c r="A6" s="258"/>
      <c r="B6" s="259"/>
      <c r="C6" s="259"/>
      <c r="D6" s="208"/>
      <c r="E6" s="258" t="s">
        <v>229</v>
      </c>
      <c r="F6" s="259"/>
      <c r="G6" s="259"/>
      <c r="H6" s="208"/>
      <c r="I6" s="259" t="s">
        <v>67</v>
      </c>
      <c r="J6" s="259" t="s">
        <v>66</v>
      </c>
      <c r="K6" s="263"/>
      <c r="L6" s="262">
        <f t="shared" si="0"/>
        <v>0</v>
      </c>
      <c r="M6" s="264"/>
      <c r="N6" s="262">
        <f t="shared" si="1"/>
        <v>0</v>
      </c>
    </row>
    <row r="7" spans="1:14" ht="37" customHeight="1" x14ac:dyDescent="0.2">
      <c r="A7" s="258"/>
      <c r="B7" s="259"/>
      <c r="C7" s="259"/>
      <c r="D7" s="208"/>
      <c r="E7" s="258" t="s">
        <v>229</v>
      </c>
      <c r="F7" s="259"/>
      <c r="G7" s="259"/>
      <c r="H7" s="208"/>
      <c r="I7" s="259" t="s">
        <v>65</v>
      </c>
      <c r="J7" s="259" t="s">
        <v>64</v>
      </c>
      <c r="K7" s="263"/>
      <c r="L7" s="262">
        <f t="shared" si="0"/>
        <v>0</v>
      </c>
      <c r="M7" s="265"/>
      <c r="N7" s="262">
        <f t="shared" si="1"/>
        <v>0</v>
      </c>
    </row>
    <row r="8" spans="1:14" ht="37" customHeight="1" x14ac:dyDescent="0.2">
      <c r="A8" s="258"/>
      <c r="B8" s="259"/>
      <c r="C8" s="259"/>
      <c r="D8" s="208"/>
      <c r="E8" s="258" t="s">
        <v>229</v>
      </c>
      <c r="F8" s="259"/>
      <c r="G8" s="259"/>
      <c r="H8" s="208"/>
      <c r="I8" s="259" t="s">
        <v>63</v>
      </c>
      <c r="J8" s="259" t="s">
        <v>62</v>
      </c>
      <c r="K8" s="263"/>
      <c r="L8" s="262">
        <f t="shared" si="0"/>
        <v>0</v>
      </c>
      <c r="M8" s="264"/>
      <c r="N8" s="262">
        <f t="shared" si="1"/>
        <v>0</v>
      </c>
    </row>
    <row r="9" spans="1:14" ht="37" customHeight="1" x14ac:dyDescent="0.2">
      <c r="A9" s="258"/>
      <c r="B9" s="259"/>
      <c r="C9" s="259"/>
      <c r="D9" s="208"/>
      <c r="E9" s="258" t="s">
        <v>229</v>
      </c>
      <c r="F9" s="259"/>
      <c r="G9" s="259"/>
      <c r="H9" s="208"/>
      <c r="I9" s="259" t="s">
        <v>61</v>
      </c>
      <c r="J9" s="259" t="s">
        <v>60</v>
      </c>
      <c r="K9" s="263"/>
      <c r="L9" s="262">
        <f t="shared" si="0"/>
        <v>0</v>
      </c>
      <c r="M9" s="265"/>
      <c r="N9" s="262">
        <f t="shared" si="1"/>
        <v>0</v>
      </c>
    </row>
    <row r="10" spans="1:14" ht="37" customHeight="1" x14ac:dyDescent="0.2">
      <c r="A10" s="258"/>
      <c r="B10" s="259"/>
      <c r="C10" s="259"/>
      <c r="D10" s="208"/>
      <c r="E10" s="258" t="s">
        <v>229</v>
      </c>
      <c r="F10" s="259"/>
      <c r="G10" s="259"/>
      <c r="H10" s="208"/>
      <c r="I10" s="259" t="s">
        <v>59</v>
      </c>
      <c r="J10" s="259" t="s">
        <v>58</v>
      </c>
      <c r="K10" s="263"/>
      <c r="L10" s="262">
        <f t="shared" si="0"/>
        <v>0</v>
      </c>
      <c r="M10" s="264"/>
      <c r="N10" s="262">
        <f t="shared" si="1"/>
        <v>0</v>
      </c>
    </row>
    <row r="11" spans="1:14" ht="37" customHeight="1" x14ac:dyDescent="0.2">
      <c r="A11" s="258"/>
      <c r="B11" s="259"/>
      <c r="C11" s="259"/>
      <c r="D11" s="208"/>
      <c r="E11" s="258" t="s">
        <v>229</v>
      </c>
      <c r="F11" s="259"/>
      <c r="G11" s="259"/>
      <c r="H11" s="208"/>
      <c r="I11" s="259" t="s">
        <v>57</v>
      </c>
      <c r="J11" s="259" t="s">
        <v>56</v>
      </c>
      <c r="K11" s="263"/>
      <c r="L11" s="262">
        <f t="shared" si="0"/>
        <v>0</v>
      </c>
      <c r="M11" s="265"/>
      <c r="N11" s="262">
        <f t="shared" si="1"/>
        <v>0</v>
      </c>
    </row>
    <row r="12" spans="1:14" ht="37" customHeight="1" x14ac:dyDescent="0.2">
      <c r="A12" s="258"/>
      <c r="B12" s="259"/>
      <c r="C12" s="259"/>
      <c r="D12" s="208"/>
      <c r="E12" s="258" t="s">
        <v>229</v>
      </c>
      <c r="F12" s="259"/>
      <c r="G12" s="259"/>
      <c r="H12" s="208"/>
      <c r="I12" s="259" t="s">
        <v>55</v>
      </c>
      <c r="J12" s="259" t="s">
        <v>54</v>
      </c>
      <c r="K12" s="261" t="s">
        <v>383</v>
      </c>
      <c r="L12" s="262">
        <f t="shared" si="0"/>
        <v>0</v>
      </c>
      <c r="M12" s="266"/>
      <c r="N12" s="262">
        <f t="shared" si="1"/>
        <v>0</v>
      </c>
    </row>
    <row r="13" spans="1:14" ht="37" customHeight="1" x14ac:dyDescent="0.2">
      <c r="A13" s="258"/>
      <c r="B13" s="259"/>
      <c r="C13" s="259"/>
      <c r="D13" s="208"/>
      <c r="E13" s="258" t="s">
        <v>229</v>
      </c>
      <c r="F13" s="259"/>
      <c r="G13" s="259"/>
      <c r="H13" s="208"/>
      <c r="I13" s="259" t="s">
        <v>52</v>
      </c>
      <c r="J13" s="259" t="s">
        <v>51</v>
      </c>
      <c r="K13" s="261" t="s">
        <v>383</v>
      </c>
      <c r="L13" s="262">
        <f t="shared" si="0"/>
        <v>0</v>
      </c>
      <c r="M13" s="266"/>
      <c r="N13" s="262">
        <f t="shared" si="1"/>
        <v>0</v>
      </c>
    </row>
    <row r="14" spans="1:14" ht="37" customHeight="1" x14ac:dyDescent="0.2">
      <c r="A14" s="267"/>
      <c r="B14" s="268"/>
      <c r="C14" s="268"/>
      <c r="D14" s="268"/>
      <c r="E14" s="267"/>
      <c r="F14" s="268"/>
      <c r="G14" s="268"/>
      <c r="H14" s="268"/>
      <c r="I14" s="269"/>
      <c r="J14" s="270" t="s">
        <v>50</v>
      </c>
      <c r="K14" s="262">
        <f>SUM(K5:K13)</f>
        <v>0</v>
      </c>
      <c r="L14" s="262">
        <f>SUM(L5:L13)</f>
        <v>0</v>
      </c>
      <c r="M14" s="262">
        <f>SUM(M5:M13)</f>
        <v>0</v>
      </c>
      <c r="N14" s="262">
        <f>SUM(N5:N13)</f>
        <v>0</v>
      </c>
    </row>
    <row r="15" spans="1:14" ht="37" customHeight="1" x14ac:dyDescent="0.2">
      <c r="E15" s="317"/>
      <c r="F15" s="317"/>
      <c r="G15" s="317"/>
      <c r="H15" s="317"/>
      <c r="I15" s="317"/>
      <c r="J15" s="317"/>
      <c r="K15" s="317"/>
      <c r="L15" s="317"/>
      <c r="M15" s="317"/>
      <c r="N15" s="317"/>
    </row>
    <row r="16" spans="1:14" ht="37" customHeight="1" x14ac:dyDescent="0.2">
      <c r="E16" s="317"/>
      <c r="F16" s="317"/>
      <c r="G16" s="317"/>
      <c r="H16" s="317"/>
      <c r="I16" s="317"/>
      <c r="J16" s="317"/>
      <c r="K16" s="317"/>
      <c r="L16" s="317"/>
      <c r="M16" s="317"/>
      <c r="N16" s="317"/>
    </row>
    <row r="17" spans="4:4" ht="37" customHeight="1" x14ac:dyDescent="0.2">
      <c r="D17" s="271"/>
    </row>
  </sheetData>
  <mergeCells count="2">
    <mergeCell ref="L2:L4"/>
    <mergeCell ref="N2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112" sqref="A112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233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J4"/>
  <sheetViews>
    <sheetView showFormulas="1" zoomScale="110" zoomScaleNormal="110" workbookViewId="0">
      <selection activeCell="A187" sqref="A187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54" width="36.1640625" customWidth="1"/>
    <col min="155" max="155" width="16.83203125" customWidth="1"/>
    <col min="156" max="156" width="20" customWidth="1"/>
    <col min="157" max="157" width="60.6640625" bestFit="1" customWidth="1"/>
    <col min="161" max="161" width="52" bestFit="1" customWidth="1"/>
    <col min="162" max="162" width="17.1640625" bestFit="1" customWidth="1"/>
    <col min="170" max="170" width="45.1640625" bestFit="1" customWidth="1"/>
    <col min="171" max="171" width="15.1640625" bestFit="1" customWidth="1"/>
  </cols>
  <sheetData>
    <row r="1" spans="1:166" s="4" customFormat="1" ht="80" customHeight="1" x14ac:dyDescent="0.25">
      <c r="A1" s="3" t="s">
        <v>232</v>
      </c>
      <c r="B1" s="5"/>
      <c r="C1" s="5"/>
      <c r="D1" s="7"/>
      <c r="E1" s="7"/>
      <c r="F1" s="6"/>
      <c r="G1" s="6" t="s">
        <v>6</v>
      </c>
      <c r="FA1" s="338" t="s">
        <v>237</v>
      </c>
      <c r="FB1" s="338"/>
      <c r="FC1" s="338"/>
      <c r="FD1" s="338"/>
      <c r="FE1" s="338"/>
      <c r="FF1" s="338"/>
      <c r="FG1" s="339"/>
      <c r="FH1" s="339"/>
      <c r="FI1" s="339"/>
      <c r="FJ1" s="4" t="s">
        <v>0</v>
      </c>
    </row>
    <row r="2" spans="1:166" ht="66" customHeight="1" x14ac:dyDescent="0.2">
      <c r="A2" s="22" t="s">
        <v>8</v>
      </c>
      <c r="B2" t="s">
        <v>9</v>
      </c>
      <c r="FA2" s="126" t="s">
        <v>34</v>
      </c>
      <c r="FB2" s="126" t="s">
        <v>35</v>
      </c>
      <c r="FC2" s="126" t="s">
        <v>36</v>
      </c>
      <c r="FD2" s="126" t="s">
        <v>37</v>
      </c>
      <c r="FE2" s="126" t="s">
        <v>38</v>
      </c>
      <c r="FF2" s="126" t="s">
        <v>39</v>
      </c>
      <c r="FG2" s="126" t="s">
        <v>435</v>
      </c>
    </row>
    <row r="3" spans="1:166" x14ac:dyDescent="0.2">
      <c r="A3" s="25" t="s">
        <v>11</v>
      </c>
      <c r="B3" t="s">
        <v>10</v>
      </c>
    </row>
    <row r="4" spans="1:166" x14ac:dyDescent="0.2">
      <c r="B4" s="27" t="s">
        <v>7</v>
      </c>
      <c r="FA4" s="21"/>
    </row>
  </sheetData>
  <autoFilter ref="A2:DT2" xr:uid="{3B89445B-6ECC-4440-B85C-E593AE209933}"/>
  <mergeCells count="1">
    <mergeCell ref="FA1:FI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zoomScaleNormal="90" workbookViewId="0">
      <selection activeCell="A3" sqref="A3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142" t="s">
        <v>252</v>
      </c>
      <c r="D1" s="142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295"/>
      <c r="C4" s="294"/>
      <c r="D4" s="294"/>
      <c r="E4" s="294"/>
      <c r="F4" s="294"/>
      <c r="G4" s="340" t="s">
        <v>26</v>
      </c>
      <c r="H4" s="341"/>
      <c r="I4" s="341"/>
      <c r="J4" s="341"/>
      <c r="K4" s="341"/>
      <c r="L4" s="342"/>
      <c r="M4" s="343"/>
      <c r="N4" s="344" t="s">
        <v>27</v>
      </c>
      <c r="O4" s="342"/>
      <c r="P4" s="342"/>
      <c r="Q4" s="342"/>
      <c r="R4" s="342"/>
      <c r="S4" s="342"/>
      <c r="T4" s="345"/>
      <c r="U4" s="340" t="s">
        <v>28</v>
      </c>
      <c r="V4" s="343"/>
      <c r="W4" s="301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300" t="s">
        <v>397</v>
      </c>
      <c r="I5" s="12" t="s">
        <v>14</v>
      </c>
      <c r="J5" s="12" t="s">
        <v>15</v>
      </c>
      <c r="K5" s="28" t="s">
        <v>29</v>
      </c>
      <c r="L5" s="296" t="s">
        <v>30</v>
      </c>
      <c r="M5" s="297" t="s">
        <v>397</v>
      </c>
      <c r="N5" s="12" t="s">
        <v>16</v>
      </c>
      <c r="O5" s="300" t="s">
        <v>397</v>
      </c>
      <c r="P5" s="12" t="s">
        <v>17</v>
      </c>
      <c r="Q5" s="12" t="s">
        <v>18</v>
      </c>
      <c r="R5" s="28" t="s">
        <v>29</v>
      </c>
      <c r="S5" s="296" t="s">
        <v>31</v>
      </c>
      <c r="T5" s="300" t="s">
        <v>397</v>
      </c>
      <c r="U5" s="296" t="s">
        <v>29</v>
      </c>
      <c r="V5" s="297" t="s">
        <v>397</v>
      </c>
      <c r="W5" t="s">
        <v>20</v>
      </c>
    </row>
    <row r="6" spans="1:24" x14ac:dyDescent="0.2">
      <c r="A6" s="13"/>
      <c r="C6" s="17" t="s">
        <v>23</v>
      </c>
      <c r="D6" s="17" t="s">
        <v>398</v>
      </c>
      <c r="E6" s="16" t="s">
        <v>22</v>
      </c>
      <c r="F6" s="16" t="s">
        <v>399</v>
      </c>
      <c r="G6" s="19" t="e">
        <f>SUMIFS(INDEX('ETPT Format DDG'!$A:$DU,,IFERROR(MATCH(E6,'ETPT Format DDG'!$2:$2,0),MATCH(C6,'ETPT Format DDG'!$2:$2,0))),'ETPT Format DDG'!$FG:$FG,"M-TIT",'ETPT Format DDG'!$C:$C,$A$3)</f>
        <v>#N/A</v>
      </c>
      <c r="H6" s="298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DDG'!$A:$DU,,IFERROR(MATCH(E6,'ETPT Format DDG'!$2:$2,0),MATCH(C6,'ETPT Format DDG'!$2:$2,0))),'ETPT Format DDG'!$FG:$FG,"M-PLAC-ADD",'ETPT Format DDG'!$C:$C,$A$3)</f>
        <v>#N/A</v>
      </c>
      <c r="J6" s="18" t="e">
        <f>SUMIFS(INDEX('ETPT Format DDG'!$A:$DU,,IFERROR(MATCH(E6,'ETPT Format DDG'!$2:$2,0),MATCH(C6,'ETPT Format DDG'!$2:$2,0))),'ETPT Format DDG'!$FG:$FG,"M-PLAC-SUB",'ETPT Format DDG'!$C:$C,$A$3)</f>
        <v>#N/A</v>
      </c>
      <c r="K6" s="18" t="e">
        <f>SUMIFS(
INDEX('ETPT Format DDG'!$A:$DU,
,
IFERROR(MATCH(E6,'ETPT Format DDG'!$2:$2,0),MATCH(C6,'ETPT Format DDG'!$2:$2,0))
),'ETPT Format DDG'!$FG:$FG,"C",
'ETPT Format DDG'!$C:$C,$A$3,
'ETPT Format DDG'!$G:$G,"Magistrat")</f>
        <v>#N/A</v>
      </c>
      <c r="L6" s="19" t="e">
        <f>SUMIFS(
INDEX('ETPT Format DDG'!$A:$DU,
,
IFERROR(MATCH(E6,'ETPT Format DDG'!$2:$2,0),MATCH(C6,'ETPT Format DDG'!$2:$2,0))
),
'ETPT Format DDG'!$C:$C,$A$3,
'ETPT Format DDG'!$G:$G,"Magistrat")</f>
        <v>#N/A</v>
      </c>
      <c r="M6" s="299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DDG'!$A:$DU,,IFERROR(MATCH(E6,'ETPT Format DDG'!$2:$2,0),MATCH(C6,'ETPT Format DDG'!$2:$2,0))),'ETPT Format DDG'!$FG:$FG,"F-TIT",'ETPT Format DDG'!$C:$C,$A$3)</f>
        <v>#N/A</v>
      </c>
      <c r="O6" s="298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DDG'!$A:$DU,,IFERROR(MATCH(E6,'ETPT Format DDG'!$2:$2,0),MATCH(C6,'ETPT Format DDG'!$2:$2,0))),'ETPT Format DDG'!$FG:$FG,"F-PLAC-ADD",'ETPT Format DDG'!$C:$C,$A$3)</f>
        <v>#N/A</v>
      </c>
      <c r="Q6" s="18" t="e">
        <f>SUMIFS(INDEX('ETPT Format DDG'!$A:$DU,,IFERROR(MATCH(E6,'ETPT Format DDG'!$2:$2,0),MATCH(C6,'ETPT Format DDG'!$2:$2,0))),'ETPT Format DDG'!$FG:$FG,"F-PLAC-SUB",'ETPT Format DDG'!$C:$C,$A$3)</f>
        <v>#N/A</v>
      </c>
      <c r="R6" s="18" t="e">
        <f>SUMIFS(INDEX('ETPT Format DDG'!$A:$DU,,IFERROR(MATCH(E6,'ETPT Format DDG'!$2:$2,0),MATCH(C6,'ETPT Format DDG'!$2:$2,0))),'ETPT Format DDG'!$FG:$FG,"C",'ETPT Format DDG'!$C:$C,$A$3,'ETPT Format DDG'!$G:$G,"Greffe")</f>
        <v>#N/A</v>
      </c>
      <c r="S6" s="19" t="e">
        <f>SUMIFS(
INDEX('ETPT Format DDG'!$A:$DU,
,
IFERROR(MATCH(E6,'ETPT Format DDG'!$2:$2,0),MATCH(C6,'ETPT Format DDG'!$2:$2,0))
),
'ETPT Format DDG'!$C:$C,$A$3,
'ETPT Format DDG'!$G:$G,"Greffe")</f>
        <v>#N/A</v>
      </c>
      <c r="T6" s="298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DDG'!$A:$DU,
,
IFERROR(MATCH(E6,'ETPT Format DDG'!$2:$2,0),MATCH(C6,'ETPT Format DDG'!$2:$2,0))
),'ETPT Format DDG'!$FG:$FG,"C",
'ETPT Format DDG'!$C:$C,$A$3,
'ETPT Format DDG'!$G:$G,"Autour du magistrat")</f>
        <v>#N/A</v>
      </c>
      <c r="V6" s="299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9" priority="10">
      <formula>IF(LEFT($A$3,2)&lt;&gt;"TJ",TRUE,FALSE)</formula>
    </cfRule>
  </conditionalFormatting>
  <conditionalFormatting sqref="C6:V151">
    <cfRule type="expression" dxfId="8" priority="12">
      <formula>AND(ISBLANK($C6)=FALSE,ISBLANK($E6)=TRUE)</formula>
    </cfRule>
  </conditionalFormatting>
  <conditionalFormatting sqref="D1:F1048576">
    <cfRule type="expression" dxfId="7" priority="1">
      <formula>AND($D1="5. TOTAL JLD CIVIL",OR(_xlfn.NUMBERVALUE($L1-$L2-$L3)-_xlfn.NUMBERVALUE($L4)&lt;&gt;0,_xlfn.NUMBERVALUE($S1)-_xlfn.NUMBERVALUE($S2)-_xlfn.NUMBERVALUE($S3)-_xlfn.NUMBERVALUE($S4)&lt;&gt;0,_xlfn.NUMBERVALUE($U1)-_xlfn.NUMBERVALUE($U2)-_xlfn.NUMBERVALUE($U3)-_xlfn.NUMBERVALUE($U4)&lt;&gt;0))</formula>
    </cfRule>
    <cfRule type="expression" dxfId="6" priority="6">
      <formula>AND($D1="6. TOTAL JUGES DES ENFANTS",OR(_xlfn.NUMBERVALUE($L1)-_xlfn.NUMBERVALUE($L2)-_xlfn.NUMBERVALUE($L3)&lt;&gt;0,_xlfn.NUMBERVALUE($S1)-_xlfn.NUMBERVALUE($S2)-_xlfn.NUMBERVALUE($S3)&lt;&gt;0,_xlfn.NUMBERVALUE($U1)-_xlfn.NUMBERVALUE($U2)-_xlfn.NUMBERVALUE($U3)&lt;&gt;0))</formula>
    </cfRule>
  </conditionalFormatting>
  <conditionalFormatting sqref="G1:M1048576">
    <cfRule type="expression" dxfId="5" priority="5">
      <formula>AND($D1="5. TOTAL JLD CIVIL",_xlfn.NUMBERVALUE($L1)-_xlfn.NUMBERVALUE($L2)-_xlfn.NUMBERVALUE($L3)-_xlfn.NUMBERVALUE($L4)&lt;&gt;0)</formula>
    </cfRule>
    <cfRule type="expression" dxfId="4" priority="9">
      <formula>AND($D1="6. TOTAL JUGES DES ENFANTS",_xlfn.NUMBERVALUE($L1)-_xlfn.NUMBERVALUE($L2)-_xlfn.NUMBERVALUE($L3)&lt;&gt;0)</formula>
    </cfRule>
  </conditionalFormatting>
  <conditionalFormatting sqref="N1:T1048576">
    <cfRule type="expression" dxfId="3" priority="4">
      <formula>AND($D1="5. TOTAL JLD CIVIL",_xlfn.NUMBERVALUE($S1)-_xlfn.NUMBERVALUE($S2)-_xlfn.NUMBERVALUE($S3)-_xlfn.NUMBERVALUE($S4)&lt;&gt;0)</formula>
    </cfRule>
    <cfRule type="expression" dxfId="2" priority="8">
      <formula>AND($D1="6. TOTAL JUGES DES ENFANTS",_xlfn.NUMBERVALUE($S1)-_xlfn.NUMBERVALUE($S2)-_xlfn.NUMBERVALUE($S3)&lt;&gt;0)</formula>
    </cfRule>
  </conditionalFormatting>
  <conditionalFormatting sqref="U1:V1048576">
    <cfRule type="expression" dxfId="1" priority="3">
      <formula>AND($D1="5. TOTAL JLD CIVIL",_xlfn.NUMBERVALUE($U1)-_xlfn.NUMBERVALUE($U2)-_xlfn.NUMBERVALUE($U3)-_xlfn.NUMBERVALUE($U4)&lt;&gt;0)</formula>
    </cfRule>
    <cfRule type="expression" dxfId="0" priority="7">
      <formula>AND($D1="6. TOTAL JUGES DES ENFANTS",_xlfn.NUMBERVALUE($U1)-_xlfn.NUMBERVALUE($U2)-_xlfn.NUMBERVALUE($U3)&lt;&gt;0)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M1:M17"/>
  <sheetViews>
    <sheetView workbookViewId="0">
      <selection activeCell="M18" sqref="M1:M18"/>
    </sheetView>
  </sheetViews>
  <sheetFormatPr baseColWidth="10" defaultRowHeight="15" x14ac:dyDescent="0.2"/>
  <sheetData>
    <row r="1" spans="13:13" ht="16" x14ac:dyDescent="0.2">
      <c r="M1" s="26" t="s">
        <v>0</v>
      </c>
    </row>
    <row r="2" spans="13:13" ht="16" x14ac:dyDescent="0.2">
      <c r="M2" s="26" t="s">
        <v>0</v>
      </c>
    </row>
    <row r="3" spans="13:13" ht="16" x14ac:dyDescent="0.2">
      <c r="M3" s="26" t="s">
        <v>0</v>
      </c>
    </row>
    <row r="4" spans="13:13" ht="16" x14ac:dyDescent="0.2">
      <c r="M4" s="26" t="s">
        <v>0</v>
      </c>
    </row>
    <row r="5" spans="13:13" ht="16" x14ac:dyDescent="0.2">
      <c r="M5" s="26" t="s">
        <v>0</v>
      </c>
    </row>
    <row r="6" spans="13:13" ht="16" x14ac:dyDescent="0.2">
      <c r="M6" s="26" t="s">
        <v>0</v>
      </c>
    </row>
    <row r="7" spans="13:13" ht="16" x14ac:dyDescent="0.2">
      <c r="M7" s="26" t="s">
        <v>0</v>
      </c>
    </row>
    <row r="8" spans="13:13" ht="16" x14ac:dyDescent="0.2">
      <c r="M8" s="26" t="s">
        <v>0</v>
      </c>
    </row>
    <row r="9" spans="13:13" ht="16" x14ac:dyDescent="0.2">
      <c r="M9" s="26" t="s">
        <v>0</v>
      </c>
    </row>
    <row r="10" spans="13:13" ht="16" x14ac:dyDescent="0.2">
      <c r="M10" s="26" t="s">
        <v>0</v>
      </c>
    </row>
    <row r="11" spans="13:13" ht="16" x14ac:dyDescent="0.2">
      <c r="M11" s="26" t="s">
        <v>0</v>
      </c>
    </row>
    <row r="12" spans="13:13" ht="16" x14ac:dyDescent="0.2">
      <c r="M12" s="26" t="s">
        <v>0</v>
      </c>
    </row>
    <row r="13" spans="13:13" ht="16" x14ac:dyDescent="0.2">
      <c r="M13" s="26" t="s">
        <v>0</v>
      </c>
    </row>
    <row r="14" spans="13:13" ht="16" x14ac:dyDescent="0.2">
      <c r="M14" s="26" t="s">
        <v>0</v>
      </c>
    </row>
    <row r="15" spans="13:13" ht="16" x14ac:dyDescent="0.2">
      <c r="M15" s="26" t="s">
        <v>0</v>
      </c>
    </row>
    <row r="16" spans="13:13" ht="16" x14ac:dyDescent="0.2">
      <c r="M16" s="26" t="s">
        <v>0</v>
      </c>
    </row>
    <row r="17" spans="13:13" ht="16" x14ac:dyDescent="0.2">
      <c r="M17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L18"/>
  <sheetViews>
    <sheetView workbookViewId="0">
      <selection activeCell="L1" sqref="L1:L18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2" s="33" customFormat="1" ht="16" x14ac:dyDescent="0.2">
      <c r="A1" s="34" t="s">
        <v>40</v>
      </c>
      <c r="B1"/>
      <c r="D1" s="34" t="s">
        <v>44</v>
      </c>
      <c r="E1"/>
      <c r="G1" s="34" t="s">
        <v>43</v>
      </c>
      <c r="H1"/>
      <c r="I1" s="127" t="s">
        <v>238</v>
      </c>
      <c r="L1" s="26" t="s">
        <v>0</v>
      </c>
    </row>
    <row r="2" spans="1:12" ht="16" x14ac:dyDescent="0.2">
      <c r="B2"/>
      <c r="E2"/>
      <c r="H2"/>
      <c r="I2"/>
      <c r="L2" s="26" t="s">
        <v>0</v>
      </c>
    </row>
    <row r="3" spans="1:12" ht="16" x14ac:dyDescent="0.2">
      <c r="B3" s="32"/>
      <c r="E3" s="32"/>
      <c r="H3" s="31"/>
      <c r="I3"/>
      <c r="L3" s="26" t="s">
        <v>0</v>
      </c>
    </row>
    <row r="4" spans="1:12" ht="16" x14ac:dyDescent="0.15">
      <c r="B4" s="32"/>
      <c r="E4" s="32"/>
      <c r="H4" s="31"/>
      <c r="L4" s="26" t="s">
        <v>0</v>
      </c>
    </row>
    <row r="5" spans="1:12" ht="16" x14ac:dyDescent="0.15">
      <c r="B5" s="32"/>
      <c r="E5" s="32"/>
      <c r="H5" s="31"/>
      <c r="L5" s="26" t="s">
        <v>0</v>
      </c>
    </row>
    <row r="6" spans="1:12" ht="16" x14ac:dyDescent="0.15">
      <c r="H6" s="31"/>
      <c r="L6" s="26" t="s">
        <v>0</v>
      </c>
    </row>
    <row r="7" spans="1:12" ht="16" x14ac:dyDescent="0.15">
      <c r="H7" s="31"/>
      <c r="L7" s="26" t="s">
        <v>0</v>
      </c>
    </row>
    <row r="8" spans="1:12" ht="16" x14ac:dyDescent="0.15">
      <c r="H8" s="31"/>
      <c r="L8" s="26" t="s">
        <v>0</v>
      </c>
    </row>
    <row r="9" spans="1:12" ht="16" x14ac:dyDescent="0.15">
      <c r="L9" s="26" t="s">
        <v>0</v>
      </c>
    </row>
    <row r="10" spans="1:12" ht="16" x14ac:dyDescent="0.15">
      <c r="L10" s="26" t="s">
        <v>0</v>
      </c>
    </row>
    <row r="11" spans="1:12" ht="16" x14ac:dyDescent="0.15">
      <c r="L11" s="26" t="s">
        <v>0</v>
      </c>
    </row>
    <row r="12" spans="1:12" ht="16" x14ac:dyDescent="0.15">
      <c r="L12" s="26" t="s">
        <v>0</v>
      </c>
    </row>
    <row r="13" spans="1:12" ht="16" x14ac:dyDescent="0.15">
      <c r="L13" s="26" t="s">
        <v>0</v>
      </c>
    </row>
    <row r="14" spans="1:12" ht="16" x14ac:dyDescent="0.15">
      <c r="L14" s="26" t="s">
        <v>0</v>
      </c>
    </row>
    <row r="15" spans="1:12" ht="16" x14ac:dyDescent="0.15">
      <c r="L15" s="26" t="s">
        <v>0</v>
      </c>
    </row>
    <row r="16" spans="1:12" ht="16" x14ac:dyDescent="0.15">
      <c r="L16" s="26" t="s">
        <v>0</v>
      </c>
    </row>
    <row r="17" spans="12:12" ht="16" x14ac:dyDescent="0.2">
      <c r="L17" s="21" t="s">
        <v>7</v>
      </c>
    </row>
    <row r="18" spans="12:12" ht="15" x14ac:dyDescent="0.2">
      <c r="L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H67"/>
  <sheetViews>
    <sheetView zoomScale="179" zoomScaleNormal="80" workbookViewId="0">
      <selection activeCell="A3" sqref="A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62.33203125" style="35" customWidth="1"/>
    <col min="8" max="16384" width="11" style="35"/>
  </cols>
  <sheetData>
    <row r="1" spans="1:8" ht="32" x14ac:dyDescent="0.2">
      <c r="A1" s="39" t="s">
        <v>49</v>
      </c>
      <c r="B1" s="38" t="s">
        <v>33</v>
      </c>
      <c r="C1" s="38" t="s">
        <v>48</v>
      </c>
      <c r="D1" s="38" t="s">
        <v>47</v>
      </c>
      <c r="E1" s="38" t="s">
        <v>46</v>
      </c>
      <c r="F1" s="37" t="s">
        <v>34</v>
      </c>
      <c r="G1" t="s">
        <v>427</v>
      </c>
      <c r="H1"/>
    </row>
    <row r="2" spans="1:8" ht="32" x14ac:dyDescent="0.2">
      <c r="A2" s="35" t="s">
        <v>434</v>
      </c>
      <c r="B2" s="35" t="s">
        <v>433</v>
      </c>
      <c r="C2" s="35" t="s">
        <v>432</v>
      </c>
      <c r="D2" s="318" t="s">
        <v>431</v>
      </c>
      <c r="E2" s="318" t="s">
        <v>430</v>
      </c>
      <c r="F2" s="318" t="s">
        <v>429</v>
      </c>
      <c r="G2" t="s">
        <v>428</v>
      </c>
    </row>
    <row r="3" spans="1:8" x14ac:dyDescent="0.2">
      <c r="G3" t="s">
        <v>7</v>
      </c>
    </row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56" spans="1:7" ht="15.75" customHeight="1" x14ac:dyDescent="0.2"/>
    <row r="57" spans="1:7" ht="15.75" customHeight="1" x14ac:dyDescent="0.2"/>
    <row r="58" spans="1:7" s="36" customFormat="1" ht="15.75" customHeight="1" x14ac:dyDescent="0.2">
      <c r="A58" s="35"/>
      <c r="B58" s="35"/>
      <c r="C58" s="35"/>
      <c r="D58" s="35"/>
      <c r="E58" s="35"/>
      <c r="F58" s="35"/>
      <c r="G58" s="35"/>
    </row>
    <row r="59" spans="1:7" ht="15.75" customHeight="1" x14ac:dyDescent="0.2"/>
    <row r="60" spans="1:7" ht="15.75" customHeight="1" x14ac:dyDescent="0.2"/>
    <row r="61" spans="1:7" ht="15.75" customHeight="1" x14ac:dyDescent="0.2"/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="139" zoomScaleNormal="100" workbookViewId="0">
      <pane xSplit="3" ySplit="1" topLeftCell="G12" activePane="bottomRight" state="frozen"/>
      <selection activeCell="D1" sqref="D1"/>
      <selection pane="topRight" activeCell="G1" sqref="G1"/>
      <selection pane="bottomLeft" activeCell="D2" sqref="D2"/>
      <selection pane="bottomRight" activeCell="G13" sqref="G13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bestFit="1" customWidth="1"/>
    <col min="4" max="4" width="14.6640625" style="40" customWidth="1"/>
    <col min="5" max="5" width="6.5" style="40" customWidth="1"/>
    <col min="6" max="6" width="45" style="40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2" s="44" customFormat="1" ht="23.5" customHeight="1" x14ac:dyDescent="0.15">
      <c r="B1" s="347" t="s">
        <v>184</v>
      </c>
      <c r="C1" s="347"/>
      <c r="D1" s="347"/>
      <c r="E1" s="347"/>
      <c r="F1" s="347"/>
      <c r="G1" s="347"/>
      <c r="H1" s="347"/>
      <c r="I1" s="347"/>
    </row>
    <row r="2" spans="1:62" s="44" customFormat="1" ht="12.75" customHeight="1" x14ac:dyDescent="0.15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6" t="s">
        <v>181</v>
      </c>
      <c r="J2" s="86" t="s">
        <v>181</v>
      </c>
      <c r="K2" s="86" t="s">
        <v>181</v>
      </c>
      <c r="L2" s="86" t="s">
        <v>181</v>
      </c>
      <c r="M2" s="86" t="s">
        <v>181</v>
      </c>
      <c r="N2" s="86" t="s">
        <v>181</v>
      </c>
      <c r="O2" s="86" t="s">
        <v>181</v>
      </c>
      <c r="P2" s="86" t="s">
        <v>181</v>
      </c>
      <c r="Q2" s="86" t="s">
        <v>181</v>
      </c>
      <c r="R2" s="86" t="s">
        <v>181</v>
      </c>
      <c r="S2" s="86" t="s">
        <v>181</v>
      </c>
      <c r="T2" s="86" t="s">
        <v>181</v>
      </c>
      <c r="U2" s="86" t="s">
        <v>181</v>
      </c>
      <c r="V2" s="86" t="s">
        <v>181</v>
      </c>
      <c r="W2" s="346" t="s">
        <v>180</v>
      </c>
      <c r="X2" s="87" t="s">
        <v>45</v>
      </c>
      <c r="Y2" s="87" t="s">
        <v>45</v>
      </c>
      <c r="Z2" s="87" t="s">
        <v>45</v>
      </c>
      <c r="AA2" s="87" t="s">
        <v>45</v>
      </c>
      <c r="AB2" s="346" t="s">
        <v>179</v>
      </c>
      <c r="AC2" s="84" t="s">
        <v>178</v>
      </c>
      <c r="AD2" s="84" t="s">
        <v>178</v>
      </c>
      <c r="AE2" s="84" t="s">
        <v>178</v>
      </c>
      <c r="AF2" s="84" t="s">
        <v>178</v>
      </c>
      <c r="AG2" s="84" t="s">
        <v>178</v>
      </c>
      <c r="AH2" s="84" t="s">
        <v>178</v>
      </c>
      <c r="AI2" s="84" t="s">
        <v>178</v>
      </c>
      <c r="AJ2" s="84" t="s">
        <v>178</v>
      </c>
      <c r="AK2" s="84" t="s">
        <v>178</v>
      </c>
      <c r="AL2" s="346" t="s">
        <v>177</v>
      </c>
      <c r="AM2" s="84" t="s">
        <v>176</v>
      </c>
      <c r="AN2" s="84" t="s">
        <v>176</v>
      </c>
      <c r="AO2" s="84" t="s">
        <v>176</v>
      </c>
      <c r="AP2" s="84" t="s">
        <v>176</v>
      </c>
      <c r="AQ2" s="84" t="s">
        <v>176</v>
      </c>
      <c r="AR2" s="84" t="s">
        <v>176</v>
      </c>
      <c r="AS2" s="84" t="s">
        <v>176</v>
      </c>
      <c r="AT2" s="84" t="s">
        <v>176</v>
      </c>
      <c r="AU2" s="84" t="s">
        <v>176</v>
      </c>
      <c r="AV2" s="84" t="s">
        <v>176</v>
      </c>
      <c r="AW2" s="84" t="s">
        <v>176</v>
      </c>
      <c r="AX2" s="84" t="s">
        <v>176</v>
      </c>
      <c r="AY2" s="84" t="s">
        <v>176</v>
      </c>
      <c r="AZ2" s="346" t="s">
        <v>175</v>
      </c>
      <c r="BA2" s="83" t="s">
        <v>174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346" t="s">
        <v>173</v>
      </c>
    </row>
    <row r="3" spans="1:62" s="44" customFormat="1" ht="26" hidden="1" customHeight="1" x14ac:dyDescent="0.15">
      <c r="A3" s="90"/>
      <c r="B3" s="90"/>
      <c r="C3" s="90"/>
      <c r="D3" s="90"/>
      <c r="E3" s="90"/>
      <c r="F3" s="90"/>
      <c r="G3" s="87" t="s">
        <v>172</v>
      </c>
      <c r="H3" s="346"/>
      <c r="I3" s="86" t="s">
        <v>171</v>
      </c>
      <c r="J3" s="86" t="s">
        <v>170</v>
      </c>
      <c r="K3" s="86" t="s">
        <v>169</v>
      </c>
      <c r="L3" s="86" t="s">
        <v>168</v>
      </c>
      <c r="M3" s="86" t="s">
        <v>167</v>
      </c>
      <c r="N3" s="86" t="s">
        <v>166</v>
      </c>
      <c r="O3" s="86" t="s">
        <v>165</v>
      </c>
      <c r="P3" s="86" t="s">
        <v>164</v>
      </c>
      <c r="Q3" s="86" t="s">
        <v>163</v>
      </c>
      <c r="R3" s="86"/>
      <c r="S3" s="86" t="s">
        <v>162</v>
      </c>
      <c r="T3" s="86" t="s">
        <v>161</v>
      </c>
      <c r="U3" s="86" t="s">
        <v>160</v>
      </c>
      <c r="V3" s="86" t="s">
        <v>159</v>
      </c>
      <c r="W3" s="346"/>
      <c r="X3" s="82"/>
      <c r="Y3" s="87" t="s">
        <v>158</v>
      </c>
      <c r="Z3" s="87" t="s">
        <v>157</v>
      </c>
      <c r="AA3" s="87" t="s">
        <v>156</v>
      </c>
      <c r="AB3" s="346"/>
      <c r="AC3" s="84" t="s">
        <v>155</v>
      </c>
      <c r="AD3" s="84" t="s">
        <v>154</v>
      </c>
      <c r="AE3" s="84" t="s">
        <v>153</v>
      </c>
      <c r="AF3" s="84" t="s">
        <v>152</v>
      </c>
      <c r="AG3" s="84" t="s">
        <v>151</v>
      </c>
      <c r="AH3" s="84" t="s">
        <v>150</v>
      </c>
      <c r="AI3" s="84" t="s">
        <v>42</v>
      </c>
      <c r="AJ3" s="84" t="s">
        <v>41</v>
      </c>
      <c r="AK3" s="84" t="s">
        <v>149</v>
      </c>
      <c r="AL3" s="346"/>
      <c r="AM3" s="84" t="s">
        <v>148</v>
      </c>
      <c r="AN3" s="84" t="s">
        <v>147</v>
      </c>
      <c r="AO3" s="84" t="s">
        <v>146</v>
      </c>
      <c r="AP3" s="84" t="s">
        <v>145</v>
      </c>
      <c r="AQ3" s="84" t="s">
        <v>144</v>
      </c>
      <c r="AR3" s="84" t="s">
        <v>143</v>
      </c>
      <c r="AS3" s="84" t="s">
        <v>142</v>
      </c>
      <c r="AT3" s="84" t="s">
        <v>141</v>
      </c>
      <c r="AU3" s="84" t="s">
        <v>140</v>
      </c>
      <c r="AV3" s="84" t="s">
        <v>139</v>
      </c>
      <c r="AW3" s="84" t="s">
        <v>138</v>
      </c>
      <c r="AX3" s="84" t="s">
        <v>137</v>
      </c>
      <c r="AY3" s="84" t="s">
        <v>136</v>
      </c>
      <c r="AZ3" s="346"/>
      <c r="BA3" s="83" t="s">
        <v>135</v>
      </c>
      <c r="BB3" s="83" t="s">
        <v>134</v>
      </c>
      <c r="BC3" s="83" t="s">
        <v>133</v>
      </c>
      <c r="BD3" s="83" t="s">
        <v>132</v>
      </c>
      <c r="BE3" s="83" t="s">
        <v>131</v>
      </c>
      <c r="BF3" s="83" t="s">
        <v>130</v>
      </c>
      <c r="BG3" s="83" t="s">
        <v>129</v>
      </c>
      <c r="BH3" s="83" t="s">
        <v>128</v>
      </c>
      <c r="BI3" s="83" t="s">
        <v>127</v>
      </c>
      <c r="BJ3" s="346"/>
    </row>
    <row r="4" spans="1:62" s="44" customFormat="1" ht="60" x14ac:dyDescent="0.15">
      <c r="A4" s="89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6" t="s">
        <v>121</v>
      </c>
      <c r="J4" s="86" t="s">
        <v>120</v>
      </c>
      <c r="K4" s="86" t="s">
        <v>119</v>
      </c>
      <c r="L4" s="86" t="s">
        <v>118</v>
      </c>
      <c r="M4" s="86" t="s">
        <v>117</v>
      </c>
      <c r="N4" s="86" t="s">
        <v>116</v>
      </c>
      <c r="O4" s="86" t="s">
        <v>115</v>
      </c>
      <c r="P4" s="86" t="s">
        <v>114</v>
      </c>
      <c r="Q4" s="86" t="s">
        <v>113</v>
      </c>
      <c r="R4" s="86" t="s">
        <v>112</v>
      </c>
      <c r="S4" s="86" t="s">
        <v>111</v>
      </c>
      <c r="T4" s="86" t="s">
        <v>110</v>
      </c>
      <c r="U4" s="86" t="s">
        <v>109</v>
      </c>
      <c r="V4" s="86" t="s">
        <v>108</v>
      </c>
      <c r="W4" s="346"/>
      <c r="X4" s="85" t="s">
        <v>107</v>
      </c>
      <c r="Y4" s="85" t="s">
        <v>106</v>
      </c>
      <c r="Z4" s="85" t="s">
        <v>105</v>
      </c>
      <c r="AA4" s="85" t="s">
        <v>104</v>
      </c>
      <c r="AB4" s="346"/>
      <c r="AC4" s="84" t="s">
        <v>103</v>
      </c>
      <c r="AD4" s="84" t="s">
        <v>102</v>
      </c>
      <c r="AE4" s="84" t="s">
        <v>101</v>
      </c>
      <c r="AF4" s="84" t="s">
        <v>100</v>
      </c>
      <c r="AG4" s="84" t="s">
        <v>99</v>
      </c>
      <c r="AH4" s="84" t="s">
        <v>98</v>
      </c>
      <c r="AI4" s="84" t="s">
        <v>42</v>
      </c>
      <c r="AJ4" s="84" t="s">
        <v>97</v>
      </c>
      <c r="AK4" s="84" t="s">
        <v>96</v>
      </c>
      <c r="AL4" s="346"/>
      <c r="AM4" s="84" t="s">
        <v>95</v>
      </c>
      <c r="AN4" s="84" t="s">
        <v>94</v>
      </c>
      <c r="AO4" s="84" t="s">
        <v>93</v>
      </c>
      <c r="AP4" s="84" t="s">
        <v>92</v>
      </c>
      <c r="AQ4" s="84" t="s">
        <v>91</v>
      </c>
      <c r="AR4" s="84" t="s">
        <v>90</v>
      </c>
      <c r="AS4" s="84" t="s">
        <v>89</v>
      </c>
      <c r="AT4" s="84" t="s">
        <v>88</v>
      </c>
      <c r="AU4" s="84" t="s">
        <v>87</v>
      </c>
      <c r="AV4" s="84" t="s">
        <v>86</v>
      </c>
      <c r="AW4" s="84" t="s">
        <v>85</v>
      </c>
      <c r="AX4" s="84" t="s">
        <v>84</v>
      </c>
      <c r="AY4" s="84" t="s">
        <v>83</v>
      </c>
      <c r="AZ4" s="346"/>
      <c r="BA4" s="83" t="s">
        <v>82</v>
      </c>
      <c r="BB4" s="83" t="s">
        <v>81</v>
      </c>
      <c r="BC4" s="83" t="s">
        <v>80</v>
      </c>
      <c r="BD4" s="83" t="s">
        <v>79</v>
      </c>
      <c r="BE4" s="83" t="s">
        <v>78</v>
      </c>
      <c r="BF4" s="83" t="s">
        <v>77</v>
      </c>
      <c r="BG4" s="83" t="s">
        <v>76</v>
      </c>
      <c r="BH4" s="83" t="s">
        <v>75</v>
      </c>
      <c r="BI4" s="83" t="s">
        <v>74</v>
      </c>
      <c r="BJ4" s="346"/>
    </row>
    <row r="5" spans="1:62" s="44" customFormat="1" ht="11" customHeight="1" x14ac:dyDescent="0.15">
      <c r="A5" s="54" t="s">
        <v>53</v>
      </c>
      <c r="B5" s="64"/>
      <c r="C5" s="64"/>
      <c r="D5" s="81" t="str">
        <f>IF(ETPT_TJ_DDG!$D$5="","",ETPT_TJ_DDG!$D$5)</f>
        <v/>
      </c>
      <c r="E5" s="64" t="s">
        <v>73</v>
      </c>
      <c r="F5" s="64" t="s">
        <v>72</v>
      </c>
      <c r="G5" s="113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62">
        <f t="shared" ref="H5:H15" si="0">SUM(G5)</f>
        <v>0</v>
      </c>
      <c r="I5" s="61" t="e">
        <f>SUMIFS( INDEX( 'ETPT Format DDG'!$A:$FF,,MATCH("11.8. FONCTIONNAIRES AFFECTÉS AUX ACTIVITÉS CIVILES ET COMMERCIALES DU PARQUET",'ETPT Format DDG'!2:2,0)),'ETPT Format DDG'!$C:$C,$D$5,'ETPT Format DDG'!$FA:$FA,"Fonctionnaire A-B-CBUR")</f>
        <v>#N/A</v>
      </c>
      <c r="J5" s="78"/>
      <c r="K5" s="78"/>
      <c r="L5" s="78"/>
      <c r="M5" s="78"/>
      <c r="N5" s="78"/>
      <c r="O5" s="78"/>
      <c r="P5" s="61" t="e">
        <f>SUMIFS( INDEX( 'ETPT Format DDG'!$A:$FF,,MATCH("3.2. PROTECTION DES MAJEURS",'ETPT Format DDG'!2:2,0)),'ETPT Format DDG'!$C:$C,$D$5,'ETPT Format DDG'!$FA:$FA,"Fonctionnaire A-B-CBUR")</f>
        <v>#N/A</v>
      </c>
      <c r="Q5" s="61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R5" s="61" t="e">
        <f>SUMIFS( INDEX( 'ETPT Format DDG'!$A:$FF,,MATCH("5. TOTAL JLD CIVIL",'ETPT Format DDG'!2:2,0)),'ETPT Format DDG'!$C:$C,$D$5,'ETPT Format DDG'!$FA:$FA,"Fonctionnaire A-B-CBUR")
+SUMIFS( INDEX( 'ETPT Format DDG'!$A:$FF,,MATCH("6.1. ACTIVITÉ CIVILE",'ETPT Format DDG'!2:2,0)),'ETPT Format DDG'!$C:$C,$D$5,'ETPT Format DDG'!$FA:$FA,"Fonctionnaire A-B-CBUR")</f>
        <v>#N/A</v>
      </c>
      <c r="S5" s="61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T5" s="61" t="e">
        <f>SUMIFS( INDEX( 'ETPT Format DDG'!$A:$FF,,MATCH("4.0. CONTENTIEUX GÉNÉRAL &lt;10.000€",'ETPT Format DDG'!2:2,0)),'ETPT Format DDG'!$C:$C,$D$5,'ETPT Format DDG'!$FA:$FA,"Fonctionnaire A-B-CBUR")</f>
        <v>#N/A</v>
      </c>
      <c r="U5" s="61" t="e">
        <f>SUMIFS( INDEX( 'ETPT Format DDG'!$A:$FF,,MATCH("1. TOTAL CONTENTIEUX SOCIAL",'ETPT Format DDG'!2:2,0)),'ETPT Format DDG'!$C:$C,$D$5,'ETPT Format DDG'!$FA:$FA,"Fonctionnaire A-B-CBUR")</f>
        <v>#N/A</v>
      </c>
      <c r="V5" s="61" t="e">
        <f>SUMIFS( INDEX( 'ETPT Format DDG'!$A:$FF,,MATCH("Temps ventilés sur la période (contentieux civils et sociaux)",'ETPT Format DDG'!2:2,0)),'ETPT Format DDG'!$C:$C,$D$5,'ETPT Format DDG'!$FA:$FA,"Fonctionnaire A-B-CBUR")-SUM(K5:U5)</f>
        <v>#N/A</v>
      </c>
      <c r="W5" s="49" t="e">
        <f>SUM(I5:V5)</f>
        <v>#N/A</v>
      </c>
      <c r="X5" s="67">
        <f>SUMIFS( INDEX( 'ETPT Format DDG'!$A:$FF,,MATCH("Temps ventilés sur la période (contentieux civils et sociaux)",'ETPT Format DDG'!2:2,0)),'ETPT Format DDG'!$C:$C,$D$5,'ETPT Format DDG'!$FA:$FA,"CONT A JP Autour du Juge")</f>
        <v>0</v>
      </c>
      <c r="Y5" s="80">
        <f>SUMIFS( INDEX( 'ETPT Format DDG'!$A:$FF,,MATCH("Temps ventilés sur la période (contentieux civils et sociaux)",'ETPT Format DDG'!2:2,0)),'ETPT Format DDG'!$C:$C,$D$5,'ETPT Format DDG'!$FA:$FA,"JURISTE AS Parquet")</f>
        <v>0</v>
      </c>
      <c r="Z5" s="80">
        <f>SUMIFS( INDEX( 'ETPT Format DDG'!$A:$FF,,MATCH("Temps ventilés sur la période (contentieux civils et sociaux)",'ETPT Format DDG'!2:2,0)),'ETPT Format DDG'!$C:$C,$D$5,'ETPT Format DDG'!$FA:$FA,"JURISTE AS Pôle social")</f>
        <v>0</v>
      </c>
      <c r="AA5" s="79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AB5" s="49">
        <f t="shared" ref="AB5:AB15" si="1">SUM(X5:AA5)</f>
        <v>0</v>
      </c>
      <c r="AC5" s="58" t="e">
        <f>SUMIFS( INDEX( 'ETPT Format DDG'!$A:$FF,,MATCH("3.2. PROTECTION DES MAJEURS",'ETPT Format DDG'!2:2,0)),'ETPT Format DDG'!$C:$C,$D$5,'ETPT Format DDG'!$FA:$FA,"Magistrat SIEGE NS")+
SUMIFS( INDEX( 'ETPT Format DDG'!$A:$FF,,MATCH("3.2. PROTECTION DES MAJEURS",'ETPT Format DDG'!2:2,0)),'ETPT Format DDG'!$C:$C,$D$5,'ETPT Format DDG'!$FA:$FA,"Magistrat SIEGE S")</f>
        <v>#N/A</v>
      </c>
      <c r="AD5" s="56" t="e">
        <f>SUMIFS( INDEX( 'ETPT Format DDG'!$A:$FF,,MATCH("3. TOTAL CONTENTIEUX DE LA PROTECTION",'ETPT Format DDG'!2:2,0)),'ETPT Format DDG'!$C:$C,$D$5,'ETPT Format DDG'!$FA:$FA,"Magistrat SIEGE NS")+
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S")</f>
        <v>#N/A</v>
      </c>
      <c r="AE5" s="75"/>
      <c r="AF5" s="75"/>
      <c r="AG5" s="75"/>
      <c r="AH5" s="75"/>
      <c r="AI5" s="75"/>
      <c r="AJ5" s="56" t="e">
        <f>SUMIFS( INDEX( 'ETPT Format DDG'!$A:$FF,,MATCH("6.1. ACTIVITÉ CIVILE",'ETPT Format DDG'!2:2,0)),'ETPT Format DDG'!$FA:$FA,"Magistrat SIEGE NS")+
SUMIFS( INDEX( 'ETPT Format DDG'!$A:$FF,,MATCH("6.1. ACTIVITÉ CIVILE",'ETPT Format DDG'!2:2,0)),'ETPT Format DDG'!$FA:$FA,"Magistrat SIEGE S")</f>
        <v>#N/A</v>
      </c>
      <c r="AK5" s="56" t="e">
        <f>SUMIFS( INDEX( 'ETPT Format DDG'!$A:$FF,,MATCH("5. TOTAL JLD CIVIL",'ETPT Format DDG'!2:2,0)),'ETPT Format DDG'!$FA:$FA,"Magistrat SIEGE NS")+
SUMIFS( INDEX( 'ETPT Format DDG'!$A:$FF,,MATCH("5. TOTAL JLD CIVIL",'ETPT Format DDG'!2:2,0)),'ETPT Format DDG'!$FA:$FA,"Magistrat SIEGE S")</f>
        <v>#N/A</v>
      </c>
      <c r="AL5" s="49" t="e">
        <f t="shared" ref="AL5:AL15" si="2">SUM(AC5:AK5)</f>
        <v>#N/A</v>
      </c>
      <c r="AM5" s="75"/>
      <c r="AN5" s="75"/>
      <c r="AO5" s="75"/>
      <c r="AP5" s="75"/>
      <c r="AQ5" s="75"/>
      <c r="AR5" s="75"/>
      <c r="AS5" s="58" t="e">
        <f>SUMIFS( INDEX( 'ETPT Format DDG'!$A:$FF,,MATCH("1.1. DÉPARTAGE PRUD'HOMAL",'ETPT Format DDG'!2:2,0)),'ETPT Format DDG'!$C:$C,$D$5,'ETPT Format DDG'!$FA:$FA,"Magistrat SIEGE NS")</f>
        <v>#N/A</v>
      </c>
      <c r="AT5" s="56" t="e">
        <f>SUMIFS( INDEX( 'ETPT Format DDG'!$A:$FF,,MATCH("4.0. CONTENTIEUX GÉNÉRAL &lt;10.000€",'ETPT Format DDG'!2:2,0)),'ETPT Format DDG'!$C:$C,$D$5,'ETPT Format DDG'!$FA:$FA,"Magistrat SIEGE NS")</f>
        <v>#N/A</v>
      </c>
      <c r="AU5" s="56" t="e">
        <f>SUMIFS( INDEX( 'ETPT Format DDG'!$A:$FF,,MATCH("3.43. INJONCTIONS DE PAYER",'ETPT Format DDG'!2:2,0)),'ETPT Format DDG'!$C:$C,$D$5,'ETPT Format DDG'!$FA:$FA,"Magistrat SIEGE NS")+
SUMIFS( INDEX( 'ETPT Format DDG'!$A:$FF,,MATCH("3.44. SAISIE DES RÉMUNÉRATIONS",'ETPT Format DDG'!2:2,0)),'ETPT Format DDG'!$C:$C,$D$5,'ETPT Format DDG'!$FA:$FA,"Magistrat SIEGE NS")</f>
        <v>#N/A</v>
      </c>
      <c r="AV5" s="56" t="e">
        <f>SUMIFS( INDEX( 'ETPT Format DDG'!$A:$FF,,MATCH("1. TOTAL CONTENTIEUX SOCIAL",'ETPT Format DDG'!2:2,0)),'ETPT Format DDG'!$C:$C,$D$5,'ETPT Format DDG'!$FA:$FA,"Magistrat SIEGE NS")-
SUMIFS( INDEX( 'ETPT Format DDG'!$A:$FF,,MATCH("1.1. DÉPARTAGE PRUD'HOMAL",'ETPT Format DDG'!2:2,0)),'ETPT Format DDG'!$C:$C,$D$5,'ETPT Format DDG'!$FA:$FA,"Magistrat SIEGE NS")</f>
        <v>#N/A</v>
      </c>
      <c r="AW5" s="165" t="e">
        <f>SUMIFS( INDEX( 'ETPT Format DDG'!$A:$FF,,MATCH("2. TOTAL CONTENTIEUX JAF",'ETPT Format DDG'!2:2,0)),'ETPT Format DDG'!$FA:$FA,"Magistrat SIEGE NS")</f>
        <v>#N/A</v>
      </c>
      <c r="AX5" s="58" t="e">
        <f>SUMIFS( INDEX( 'ETPT Format DDG'!$A:$FF,,MATCH("Temps ventilés sur la période (contentieux civils et sociaux)",'ETPT Format DDG'!2:2,0)),'ETPT Format DDG'!$C:$C,$D$5,'ETPT Format DDG'!$FA:$FA,"Magistrat SIEGE S")-
SUMIFS( INDEX( 'ETPT Format DDG'!$A:$FF,,MATCH("3. TOTAL CONTENTIEUX DE LA PROTECTION",'ETPT Format DDG'!2:2,0)),'ETPT Format DDG'!$C:$C,$D$5,'ETPT Format DDG'!$FA:$FA,"Magistrat SIEGE S")+
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S")-
SUMIFS( INDEX( 'ETPT Format DDG'!$A:$FF,,MATCH("6.1. ACTIVITÉ CIVILE",'ETPT Format DDG'!2:2,0)),'ETPT Format DDG'!$C:$C,$D$5,'ETPT Format DDG'!$FA:$FA,"Magistrat SIEGE S")-
SUMIFS( INDEX( 'ETPT Format DDG'!$A:$FF,,MATCH("5. TOTAL JLD CIVIL",'ETPT Format DDG'!2:2,0)),'ETPT Format DDG'!$C:$C,$D$5,'ETPT Format DDG'!$FA:$FA,"Magistrat SIEGE S")</f>
        <v>#N/A</v>
      </c>
      <c r="AY5" s="58" t="e">
        <f>SUMIFS( INDEX( 'ETPT Format DDG'!$A:$FF,,MATCH("Temps ventilés sur la période (contentieux civils et sociaux)",'ETPT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(SUMIFS( INDEX( 'ETPT Format DDG'!$A:$FF,,MATCH("3. TOTAL CONTENTIEUX DE LA PROTECTION",'ETPT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NS"))-
SUMIFS( INDEX( 'ETPT Format DDG'!$A:$FF,,MATCH("6.1. ACTIVITÉ CIVILE",'ETPT Format DDG'!2:2,0)),'ETPT Format DDG'!$C:$C,$D$5,'ETPT Format DDG'!$FA:$FA,"Magistrat SIEGE NS")-
SUMIFS( INDEX( 'ETPT Format DDG'!$A:$FF,,MATCH("5. TOTAL JLD CIVIL",'ETPT Format DDG'!2:2,0)),'ETPT Format DDG'!$C:$C,$D$5,'ETPT Format DDG'!$FA:$FA,"Magistrat SIEGE NS")-
SUM(AS5:AW5)</f>
        <v>#N/A</v>
      </c>
      <c r="AZ5" s="49" t="e">
        <f t="shared" ref="AZ5:AZ15" si="3">SUM(AM5:AY5)</f>
        <v>#N/A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4">SUM(BA5:BI5)</f>
        <v>0</v>
      </c>
    </row>
    <row r="6" spans="1:62" s="44" customFormat="1" ht="12" x14ac:dyDescent="0.15">
      <c r="A6" s="54" t="s">
        <v>53</v>
      </c>
      <c r="B6" s="64"/>
      <c r="C6" s="64"/>
      <c r="D6" s="65" t="str">
        <f t="shared" ref="D6:D15" si="5">$D$5</f>
        <v/>
      </c>
      <c r="E6" s="64" t="s">
        <v>71</v>
      </c>
      <c r="F6" s="64" t="s">
        <v>70</v>
      </c>
      <c r="G6" s="69">
        <f>SUMIFS( INDEX( 'ETPT Format DDG'!$A:$FF,,MATCH("Temps ventilés sur la période (affaires pénales)",'ETPT Format DDG'!2:2,0)),'ETPT Format DDG'!$FA:$FA,"Fonctionnaire CTECH")</f>
        <v>0</v>
      </c>
      <c r="H6" s="62">
        <f t="shared" si="0"/>
        <v>0</v>
      </c>
      <c r="I6" s="78"/>
      <c r="J6" s="61" t="e">
        <f>SUMIFS( INDEX( 'ETPT Format DDG'!$A:$FF,,MATCH("11.9. FONCTIONNAIRES AFFECTÉS À L'EXÉCUTION DES PEINES",'ETPT Format DDG'!2:2,0)),'ETPT Format DDG'!$FA:$FA,"Fonctionnaire A-B-CBUR")</f>
        <v>#N/A</v>
      </c>
      <c r="K6" s="61" t="e">
        <f>SUMIFS( INDEX( 'ETPT Format DDG'!$A:$FF,,MATCH("7.5. COUR D'ASSISES HORS JIRS",'ETPT Format DDG'!2:2,0)),'ETPT Format DDG'!$FA:$FA,"Fonctionnaire A-B-CBUR")+
SUMIFS( INDEX( 'ETPT Format DDG'!$A:$FF,,MATCH("7.51. COUR D'ASSISES JIRS",'ETPT Format DDG'!2:2,0)),'ETPT Format DDG'!$FA:$FA,"Fonctionnaire A-B-CBUR")</f>
        <v>#N/A</v>
      </c>
      <c r="L6" s="61" t="e">
        <f>SUMIFS( INDEX( 'ETPT Format DDG'!$A:$FF,,MATCH("7.52. COUR CRIMINELLE",'ETPT Format DDG'!2:2,0)),'ETPT Format DDG'!$FA:$FA,"Fonctionnaire A-B-CBUR")</f>
        <v>#N/A</v>
      </c>
      <c r="M6" s="61" t="e">
        <f>SUMIFS( INDEX( 'ETPT Format DDG'!$A:$FF,,MATCH("8.2. JIRS ÉCO-FI",'ETPT Format DDG'!2:2,0)),'ETPT Format DDG'!$FA:$FA,"Fonctionnaire A-B-CBUR")</f>
        <v>#N/A</v>
      </c>
      <c r="N6" s="61" t="e">
        <f>SUMIFS( INDEX( 'ETPT Format DDG'!$A:$FF,,MATCH("8.3. JIRS CRIM-ORG",'ETPT Format DDG'!2:2,0)),'ETPT Format DDG'!$FA:$FA,"Fonctionnaire A-B-CBUR")</f>
        <v>#N/A</v>
      </c>
      <c r="O6" s="61" t="e">
        <f>SUMIFS( INDEX( 'ETPT Format DDG'!$A:$FF,,MATCH("8.4. AUTRES SECTIONS SPÉCIALISÉES",'ETPT Format DDG'!2:2,0)),'ETPT Format DDG'!$FA:$FA,"Fonctionnaire A-B-CBUR")</f>
        <v>#N/A</v>
      </c>
      <c r="P6" s="78"/>
      <c r="Q6" s="78"/>
      <c r="R6" s="77" t="e">
        <f>SUMIFS( INDEX( 'ETPT Format DDG'!$A:$FF,,MATCH("6.2. ACTIVITÉ PÉNALE",'ETPT Format DDG'!2:2,0)),'ETPT Format DDG'!$FA:$FA,"Fonctionnaire A-B-CBUR")+
(SUMIFS( INDEX( 'ETPT Format DDG'!$A:$FF,,MATCH("8. TOTAL JUGES D'INSTRUCTION",'ETPT Format DDG'!2:2,0)),'ETPT Format DDG'!$FA:$FA,"Fonctionnaire A-B-CBUR")-
SUMIFS( INDEX( 'ETPT Format DDG'!$A:$FF,,MATCH("8.2. JIRS ÉCO-FI",'ETPT Format DDG'!2:2,0)),'ETPT Format DDG'!$FA:$FA,"Fonctionnaire A-B-CBUR")-
SUMIFS( INDEX( 'ETPT Format DDG'!$A:$FF,,MATCH("8.3. JIRS CRIM-ORG",'ETPT Format DDG'!2:2,0)),'ETPT Format DDG'!$FA:$FA,"Fonctionnaire A-B-CBUR")-
SUMIFS( INDEX( 'ETPT Format DDG'!$A:$FF,,MATCH("8.4. AUTRES SECTIONS SPÉCIALISÉES",'ETPT Format DDG'!2:2,0)),'ETPT Format DDG'!$FA:$FA,"Fonctionnaire A-B-CBUR"))+
SUMIFS( INDEX( 'ETPT Format DDG'!$A:$FF,,MATCH("9. TOTAL JAP",'ETPT Format DDG'!2:2,0)),'ETPT Format DDG'!$FA:$FA,"Fonctionnaire A-B-CBUR")+
SUMIFS( INDEX( 'ETPT Format DDG'!$A:$FF,,MATCH("10. TOTAL JLD PÉNAL",'ETPT Format DDG'!2:2,0)),'ETPT Format DDG'!$FA:$FA,"Fonctionnaire A-B-CBUR")</f>
        <v>#N/A</v>
      </c>
      <c r="S6" s="76"/>
      <c r="T6" s="76"/>
      <c r="U6" s="76"/>
      <c r="V6" s="61" t="e">
        <f>SUMIFS( INDEX( 'ETPT Format DDG'!$A:$FF,,MATCH("Temps ventilés sur la période (affaires pénales)",'ETPT Format DDG'!2:2,0)),'ETPT Format DDG'!$FA:$FA,"Fonctionnaire A-B-CBUR")+
SUMIFS( INDEX( 'ETPT Format DDG'!$A:$FF,,MATCH("11.10. AUTRES FONCTIONNAIRES AFFECTÉS AU PARQUET",'ETPT Format DDG'!2:2,0)),'ETPT Format DDG'!$FA:$FA,"Fonctionnaire A-B-CBUR")-
SUM(K6:U6)</f>
        <v>#N/A</v>
      </c>
      <c r="W6" s="49" t="e">
        <f t="shared" ref="W6:W15" si="6">SUM(I6:V6)</f>
        <v>#N/A</v>
      </c>
      <c r="X6" s="67" t="e">
        <f>SUMIFS( INDEX( 'ETPT Format DDG'!$A:$FF,,MATCH("Temps ventilés sur la période (affaires pénales)",'ETPT Format DDG'!2:2,0)),'ETPT Format DDG'!$FA:$FA,"CONT A JP Autour du Juge")+
SUMIFS( INDEX( 'ETPT Format DDG'!$A:$FF,,MATCH("11.10. AUTRES FONCTIONNAIRES AFFECTÉS AU PARQUET",'ETPT Format DDG'!2:2,0)),'ETPT Format DDG'!$FA:$FA,"CONT A JP Autour du Juge")</f>
        <v>#N/A</v>
      </c>
      <c r="Y6" s="67" t="e">
        <f>SUMIFS( INDEX( 'ETPT Format DDG'!$A:$FF,,MATCH("Temps ventilés sur la période (affaires pénales)",'ETPT Format DDG'!2:2,0)),'ETPT Format DDG'!$FA:$FA,"JURISTE AS Parquet")+
SUMIFS( INDEX( 'ETPT Format DDG'!$A:$FF,,MATCH("11.10. AUTRES FONCTIONNAIRES AFFECTÉS AU PARQUET",'ETPT Format DDG'!2:2,0)),'ETPT Format DDG'!$FA:$FA,"JURISTE AS Parquet")</f>
        <v>#N/A</v>
      </c>
      <c r="Z6" s="67" t="e">
        <f>SUMIFS( INDEX( 'ETPT Format DDG'!$A:$FF,,MATCH("Temps ventilés sur la période (affaires pénales)",'ETPT Format DDG'!2:2,0)),'ETPT Format DDG'!$FA:$FA,"JURISTE AS Pôle social")+
SUMIFS( INDEX( 'ETPT Format DDG'!$A:$FF,,MATCH("11.10. AUTRES FONCTIONNAIRES AFFECTÉS AU PARQUET",'ETPT Format DDG'!2:2,0)),'ETPT Format DDG'!$FA:$FA,"JURISTE AS Pôle social")</f>
        <v>#N/A</v>
      </c>
      <c r="AA6" s="67" t="e">
        <f>SUMIFS( INDEX( 'ETPT Format DDG'!$A:$FF,,MATCH("Temps ventilés sur la période (affaires pénales)",'ETPT Format DDG'!2:2,0)),'ETPT Format DDG'!$FA:$FA,"JURISTE AS siège Autres")+
SUMIFS( INDEX( 'ETPT Format DDG'!$A:$FF,,MATCH("11.10. AUTRES FONCTIONNAIRES AFFECTÉS AU PARQUET",'ETPT Format DDG'!2:2,0)),'ETPT Format DDG'!$FA:$FA,"JURISTE AS siège Autres")</f>
        <v>#N/A</v>
      </c>
      <c r="AB6" s="49" t="e">
        <f t="shared" si="1"/>
        <v>#N/A</v>
      </c>
      <c r="AC6" s="75"/>
      <c r="AD6" s="75"/>
      <c r="AE6" s="56" t="e">
        <f>SUMIFS( INDEX( 'ETPT Format DDG'!$A:$FF,,MATCH("8.1. SERVICE GÉNÉRAL",'ETPT Format DDG'!2:2,0)),'ETPT Format DDG'!$FA:$FA,"Magistrat SIEGE NS")+
SUMIFS( INDEX( 'ETPT Format DDG'!$A:$FF,,MATCH("8.1. SERVICE GÉNÉRAL",'ETPT Format DDG'!2:2,0)),'ETPT Format DDG'!$FA:$FA,"Magistrat SIEGE S")</f>
        <v>#N/A</v>
      </c>
      <c r="AF6" s="56" t="e">
        <f>SUMIFS( INDEX( 'ETPT Format DDG'!$A:$FF,,MATCH("8.2. JIRS ÉCO-FI",'ETPT Format DDG'!2:2,0)),'ETPT Format DDG'!$FA:$FA,"Magistrat SIEGE NS")+
SUMIFS( INDEX( 'ETPT Format DDG'!$A:$FF,,MATCH("8.2. JIRS ÉCO-FI",'ETPT Format DDG'!2:2,0)),'ETPT Format DDG'!$FA:$FA,"Magistrat SIEGE S")</f>
        <v>#N/A</v>
      </c>
      <c r="AG6" s="56" t="e">
        <f>SUMIFS( INDEX( 'ETPT Format DDG'!$A:$FF,,MATCH("8.3. JIRS CRIM-ORG",'ETPT Format DDG'!2:2,0)),'ETPT Format DDG'!$FA:$FA,"Magistrat SIEGE NS")+
SUMIFS( INDEX( 'ETPT Format DDG'!$A:$FF,,MATCH("8.3. JIRS CRIM-ORG",'ETPT Format DDG'!2:2,0)),'ETPT Format DDG'!$FA:$FA,"Magistrat SIEGE S")</f>
        <v>#N/A</v>
      </c>
      <c r="AH6" s="56" t="e">
        <f>SUMIFS( INDEX( 'ETPT Format DDG'!$A:$FF,,MATCH("8.4. AUTRES SECTIONS SPÉCIALISÉES",'ETPT Format DDG'!2:2,0)),'ETPT Format DDG'!$FA:$FA,"Magistrat SIEGE NS")+
SUMIFS( INDEX( 'ETPT Format DDG'!$A:$FF,,MATCH("8.4. AUTRES SECTIONS SPÉCIALISÉES",'ETPT Format DDG'!2:2,0)),'ETPT Format DDG'!$FA:$FA,"Magistrat SIEGE S")</f>
        <v>#N/A</v>
      </c>
      <c r="AI6" s="56" t="e">
        <f>SUMIFS( INDEX( 'ETPT Format DDG'!$A:$FF,,MATCH("9. TOTAL JAP",'ETPT Format DDG'!2:2,0)),'ETPT Format DDG'!$FA:$FA,"Magistrat SIEGE NS")+
SUMIFS( INDEX( 'ETPT Format DDG'!$A:$FF,,MATCH("9. TOTAL JAP",'ETPT Format DDG'!2:2,0)),'ETPT Format DDG'!$FA:$FA,"Magistrat SIEGE S")</f>
        <v>#N/A</v>
      </c>
      <c r="AJ6" s="56" t="e">
        <f>SUMIFS( INDEX( 'ETPT Format DDG'!$A:$FF,,MATCH("6.2. ACTIVITÉ PÉNALE",'ETPT Format DDG'!2:2,0)),'ETPT Format DDG'!$FA:$FA,"Magistrat SIEGE NS")+
SUMIFS( INDEX( 'ETPT Format DDG'!$A:$FF,,MATCH("6.2. ACTIVITÉ PÉNALE",'ETPT Format DDG'!2:2,0)),'ETPT Format DDG'!$FA:$FA,"Magistrat SIEGE S")</f>
        <v>#N/A</v>
      </c>
      <c r="AK6" s="56" t="e">
        <f>SUMIFS( INDEX( 'ETPT Format DDG'!$A:$FF,,MATCH("10. TOTAL JLD PÉNAL",'ETPT Format DDG'!2:2,0)),'ETPT Format DDG'!$FA:$FA,"Magistrat SIEGE NS")+
SUMIFS( INDEX( 'ETPT Format DDG'!$A:$FF,,MATCH("10. TOTAL JLD PÉNAL",'ETPT Format DDG'!2:2,0)),'ETPT Format DDG'!$FA:$FA,"Magistrat SIEGE S")</f>
        <v>#N/A</v>
      </c>
      <c r="AL6" s="49" t="e">
        <f t="shared" si="2"/>
        <v>#N/A</v>
      </c>
      <c r="AM6" s="56" t="e">
        <f>SUMIFS( INDEX( 'ETPT Format DDG'!$A:$FF,,MATCH("7.5. COUR D'ASSISES HORS JIRS",'ETPT Format DDG'!2:2,0)),'ETPT Format DDG'!$FA:$FA,"Magistrat SIEGE NS")+
SUMIFS( INDEX( 'ETPT Format DDG'!$A:$FF,,MATCH("7.51. COUR D'ASSISES JIRS",'ETPT Format DDG'!2:2,0)),'ETPT Format DDG'!$FA:$FA,"Magistrat SIEGE NS")</f>
        <v>#N/A</v>
      </c>
      <c r="AN6" s="56" t="e">
        <f>SUMIFS( INDEX( 'ETPT Format DDG'!$A:$FF,,MATCH("7.52. COUR CRIMINELLE",'ETPT Format DDG'!2:2,0)),'ETPT Format DDG'!$FA:$FA,"Magistrat SIEGE NS")</f>
        <v>#N/A</v>
      </c>
      <c r="AO6" s="56" t="e">
        <f>SUMIFS( INDEX( 'ETPT Format DDG'!$A:$FF,,MATCH("7.121. COLLÉGIALES JIRS ECO-FI",'ETPT Format DDG'!2:2,0)),'ETPT Format DDG'!$FA:$FA,"Magistrat SIEGE NS")</f>
        <v>#N/A</v>
      </c>
      <c r="AP6" s="56" t="e">
        <f>SUMIFS( INDEX( 'ETPT Format DDG'!$A:$FF,,MATCH("7.12. COLLÉGIALES JIRS CRIM-ORG",'ETPT Format DDG'!2:2,0)),'ETPT Format DDG'!$FA:$FA,"Magistrat SIEGE NS")</f>
        <v>#N/A</v>
      </c>
      <c r="AQ6" s="56" t="e">
        <f>SUMIFS( INDEX( 'ETPT Format DDG'!$A:$FF,,MATCH("7.122. COLLÉGIALES AUTRES SECTIONS SPÉCIALISÉES",'ETPT Format DDG'!2:2,0)),'ETPT Format DDG'!$FA:$FA,"Magistrat SIEGE NS")</f>
        <v>#N/A</v>
      </c>
      <c r="AR6" s="58" t="e">
        <f>SUMIFS( INDEX( 'ETPT Format DDG'!$A:$FF,,MATCH("7.6. TRIBUNAL DE POLICE",'ETPT Format DDG'!2:2,0)),'ETPT Format DDG'!$FA:$FA,"Magistrat SIEGE NS")+
SUMIFS( INDEX( 'ETPT Format DDG'!$A:$FF,,MATCH("7.7. OP CONTRAVENTIONNELLES",'ETPT Format DDG'!2:2,0)),'ETPT Format DDG'!$FA:$FA,"Magistrat SIEGE NS")</f>
        <v>#N/A</v>
      </c>
      <c r="AS6" s="75"/>
      <c r="AT6" s="75"/>
      <c r="AU6" s="75"/>
      <c r="AV6" s="75"/>
      <c r="AW6" s="75"/>
      <c r="AX6" s="58" t="e">
        <f>SUMIFS( INDEX( 'ETPT Format DDG'!$A:$FF,,MATCH("Temps ventilés sur la période (affaires pénales)",'ETPT Format DDG'!2:2,0)),'ETPT Format DDG'!$FA:$FA,"Magistrat SIEGE S")-
SUMIFS( INDEX( 'ETPT Format DDG'!$A:$FF,,MATCH("8.1. SERVICE GÉNÉRAL",'ETPT Format DDG'!2:2,0)),'ETPT Format DDG'!$FA:$FA,"Magistrat SIEGE S")-
SUMIFS( INDEX( 'ETPT Format DDG'!$A:$FF,,MATCH("8.2. JIRS ÉCO-FI",'ETPT Format DDG'!2:2,0)),'ETPT Format DDG'!$FA:$FA,"Magistrat SIEGE S")-
SUMIFS( INDEX( 'ETPT Format DDG'!$A:$FF,,MATCH("8.3. JIRS CRIM-ORG",'ETPT Format DDG'!2:2,0)),'ETPT Format DDG'!$FA:$FA,"Magistrat SIEGE S")-
SUMIFS( INDEX( 'ETPT Format DDG'!$A:$FF,,MATCH("8.4. AUTRES SECTIONS SPÉCIALISÉES",'ETPT Format DDG'!2:2,0)),'ETPT Format DDG'!$FA:$FA,"Magistrat SIEGE S")-
SUMIFS( INDEX( 'ETPT Format DDG'!$A:$FF,,MATCH("9. TOTAL JAP",'ETPT Format DDG'!2:2,0)),'ETPT Format DDG'!$FA:$FA,"Magistrat SIEGE S")-
SUMIFS( INDEX( 'ETPT Format DDG'!$A:$FF,,MATCH("6.2. ACTIVITÉ PÉNALE",'ETPT Format DDG'!2:2,0)),'ETPT Format DDG'!$FA:$FA,"Magistrat SIEGE S")-
SUMIFS( INDEX( 'ETPT Format DDG'!$A:$FF,,MATCH("10. TOTAL JLD PÉNAL",'ETPT Format DDG'!2:2,0)),'ETPT Format DDG'!$FA:$FA,"Magistrat SIEGE S")</f>
        <v>#N/A</v>
      </c>
      <c r="AY6" s="74" t="e">
        <f>SUMIFS( INDEX( 'ETPT Format DDG'!$A:$FF,,MATCH("Temps ventilés sur la période (affaires pénales)",'ETPT Format DDG'!2:2,0)),'ETPT Format DDG'!$FA:$FA,"Magistrat SIEGE NS")-
SUMIFS( INDEX( 'ETPT Format DDG'!$A:$FF,,MATCH("8.1. SERVICE GÉNÉRAL",'ETPT Format DDG'!2:2,0)),'ETPT Format DDG'!$FA:$FA,"Magistrat SIEGE NS")-
SUMIFS( INDEX( 'ETPT Format DDG'!$A:$FF,,MATCH("8.2. JIRS ÉCO-FI",'ETPT Format DDG'!2:2,0)),'ETPT Format DDG'!$FA:$FA,"Magistrat SIEGE NS")-
SUMIFS( INDEX( 'ETPT Format DDG'!$A:$FF,,MATCH("8.3. JIRS CRIM-ORG",'ETPT Format DDG'!2:2,0)),'ETPT Format DDG'!$FA:$FA,"Magistrat SIEGE NS")-
SUMIFS( INDEX( 'ETPT Format DDG'!$A:$FF,,MATCH("8.4. AUTRES SECTIONS SPÉCIALISÉES",'ETPT Format DDG'!2:2,0)),'ETPT Format DDG'!$FA:$FA,"Magistrat SIEGE NS")-
SUMIFS( INDEX( 'ETPT Format DDG'!$A:$FF,,MATCH("9. TOTAL JAP",'ETPT Format DDG'!2:2,0)),'ETPT Format DDG'!$FA:$FA,"Magistrat SIEGE NS")-
SUMIFS( INDEX( 'ETPT Format DDG'!$A:$FF,,MATCH("6.2. ACTIVITÉ PÉNALE",'ETPT Format DDG'!2:2,0)),'ETPT Format DDG'!$FA:$FA,"Magistrat SIEGE NS")-
SUMIFS( INDEX( 'ETPT Format DDG'!$A:$FF,,MATCH("10. TOTAL JLD PÉNAL",'ETPT Format DDG'!2:2,0)),'ETPT Format DDG'!$FA:$FA,"Magistrat SIEGE NS")-
SUM(AM6:AW6)</f>
        <v>#N/A</v>
      </c>
      <c r="AZ6" s="49" t="e">
        <f t="shared" si="3"/>
        <v>#N/A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>SUM(BA6:BI6)</f>
        <v>0</v>
      </c>
    </row>
    <row r="7" spans="1:62" s="44" customFormat="1" ht="14.25" customHeight="1" x14ac:dyDescent="0.15">
      <c r="A7" s="54" t="s">
        <v>53</v>
      </c>
      <c r="B7" s="64"/>
      <c r="C7" s="64"/>
      <c r="D7" s="65" t="str">
        <f t="shared" si="5"/>
        <v/>
      </c>
      <c r="E7" s="64" t="s">
        <v>69</v>
      </c>
      <c r="F7" s="64" t="s">
        <v>68</v>
      </c>
      <c r="G7" s="72"/>
      <c r="H7" s="62">
        <f t="shared" si="0"/>
        <v>0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49">
        <f t="shared" si="6"/>
        <v>0</v>
      </c>
      <c r="X7" s="71"/>
      <c r="Y7" s="59"/>
      <c r="Z7" s="59"/>
      <c r="AA7" s="59"/>
      <c r="AB7" s="49">
        <f t="shared" si="1"/>
        <v>0</v>
      </c>
      <c r="AC7" s="66"/>
      <c r="AD7" s="56" t="e">
        <f>SUMIFS( INDEX( 'ETPT Format DDG'!$A:$FF,,MATCH("11.5. CSM",'ETPT Format DDG'!2:2,0)),'ETPT Format DDG'!$C:$C,$D$5,'ETPT Format DDG'!H:H,"JCP")+
SUMIFS( INDEX( 'ETPT Format DDG'!$A:$FF,,MATCH("11.5. CSM",'ETPT Format DDG'!2:2,0)),'ETPT Format DDG'!$C:$C,$D$5,'ETPT Format DDG'!H:H,"VPCP")+
SUMIFS( INDEX( 'ETPT Format DDG'!$A:$FF,,MATCH("11.5. CSM",'ETPT Format DDG'!2:2,0)),'ETPT Format DDG'!$C:$C,$D$5,'ETPT Format DDG'!H:H,"1VPCP")</f>
        <v>#N/A</v>
      </c>
      <c r="AE7" s="56" t="e">
        <f>SUMIFS( INDEX( 'ETPT Format DDG'!$A:$FF,,MATCH("11.5. CSM",'ETPT Format DDG'!2:2,0)),'ETPT Format DDG'!$C:$C,$D$5,'ETPT Format DDG'!H:H,"JI")+
SUMIFS( INDEX( 'ETPT Format DDG'!$A:$FF,,MATCH("11.5. CSM",'ETPT Format DDG'!2:2,0)),'ETPT Format DDG'!$C:$C,$D$5,'ETPT Format DDG'!H:H,"VPI")+
SUMIFS( INDEX( 'ETPT Format DDG'!$A:$FF,,MATCH("11.5. CSM",'ETPT Format DDG'!2:2,0)),'ETPT Format DDG'!$C:$C,$D$5,'ETPT Format DDG'!H:H,"1VPI")</f>
        <v>#N/A</v>
      </c>
      <c r="AF7" s="66"/>
      <c r="AG7" s="66"/>
      <c r="AH7" s="66"/>
      <c r="AI7" s="56" t="e">
        <f>SUMIFS( INDEX( 'ETPT Format DDG'!$A:$FF,,MATCH("11.5. CSM",'ETPT Format DDG'!2:2,0)),'ETPT Format DDG'!$C:$C,$D$5,'ETPT Format DDG'!H:H,"JAP")+
SUMIFS( INDEX( 'ETPT Format DDG'!$A:$FF,,MATCH("11.5. CSM",'ETPT Format DDG'!2:2,0)),'ETPT Format DDG'!$C:$C,$D$5,'ETPT Format DDG'!H:H,"VPAP")+
SUMIFS( INDEX( 'ETPT Format DDG'!$A:$FF,,MATCH("11.5. CSM",'ETPT Format DDG'!2:2,0)),'ETPT Format DDG'!$C:$C,$D$5,'ETPT Format DDG'!H:H,"1VPAP")</f>
        <v>#N/A</v>
      </c>
      <c r="AJ7" s="56" t="e">
        <f>SUMIFS( INDEX( 'ETPT Format DDG'!$A:$FF,,MATCH("11.5. CSM",'ETPT Format DDG'!2:2,0)),'ETPT Format DDG'!$C:$C,$D$5,'ETPT Format DDG'!H:H,"JE")+
SUMIFS( INDEX( 'ETPT Format DDG'!$A:$FF,,MATCH("11.5. CSM",'ETPT Format DDG'!2:2,0)),'ETPT Format DDG'!$C:$C,$D$5,'ETPT Format DDG'!H:H,"VPE")+
SUMIFS( INDEX( 'ETPT Format DDG'!$A:$FF,,MATCH("11.5. CSM",'ETPT Format DDG'!2:2,0)),'ETPT Format DDG'!$C:$C,$D$5,'ETPT Format DDG'!H:H,"1VPE")</f>
        <v>#N/A</v>
      </c>
      <c r="AK7" s="56" t="e">
        <f>SUMIFS( INDEX( 'ETPT Format DDG'!$A:$FF,,MATCH("11.5. CSM",'ETPT Format DDG'!2:2,0)),'ETPT Format DDG'!$C:$C,$D$5,'ETPT Format DDG'!H:H,"VPLD")+
SUMIFS( INDEX( 'ETPT Format DDG'!$A:$FF,,MATCH("11.5. CSM",'ETPT Format DDG'!2:2,0)),'ETPT Format DDG'!$C:$C,$D$5,'ETPT Format DDG'!H:H,"1VPLD")</f>
        <v>#N/A</v>
      </c>
      <c r="AL7" s="49" t="e">
        <f t="shared" si="2"/>
        <v>#N/A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56" t="e">
        <f>SUMIFS( INDEX( 'ETPT Format DDG'!$A:$FF,,MATCH("11.5. CSM",'ETPT Format DDG'!2:2,0)),'ETPT Format DDG'!$C:$C,$D$5,'ETPT Format DDG'!$FA:$FA,"Magistrat SIEGE NS")</f>
        <v>#N/A</v>
      </c>
      <c r="AZ7" s="49" t="e">
        <f t="shared" si="3"/>
        <v>#N/A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4"/>
        <v>0</v>
      </c>
    </row>
    <row r="8" spans="1:62" s="44" customFormat="1" ht="14.25" customHeight="1" x14ac:dyDescent="0.15">
      <c r="A8" s="54" t="s">
        <v>53</v>
      </c>
      <c r="B8" s="64"/>
      <c r="C8" s="64"/>
      <c r="D8" s="65" t="str">
        <f t="shared" si="5"/>
        <v/>
      </c>
      <c r="E8" s="64" t="s">
        <v>67</v>
      </c>
      <c r="F8" s="64" t="s">
        <v>66</v>
      </c>
      <c r="G8" s="69" t="e">
        <f>SUMIFS( INDEX( 'ETPT Format DDG'!$A:$FF,,MATCH("11.51. ACCUEIL DU JUSTICIABLE (DONT SAUJ)",'ETPT Format DDG'!2:2,0)),'ETPT Format DDG'!$C:$C,$D$5,'ETPT Format DDG'!$FA:$FA,"Fonctionnaire CTECH")</f>
        <v>#N/A</v>
      </c>
      <c r="H8" s="62" t="e">
        <f t="shared" si="0"/>
        <v>#N/A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1" t="e">
        <f>SUMIFS( INDEX( 'ETPT Format DDG'!$A:$FF,,MATCH("11.51. ACCUEIL DU JUSTICIABLE (DONT SAUJ)",'ETPT Format DDG'!2:2,0)),'ETPT Format DDG'!$C:$C,$D$5,'ETPT Format DDG'!$FA:$FA,"Fonctionnaire A-B-CBUR")</f>
        <v>#N/A</v>
      </c>
      <c r="W8" s="49" t="e">
        <f t="shared" si="6"/>
        <v>#N/A</v>
      </c>
      <c r="X8" s="68" t="e">
        <f>SUMIFS( INDEX( 'ETPT Format DDG'!$A:$FF,,MATCH("11.51. ACCUEIL DU JUSTICIABLE (DONT SAUJ)",'ETPT Format DDG'!2:2,0)),'ETPT Format DDG'!$C:$C,$D$5,'ETPT Format DDG'!$FA:$FA,"CONT A JP Autour du Juge")</f>
        <v>#N/A</v>
      </c>
      <c r="Y8" s="68" t="e">
        <f>SUMIFS( INDEX( 'ETPT Format DDG'!$A:$FF,,MATCH("11.51. ACCUEIL DU JUSTICIABLE (DONT SAUJ)",'ETPT Format DDG'!2:2,0)),'ETPT Format DDG'!$C:$C,$D$5,'ETPT Format DDG'!$FA:$FA,"JURISTE AS Parquet")</f>
        <v>#N/A</v>
      </c>
      <c r="Z8" s="68" t="e">
        <f>SUMIFS( INDEX( 'ETPT Format DDG'!$A:$FF,,MATCH("11.51. ACCUEIL DU JUSTICIABLE (DONT SAUJ)",'ETPT Format DDG'!2:2,0)),'ETPT Format DDG'!$C:$C,$D$5,'ETPT Format DDG'!$FA:$FA,"JURISTE AS Pôle social")</f>
        <v>#N/A</v>
      </c>
      <c r="AA8" s="68" t="e">
        <f>SUMIFS( INDEX( 'ETPT Format DDG'!$A:$FF,,MATCH("11.51. ACCUEIL DU JUSTICIABLE (DONT SAUJ)",'ETPT Format DDG'!2:2,0)),'ETPT Format DDG'!$C:$C,$D$5,'ETPT Format DDG'!$FA:$FA,"JURISTE AS siège Autres")</f>
        <v>#N/A</v>
      </c>
      <c r="AB8" s="49" t="e">
        <f t="shared" si="1"/>
        <v>#N/A</v>
      </c>
      <c r="AC8" s="66"/>
      <c r="AD8" s="66"/>
      <c r="AE8" s="66"/>
      <c r="AF8" s="66"/>
      <c r="AG8" s="66"/>
      <c r="AH8" s="66"/>
      <c r="AI8" s="66"/>
      <c r="AJ8" s="66"/>
      <c r="AK8" s="66"/>
      <c r="AL8" s="49">
        <f t="shared" si="2"/>
        <v>0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49">
        <f t="shared" si="3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4"/>
        <v>0</v>
      </c>
    </row>
    <row r="9" spans="1:62" s="44" customFormat="1" ht="14.25" customHeight="1" x14ac:dyDescent="0.15">
      <c r="A9" s="54" t="s">
        <v>53</v>
      </c>
      <c r="B9" s="64"/>
      <c r="C9" s="64"/>
      <c r="D9" s="65" t="str">
        <f t="shared" si="5"/>
        <v/>
      </c>
      <c r="E9" s="64" t="s">
        <v>65</v>
      </c>
      <c r="F9" s="64" t="s">
        <v>64</v>
      </c>
      <c r="G9" s="69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62" t="e">
        <f t="shared" si="0"/>
        <v>#N/A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1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W9" s="49" t="e">
        <f t="shared" si="6"/>
        <v>#N/A</v>
      </c>
      <c r="X9" s="68" t="e">
        <f>SUMIFS( INDEX( 'ETPT Format DDG'!$A:$FF,,MATCH("11.1. SOUTIEN (HORS FORMATIONS SUIVIES)",'ETPT Format DDG'!2:2,0)),'ETPT Format DDG'!$C:$C,$D$5,'ETPT Format DDG'!$FA:$FA,"CONT A JP Autour du Juge")+
SUMIFS( INDEX( 'ETPT Format DDG'!$A:$FF,,MATCH("11.2. FORMATIONS SUIVIES",'ETPT Format DDG'!2:2,0)),'ETPT Format DDG'!$C:$C,$D$5,'ETPT Format DDG'!$FA:$FA,"CONT A JP Autour du Juge")+
SUMIFS( INDEX( 'ETPT Format DDG'!$A:$FF,,MATCH("11.6. AUTRES ACTIVITÉS NON JURIDICTIONNELLES",'ETPT Format DDG'!2:2,0)),'ETPT Format DDG'!$C:$C,$D$5,'ETPT Format DDG'!$FA:$FA,"CONT A JP Autour du Juge")</f>
        <v>#N/A</v>
      </c>
      <c r="Y9" s="68" t="e">
        <f>SUMIFS( INDEX( 'ETPT Format DDG'!$A:$FF,,MATCH("11.1. SOUTIEN (HORS FORMATIONS SUIVIES)",'ETPT Format DDG'!2:2,0)),'ETPT Format DDG'!$C:$C,$D$5,'ETPT Format DDG'!$FA:$FA,"JURISTE AS Parquet")+
SUMIFS( INDEX( 'ETPT Format DDG'!$A:$FF,,MATCH("11.2. FORMATIONS SUIVIES",'ETPT Format DDG'!2:2,0)),'ETPT Format DDG'!$C:$C,$D$5,'ETPT Format DDG'!$FA:$FA,"JURISTE AS Parquet")+
SUMIFS( INDEX( 'ETPT Format DDG'!$A:$FF,,MATCH("11.6. AUTRES ACTIVITÉS NON JURIDICTIONNELLES",'ETPT Format DDG'!2:2,0)),'ETPT Format DDG'!$C:$C,$D$5,'ETPT Format DDG'!$FA:$FA,"JURISTE AS Parquet")</f>
        <v>#N/A</v>
      </c>
      <c r="Z9" s="68" t="e">
        <f>SUMIFS( INDEX( 'ETPT Format DDG'!$A:$FF,,MATCH("11.1. SOUTIEN (HORS FORMATIONS SUIVIES)",'ETPT Format DDG'!2:2,0)),'ETPT Format DDG'!$C:$C,$D$5,'ETPT Format DDG'!$FA:$FA,"JURISTE AS Pôle social")+
SUMIFS( INDEX( 'ETPT Format DDG'!$A:$FF,,MATCH("11.2. FORMATIONS SUIVIES",'ETPT Format DDG'!2:2,0)),'ETPT Format DDG'!$C:$C,$D$5,'ETPT Format DDG'!$FA:$FA,"JURISTE AS Pôle social")+
SUMIFS( INDEX( 'ETPT Format DDG'!$A:$FF,,MATCH("11.6. AUTRES ACTIVITÉS NON JURIDICTIONNELLES",'ETPT Format DDG'!2:2,0)),'ETPT Format DDG'!$C:$C,$D$5,'ETPT Format DDG'!$FA:$FA,"JURISTE AS Pôle social")</f>
        <v>#N/A</v>
      </c>
      <c r="AA9" s="68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AB9" s="49" t="e">
        <f t="shared" si="1"/>
        <v>#N/A</v>
      </c>
      <c r="AC9" s="66"/>
      <c r="AD9" s="56" t="e">
        <f>SUMIFS( INDEX( 'ETPT Format DDG'!$A:$FF,,MATCH("11.1. SOUTIEN (HORS FORMATIONS SUIVIES)",'ETPT Format DDG'!2:2,0)),'ETPT Format DDG'!$C:$C,$D$5,'ETPT Format DDG'!$H:$H,"JCP")+
SUMIFS( INDEX( 'ETPT Format DDG'!$A:$FF,,MATCH("11.1. SOUTIEN (HORS FORMATIONS SUIVIES)",'ETPT Format DDG'!2:2,0)),'ETPT Format DDG'!$C:$C,$D$5,'ETPT Format DDG'!$H:$H,"VPCP")+
SUMIFS( INDEX( 'ETPT Format DDG'!$A:$FF,,MATCH("11.1. SOUTIEN (HORS FORMATIONS SUIVIES)",'ETPT Format DDG'!2:2,0)),'ETPT Format DDG'!$C:$C,$D$5,'ETPT Format DDG'!$H:$H,"1VPCP")+
SUMIFS( INDEX( 'ETPT Format DDG'!$A:$FF,,MATCH("11.2. FORMATIONS SUIVIES",'ETPT Format DDG'!2:2,0)),'ETPT Format DDG'!$C:$C,$D$5,'ETPT Format DDG'!$H:$H,"JCP")+
SUMIFS( INDEX( 'ETPT Format DDG'!$A:$FF,,MATCH("11.2. FORMATIONS SUIVIES",'ETPT Format DDG'!2:2,0)),'ETPT Format DDG'!$C:$C,$D$5,'ETPT Format DDG'!$H:$H,"VPCP")+
SUMIFS( INDEX( 'ETPT Format DDG'!$A:$FF,,MATCH("11.2. FORMATIONS SUIVIES",'ETPT Format DDG'!2:2,0)),'ETPT Format DDG'!$C:$C,$D$5,'ETPT Format DDG'!$H:$H,"1VPCP")+
SUMIFS( INDEX( 'ETPT Format DDG'!$A:$FF,,MATCH("11.6. AUTRES ACTIVITÉS NON JURIDICTIONNELLES",'ETPT Format DDG'!2:2,0)),'ETPT Format DDG'!$C:$C,$D$5,'ETPT Format DDG'!$H:$H,"JCP")+
SUMIFS( INDEX( 'ETPT Format DDG'!$A:$FF,,MATCH("11.6. AUTRES ACTIVITÉS NON JURIDICTIONNELLES",'ETPT Format DDG'!2:2,0)),'ETPT Format DDG'!$C:$C,$D$5,'ETPT Format DDG'!$H:$H,"VPCP")+
SUMIFS( INDEX( 'ETPT Format DDG'!$A:$FF,,MATCH("11.6. AUTRES ACTIVITÉS NON JURIDICTIONNELLES",'ETPT Format DDG'!2:2,0)),'ETPT Format DDG'!$C:$C,$D$5,'ETPT Format DDG'!$H:$H,"1VPCP")</f>
        <v>#N/A</v>
      </c>
      <c r="AE9" s="56" t="e">
        <f>SUMIFS( INDEX( 'ETPT Format DDG'!$A:$FF,,MATCH("11.1. SOUTIEN (HORS FORMATIONS SUIVIES)",'ETPT Format DDG'!2:2,0)),'ETPT Format DDG'!$C:$C,$D$5,'ETPT Format DDG'!$H:$H,"JI")+
SUMIFS( INDEX( 'ETPT Format DDG'!$A:$FF,,MATCH("11.1. SOUTIEN (HORS FORMATIONS SUIVIES)",'ETPT Format DDG'!2:2,0)),'ETPT Format DDG'!$C:$C,$D$5,'ETPT Format DDG'!$H:$H,"VPI")+
SUMIFS( INDEX( 'ETPT Format DDG'!$A:$FF,,MATCH("11.1. SOUTIEN (HORS FORMATIONS SUIVIES)",'ETPT Format DDG'!2:2,0)),'ETPT Format DDG'!$C:$C,$D$5,'ETPT Format DDG'!$H:$H,"1VPI")+
SUMIFS( INDEX( 'ETPT Format DDG'!$A:$FF,,MATCH("11.2. FORMATIONS SUIVIES",'ETPT Format DDG'!2:2,0)),'ETPT Format DDG'!$C:$C,$D$5,'ETPT Format DDG'!$H:$H,"JI")+
SUMIFS( INDEX( 'ETPT Format DDG'!$A:$FF,,MATCH("11.2. FORMATIONS SUIVIES",'ETPT Format DDG'!2:2,0)),'ETPT Format DDG'!$C:$C,$D$5,'ETPT Format DDG'!$H:$H,"VPI")+
SUMIFS( INDEX( 'ETPT Format DDG'!$A:$FF,,MATCH("11.2. FORMATIONS SUIVIES",'ETPT Format DDG'!2:2,0)),'ETPT Format DDG'!$C:$C,$D$5,'ETPT Format DDG'!$H:$H,"1VPI")+
SUMIFS( INDEX( 'ETPT Format DDG'!$A:$FF,,MATCH("11.6. AUTRES ACTIVITÉS NON JURIDICTIONNELLES",'ETPT Format DDG'!2:2,0)),'ETPT Format DDG'!$C:$C,$D$5,'ETPT Format DDG'!$H:$H,"JI")+
SUMIFS( INDEX( 'ETPT Format DDG'!$A:$FF,,MATCH("11.6. AUTRES ACTIVITÉS NON JURIDICTIONNELLES",'ETPT Format DDG'!2:2,0)),'ETPT Format DDG'!$C:$C,$D$5,'ETPT Format DDG'!$H:$H,"VPI")+
SUMIFS( INDEX( 'ETPT Format DDG'!$A:$FF,,MATCH("11.6. AUTRES ACTIVITÉS NON JURIDICTIONNELLES",'ETPT Format DDG'!2:2,0)),'ETPT Format DDG'!$C:$C,$D$5,'ETPT Format DDG'!$H:$H,"1VPI")</f>
        <v>#N/A</v>
      </c>
      <c r="AF9" s="66"/>
      <c r="AG9" s="66"/>
      <c r="AH9" s="66"/>
      <c r="AI9" s="56" t="e">
        <f>SUMIFS( INDEX( 'ETPT Format DDG'!$A:$FF,,MATCH("11.1. SOUTIEN (HORS FORMATIONS SUIVIES)",'ETPT Format DDG'!2:2,0)),'ETPT Format DDG'!$C:$C,$D$5,'ETPT Format DDG'!H:H,"JAP")+
SUMIFS( INDEX( 'ETPT Format DDG'!$A:$FF,,MATCH("11.1. SOUTIEN (HORS FORMATIONS SUIVIES)",'ETPT Format DDG'!2:2,0)),'ETPT Format DDG'!$C:$C,$D$5,'ETPT Format DDG'!H:H,"VPAP")+
SUMIFS( INDEX( 'ETPT Format DDG'!$A:$FF,,MATCH("11.1. SOUTIEN (HORS FORMATIONS SUIVIES)",'ETPT Format DDG'!2:2,0)),'ETPT Format DDG'!$C:$C,$D$5,'ETPT Format DDG'!H:H,"1VPAP")+
SUMIFS( INDEX( 'ETPT Format DDG'!$A:$FF,,MATCH("11.2. FORMATIONS SUIVIES",'ETPT Format DDG'!2:2,0)),'ETPT Format DDG'!$C:$C,$D$5,'ETPT Format DDG'!H:H,"JAP")+
SUMIFS( INDEX( 'ETPT Format DDG'!$A:$FF,,MATCH("11.2. FORMATIONS SUIVIES",'ETPT Format DDG'!2:2,0)),'ETPT Format DDG'!$C:$C,$D$5,'ETPT Format DDG'!H:H,"VPAP")+
SUMIFS( INDEX( 'ETPT Format DDG'!$A:$FF,,MATCH("11.2. FORMATIONS SUIVIES",'ETPT Format DDG'!2:2,0)),'ETPT Format DDG'!$C:$C,$D$5,'ETPT Format DDG'!H:H,"1VPAP")+
SUMIFS( INDEX( 'ETPT Format DDG'!$A:$FF,,MATCH("11.6. AUTRES ACTIVITÉS NON JURIDICTIONNELLES",'ETPT Format DDG'!2:2,0)),'ETPT Format DDG'!$C:$C,$D$5,'ETPT Format DDG'!H:H,"JAP")+
SUMIFS( INDEX( 'ETPT Format DDG'!$A:$FF,,MATCH("11.6. AUTRES ACTIVITÉS NON JURIDICTIONNELLES",'ETPT Format DDG'!2:2,0)),'ETPT Format DDG'!$C:$C,$D$5,'ETPT Format DDG'!H:H,"VPAP")+
SUMIFS( INDEX( 'ETPT Format DDG'!$A:$FF,,MATCH("11.6. AUTRES ACTIVITÉS NON JURIDICTIONNELLES",'ETPT Format DDG'!2:2,0)),'ETPT Format DDG'!$C:$C,$D$5,'ETPT Format DDG'!H:H,"1VPAP")</f>
        <v>#N/A</v>
      </c>
      <c r="AJ9" s="56" t="e">
        <f>SUMIFS( INDEX( 'ETPT Format DDG'!$A:$FF,,MATCH("11.1. SOUTIEN (HORS FORMATIONS SUIVIES)",'ETPT Format DDG'!2:2,0)),'ETPT Format DDG'!$C:$C,$D$5,'ETPT Format DDG'!H:H,"JE")+
SUMIFS( INDEX( 'ETPT Format DDG'!$A:$FF,,MATCH("11.1. SOUTIEN (HORS FORMATIONS SUIVIES)",'ETPT Format DDG'!2:2,0)),'ETPT Format DDG'!$C:$C,$D$5,'ETPT Format DDG'!H:H,"VPE")+
SUMIFS( INDEX( 'ETPT Format DDG'!$A:$FF,,MATCH("11.1. SOUTIEN (HORS FORMATIONS SUIVIES)",'ETPT Format DDG'!2:2,0)),'ETPT Format DDG'!$C:$C,$D$5,'ETPT Format DDG'!H:H,"1VPE")+
SUMIFS( INDEX( 'ETPT Format DDG'!$A:$FF,,MATCH("11.2. FORMATIONS SUIVIES",'ETPT Format DDG'!2:2,0)),'ETPT Format DDG'!$C:$C,$D$5,'ETPT Format DDG'!H:H,"JE")+
SUMIFS( INDEX( 'ETPT Format DDG'!$A:$FF,,MATCH("11.2. FORMATIONS SUIVIES",'ETPT Format DDG'!2:2,0)),'ETPT Format DDG'!$C:$C,$D$5,'ETPT Format DDG'!H:H,"VPE")+
SUMIFS( INDEX( 'ETPT Format DDG'!$A:$FF,,MATCH("11.2. FORMATIONS SUIVIES",'ETPT Format DDG'!2:2,0)),'ETPT Format DDG'!$C:$C,$D$5,'ETPT Format DDG'!H:H,"1VPE")+
SUMIFS( INDEX( 'ETPT Format DDG'!$A:$FF,,MATCH("11.6. AUTRES ACTIVITÉS NON JURIDICTIONNELLES",'ETPT Format DDG'!2:2,0)),'ETPT Format DDG'!$C:$C,$D$5,'ETPT Format DDG'!H:H,"JE")+
SUMIFS( INDEX( 'ETPT Format DDG'!$A:$FF,,MATCH("11.6. AUTRES ACTIVITÉS NON JURIDICTIONNELLES",'ETPT Format DDG'!2:2,0)),'ETPT Format DDG'!$C:$C,$D$5,'ETPT Format DDG'!H:H,"VPE")+
SUMIFS( INDEX( 'ETPT Format DDG'!$A:$FF,,MATCH("11.6. AUTRES ACTIVITÉS NON JURIDICTIONNELLES",'ETPT Format DDG'!2:2,0)),'ETPT Format DDG'!$C:$C,$D$5,'ETPT Format DDG'!H:H,"1VPE")</f>
        <v>#N/A</v>
      </c>
      <c r="AK9" s="56" t="e">
        <f>SUMIFS( INDEX( 'ETPT Format DDG'!$A:$FF,,MATCH("11.1. SOUTIEN (HORS FORMATIONS SUIVIES)",'ETPT Format DDG'!2:2,0)),'ETPT Format DDG'!$C:$C,$D$5,'ETPT Format DDG'!H:H,"VPLD")+
SUMIFS( INDEX( 'ETPT Format DDG'!$A:$FF,,MATCH("11.1. SOUTIEN (HORS FORMATIONS SUIVIES)",'ETPT Format DDG'!2:2,0)),'ETPT Format DDG'!$C:$C,$D$5,'ETPT Format DDG'!H:H,"1VPLD")+
SUMIFS( INDEX( 'ETPT Format DDG'!$A:$FF,,MATCH("11.2. FORMATIONS SUIVIES",'ETPT Format DDG'!2:2,0)),'ETPT Format DDG'!$C:$C,$D$5,'ETPT Format DDG'!H:H,"VPLD")+
SUMIFS( INDEX( 'ETPT Format DDG'!$A:$FF,,MATCH("11.2. FORMATIONS SUIVIES",'ETPT Format DDG'!2:2,0)),'ETPT Format DDG'!$C:$C,$D$5,'ETPT Format DDG'!H:H,"1VPLD")+
SUMIFS( INDEX( 'ETPT Format DDG'!$A:$FF,,MATCH("11.6. AUTRES ACTIVITÉS NON JURIDICTIONNELLES",'ETPT Format DDG'!2:2,0)),'ETPT Format DDG'!$C:$C,$D$5,'ETPT Format DDG'!H:H,"VPLD")+
SUMIFS( INDEX( 'ETPT Format DDG'!$A:$FF,,MATCH("11.6. AUTRES ACTIVITÉS NON JURIDICTIONNELLES",'ETPT Format DDG'!2:2,0)),'ETPT Format DDG'!$C:$C,$D$5,'ETPT Format DDG'!H:H,"1VPLD")</f>
        <v>#N/A</v>
      </c>
      <c r="AL9" s="49" t="e">
        <f t="shared" si="2"/>
        <v>#N/A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56" t="e">
        <f>SUMIFS( INDEX( 'ETPT Format DDG'!$A:$FF,,MATCH("11.1. SOUTIEN (HORS FORMATIONS SUIVIES)",'ETPT Format DDG'!2:2,0)),'ETPT Format DDG'!$C:$C,$D$5,'ETPT Format DDG'!$FA:$FA,"Magistrat SIEGE NS")+
SUMIFS( INDEX( 'ETPT Format DDG'!$A:$FF,,MATCH("11.2. FORMATIONS SUIVIES",'ETPT Format DDG'!2:2,0)),'ETPT Format DDG'!$C:$C,$D$5,'ETPT Format DDG'!$FA:$FA,"Magistrat SIEGE NS")+
SUMIFS( INDEX( 'ETPT Format DDG'!$A:$FF,,MATCH("11.6. AUTRES ACTIVITÉS NON JURIDICTIONNELLES",'ETPT Format DDG'!2:2,0)),'ETPT Format DDG'!$C:$C,$D$5,'ETPT Format DDG'!$FA:$FA,"Magistrat SIEGE NS")</f>
        <v>#N/A</v>
      </c>
      <c r="AZ9" s="49" t="e">
        <f t="shared" si="3"/>
        <v>#N/A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4"/>
        <v>0</v>
      </c>
    </row>
    <row r="10" spans="1:62" s="44" customFormat="1" ht="14.25" customHeight="1" x14ac:dyDescent="0.15">
      <c r="A10" s="54" t="s">
        <v>53</v>
      </c>
      <c r="B10" s="64"/>
      <c r="C10" s="64"/>
      <c r="D10" s="65" t="str">
        <f t="shared" si="5"/>
        <v/>
      </c>
      <c r="E10" s="64" t="s">
        <v>63</v>
      </c>
      <c r="F10" s="64" t="s">
        <v>62</v>
      </c>
      <c r="G10" s="69" t="e">
        <f>SUMIFS( INDEX( 'ETPT Format DDG'!$A:$FF,,MATCH("11.3. FORMATIONS DISPENSÉES",'ETPT Format DDG'!2:2,0)),'ETPT Format DDG'!$C:$C,$D$5,'ETPT Format DDG'!$FA:$FA,"Fonctionnaire CTECH")</f>
        <v>#N/A</v>
      </c>
      <c r="H10" s="62" t="e">
        <f t="shared" si="0"/>
        <v>#N/A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1" t="e">
        <f>SUMIFS( INDEX( 'ETPT Format DDG'!$A:$FF,,MATCH("11.3. FORMATIONS DISPENSÉES",'ETPT Format DDG'!2:2,0)),'ETPT Format DDG'!$C:$C,$D$5,'ETPT Format DDG'!$FA:$FA,"Fonctionnaire A-B-CBUR")</f>
        <v>#N/A</v>
      </c>
      <c r="W10" s="49" t="e">
        <f t="shared" si="6"/>
        <v>#N/A</v>
      </c>
      <c r="X10" s="68" t="e">
        <f>SUMIFS( INDEX( 'ETPT Format DDG'!$A:$FF,,MATCH("11.3. FORMATIONS DISPENSÉES",'ETPT Format DDG'!2:2,0)),'ETPT Format DDG'!$C:$C,$D$5,'ETPT Format DDG'!$FA:$FA,"CONT A JP Autour du Juge")</f>
        <v>#N/A</v>
      </c>
      <c r="Y10" s="68" t="e">
        <f>SUMIFS( INDEX( 'ETPT Format DDG'!$A:$FF,,MATCH("11.3. FORMATIONS DISPENSÉES",'ETPT Format DDG'!2:2,0)),'ETPT Format DDG'!$C:$C,$D$5,'ETPT Format DDG'!$FA:$FA,"JURISTE AS Parquet")</f>
        <v>#N/A</v>
      </c>
      <c r="Z10" s="68" t="e">
        <f>SUMIFS( INDEX( 'ETPT Format DDG'!$A:$FF,,MATCH("11.3. FORMATIONS DISPENSÉES",'ETPT Format DDG'!2:2,0)),'ETPT Format DDG'!$C:$C,$D$5,'ETPT Format DDG'!$FA:$FA,"JURISTE AS Pôle social")</f>
        <v>#N/A</v>
      </c>
      <c r="AA10" s="68" t="e">
        <f>SUMIFS( INDEX( 'ETPT Format DDG'!$A:$FF,,MATCH("11.3. FORMATIONS DISPENSÉES",'ETPT Format DDG'!2:2,0)),'ETPT Format DDG'!$C:$C,$D$5,'ETPT Format DDG'!$FA:$FA,"JURISTE AS siège Autres")</f>
        <v>#N/A</v>
      </c>
      <c r="AB10" s="49" t="e">
        <f t="shared" si="1"/>
        <v>#N/A</v>
      </c>
      <c r="AC10" s="66"/>
      <c r="AD10" s="56" t="e">
        <f>SUMIFS( INDEX( 'ETPT Format DDG'!$A:$FF,,MATCH("11.3. FORMATIONS DISPENSÉES",'ETPT Format DDG'!2:2,0)),'ETPT Format DDG'!$C:$C,$D$5,'ETPT Format DDG'!$H:$H,"JCP")+
SUMIFS( INDEX( 'ETPT Format DDG'!$A:$FF,,MATCH("11.3. FORMATIONS DISPENSÉES",'ETPT Format DDG'!2:2,0)),'ETPT Format DDG'!$C:$C,$D$5,'ETPT Format DDG'!$H:$H,"VPCP")+
SUMIFS( INDEX( 'ETPT Format DDG'!$A:$FF,,MATCH("11.3. FORMATIONS DISPENSÉES",'ETPT Format DDG'!2:2,0)),'ETPT Format DDG'!$C:$C,$D$5,'ETPT Format DDG'!$H:$H,"1VPCP")</f>
        <v>#N/A</v>
      </c>
      <c r="AE10" s="56" t="e">
        <f>SUMIFS( INDEX( 'ETPT Format DDG'!$A:$FF,,MATCH("11.3. FORMATIONS DISPENSÉES",'ETPT Format DDG'!2:2,0)),'ETPT Format DDG'!$C:$C,$D$5,'ETPT Format DDG'!$H:$H,"JI")+
SUMIFS( INDEX( 'ETPT Format DDG'!$A:$FF,,MATCH("11.3. FORMATIONS DISPENSÉES",'ETPT Format DDG'!2:2,0)),'ETPT Format DDG'!$C:$C,$D$5,'ETPT Format DDG'!$H:$H,"VPI")+
SUMIFS( INDEX( 'ETPT Format DDG'!$A:$FF,,MATCH("11.3. FORMATIONS DISPENSÉES",'ETPT Format DDG'!2:2,0)),'ETPT Format DDG'!$C:$C,$D$5,'ETPT Format DDG'!$H:$H,"1VPI")</f>
        <v>#N/A</v>
      </c>
      <c r="AF10" s="66"/>
      <c r="AG10" s="66"/>
      <c r="AH10" s="66"/>
      <c r="AI10" s="56" t="e">
        <f>SUMIFS( INDEX( 'ETPT Format DDG'!$A:$FF,,MATCH("11.3. FORMATIONS DISPENSÉES",'ETPT Format DDG'!2:2,0)),'ETPT Format DDG'!$C:$C,$D$5,'ETPT Format DDG'!$H:$H,"JAP")+
SUMIFS( INDEX( 'ETPT Format DDG'!$A:$FF,,MATCH("11.3. FORMATIONS DISPENSÉES",'ETPT Format DDG'!2:2,0)),'ETPT Format DDG'!$C:$C,$D$5,'ETPT Format DDG'!$H:$H,"VPAP")+
SUMIFS( INDEX( 'ETPT Format DDG'!$A:$FF,,MATCH("11.3. FORMATIONS DISPENSÉES",'ETPT Format DDG'!2:2,0)),'ETPT Format DDG'!$C:$C,$D$5,'ETPT Format DDG'!$H:$H,"1VPAP")</f>
        <v>#N/A</v>
      </c>
      <c r="AJ10" s="56" t="e">
        <f>SUMIFS( INDEX( 'ETPT Format DDG'!$A:$FF,,MATCH("11.3. FORMATIONS DISPENSÉES",'ETPT Format DDG'!2:2,0)),'ETPT Format DDG'!$C:$C,$D$5,'ETPT Format DDG'!$H:$H,"JE")+
SUMIFS( INDEX( 'ETPT Format DDG'!$A:$FF,,MATCH("11.3. FORMATIONS DISPENSÉES",'ETPT Format DDG'!2:2,0)),'ETPT Format DDG'!$C:$C,$D$5,'ETPT Format DDG'!$H:$H,"VPE")+
SUMIFS( INDEX( 'ETPT Format DDG'!$A:$FF,,MATCH("11.3. FORMATIONS DISPENSÉES",'ETPT Format DDG'!2:2,0)),'ETPT Format DDG'!$C:$C,$D$5,'ETPT Format DDG'!$H:$H,"1VPE")</f>
        <v>#N/A</v>
      </c>
      <c r="AK10" s="56" t="e">
        <f>SUMIFS( INDEX( 'ETPT Format DDG'!$A:$FF,,MATCH("11.3. FORMATIONS DISPENSÉES",'ETPT Format DDG'!2:2,0)),'ETPT Format DDG'!$C:$C,$D$5,'ETPT Format DDG'!$H:$H,"VPLD")+
SUMIFS( INDEX( 'ETPT Format DDG'!$A:$FF,,MATCH("11.3. FORMATIONS DISPENSÉES",'ETPT Format DDG'!2:2,0)),'ETPT Format DDG'!$C:$C,$D$5,'ETPT Format DDG'!$H:$H,"1VPLD")</f>
        <v>#N/A</v>
      </c>
      <c r="AL10" s="49" t="e">
        <f t="shared" si="2"/>
        <v>#N/A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56" t="e">
        <f>SUMIFS( INDEX( 'ETPT Format DDG'!$A:$FF,,MATCH("11.3. FORMATIONS DISPENSÉES",'ETPT Format DDG'!2:2,0)),'ETPT Format DDG'!$C:$C,$D$5,'ETPT Format DDG'!$FA:$FA,"Magistrat SIEGE NS")</f>
        <v>#N/A</v>
      </c>
      <c r="AZ10" s="49" t="e">
        <f t="shared" si="3"/>
        <v>#N/A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4"/>
        <v>0</v>
      </c>
    </row>
    <row r="11" spans="1:62" s="44" customFormat="1" ht="14.25" customHeight="1" x14ac:dyDescent="0.15">
      <c r="A11" s="54" t="s">
        <v>53</v>
      </c>
      <c r="B11" s="64"/>
      <c r="C11" s="64"/>
      <c r="D11" s="65" t="str">
        <f t="shared" si="5"/>
        <v/>
      </c>
      <c r="E11" s="64" t="s">
        <v>61</v>
      </c>
      <c r="F11" s="64" t="s">
        <v>60</v>
      </c>
      <c r="G11" s="69" t="e">
        <f>SUMIFS( INDEX( 'ETPT Format DDG'!$A:$FF,,MATCH("11.4. ACCÈS AU DROIT ET À LA JUSTICE",'ETPT Format DDG'!2:2,0)),'ETPT Format DDG'!$C:$C,$D$5,'ETPT Format DDG'!$FA:$FA,"Fonctionnaire CTECH")</f>
        <v>#N/A</v>
      </c>
      <c r="H11" s="62" t="e">
        <f t="shared" si="0"/>
        <v>#N/A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1" t="e">
        <f>SUMIFS( INDEX( 'ETPT Format DDG'!$A:$FF,,MATCH("11.4. ACCÈS AU DROIT ET À LA JUSTICE",'ETPT Format DDG'!2:2,0)),'ETPT Format DDG'!$C:$C,$D$5,'ETPT Format DDG'!$FA:$FA,"Fonctionnaire A-B-CBUR")</f>
        <v>#N/A</v>
      </c>
      <c r="W11" s="49" t="e">
        <f t="shared" si="6"/>
        <v>#N/A</v>
      </c>
      <c r="X11" s="68" t="e">
        <f>SUMIFS( INDEX( 'ETPT Format DDG'!$A:$FF,,MATCH("11.4. ACCÈS AU DROIT ET À LA JUSTICE",'ETPT Format DDG'!2:2,0)),'ETPT Format DDG'!$C:$C,$D$5,'ETPT Format DDG'!$FA:$FA,"CONT A JP Autour du Juge")</f>
        <v>#N/A</v>
      </c>
      <c r="Y11" s="68" t="e">
        <f>SUMIFS( INDEX( 'ETPT Format DDG'!$A:$FF,,MATCH("11.4. ACCÈS AU DROIT ET À LA JUSTICE",'ETPT Format DDG'!2:2,0)),'ETPT Format DDG'!$C:$C,$D$5,'ETPT Format DDG'!$FA:$FA,"JURISTE AS Parquet")</f>
        <v>#N/A</v>
      </c>
      <c r="Z11" s="68" t="e">
        <f>SUMIFS( INDEX( 'ETPT Format DDG'!$A:$FF,,MATCH("11.4. ACCÈS AU DROIT ET À LA JUSTICE",'ETPT Format DDG'!2:2,0)),'ETPT Format DDG'!$C:$C,$D$5,'ETPT Format DDG'!$FA:$FA,"JURISTE AS Pôle social")</f>
        <v>#N/A</v>
      </c>
      <c r="AA11" s="68" t="e">
        <f>SUMIFS( INDEX( 'ETPT Format DDG'!$A:$FF,,MATCH("11.4. ACCÈS AU DROIT ET À LA JUSTICE",'ETPT Format DDG'!2:2,0)),'ETPT Format DDG'!$C:$C,$D$5,'ETPT Format DDG'!$FA:$FA,"JURISTE AS siège Autres")</f>
        <v>#N/A</v>
      </c>
      <c r="AB11" s="49" t="e">
        <f t="shared" si="1"/>
        <v>#N/A</v>
      </c>
      <c r="AC11" s="66"/>
      <c r="AD11" s="56" t="e">
        <f>SUMIFS( INDEX( 'ETPT Format DDG'!$A:$FF,,MATCH("11.4. ACCÈS AU DROIT ET À LA JUSTICE",'ETPT Format DDG'!2:2,0)),'ETPT Format DDG'!$C:$C,$D$5,'ETPT Format DDG'!$H:$H,"JCP")+
SUMIFS( INDEX( 'ETPT Format DDG'!$A:$FF,,MATCH("11.4. ACCÈS AU DROIT ET À LA JUSTICE",'ETPT Format DDG'!2:2,0)),'ETPT Format DDG'!$C:$C,$D$5,'ETPT Format DDG'!$H:$H,"VPCP")+
SUMIFS( INDEX( 'ETPT Format DDG'!$A:$FF,,MATCH("11.4. ACCÈS AU DROIT ET À LA JUSTICE",'ETPT Format DDG'!2:2,0)),'ETPT Format DDG'!$C:$C,$D$5,'ETPT Format DDG'!$H:$H,"1VPCP")</f>
        <v>#N/A</v>
      </c>
      <c r="AE11" s="56" t="e">
        <f>SUMIFS( INDEX( 'ETPT Format DDG'!$A:$FF,,MATCH("11.4. ACCÈS AU DROIT ET À LA JUSTICE",'ETPT Format DDG'!2:2,0)),'ETPT Format DDG'!$C:$C,$D$5,'ETPT Format DDG'!$H:$H,"JI")+
SUMIFS( INDEX( 'ETPT Format DDG'!$A:$FF,,MATCH("11.4. ACCÈS AU DROIT ET À LA JUSTICE",'ETPT Format DDG'!2:2,0)),'ETPT Format DDG'!$C:$C,$D$5,'ETPT Format DDG'!$H:$H,"VPI")+
SUMIFS( INDEX( 'ETPT Format DDG'!$A:$FF,,MATCH("11.4. ACCÈS AU DROIT ET À LA JUSTICE",'ETPT Format DDG'!2:2,0)),'ETPT Format DDG'!$C:$C,$D$5,'ETPT Format DDG'!$H:$H,"1VPI")</f>
        <v>#N/A</v>
      </c>
      <c r="AF11" s="70"/>
      <c r="AG11" s="70"/>
      <c r="AH11" s="70"/>
      <c r="AI11" s="56" t="e">
        <f>SUMIFS( INDEX( 'ETPT Format DDG'!$A:$FF,,MATCH("11.4. ACCÈS AU DROIT ET À LA JUSTICE",'ETPT Format DDG'!2:2,0)),'ETPT Format DDG'!$C:$C,$D$5,'ETPT Format DDG'!$H:$H,"JAP")+
SUMIFS( INDEX( 'ETPT Format DDG'!$A:$FF,,MATCH("11.4. ACCÈS AU DROIT ET À LA JUSTICE",'ETPT Format DDG'!2:2,0)),'ETPT Format DDG'!$C:$C,$D$5,'ETPT Format DDG'!$H:$H,"VPAP")+
SUMIFS( INDEX( 'ETPT Format DDG'!$A:$FF,,MATCH("11.4. ACCÈS AU DROIT ET À LA JUSTICE",'ETPT Format DDG'!2:2,0)),'ETPT Format DDG'!$C:$C,$D$5,'ETPT Format DDG'!$H:$H,"1VPAP")</f>
        <v>#N/A</v>
      </c>
      <c r="AJ11" s="56" t="e">
        <f>SUMIFS( INDEX( 'ETPT Format DDG'!$A:$FF,,MATCH("11.4. ACCÈS AU DROIT ET À LA JUSTICE",'ETPT Format DDG'!2:2,0)),'ETPT Format DDG'!$C:$C,$D$5,'ETPT Format DDG'!$H:$H,"JE")+
SUMIFS( INDEX( 'ETPT Format DDG'!$A:$FF,,MATCH("11.4. ACCÈS AU DROIT ET À LA JUSTICE",'ETPT Format DDG'!2:2,0)),'ETPT Format DDG'!$C:$C,$D$5,'ETPT Format DDG'!$H:$H,"VPE")+
SUMIFS( INDEX( 'ETPT Format DDG'!$A:$FF,,MATCH("11.4. ACCÈS AU DROIT ET À LA JUSTICE",'ETPT Format DDG'!2:2,0)),'ETPT Format DDG'!$C:$C,$D$5,'ETPT Format DDG'!$H:$H,"1VPE")</f>
        <v>#N/A</v>
      </c>
      <c r="AK11" s="56" t="e">
        <f>SUMIFS( INDEX( 'ETPT Format DDG'!$A:$FF,,MATCH("11.4. ACCÈS AU DROIT ET À LA JUSTICE",'ETPT Format DDG'!2:2,0)),'ETPT Format DDG'!$C:$C,$D$5,'ETPT Format DDG'!$H:$H,"VPLD")+
SUMIFS( INDEX( 'ETPT Format DDG'!$A:$FF,,MATCH("11.4. ACCÈS AU DROIT ET À LA JUSTICE",'ETPT Format DDG'!2:2,0)),'ETPT Format DDG'!$C:$C,$D$5,'ETPT Format DDG'!$H:$H,"1VPLD")</f>
        <v>#N/A</v>
      </c>
      <c r="AL11" s="62" t="e">
        <f t="shared" si="2"/>
        <v>#N/A</v>
      </c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56" t="e">
        <f>SUMIFS( INDEX( 'ETPT Format DDG'!$A:$FF,,MATCH("11.4. ACCÈS AU DROIT ET À LA JUSTICE",'ETPT Format DDG'!2:2,0)),'ETPT Format DDG'!$C:$C,$D$5,'ETPT Format DDG'!$FA:$FA,"Magistrat SIEGE NS")</f>
        <v>#N/A</v>
      </c>
      <c r="AZ11" s="49" t="e">
        <f t="shared" si="3"/>
        <v>#N/A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4"/>
        <v>0</v>
      </c>
    </row>
    <row r="12" spans="1:62" s="44" customFormat="1" ht="14.25" customHeight="1" x14ac:dyDescent="0.15">
      <c r="A12" s="54" t="s">
        <v>53</v>
      </c>
      <c r="B12" s="64"/>
      <c r="C12" s="64"/>
      <c r="D12" s="65" t="str">
        <f t="shared" si="5"/>
        <v/>
      </c>
      <c r="E12" s="64" t="s">
        <v>59</v>
      </c>
      <c r="F12" s="64" t="s">
        <v>58</v>
      </c>
      <c r="G12" s="69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62" t="e">
        <f t="shared" si="0"/>
        <v>#N/A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1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W12" s="49" t="e">
        <f t="shared" si="6"/>
        <v>#N/A</v>
      </c>
      <c r="X12" s="68" t="e">
        <f>SUMIFS( INDEX( 'ETPT Format DDG'!$A:$FF,,MATCH("12. TOTAL INDISPONIBILITÉ",'ETPT Format DDG'!2:2,0)),'ETPT Format DDG'!$C:$C,$D$5,'ETPT Format DDG'!$FA:$FA,"CONT A JP Autour du Juge")-
SUMIFS( INDEX( 'ETPT Format DDG'!$A:$FF,,MATCH("12.5. MISE À DISPOSITION",'ETPT Format DDG'!2:2,0)),'ETPT Format DDG'!$C:$C,$D$5,'ETPT Format DDG'!$FA:$FA,"CONT A JP Autour du Juge")</f>
        <v>#N/A</v>
      </c>
      <c r="Y12" s="68" t="e">
        <f>SUMIFS( INDEX( 'ETPT Format DDG'!$A:$FF,,MATCH("12. TOTAL INDISPONIBILITÉ",'ETPT Format DDG'!2:2,0)),'ETPT Format DDG'!$C:$C,$D$5,'ETPT Format DDG'!$FA:$FA,"JURISTE AS Parquet")-
SUMIFS( INDEX( 'ETPT Format DDG'!$A:$FF,,MATCH("12.5. MISE À DISPOSITION",'ETPT Format DDG'!2:2,0)),'ETPT Format DDG'!$C:$C,$D$5,'ETPT Format DDG'!$FA:$FA,"JURISTE AS Parquet")</f>
        <v>#N/A</v>
      </c>
      <c r="Z12" s="68" t="e">
        <f>SUMIFS( INDEX( 'ETPT Format DDG'!$A:$FF,,MATCH("12. TOTAL INDISPONIBILITÉ",'ETPT Format DDG'!2:2,0)),'ETPT Format DDG'!$C:$C,$D$5,'ETPT Format DDG'!$FA:$FA,"JURISTE AS Pôle social")-
SUMIFS( INDEX( 'ETPT Format DDG'!$A:$FF,,MATCH("12.5. MISE À DISPOSITION",'ETPT Format DDG'!2:2,0)),'ETPT Format DDG'!$C:$C,$D$5,'ETPT Format DDG'!$FA:$FA,"JURISTE AS Pôle social")</f>
        <v>#N/A</v>
      </c>
      <c r="AA12" s="68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AB12" s="49" t="e">
        <f t="shared" si="1"/>
        <v>#N/A</v>
      </c>
      <c r="AC12" s="66"/>
      <c r="AD12" s="56" t="e">
        <f>SUMIFS( INDEX( 'ETPT Format DDG'!$A:$FF,,MATCH("12. TOTAL INDISPONIBILITÉ",'ETPT Format DDG'!2:2,0)),'ETPT Format DDG'!$C:$C,$D$5,'ETPT Format DDG'!$H:$H,"JCP")+
SUMIFS( INDEX( 'ETPT Format DDG'!$A:$FF,,MATCH("12. TOTAL INDISPONIBILITÉ",'ETPT Format DDG'!2:2,0)),'ETPT Format DDG'!$C:$C,$D$5,'ETPT Format DDG'!$H:$H,"VPCP")+
SUMIFS( INDEX( 'ETPT Format DDG'!$A:$FF,,MATCH("12. TOTAL INDISPONIBILITÉ",'ETPT Format DDG'!2:2,0)),'ETPT Format DDG'!$C:$C,$D$5,'ETPT Format DDG'!$H:$H,"1VPCP")</f>
        <v>#N/A</v>
      </c>
      <c r="AE12" s="56" t="e">
        <f>SUMIFS( INDEX( 'ETPT Format DDG'!$A:$FF,,MATCH("12. TOTAL INDISPONIBILITÉ",'ETPT Format DDG'!2:2,0)),'ETPT Format DDG'!$C:$C,$D$5,'ETPT Format DDG'!$H:$H,"JI")+
SUMIFS( INDEX( 'ETPT Format DDG'!$A:$FF,,MATCH("12. TOTAL INDISPONIBILITÉ",'ETPT Format DDG'!2:2,0)),'ETPT Format DDG'!$C:$C,$D$5,'ETPT Format DDG'!$H:$H,"VPI")+
SUMIFS( INDEX( 'ETPT Format DDG'!$A:$FF,,MATCH("12. TOTAL INDISPONIBILITÉ",'ETPT Format DDG'!2:2,0)),'ETPT Format DDG'!$C:$C,$D$5,'ETPT Format DDG'!$H:$H,"1VPI")</f>
        <v>#N/A</v>
      </c>
      <c r="AF12" s="66"/>
      <c r="AG12" s="66"/>
      <c r="AH12" s="66"/>
      <c r="AI12" s="56" t="e">
        <f>SUMIFS( INDEX( 'ETPT Format DDG'!$A:$FF,,MATCH("12. TOTAL INDISPONIBILITÉ",'ETPT Format DDG'!2:2,0)),'ETPT Format DDG'!$C:$C,$D$5,'ETPT Format DDG'!$H:$H,"JAP")+
SUMIFS( INDEX( 'ETPT Format DDG'!$A:$FF,,MATCH("12. TOTAL INDISPONIBILITÉ",'ETPT Format DDG'!2:2,0)),'ETPT Format DDG'!$C:$C,$D$5,'ETPT Format DDG'!$H:$H,"VPAP")+
SUMIFS( INDEX( 'ETPT Format DDG'!$A:$FF,,MATCH("12. TOTAL INDISPONIBILITÉ",'ETPT Format DDG'!2:2,0)),'ETPT Format DDG'!$C:$C,$D$5,'ETPT Format DDG'!$H:$H,"1VPAP")</f>
        <v>#N/A</v>
      </c>
      <c r="AJ12" s="56" t="e">
        <f>SUMIFS( INDEX( 'ETPT Format DDG'!$A:$FF,,MATCH("12. TOTAL INDISPONIBILITÉ",'ETPT Format DDG'!2:2,0)),'ETPT Format DDG'!$C:$C,$D$5,'ETPT Format DDG'!$H:$H,"JE")+
SUMIFS( INDEX( 'ETPT Format DDG'!$A:$FF,,MATCH("12. TOTAL INDISPONIBILITÉ",'ETPT Format DDG'!2:2,0)),'ETPT Format DDG'!$C:$C,$D$5,'ETPT Format DDG'!$H:$H,"VPE")+
SUMIFS( INDEX( 'ETPT Format DDG'!$A:$FF,,MATCH("12. TOTAL INDISPONIBILITÉ",'ETPT Format DDG'!2:2,0)),'ETPT Format DDG'!$C:$C,$D$5,'ETPT Format DDG'!$H:$H,"1VPE")</f>
        <v>#N/A</v>
      </c>
      <c r="AK12" s="56" t="e">
        <f>SUMIFS( INDEX( 'ETPT Format DDG'!$A:$FF,,MATCH("12. TOTAL INDISPONIBILITÉ",'ETPT Format DDG'!2:2,0)),'ETPT Format DDG'!$C:$C,$D$5,'ETPT Format DDG'!$H:$H,"VPLD")+
SUMIFS( INDEX( 'ETPT Format DDG'!$A:$FF,,MATCH("12. TOTAL INDISPONIBILITÉ",'ETPT Format DDG'!2:2,0)),'ETPT Format DDG'!$C:$C,$D$5,'ETPT Format DDG'!$H:$H,"1VPLD")</f>
        <v>#N/A</v>
      </c>
      <c r="AL12" s="49" t="e">
        <f t="shared" si="2"/>
        <v>#N/A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56" t="e">
        <f>SUMIFS( INDEX( 'ETPT Format DDG'!$A:$FF,,MATCH("12. TOTAL INDISPONIBILITÉ",'ETPT Format DDG'!2:2,0)),'ETPT Format DDG'!$C:$C,$D$5,'ETPT Format DDG'!$FA:$FA,"Magistrat SIEGE NS")</f>
        <v>#N/A</v>
      </c>
      <c r="AZ12" s="49" t="e">
        <f t="shared" si="3"/>
        <v>#N/A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4"/>
        <v>0</v>
      </c>
    </row>
    <row r="13" spans="1:62" s="44" customFormat="1" ht="14.25" customHeight="1" x14ac:dyDescent="0.15">
      <c r="A13" s="54" t="s">
        <v>53</v>
      </c>
      <c r="B13" s="64"/>
      <c r="C13" s="64"/>
      <c r="D13" s="65" t="str">
        <f t="shared" si="5"/>
        <v/>
      </c>
      <c r="E13" s="64" t="s">
        <v>57</v>
      </c>
      <c r="F13" s="64" t="s">
        <v>56</v>
      </c>
      <c r="G13" s="63" t="e">
        <f>SUMIFS( INDEX( 'ETPT Format DDG'!$A:$FF,,MATCH("12.5. MISE À DISPOSITION",'ETPT Format DDG'!2:2,0)),'ETPT Format DDG'!$C:$C,$D$5,'ETPT Format DDG'!$FA:$FA,"Fonctionnaire CTECH")</f>
        <v>#N/A</v>
      </c>
      <c r="H13" s="62" t="e">
        <f t="shared" si="0"/>
        <v>#N/A</v>
      </c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56" t="e">
        <f>SUMIFS( INDEX( 'ETPT Format DDG'!$A:$FF,,MATCH("12.5. MISE À DISPOSITION",'ETPT Format DDG'!2:2,0)),'ETPT Format DDG'!$C:$C,$D$5,'ETPT Format DDG'!$FA:$FA,"Fonctionnaire A-B-CBUR")</f>
        <v>#N/A</v>
      </c>
      <c r="W13" s="49" t="e">
        <f t="shared" si="6"/>
        <v>#N/A</v>
      </c>
      <c r="X13" s="67" t="e">
        <f>SUMIFS( INDEX( 'ETPT Format DDG'!$A:$FF,,MATCH("12.5. MISE À DISPOSITION",'ETPT Format DDG'!2:2,0)),'ETPT Format DDG'!$C:$C,$D$5,'ETPT Format DDG'!$FA:$FA,"CONT A JP Autour du Juge")</f>
        <v>#N/A</v>
      </c>
      <c r="Y13" s="67" t="e">
        <f>SUMIFS( INDEX( 'ETPT Format DDG'!$A:$FF,,MATCH("12.5. MISE À DISPOSITION",'ETPT Format DDG'!2:2,0)),'ETPT Format DDG'!$C:$C,$D$5,'ETPT Format DDG'!$FA:$FA,"JURISTE AS Parquet")</f>
        <v>#N/A</v>
      </c>
      <c r="Z13" s="67" t="e">
        <f>SUMIFS( INDEX( 'ETPT Format DDG'!$A:$FF,,MATCH("12.5. MISE À DISPOSITION",'ETPT Format DDG'!2:2,0)),'ETPT Format DDG'!$C:$C,$D$5,'ETPT Format DDG'!$FA:$FA,"JURISTE AS Pôle social")</f>
        <v>#N/A</v>
      </c>
      <c r="AA13" s="67" t="e">
        <f>SUMIFS( INDEX( 'ETPT Format DDG'!$A:$FF,,MATCH("12.5. MISE À DISPOSITION",'ETPT Format DDG'!2:2,0)),'ETPT Format DDG'!$C:$C,$D$5,'ETPT Format DDG'!$FA:$FA,"JURISTE AS siège Autres")</f>
        <v>#N/A</v>
      </c>
      <c r="AB13" s="49" t="e">
        <f t="shared" si="1"/>
        <v>#N/A</v>
      </c>
      <c r="AC13" s="66"/>
      <c r="AD13" s="303" t="e">
        <f>SUMIFS( INDEX( 'ETPT Format DDG'!$A:$FF,,MATCH("12.5. MISE À DISPOSITION",'ETPT Format DDG'!2:2,0)),'ETPT Format DDG'!$C:$C,$D$5,'ETPT Format DDG'!$H:$H,"JCP")+
SUMIFS( INDEX( 'ETPT Format DDG'!$A:$FF,,MATCH("12.5. MISE À DISPOSITION",'ETPT Format DDG'!2:2,0)),'ETPT Format DDG'!$C:$C,$D$5,'ETPT Format DDG'!$H:$H,"VPCP")+
SUMIFS( INDEX( 'ETPT Format DDG'!$A:$FF,,MATCH("12.5. MISE À DISPOSITION",'ETPT Format DDG'!2:2,0)),'ETPT Format DDG'!$C:$C,$D$5,'ETPT Format DDG'!$H:$H,"1VPCP")</f>
        <v>#N/A</v>
      </c>
      <c r="AE13" s="303" t="e">
        <f>SUMIFS( INDEX( 'ETPT Format DDG'!$A:$FF,,MATCH("12.5. MISE À DISPOSITION",'ETPT Format DDG'!2:2,0)),'ETPT Format DDG'!$C:$C,$D$5,'ETPT Format DDG'!$H:$H,"JI")+
SUMIFS( INDEX( 'ETPT Format DDG'!$A:$FF,,MATCH("12.5. MISE À DISPOSITION",'ETPT Format DDG'!2:2,0)),'ETPT Format DDG'!$C:$C,$D$5,'ETPT Format DDG'!$H:$H,"VPI")+
SUMIFS( INDEX( 'ETPT Format DDG'!$A:$FF,,MATCH("12.5. MISE À DISPOSITION",'ETPT Format DDG'!2:2,0)),'ETPT Format DDG'!$C:$C,$D$5,'ETPT Format DDG'!$H:$H,"1VPI")</f>
        <v>#N/A</v>
      </c>
      <c r="AF13" s="66"/>
      <c r="AG13" s="66"/>
      <c r="AH13" s="66"/>
      <c r="AI13" s="303" t="e">
        <f>SUMIFS( INDEX( 'ETPT Format DDG'!$A:$FF,,MATCH("12.5. MISE À DISPOSITION",'ETPT Format DDG'!2:2,0)),'ETPT Format DDG'!$C:$C,$D$5,'ETPT Format DDG'!$H:$H,"JAP")+
SUMIFS( INDEX( 'ETPT Format DDG'!$A:$FF,,MATCH("12.5. MISE À DISPOSITION",'ETPT Format DDG'!2:2,0)),'ETPT Format DDG'!$C:$C,$D$5,'ETPT Format DDG'!$H:$H,"VPAP")+
SUMIFS( INDEX( 'ETPT Format DDG'!$A:$FF,,MATCH("12.5. MISE À DISPOSITION",'ETPT Format DDG'!2:2,0)),'ETPT Format DDG'!$C:$C,$D$5,'ETPT Format DDG'!$H:$H,"1VPAP")</f>
        <v>#N/A</v>
      </c>
      <c r="AJ13" s="303" t="e">
        <f>SUMIFS( INDEX( 'ETPT Format DDG'!$A:$FF,,MATCH("12.5. MISE À DISPOSITION",'ETPT Format DDG'!2:2,0)),'ETPT Format DDG'!$C:$C,$D$5,'ETPT Format DDG'!$H:$H,"JE")+
SUMIFS( INDEX( 'ETPT Format DDG'!$A:$FF,,MATCH("12.5. MISE À DISPOSITION",'ETPT Format DDG'!2:2,0)),'ETPT Format DDG'!$C:$C,$D$5,'ETPT Format DDG'!$H:$H,"VPE")+
SUMIFS( INDEX( 'ETPT Format DDG'!$A:$FF,,MATCH("12.5. MISE À DISPOSITION",'ETPT Format DDG'!2:2,0)),'ETPT Format DDG'!$C:$C,$D$5,'ETPT Format DDG'!$H:$H,"1VPE")</f>
        <v>#N/A</v>
      </c>
      <c r="AK13" s="303" t="e">
        <f>SUMIFS( INDEX( 'ETPT Format DDG'!$A:$FF,,MATCH("12.5. MISE À DISPOSITION",'ETPT Format DDG'!2:2,0)),'ETPT Format DDG'!$C:$C,$D$5,'ETPT Format DDG'!$H:$H,"VPLD")+
SUMIFS( INDEX( 'ETPT Format DDG'!$A:$FF,,MATCH("12.5. MISE À DISPOSITION",'ETPT Format DDG'!2:2,0)),'ETPT Format DDG'!$C:$C,$D$5,'ETPT Format DDG'!$H:$H,"1VPLD")</f>
        <v>#N/A</v>
      </c>
      <c r="AL13" s="49" t="e">
        <f t="shared" si="2"/>
        <v>#N/A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303" t="e">
        <f>SUMIFS( INDEX( 'ETPT Format DDG'!$A:$FF,,MATCH("12.5. MISE À DISPOSITION",'ETPT Format DDG'!2:2,0)),'ETPT Format DDG'!$C:$C,$D$5,'ETPT Format DDG'!$H:$H,"Magistrat SIEGE NS")</f>
        <v>#N/A</v>
      </c>
      <c r="AZ13" s="49" t="e">
        <f t="shared" si="3"/>
        <v>#N/A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4"/>
        <v>0</v>
      </c>
    </row>
    <row r="14" spans="1:62" s="44" customFormat="1" ht="14.25" customHeight="1" x14ac:dyDescent="0.15">
      <c r="A14" s="54" t="s">
        <v>53</v>
      </c>
      <c r="B14" s="64"/>
      <c r="C14" s="64"/>
      <c r="D14" s="65" t="str">
        <f t="shared" si="5"/>
        <v/>
      </c>
      <c r="E14" s="64" t="s">
        <v>55</v>
      </c>
      <c r="F14" s="64" t="s">
        <v>54</v>
      </c>
      <c r="G14" s="63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62">
        <f t="shared" si="0"/>
        <v>0</v>
      </c>
      <c r="I14" s="61" t="e">
        <f>SUMIFS( INDEX( 'ETPT Format DDG'!$A:$FF,,MATCH("11.8. FONCTIONNAIRES AFFECTÉS AUX ACTIVITÉS CIVILES ET COMMERCIALES DU PARQUET",'ETPT Format DDG'!2:2,0)),'ETPT Format DDG'!$C:$C,$D$5,'ETPT Format DDG'!$FA:$FA,"Fonctionnaire A-B-CBUR placé ADD")</f>
        <v>#N/A</v>
      </c>
      <c r="J14" s="61" t="e">
        <f>SUMIFS( INDEX( 'ETPT Format DDG'!$A:$FF,,MATCH("11.9. FONCTIONNAIRES AFFECTÉS À L'EXÉCUTION DES PEINES",'ETPT Format DDG'!2:2,0)),'ETPT Format DDG'!$C:$C,$D$5,'ETPT Format DDG'!$FA:$FA,"Fonctionnaire A-B-CBUR placé ADD")</f>
        <v>#N/A</v>
      </c>
      <c r="K14" s="61" t="e">
        <f>SUMIFS( INDEX( 'ETPT Format DDG'!$A:$FF,,MATCH("7.5. COUR D'ASSISES HORS JIRS",'ETPT Format DDG'!2:2,0)),'ETPT Format DDG'!$C:$C,$D$5,'ETPT Format DDG'!$FA:$FA,"Fonctionnaire A-B-CBUR placé ADD")+
SUMIFS( INDEX( 'ETPT Format DDG'!$A:$FF,,MATCH("7.51. COUR D'ASSISES JIRS",'ETPT Format DDG'!2:2,0)),'ETPT Format DDG'!$C:$C,$D$5,'ETPT Format DDG'!$FA:$FA,"Fonctionnaire A-B-CBUR placé ADD")</f>
        <v>#N/A</v>
      </c>
      <c r="L14" s="61" t="e">
        <f>SUMIFS( INDEX( 'ETPT Format DDG'!$A:$FF,,MATCH("7.52. COUR CRIMINELLE",'ETPT Format DDG'!2:2,0)),'ETPT Format DDG'!$C:$C,$D$5,'ETPT Format DDG'!$FA:$FA,"Fonctionnaire A-B-CBUR placé ADD")</f>
        <v>#N/A</v>
      </c>
      <c r="M14" s="61" t="e">
        <f>SUMIFS( INDEX( 'ETPT Format DDG'!$A:$FF,,MATCH("8.2. JIRS ÉCO-FI",'ETPT Format DDG'!2:2,0)),'ETPT Format DDG'!$C:$C,$D$5,'ETPT Format DDG'!$FA:$FA,"Fonctionnaire A-B-CBUR placé ADD")</f>
        <v>#N/A</v>
      </c>
      <c r="N14" s="61" t="e">
        <f>SUMIFS( INDEX( 'ETPT Format DDG'!$A:$FF,,MATCH("8.3. JIRS CRIM-ORG",'ETPT Format DDG'!2:2,0)),'ETPT Format DDG'!$C:$C,$D$5,'ETPT Format DDG'!$FA:$FA,"Fonctionnaire A-B-CBUR placé ADD")</f>
        <v>#N/A</v>
      </c>
      <c r="O14" s="61" t="e">
        <f>SUMIFS( INDEX( 'ETPT Format DDG'!$A:$FF,,MATCH("8.4. AUTRES SECTIONS SPÉCIALISÉES",'ETPT Format DDG'!2:2,0)),'ETPT Format DDG'!$C:$C,$D$5,'ETPT Format DDG'!$FA:$FA,"Fonctionnaire A-B-CBUR placé ADD")</f>
        <v>#N/A</v>
      </c>
      <c r="P14" s="61" t="e">
        <f>SUMIFS( INDEX( 'ETPT Format DDG'!$A:$FF,,MATCH("3.2. PROTECTION DES MAJEURS",'ETPT Format DDG'!2:2,0)),'ETPT Format DDG'!$C:$C,$D$5,'ETPT Format DDG'!$FA:$FA,"Fonctionnaire A-B-CBUR placé ADD")</f>
        <v>#N/A</v>
      </c>
      <c r="Q14" s="61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R14" s="61" t="e">
        <f>SUMIFS( INDEX( 'ETPT Format DDG'!$A:$FF,,MATCH("5. TOTAL JLD CIVIL",'ETPT Format DDG'!2:2,0)),'ETPT Format DDG'!$C:$C,$D$5,'ETPT Format DDG'!$FA:$FA,"Fonctionnaire A-B-CBUR placé ADD")+
SUMIFS( INDEX( 'ETPT Format DDG'!$A:$FF,,MATCH("6.1. ACTIVITÉ CIVILE",'ETPT Format DDG'!2:2,0)),'ETPT Format DDG'!$C:$C,$D$5,'ETPT Format DDG'!$FA:$FA,"Fonctionnaire A-B-CBUR placé ADD")+
SUMIFS( INDEX( 'ETPT Format DDG'!$A:$FF,,MATCH("6.2. ACTIVITÉ PÉNALE",'ETPT Format DDG'!2:2,0)),'ETPT Format DDG'!$C:$C,$D$5,'ETPT Format DDG'!$FA:$FA,"Fonctionnaire A-B-CBUR placé ADD")+
(SUMIFS( INDEX( 'ETPT Format DDG'!$A:$FF,,MATCH("8. TOTAL JUGES D'INSTRUCTION",'ETPT Format DDG'!2:2,0)),'ETPT Format DDG'!$C:$C,$D$5,'ETPT Format DDG'!$FA:$FA,"Fonctionnaire A-B-CBUR placé ADD")-
SUMIFS( INDEX( 'ETPT Format DDG'!$A:$FF,,MATCH("8.2. JIRS ÉCO-FI",'ETPT Format DDG'!2:2,0)),'ETPT Format DDG'!$C:$C,$D$5,'ETPT Format DDG'!$FA:$FA,"Fonctionnaire A-B-CBUR placé ADD")-
SUMIFS( INDEX( 'ETPT Format DDG'!$A:$FF,,MATCH("8.3. JIRS CRIM-ORG",'ETPT Format DDG'!2:2,0)),'ETPT Format DDG'!$C:$C,$D$5,'ETPT Format DDG'!$FA:$FA,"Fonctionnaire A-B-CBUR placé ADD")-
SUMIFS( INDEX( 'ETPT Format DDG'!$A:$FF,,MATCH("8.4. AUTRES SECTIONS SPÉCIALISÉES",'ETPT Format DDG'!2:2,0)),'ETPT Format DDG'!$C:$C,$D$5,'ETPT Format DDG'!$FA:$FA,"Fonctionnaire A-B-CBUR placé ADD"))+
SUMIFS( INDEX( 'ETPT Format DDG'!$A:$FF,,MATCH("9. TOTAL JAP",'ETPT Format DDG'!2:2,0)),'ETPT Format DDG'!$C:$C,$D$5,'ETPT Format DDG'!$FA:$FA,"Fonctionnaire A-B-CBUR placé ADD")+
SUMIFS( INDEX( 'ETPT Format DDG'!$A:$FF,,MATCH("10. TOTAL JLD PÉNAL",'ETPT Format DDG'!2:2,0)),'ETPT Format DDG'!$C:$C,$D$5,'ETPT Format DDG'!$FA:$FA,"Fonctionnaire A-B-CBUR placé ADD")</f>
        <v>#N/A</v>
      </c>
      <c r="S14" s="61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T14" s="61" t="e">
        <f>SUMIFS( INDEX( 'ETPT Format DDG'!$A:$FF,,MATCH("4.0. CONTENTIEUX GÉNÉRAL &lt;10.000€",'ETPT Format DDG'!2:2,0)),'ETPT Format DDG'!$C:$C,$D$5,'ETPT Format DDG'!$FA:$FA,"Fonctionnaire A-B-CBUR placé ADD")</f>
        <v>#N/A</v>
      </c>
      <c r="U14" s="61" t="e">
        <f>SUMIFS( INDEX( 'ETPT Format DDG'!$A:$FF,,MATCH("1. TOTAL CONTENTIEUX SOCIAL",'ETPT Format DDG'!2:2,0)),'ETPT Format DDG'!$C:$C,$D$5,'ETPT Format DDG'!$FA:$FA,"Fonctionnaire A-B-CBUR placé ADD")</f>
        <v>#N/A</v>
      </c>
      <c r="V14" s="166" t="e">
        <f>SUMIFS( INDEX( 'ETPT Format DDG'!$A:$FF,,MATCH("Temps ventilé sur la période (y.c. indisponibilité)",'ETPT Format DDG'!2:2,0)),'ETPT Format DDG'!$C:$C,$D$5,'ETPT Format DDG'!$FA:$FA,"Fonctionnaire A-B-CBUR placé ADD")-
SUM(I14:U14)-SUMIFS( INDEX( 'ETPT Format DDG'!$A:$FF,,MATCH("11.7. FONCTIONNAIRES AFFECTÉS AU CPH",'ETPT Format DDG'!2:2,0)),'ETPT Format DDG'!$C:$C,$D$5,'ETPT Format DDG'!$FA:$FA,"Fonctionnaire CTECH placé ADD")</f>
        <v>#N/A</v>
      </c>
      <c r="W14" s="49" t="e">
        <f t="shared" si="6"/>
        <v>#N/A</v>
      </c>
      <c r="X14" s="60"/>
      <c r="Y14" s="59"/>
      <c r="Z14" s="59"/>
      <c r="AA14" s="59"/>
      <c r="AB14" s="49">
        <f t="shared" si="1"/>
        <v>0</v>
      </c>
      <c r="AC14" s="58" t="e">
        <f>SUMIFS( INDEX( 'ETPT Format DDG'!$A:$FF,,MATCH("3.2. PROTECTION DES MAJEURS",'ETPT Format DDG'!2:2,0)),'ETPT Format DDG'!$C:$C,$D$5,'ETPT Format DDG'!$FA:$FA,"Magistrat placé ADD")</f>
        <v>#N/A</v>
      </c>
      <c r="AD14" s="56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AE14" s="165" t="e">
        <f>SUMIFS( INDEX( 'ETPT Format DDG'!$A:$FF,,MATCH("8.1. SERVICE GÉNÉRAL",'ETPT Format DDG'!2:2,0)),'ETPT Format DDG'!$C:$C,$D$5,'ETPT Format DDG'!$FA:$FA,"Magistrat placé ADD")</f>
        <v>#N/A</v>
      </c>
      <c r="AF14" s="165" t="e">
        <f>SUMIFS( INDEX( 'ETPT Format DDG'!$A:$FF,,MATCH("8.2. JIRS ÉCO-FI",'ETPT Format DDG'!2:2,0)),'ETPT Format DDG'!$C:$C,$D$5,'ETPT Format DDG'!$FA:$FA,"Magistrat placé ADD")</f>
        <v>#N/A</v>
      </c>
      <c r="AG14" s="165" t="e">
        <f>SUMIFS( INDEX( 'ETPT Format DDG'!$A:$FF,,MATCH("8.3. JIRS CRIM-ORG",'ETPT Format DDG'!2:2,0)),'ETPT Format DDG'!$C:$C,$D$5,'ETPT Format DDG'!$FA:$FA,"Magistrat placé ADD")</f>
        <v>#N/A</v>
      </c>
      <c r="AH14" s="165" t="e">
        <f>SUMIFS( INDEX( 'ETPT Format DDG'!$A:$FF,,MATCH("8.4. AUTRES SECTIONS SPÉCIALISÉES",'ETPT Format DDG'!2:2,0)),'ETPT Format DDG'!$C:$C,$D$5,'ETPT Format DDG'!$FA:$FA,"Magistrat placé ADD")</f>
        <v>#N/A</v>
      </c>
      <c r="AI14" s="165" t="e">
        <f>SUMIFS( INDEX( 'ETPT Format DDG'!$A:$FF,,MATCH("9. TOTAL JAP",'ETPT Format DDG'!2:2,0)),'ETPT Format DDG'!$C:$C,$D$5,'ETPT Format DDG'!$FA:$FA,"Magistrat placé ADD")</f>
        <v>#N/A</v>
      </c>
      <c r="AJ14" s="165" t="e">
        <f>SUMIFS( INDEX( 'ETPT Format DDG'!$A:$FF,,MATCH("6.1. ACTIVITÉ CIVILE",'ETPT Format DDG'!2:2,0)),'ETPT Format DDG'!$C:$C,$D$5,'ETPT Format DDG'!$FA:$FA,"Magistrat placé ADD")+
SUMIFS( INDEX( 'ETPT Format DDG'!$A:$FF,,MATCH("6.2. ACTIVITÉ PÉNALE",'ETPT Format DDG'!2:2,0)),'ETPT Format DDG'!$C:$C,$D$5,'ETPT Format DDG'!$FA:$FA,"Magistrat placé ADD")</f>
        <v>#N/A</v>
      </c>
      <c r="AK14" s="165" t="e">
        <f>SUMIFS( INDEX( 'ETPT Format DDG'!$A:$FF,,MATCH("5. TOTAL JLD CIVIL",'ETPT Format DDG'!2:2,0)),'ETPT Format DDG'!$C:$C,$D$5,'ETPT Format DDG'!$FA:$FA,"Magistrat placé ADD")+
SUMIFS( INDEX( 'ETPT Format DDG'!$A:$FF,,MATCH("10. TOTAL JLD PÉNAL",'ETPT Format DDG'!2:2,0)),'ETPT Format DDG'!$C:$C,$D$5,'ETPT Format DDG'!$FA:$FA,"Magistrat placé ADD")</f>
        <v>#N/A</v>
      </c>
      <c r="AL14" s="49" t="e">
        <f t="shared" si="2"/>
        <v>#N/A</v>
      </c>
      <c r="AM14" s="165" t="e">
        <f>SUMIFS( INDEX( 'ETPT Format DDG'!$A:$FF,,MATCH("7.5. COUR D'ASSISES HORS JIRS",'ETPT Format DDG'!2:2,0)),'ETPT Format DDG'!$C:$C,$D$5,'ETPT Format DDG'!$FA:$FA,"Magistrat placé ADD")+
SUMIFS( INDEX( 'ETPT Format DDG'!$A:$FF,,MATCH("7.51. COUR D'ASSISES JIRS",'ETPT Format DDG'!2:2,0)),'ETPT Format DDG'!$C:$C,$D$5,'ETPT Format DDG'!$FA:$FA,"Magistrat placé ADD")</f>
        <v>#N/A</v>
      </c>
      <c r="AN14" s="165" t="e">
        <f>SUMIFS( INDEX( 'ETPT Format DDG'!$A:$FF,,MATCH("7.52. COUR CRIMINELLE",'ETPT Format DDG'!2:2,0)),'ETPT Format DDG'!$C:$C,$D$5,'ETPT Format DDG'!$FA:$FA,"Magistrat placé ADD")</f>
        <v>#N/A</v>
      </c>
      <c r="AO14" s="165" t="e">
        <f>SUMIFS( INDEX( 'ETPT Format DDG'!$A:$FF,,MATCH("7.121. COLLÉGIALES JIRS ECO-FI",'ETPT Format DDG'!2:2,0)),'ETPT Format DDG'!$C:$C,$D$5,'ETPT Format DDG'!$FA:$FA,"Magistrat placé ADD")</f>
        <v>#N/A</v>
      </c>
      <c r="AP14" s="165" t="e">
        <f>SUMIFS( INDEX( 'ETPT Format DDG'!$A:$FF,,MATCH("7.12. COLLÉGIALES JIRS CRIM-ORG",'ETPT Format DDG'!2:2,0)),'ETPT Format DDG'!$C:$C,$D$5,'ETPT Format DDG'!$FA:$FA,"Magistrat placé ADD")</f>
        <v>#N/A</v>
      </c>
      <c r="AQ14" s="165" t="e">
        <f>SUMIFS( INDEX( 'ETPT Format DDG'!$A:$FF,,MATCH("7.122. COLLÉGIALES AUTRES SECTIONS SPÉCIALISÉES",'ETPT Format DDG'!2:2,0)),'ETPT Format DDG'!$C:$C,$D$5,'ETPT Format DDG'!$FA:$FA,"Magistrat placé ADD")</f>
        <v>#N/A</v>
      </c>
      <c r="AR14" s="165" t="e">
        <f>SUMIFS( INDEX( 'ETPT Format DDG'!$A:$FF,,MATCH("7.6. TRIBUNAL DE POLICE",'ETPT Format DDG'!2:2,0)),'ETPT Format DDG'!$C:$C,$D$5,'ETPT Format DDG'!$FA:$FA,"Magistrat placé ADD")+
SUMIFS( INDEX( 'ETPT Format DDG'!$A:$FF,,MATCH("7.7. OP CONTRAVENTIONNELLES",'ETPT Format DDG'!2:2,0)),'ETPT Format DDG'!$C:$C,$D$5,'ETPT Format DDG'!$FA:$FA,"Magistrat placé ADD")</f>
        <v>#N/A</v>
      </c>
      <c r="AS14" s="56" t="e">
        <f>SUMIFS( INDEX( 'ETPT Format DDG'!$A:$FF,,MATCH("1.1. DÉPARTAGE PRUD'HOMAL",'ETPT Format DDG'!2:2,0)),'ETPT Format DDG'!$C:$C,$D$5,'ETPT Format DDG'!$FA:$FA,"Magistrat placé ADD")</f>
        <v>#N/A</v>
      </c>
      <c r="AT14" s="56" t="e">
        <f>SUMIFS( INDEX( 'ETPT Format DDG'!$A:$FF,,MATCH("4.0. CONTENTIEUX GÉNÉRAL &lt;10.000€",'ETPT Format DDG'!2:2,0)),'ETPT Format DDG'!$C:$C,$D$5,'ETPT Format DDG'!$FA:$FA,"Magistrat placé ADD")</f>
        <v>#N/A</v>
      </c>
      <c r="AU14" s="56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AV14" s="56" t="e">
        <f>SUMIFS( INDEX( 'ETPT Format DDG'!$A:$FF,,MATCH("1. TOTAL CONTENTIEUX SOCIAL",'ETPT Format DDG'!2:2,0)),'ETPT Format DDG'!$C:$C,$D$5,'ETPT Format DDG'!$FA:$FA,"Magistrat placé ADD")-
SUMIFS( INDEX( 'ETPT Format DDG'!$A:$FF,,MATCH("1.1. DÉPARTAGE PRUD'HOMAL",'ETPT Format DDG'!2:2,0)),'ETPT Format DDG'!$C:$C,$D$5,'ETPT Format DDG'!$FA:$FA,"Magistrat placé ADD")</f>
        <v>#N/A</v>
      </c>
      <c r="AW14" s="165" t="e">
        <f>SUMIFS( INDEX( 'ETPT Format DDG'!$A:$FF,,MATCH("2. TOTAL CONTENTIEUX JAF",'ETPT Format DDG'!2:2,0)),'ETPT Format DDG'!$C:$C,$D$5,'ETPT Format DDG'!$FA:$FA,"Magistrat placé ADD")</f>
        <v>#N/A</v>
      </c>
      <c r="AX14" s="57"/>
      <c r="AY14" s="56" t="e">
        <f>SUMIFS( INDEX( 'ETPT Format DDG'!$A:$FF,,MATCH("Temps ventilé sur la période (y.c. indisponibilité)",'ETPT Format DDG'!2:2,0)),'ETPT Format DDG'!$C:$C,$D$5,'ETPT Format DDG'!$FA:$FA,"Magistrat placé ADD")-SUM(AC14:AK14)-SUM(AM14:AX14)</f>
        <v>#N/A</v>
      </c>
      <c r="AZ14" s="49" t="e">
        <f t="shared" si="3"/>
        <v>#N/A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4"/>
        <v>0</v>
      </c>
    </row>
    <row r="15" spans="1:62" s="44" customFormat="1" ht="14.25" customHeight="1" x14ac:dyDescent="0.15">
      <c r="A15" s="54" t="s">
        <v>53</v>
      </c>
      <c r="B15" s="64"/>
      <c r="C15" s="64"/>
      <c r="D15" s="65" t="str">
        <f t="shared" si="5"/>
        <v/>
      </c>
      <c r="E15" s="64" t="s">
        <v>52</v>
      </c>
      <c r="F15" s="64" t="s">
        <v>51</v>
      </c>
      <c r="G15" s="63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62">
        <f t="shared" si="0"/>
        <v>0</v>
      </c>
      <c r="I15" s="61" t="e">
        <f>SUMIFS( INDEX( 'ETPT Format DDG'!$A:$FF,,MATCH("11.8. FONCTIONNAIRES AFFECTÉS AUX ACTIVITÉS CIVILES ET COMMERCIALES DU PARQUET",'ETPT Format DDG'!2:2,0)),'ETPT Format DDG'!$C:$C,$D$5,'ETPT Format DDG'!$FA:$FA,"Fonctionnaire A-B-CBUR placé SUB")</f>
        <v>#N/A</v>
      </c>
      <c r="J15" s="61" t="e">
        <f>SUMIFS( INDEX( 'ETPT Format DDG'!$A:$FF,,MATCH("11.9. FONCTIONNAIRES AFFECTÉS À L'EXÉCUTION DES PEINES",'ETPT Format DDG'!2:2,0)),'ETPT Format DDG'!$C:$C,$D$5,'ETPT Format DDG'!$FA:$FA,"Fonctionnaire A-B-CBUR placé SUB")</f>
        <v>#N/A</v>
      </c>
      <c r="K15" s="61" t="e">
        <f>SUMIFS( INDEX( 'ETPT Format DDG'!$A:$FF,,MATCH("7.5. COUR D'ASSISES HORS JIRS",'ETPT Format DDG'!2:2,0)),'ETPT Format DDG'!$C:$C,$D$5,'ETPT Format DDG'!$FA:$FA,"Fonctionnaire A-B-CBUR placé SUB")+
SUMIFS( INDEX( 'ETPT Format DDG'!$A:$FF,,MATCH("7.51. COUR D'ASSISES JIRS",'ETPT Format DDG'!2:2,0)),'ETPT Format DDG'!$C:$C,$D$5,'ETPT Format DDG'!$FA:$FA,"Fonctionnaire A-B-CBUR placé SUB")</f>
        <v>#N/A</v>
      </c>
      <c r="L15" s="61" t="e">
        <f>SUMIFS( INDEX( 'ETPT Format DDG'!$A:$FF,,MATCH("7.52. COUR CRIMINELLE",'ETPT Format DDG'!2:2,0)),'ETPT Format DDG'!$C:$C,$D$5,'ETPT Format DDG'!$FA:$FA,"Fonctionnaire A-B-CBUR placé SUB")</f>
        <v>#N/A</v>
      </c>
      <c r="M15" s="61" t="e">
        <f>SUMIFS( INDEX( 'ETPT Format DDG'!$A:$FF,,MATCH("8.2. JIRS ÉCO-FI",'ETPT Format DDG'!2:2,0)),'ETPT Format DDG'!$C:$C,$D$5,'ETPT Format DDG'!$FA:$FA,"Fonctionnaire A-B-CBUR placé SUB")</f>
        <v>#N/A</v>
      </c>
      <c r="N15" s="61" t="e">
        <f>SUMIFS( INDEX( 'ETPT Format DDG'!$A:$FF,,MATCH("8.3. JIRS CRIM-ORG",'ETPT Format DDG'!2:2,0)),'ETPT Format DDG'!$C:$C,$D$5,'ETPT Format DDG'!$FA:$FA,"Fonctionnaire A-B-CBUR placé SUB")</f>
        <v>#N/A</v>
      </c>
      <c r="O15" s="61" t="e">
        <f>SUMIFS( INDEX( 'ETPT Format DDG'!$A:$FF,,MATCH("8.4. AUTRES SECTIONS SPÉCIALISÉES",'ETPT Format DDG'!2:2,0)),'ETPT Format DDG'!$C:$C,$D$5,'ETPT Format DDG'!$FA:$FA,"Fonctionnaire A-B-CBUR placé SUB")</f>
        <v>#N/A</v>
      </c>
      <c r="P15" s="61" t="e">
        <f>SUMIFS( INDEX( 'ETPT Format DDG'!$A:$FF,,MATCH("3.2. PROTECTION DES MAJEURS",'ETPT Format DDG'!2:2,0)),'ETPT Format DDG'!$C:$C,$D$5,'ETPT Format DDG'!$FA:$FA,"Fonctionnaire A-B-CBUR placé SUB")</f>
        <v>#N/A</v>
      </c>
      <c r="Q15" s="61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R15" s="61" t="e">
        <f>SUMIFS( INDEX( 'ETPT Format DDG'!$A:$FF,,MATCH("5. TOTAL JLD CIVIL",'ETPT Format DDG'!2:2,0)),'ETPT Format DDG'!$C:$C,$D$5,'ETPT Format DDG'!$FA:$FA,"Fonctionnaire A-B-CBUR placé SUB")+
SUMIFS( INDEX( 'ETPT Format DDG'!$A:$FF,,MATCH("6.1. ACTIVITÉ CIVILE",'ETPT Format DDG'!2:2,0)),'ETPT Format DDG'!$C:$C,$D$5,'ETPT Format DDG'!$FA:$FA,"Fonctionnaire A-B-CBUR placé SUB")+
SUMIFS( INDEX( 'ETPT Format DDG'!$A:$FF,,MATCH("6.2. ACTIVITÉ PÉNALE",'ETPT Format DDG'!2:2,0)),'ETPT Format DDG'!$C:$C,$D$5,'ETPT Format DDG'!$FA:$FA,"Fonctionnaire A-B-CBUR placé SUB")+
(SUMIFS( INDEX( 'ETPT Format DDG'!$A:$FF,,MATCH("8. TOTAL JUGES D'INSTRUCTION",'ETPT Format DDG'!2:2,0)),'ETPT Format DDG'!$C:$C,$D$5,'ETPT Format DDG'!$FA:$FA,"Fonctionnaire A-B-CBUR placé SUB")-
SUMIFS( INDEX( 'ETPT Format DDG'!$A:$FF,,MATCH("8.2. JIRS ÉCO-FI",'ETPT Format DDG'!2:2,0)),'ETPT Format DDG'!$C:$C,$D$5,'ETPT Format DDG'!$FA:$FA,"Fonctionnaire A-B-CBUR placé SUB")-
SUMIFS( INDEX( 'ETPT Format DDG'!$A:$FF,,MATCH("8.3. JIRS CRIM-ORG",'ETPT Format DDG'!2:2,0)),'ETPT Format DDG'!$C:$C,$D$5,'ETPT Format DDG'!$FA:$FA,"Fonctionnaire A-B-CBUR placé SUB")-
SUMIFS( INDEX( 'ETPT Format DDG'!$A:$FF,,MATCH("8.4. AUTRES SECTIONS SPÉCIALISÉES",'ETPT Format DDG'!2:2,0)),'ETPT Format DDG'!$C:$C,$D$5,'ETPT Format DDG'!$FA:$FA,"Fonctionnaire A-B-CBUR placé SUB"))+
SUMIFS( INDEX( 'ETPT Format DDG'!$A:$FF,,MATCH("9. TOTAL JAP",'ETPT Format DDG'!2:2,0)),'ETPT Format DDG'!$C:$C,$D$5,'ETPT Format DDG'!$FA:$FA,"Fonctionnaire A-B-CBUR placé SUB")+
SUMIFS( INDEX( 'ETPT Format DDG'!$A:$FF,,MATCH("10. TOTAL JLD PÉNAL",'ETPT Format DDG'!2:2,0)),'ETPT Format DDG'!$C:$C,$D$5,'ETPT Format DDG'!$FA:$FA,"Fonctionnaire A-B-CBUR placé SUB")</f>
        <v>#N/A</v>
      </c>
      <c r="S15" s="61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T15" s="61" t="e">
        <f>SUMIFS( INDEX( 'ETPT Format DDG'!$A:$FF,,MATCH("4.0. CONTENTIEUX GÉNÉRAL &lt;10.000€",'ETPT Format DDG'!2:2,0)),'ETPT Format DDG'!$C:$C,$D$5,'ETPT Format DDG'!$FA:$FA,"Fonctionnaire A-B-CBUR placé SUB")</f>
        <v>#N/A</v>
      </c>
      <c r="U15" s="61" t="e">
        <f>SUMIFS( INDEX( 'ETPT Format DDG'!$A:$FF,,MATCH("1. TOTAL CONTENTIEUX SOCIAL",'ETPT Format DDG'!2:2,0)),'ETPT Format DDG'!$C:$C,$D$5,'ETPT Format DDG'!$FA:$FA,"Fonctionnaire A-B-CBUR placé SUB")</f>
        <v>#N/A</v>
      </c>
      <c r="V15" s="166" t="e">
        <f>SUMIFS( INDEX( 'ETPT Format DDG'!$A:$FF,,MATCH("Temps ventilé sur la période (y.c. indisponibilité)",'ETPT Format DDG'!2:2,0)),'ETPT Format DDG'!$C:$C,$D$5,'ETPT Format DDG'!$FA:$FA,"Fonctionnaire A-B-CBUR placé SUB")-
SUM(I15:U15)-SUMIFS( INDEX( 'ETPT Format DDG'!$A:$FF,,MATCH("11.7. FONCTIONNAIRES AFFECTÉS AU CPH",'ETPT Format DDG'!2:2,0)),'ETPT Format DDG'!$C:$C,$D$5,'ETPT Format DDG'!$FA:$FA,"Fonctionnaire CTECH placé SUB")</f>
        <v>#N/A</v>
      </c>
      <c r="W15" s="49" t="e">
        <f t="shared" si="6"/>
        <v>#N/A</v>
      </c>
      <c r="X15" s="60"/>
      <c r="Y15" s="59"/>
      <c r="Z15" s="59"/>
      <c r="AA15" s="59"/>
      <c r="AB15" s="49">
        <f t="shared" si="1"/>
        <v>0</v>
      </c>
      <c r="AC15" s="58" t="e">
        <f>SUMIFS( INDEX( 'ETPT Format DDG'!$A:$FF,,MATCH("3.2. PROTECTION DES MAJEURS",'ETPT Format DDG'!2:2,0)),'ETPT Format DDG'!$C:$C,$D$5,'ETPT Format DDG'!$FA:$FA,"Magistrat placé SUB")</f>
        <v>#N/A</v>
      </c>
      <c r="AD15" s="56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AE15" s="165" t="e">
        <f>SUMIFS( INDEX( 'ETPT Format DDG'!$A:$FF,,MATCH("8.1. SERVICE GÉNÉRAL",'ETPT Format DDG'!2:2,0)),'ETPT Format DDG'!$C:$C,$D$5,'ETPT Format DDG'!$FA:$FA,"Magistrat placé SUB")</f>
        <v>#N/A</v>
      </c>
      <c r="AF15" s="165" t="e">
        <f>SUMIFS( INDEX( 'ETPT Format DDG'!$A:$FF,,MATCH("8.2. JIRS ÉCO-FI",'ETPT Format DDG'!2:2,0)),'ETPT Format DDG'!$C:$C,$D$5,'ETPT Format DDG'!$FA:$FA,"Magistrat placé SUB")</f>
        <v>#N/A</v>
      </c>
      <c r="AG15" s="165" t="e">
        <f>SUMIFS( INDEX( 'ETPT Format DDG'!$A:$FF,,MATCH("8.3. JIRS CRIM-ORG",'ETPT Format DDG'!2:2,0)),'ETPT Format DDG'!$C:$C,$D$5,'ETPT Format DDG'!$FA:$FA,"Magistrat placé SUB")</f>
        <v>#N/A</v>
      </c>
      <c r="AH15" s="165" t="e">
        <f>SUMIFS( INDEX( 'ETPT Format DDG'!$A:$FF,,MATCH("8.4. AUTRES SECTIONS SPÉCIALISÉES",'ETPT Format DDG'!2:2,0)),'ETPT Format DDG'!$C:$C,$D$5,'ETPT Format DDG'!$FA:$FA,"Magistrat placé SUB")</f>
        <v>#N/A</v>
      </c>
      <c r="AI15" s="165" t="e">
        <f>SUMIFS( INDEX( 'ETPT Format DDG'!$A:$FF,,MATCH("9. TOTAL JAP",'ETPT Format DDG'!2:2,0)),'ETPT Format DDG'!$C:$C,$D$5,'ETPT Format DDG'!$FA:$FA,"Magistrat placé SUB")</f>
        <v>#N/A</v>
      </c>
      <c r="AJ15" s="165" t="e">
        <f>SUMIFS( INDEX( 'ETPT Format DDG'!$A:$FF,,MATCH("6.1. ACTIVITÉ CIVILE",'ETPT Format DDG'!2:2,0)),'ETPT Format DDG'!$C:$C,$D$5,'ETPT Format DDG'!$FA:$FA,"Magistrat placé SUB")+
SUMIFS( INDEX( 'ETPT Format DDG'!$A:$FF,,MATCH("6.2. ACTIVITÉ PÉNALE",'ETPT Format DDG'!2:2,0)),'ETPT Format DDG'!$C:$C,$D$5,'ETPT Format DDG'!$FA:$FA,"Magistrat placé SUB")</f>
        <v>#N/A</v>
      </c>
      <c r="AK15" s="165" t="e">
        <f>SUMIFS( INDEX( 'ETPT Format DDG'!$A:$FF,,MATCH("5. TOTAL JLD CIVIL",'ETPT Format DDG'!2:2,0)),'ETPT Format DDG'!$C:$C,$D$5,'ETPT Format DDG'!$FA:$FA,"Magistrat placé SUB")+
SUMIFS( INDEX( 'ETPT Format DDG'!$A:$FF,,MATCH("10. TOTAL JLD PÉNAL",'ETPT Format DDG'!2:2,0)),'ETPT Format DDG'!$C:$C,$D$5,'ETPT Format DDG'!$FA:$FA,"Magistrat placé SUB")</f>
        <v>#N/A</v>
      </c>
      <c r="AL15" s="49" t="e">
        <f t="shared" si="2"/>
        <v>#N/A</v>
      </c>
      <c r="AM15" s="165" t="e">
        <f>SUMIFS( INDEX( 'ETPT Format DDG'!$A:$FF,,MATCH("7.5. COUR D'ASSISES HORS JIRS",'ETPT Format DDG'!2:2,0)),'ETPT Format DDG'!$C:$C,$D$5,'ETPT Format DDG'!$FA:$FA,"Magistrat placé SUB")+
SUMIFS( INDEX( 'ETPT Format DDG'!$A:$FF,,MATCH("7.51. COUR D'ASSISES JIRS",'ETPT Format DDG'!2:2,0)),'ETPT Format DDG'!$C:$C,$D$5,'ETPT Format DDG'!$FA:$FA,"Magistrat placé SUB")</f>
        <v>#N/A</v>
      </c>
      <c r="AN15" s="165" t="e">
        <f>SUMIFS( INDEX( 'ETPT Format DDG'!$A:$FF,,MATCH("7.52. COUR CRIMINELLE",'ETPT Format DDG'!2:2,0)),'ETPT Format DDG'!$C:$C,$D$5,'ETPT Format DDG'!$FA:$FA,"Magistrat placé SUB")</f>
        <v>#N/A</v>
      </c>
      <c r="AO15" s="165" t="e">
        <f>SUMIFS( INDEX( 'ETPT Format DDG'!$A:$FF,,MATCH("7.121. COLLÉGIALES JIRS ECO-FI",'ETPT Format DDG'!2:2,0)),'ETPT Format DDG'!$C:$C,$D$5,'ETPT Format DDG'!$FA:$FA,"Magistrat placé SUB")</f>
        <v>#N/A</v>
      </c>
      <c r="AP15" s="165" t="e">
        <f>SUMIFS( INDEX( 'ETPT Format DDG'!$A:$FF,,MATCH("7.12. COLLÉGIALES JIRS CRIM-ORG",'ETPT Format DDG'!2:2,0)),'ETPT Format DDG'!$C:$C,$D$5,'ETPT Format DDG'!$FA:$FA,"Magistrat placé SUB")</f>
        <v>#N/A</v>
      </c>
      <c r="AQ15" s="165" t="e">
        <f>SUMIFS( INDEX( 'ETPT Format DDG'!$A:$FF,,MATCH("7.122. COLLÉGIALES AUTRES SECTIONS SPÉCIALISÉES",'ETPT Format DDG'!2:2,0)),'ETPT Format DDG'!$C:$C,$D$5,'ETPT Format DDG'!$FA:$FA,"Magistrat placé SUB")</f>
        <v>#N/A</v>
      </c>
      <c r="AR15" s="165" t="e">
        <f>SUMIFS( INDEX( 'ETPT Format DDG'!$A:$FF,,MATCH("7.6. TRIBUNAL DE POLICE",'ETPT Format DDG'!2:2,0)),'ETPT Format DDG'!$C:$C,$D$5,'ETPT Format DDG'!$FA:$FA,"Magistrat placé SUB")+
SUMIFS( INDEX( 'ETPT Format DDG'!$A:$FF,,MATCH("7.7. OP CONTRAVENTIONNELLES",'ETPT Format DDG'!2:2,0)),'ETPT Format DDG'!$C:$C,$D$5,'ETPT Format DDG'!$FA:$FA,"Magistrat placé SUB")</f>
        <v>#N/A</v>
      </c>
      <c r="AS15" s="56" t="e">
        <f>SUMIFS( INDEX( 'ETPT Format DDG'!$A:$FF,,MATCH("1.1. DÉPARTAGE PRUD'HOMAL",'ETPT Format DDG'!2:2,0)),'ETPT Format DDG'!$C:$C,$D$5,'ETPT Format DDG'!$FA:$FA,"Magistrat placé SUB")</f>
        <v>#N/A</v>
      </c>
      <c r="AT15" s="56" t="e">
        <f>SUMIFS( INDEX( 'ETPT Format DDG'!$A:$FF,,MATCH("4.0. CONTENTIEUX GÉNÉRAL &lt;10.000€",'ETPT Format DDG'!2:2,0)),'ETPT Format DDG'!$C:$C,$D$5,'ETPT Format DDG'!$FA:$FA,"Magistrat placé SUB")</f>
        <v>#N/A</v>
      </c>
      <c r="AU15" s="56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AV15" s="56" t="e">
        <f>SUMIFS( INDEX( 'ETPT Format DDG'!$A:$FF,,MATCH("1. TOTAL CONTENTIEUX SOCIAL",'ETPT Format DDG'!2:2,0)),'ETPT Format DDG'!$C:$C,$D$5,'ETPT Format DDG'!$FA:$FA,"Magistrat placé SUB")-
SUMIFS( INDEX( 'ETPT Format DDG'!$A:$FF,,MATCH("1.1. DÉPARTAGE PRUD'HOMAL",'ETPT Format DDG'!2:2,0)),'ETPT Format DDG'!$C:$C,$D$5,'ETPT Format DDG'!$FA:$FA,"Magistrat placé SUB")</f>
        <v>#N/A</v>
      </c>
      <c r="AW15" s="165" t="e">
        <f>SUMIFS( INDEX( 'ETPT Format DDG'!$A:$FF,,MATCH("2. TOTAL CONTENTIEUX JAF",'ETPT Format DDG'!2:2,0)),'ETPT Format DDG'!$C:$C,$D$5,'ETPT Format DDG'!$FA:$FA,"Magistrat placé SUB")</f>
        <v>#N/A</v>
      </c>
      <c r="AX15" s="57"/>
      <c r="AY15" s="56" t="e">
        <f>SUMIFS( INDEX( 'ETPT Format DDG'!$A:$FF,,MATCH("Temps ventilé sur la période (y.c. indisponibilité)",'ETPT Format DDG'!2:2,0)),'ETPT Format DDG'!$C:$C,$D$5,'ETPT Format DDG'!$FA:$FA,"Magistrat placé SUB")-SUM(AC15:AK15)-SUM(AM15:AX15)</f>
        <v>#N/A</v>
      </c>
      <c r="AZ15" s="49" t="e">
        <f t="shared" si="3"/>
        <v>#N/A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4"/>
        <v>0</v>
      </c>
    </row>
    <row r="16" spans="1:62" s="44" customFormat="1" ht="14.25" customHeight="1" x14ac:dyDescent="0.15">
      <c r="A16" s="54"/>
      <c r="B16" s="53"/>
      <c r="C16" s="53"/>
      <c r="D16" s="53"/>
      <c r="E16" s="53"/>
      <c r="F16" s="52" t="s">
        <v>50</v>
      </c>
      <c r="G16" s="50" t="e">
        <f t="shared" ref="G16:AL16" si="7">SUM(G5:G15)</f>
        <v>#N/A</v>
      </c>
      <c r="H16" s="49" t="e">
        <f>SUM(H5:H15)</f>
        <v>#N/A</v>
      </c>
      <c r="I16" s="50" t="e">
        <f t="shared" si="7"/>
        <v>#N/A</v>
      </c>
      <c r="J16" s="50" t="e">
        <f t="shared" si="7"/>
        <v>#N/A</v>
      </c>
      <c r="K16" s="50" t="e">
        <f t="shared" si="7"/>
        <v>#N/A</v>
      </c>
      <c r="L16" s="51" t="e">
        <f t="shared" si="7"/>
        <v>#N/A</v>
      </c>
      <c r="M16" s="50" t="e">
        <f t="shared" si="7"/>
        <v>#N/A</v>
      </c>
      <c r="N16" s="50" t="e">
        <f t="shared" si="7"/>
        <v>#N/A</v>
      </c>
      <c r="O16" s="50" t="e">
        <f t="shared" si="7"/>
        <v>#N/A</v>
      </c>
      <c r="P16" s="50" t="e">
        <f t="shared" si="7"/>
        <v>#N/A</v>
      </c>
      <c r="Q16" s="50" t="e">
        <f t="shared" si="7"/>
        <v>#N/A</v>
      </c>
      <c r="R16" s="50" t="e">
        <f t="shared" si="7"/>
        <v>#N/A</v>
      </c>
      <c r="S16" s="50" t="e">
        <f t="shared" si="7"/>
        <v>#N/A</v>
      </c>
      <c r="T16" s="50" t="e">
        <f t="shared" si="7"/>
        <v>#N/A</v>
      </c>
      <c r="U16" s="50" t="e">
        <f t="shared" si="7"/>
        <v>#N/A</v>
      </c>
      <c r="V16" s="50" t="e">
        <f t="shared" si="7"/>
        <v>#N/A</v>
      </c>
      <c r="W16" s="49" t="e">
        <f t="shared" si="7"/>
        <v>#N/A</v>
      </c>
      <c r="X16" s="50" t="e">
        <f t="shared" si="7"/>
        <v>#N/A</v>
      </c>
      <c r="Y16" s="50" t="e">
        <f t="shared" si="7"/>
        <v>#N/A</v>
      </c>
      <c r="Z16" s="50" t="e">
        <f t="shared" si="7"/>
        <v>#N/A</v>
      </c>
      <c r="AA16" s="50" t="e">
        <f t="shared" si="7"/>
        <v>#N/A</v>
      </c>
      <c r="AB16" s="49" t="e">
        <f t="shared" si="7"/>
        <v>#N/A</v>
      </c>
      <c r="AC16" s="50" t="e">
        <f t="shared" si="7"/>
        <v>#N/A</v>
      </c>
      <c r="AD16" s="50" t="e">
        <f t="shared" si="7"/>
        <v>#N/A</v>
      </c>
      <c r="AE16" s="50" t="e">
        <f t="shared" si="7"/>
        <v>#N/A</v>
      </c>
      <c r="AF16" s="50" t="e">
        <f t="shared" si="7"/>
        <v>#N/A</v>
      </c>
      <c r="AG16" s="50" t="e">
        <f t="shared" si="7"/>
        <v>#N/A</v>
      </c>
      <c r="AH16" s="50" t="e">
        <f t="shared" si="7"/>
        <v>#N/A</v>
      </c>
      <c r="AI16" s="50" t="e">
        <f t="shared" si="7"/>
        <v>#N/A</v>
      </c>
      <c r="AJ16" s="50" t="e">
        <f t="shared" si="7"/>
        <v>#N/A</v>
      </c>
      <c r="AK16" s="50" t="e">
        <f t="shared" si="7"/>
        <v>#N/A</v>
      </c>
      <c r="AL16" s="49" t="e">
        <f t="shared" si="7"/>
        <v>#N/A</v>
      </c>
      <c r="AM16" s="50" t="e">
        <f t="shared" ref="AM16:BJ16" si="8">SUM(AM5:AM15)</f>
        <v>#N/A</v>
      </c>
      <c r="AN16" s="50" t="e">
        <f t="shared" si="8"/>
        <v>#N/A</v>
      </c>
      <c r="AO16" s="50" t="e">
        <f t="shared" si="8"/>
        <v>#N/A</v>
      </c>
      <c r="AP16" s="50" t="e">
        <f t="shared" si="8"/>
        <v>#N/A</v>
      </c>
      <c r="AQ16" s="50" t="e">
        <f t="shared" si="8"/>
        <v>#N/A</v>
      </c>
      <c r="AR16" s="50" t="e">
        <f t="shared" si="8"/>
        <v>#N/A</v>
      </c>
      <c r="AS16" s="50" t="e">
        <f t="shared" si="8"/>
        <v>#N/A</v>
      </c>
      <c r="AT16" s="50" t="e">
        <f t="shared" si="8"/>
        <v>#N/A</v>
      </c>
      <c r="AU16" s="50" t="e">
        <f t="shared" si="8"/>
        <v>#N/A</v>
      </c>
      <c r="AV16" s="50" t="e">
        <f t="shared" si="8"/>
        <v>#N/A</v>
      </c>
      <c r="AW16" s="50" t="e">
        <f t="shared" si="8"/>
        <v>#N/A</v>
      </c>
      <c r="AX16" s="50" t="e">
        <f t="shared" si="8"/>
        <v>#N/A</v>
      </c>
      <c r="AY16" s="50" t="e">
        <f t="shared" si="8"/>
        <v>#N/A</v>
      </c>
      <c r="AZ16" s="49" t="e">
        <f t="shared" si="8"/>
        <v>#N/A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1:62" s="44" customFormat="1" ht="9" customHeight="1" x14ac:dyDescent="0.15">
      <c r="A17" s="48"/>
      <c r="B17" s="47"/>
      <c r="C17" s="47"/>
      <c r="D17" s="47"/>
      <c r="E17" s="47"/>
      <c r="F17" s="46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</row>
    <row r="18" spans="1:62" x14ac:dyDescent="0.2">
      <c r="W18" s="43" t="e">
        <f>H16+W16-W14-H14-H15-W15+ETPT_CPH!G5</f>
        <v>#N/A</v>
      </c>
      <c r="AZ18" s="43" t="e">
        <f>AZ16+AL16-AZ14-AL14</f>
        <v>#N/A</v>
      </c>
    </row>
    <row r="19" spans="1:62" x14ac:dyDescent="0.2">
      <c r="D19" s="42" t="s">
        <v>185</v>
      </c>
      <c r="AZ19" s="41"/>
    </row>
    <row r="20" spans="1:62" ht="28" x14ac:dyDescent="0.2">
      <c r="F20" s="305" t="s">
        <v>402</v>
      </c>
      <c r="G20" s="236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U20" s="306" t="s">
        <v>404</v>
      </c>
      <c r="V20" s="236" t="e">
        <f>SUMIFS( INDEX( 'ETPT Format DDG'!$A:$FF,,MATCH("12. TOTAL INDISPONIBILITÉ",'ETPT Format DDG'!2:2,0)),'ETPT Format DDG'!$C:$C,$D$5,'ETPT Format DDG'!$FA:$FA,"Fonctionnaire A-B-CBUR placé SUB")+
SUMIFS( INDEX( 'ETPT Format DDG'!$A:$FF,,MATCH("12. TOTAL INDISPONIBILITÉ",'ETPT Format DDG'!2:2,0)),'ETPT Format DDG'!$C:$C,$D$5,'ETPT Format DDG'!$FA:$FA,"Fonctionnaire A-B-CBUR placé ADD")</f>
        <v>#N/A</v>
      </c>
      <c r="W20" s="41"/>
      <c r="AX20" s="304" t="s">
        <v>400</v>
      </c>
      <c r="AY20" s="178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  <c r="AZ20" s="41"/>
    </row>
    <row r="21" spans="1:62" x14ac:dyDescent="0.2">
      <c r="W21" s="41"/>
      <c r="AY21" s="41"/>
    </row>
    <row r="22" spans="1:62" x14ac:dyDescent="0.2">
      <c r="AH22" s="41"/>
    </row>
    <row r="24" spans="1:62" x14ac:dyDescent="0.2">
      <c r="V24" s="41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161" zoomScaleNormal="100" workbookViewId="0">
      <pane xSplit="6" ySplit="1" topLeftCell="O13" activePane="bottomRight" state="frozen"/>
      <selection pane="topRight" activeCell="G1" sqref="G1"/>
      <selection pane="bottomLeft" activeCell="A2" sqref="A2"/>
      <selection pane="bottomRight" activeCell="R19" sqref="R19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35" x14ac:dyDescent="0.2">
      <c r="A1" s="348" t="s">
        <v>228</v>
      </c>
      <c r="B1" s="348"/>
      <c r="C1" s="348"/>
      <c r="D1" s="348"/>
      <c r="E1" s="348"/>
      <c r="F1" s="348"/>
      <c r="G1" s="348"/>
      <c r="H1" s="348"/>
      <c r="I1" s="44"/>
      <c r="J1" s="44"/>
      <c r="K1" s="44"/>
      <c r="L1" s="44"/>
      <c r="M1" s="44"/>
      <c r="N1" s="44"/>
      <c r="O1" s="122"/>
      <c r="P1" s="122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122"/>
      <c r="AC1" s="122"/>
      <c r="AD1" s="44"/>
      <c r="AE1" s="44"/>
      <c r="AF1" s="44"/>
      <c r="AG1" s="44"/>
      <c r="AH1" s="44"/>
      <c r="AI1" s="44"/>
    </row>
    <row r="2" spans="1:35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7" t="s">
        <v>181</v>
      </c>
      <c r="J2" s="87" t="s">
        <v>181</v>
      </c>
      <c r="K2" s="87" t="s">
        <v>181</v>
      </c>
      <c r="L2" s="87" t="s">
        <v>181</v>
      </c>
      <c r="M2" s="87" t="s">
        <v>181</v>
      </c>
      <c r="N2" s="87" t="s">
        <v>181</v>
      </c>
      <c r="O2" s="123" t="s">
        <v>181</v>
      </c>
      <c r="P2" s="123" t="s">
        <v>181</v>
      </c>
      <c r="Q2" s="87" t="s">
        <v>181</v>
      </c>
      <c r="R2" s="87" t="s">
        <v>181</v>
      </c>
      <c r="S2" s="346" t="s">
        <v>180</v>
      </c>
      <c r="T2" s="87" t="s">
        <v>45</v>
      </c>
      <c r="U2" s="346" t="s">
        <v>179</v>
      </c>
      <c r="V2" s="87" t="s">
        <v>178</v>
      </c>
      <c r="W2" s="87" t="s">
        <v>178</v>
      </c>
      <c r="X2" s="87" t="s">
        <v>178</v>
      </c>
      <c r="Y2" s="87" t="s">
        <v>178</v>
      </c>
      <c r="Z2" s="87" t="s">
        <v>178</v>
      </c>
      <c r="AA2" s="87" t="s">
        <v>178</v>
      </c>
      <c r="AB2" s="123" t="s">
        <v>178</v>
      </c>
      <c r="AC2" s="123" t="s">
        <v>178</v>
      </c>
      <c r="AD2" s="87" t="s">
        <v>178</v>
      </c>
      <c r="AE2" s="346" t="s">
        <v>227</v>
      </c>
      <c r="AF2" s="87" t="s">
        <v>226</v>
      </c>
      <c r="AG2" s="87" t="s">
        <v>226</v>
      </c>
      <c r="AH2" s="87" t="s">
        <v>226</v>
      </c>
      <c r="AI2" s="346" t="s">
        <v>225</v>
      </c>
    </row>
    <row r="3" spans="1:35" ht="36" x14ac:dyDescent="0.2">
      <c r="A3" s="90"/>
      <c r="B3" s="90"/>
      <c r="C3" s="90"/>
      <c r="D3" s="90"/>
      <c r="E3" s="90"/>
      <c r="F3" s="90"/>
      <c r="G3" s="87" t="s">
        <v>172</v>
      </c>
      <c r="H3" s="346"/>
      <c r="I3" s="87" t="s">
        <v>224</v>
      </c>
      <c r="J3" s="87" t="s">
        <v>223</v>
      </c>
      <c r="K3" s="87" t="s">
        <v>222</v>
      </c>
      <c r="L3" s="87" t="s">
        <v>221</v>
      </c>
      <c r="M3" s="87" t="s">
        <v>220</v>
      </c>
      <c r="N3" s="87" t="s">
        <v>219</v>
      </c>
      <c r="O3" s="123" t="s">
        <v>218</v>
      </c>
      <c r="P3" s="123" t="s">
        <v>217</v>
      </c>
      <c r="Q3" s="87" t="s">
        <v>216</v>
      </c>
      <c r="R3" s="87" t="s">
        <v>159</v>
      </c>
      <c r="S3" s="346"/>
      <c r="T3" s="87" t="s">
        <v>156</v>
      </c>
      <c r="U3" s="346"/>
      <c r="V3" s="87" t="s">
        <v>215</v>
      </c>
      <c r="W3" s="87" t="s">
        <v>214</v>
      </c>
      <c r="X3" s="87" t="s">
        <v>213</v>
      </c>
      <c r="Y3" s="87" t="s">
        <v>212</v>
      </c>
      <c r="Z3" s="87" t="s">
        <v>211</v>
      </c>
      <c r="AA3" s="87" t="s">
        <v>210</v>
      </c>
      <c r="AB3" s="123" t="s">
        <v>209</v>
      </c>
      <c r="AC3" s="123" t="s">
        <v>208</v>
      </c>
      <c r="AD3" s="87" t="s">
        <v>207</v>
      </c>
      <c r="AE3" s="346"/>
      <c r="AF3" s="87" t="s">
        <v>206</v>
      </c>
      <c r="AG3" s="87" t="s">
        <v>142</v>
      </c>
      <c r="AH3" s="87" t="s">
        <v>136</v>
      </c>
      <c r="AI3" s="346"/>
    </row>
    <row r="4" spans="1:35" ht="60" x14ac:dyDescent="0.2">
      <c r="A4" s="90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7" t="s">
        <v>205</v>
      </c>
      <c r="J4" s="87" t="s">
        <v>204</v>
      </c>
      <c r="K4" s="87" t="s">
        <v>203</v>
      </c>
      <c r="L4" s="87" t="s">
        <v>202</v>
      </c>
      <c r="M4" s="87" t="s">
        <v>201</v>
      </c>
      <c r="N4" s="87" t="s">
        <v>200</v>
      </c>
      <c r="O4" s="123" t="s">
        <v>199</v>
      </c>
      <c r="P4" s="123" t="s">
        <v>198</v>
      </c>
      <c r="Q4" s="87" t="s">
        <v>197</v>
      </c>
      <c r="R4" s="87" t="s">
        <v>108</v>
      </c>
      <c r="S4" s="346"/>
      <c r="T4" s="87" t="s">
        <v>104</v>
      </c>
      <c r="U4" s="346"/>
      <c r="V4" s="87" t="s">
        <v>196</v>
      </c>
      <c r="W4" s="87" t="s">
        <v>195</v>
      </c>
      <c r="X4" s="87" t="s">
        <v>194</v>
      </c>
      <c r="Y4" s="87" t="s">
        <v>193</v>
      </c>
      <c r="Z4" s="87" t="s">
        <v>192</v>
      </c>
      <c r="AA4" s="87" t="s">
        <v>191</v>
      </c>
      <c r="AB4" s="123" t="s">
        <v>190</v>
      </c>
      <c r="AC4" s="123" t="s">
        <v>189</v>
      </c>
      <c r="AD4" s="87" t="s">
        <v>188</v>
      </c>
      <c r="AE4" s="346"/>
      <c r="AF4" s="87" t="s">
        <v>187</v>
      </c>
      <c r="AG4" s="87" t="s">
        <v>89</v>
      </c>
      <c r="AH4" s="87" t="s">
        <v>83</v>
      </c>
      <c r="AI4" s="346"/>
    </row>
    <row r="5" spans="1:35" x14ac:dyDescent="0.2">
      <c r="A5" s="93" t="s">
        <v>186</v>
      </c>
      <c r="B5" s="65"/>
      <c r="C5" s="65"/>
      <c r="D5" s="81">
        <f>ETPT_TPRX_DDG!$D$5</f>
        <v>0</v>
      </c>
      <c r="E5" s="65" t="s">
        <v>73</v>
      </c>
      <c r="F5" s="65" t="s">
        <v>72</v>
      </c>
      <c r="G5" s="69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94">
        <f t="shared" ref="H5:H15" si="0">SUM(G5)</f>
        <v>0</v>
      </c>
      <c r="I5" s="95"/>
      <c r="J5" s="61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K5" s="61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L5" s="61" t="e">
        <f>SUMIFS( INDEX( 'ETPT Format DDG'!$A:$FF,,MATCH("3.2. PROTECTION DES MAJEURS",'ETPT Format DDG'!2:2,0)),'ETPT Format DDG'!$C:$C,$D$5,'ETPT Format DDG'!$FA:$FA,"Fonctionnaire A-B-CBUR")</f>
        <v>#N/A</v>
      </c>
      <c r="M5" s="164"/>
      <c r="N5" s="164"/>
      <c r="O5" s="57"/>
      <c r="P5" s="57"/>
      <c r="Q5" s="66"/>
      <c r="R5" s="56" t="e">
        <f>SUMIFS( INDEX( 'ETPT Format DDG'!$A:$FF,,MATCH("Temps ventilés sur la période (contentieux civils et sociaux)",'ETPT Format DDG'!2:2,0)),'ETPT Format DDG'!$C:$C,$D$5,'ETPT Format DDG'!$FA:$FA,"Fonctionnaire A-B-CBUR")-SUM(I5:Q5)</f>
        <v>#N/A</v>
      </c>
      <c r="S5" s="49" t="e">
        <f t="shared" ref="S5:S15" si="1">SUM(I5:R5)</f>
        <v>#N/A</v>
      </c>
      <c r="T5" s="79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U5" s="49">
        <f t="shared" ref="U5:U15" si="2">SUM(T5)</f>
        <v>0</v>
      </c>
      <c r="V5" s="60"/>
      <c r="W5" s="61" t="e">
        <f>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</f>
        <v>#N/A</v>
      </c>
      <c r="X5" s="61" t="e">
        <f>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S")</f>
        <v>#N/A</v>
      </c>
      <c r="Y5" s="61" t="e">
        <f>SUMIFS( INDEX( 'ETPT Format DDG'!$A:$FF,,MATCH("3.2. PROTECTION DES MAJEURS",'ETPT Format DDG'!2:2,0)),'ETPT Format DDG'!$C:$C,$D$5,'ETPT Format DDG'!$FA:$FA,"Magistrat SIEGE S")</f>
        <v>#N/A</v>
      </c>
      <c r="Z5" s="164"/>
      <c r="AA5" s="164"/>
      <c r="AB5" s="57"/>
      <c r="AC5" s="57"/>
      <c r="AD5" s="57"/>
      <c r="AE5" s="94" t="e">
        <f t="shared" ref="AE5:AE15" si="3">SUM(V5:AD5)</f>
        <v>#N/A</v>
      </c>
      <c r="AF5" s="57"/>
      <c r="AG5" s="56" t="e">
        <f>SUMIFS( INDEX( 'ETPT Format DDG'!$A:$FF,,MATCH("1.1. DÉPARTAGE PRUD'HOMAL",'ETPT Format DDG'!2:2,0)),'ETPT Format DDG'!$C:$C,$D$5,'ETPT Format DDG'!$FA:$FA,"Magistrat SIEGE S")</f>
        <v>#N/A</v>
      </c>
      <c r="AH5" s="56" t="e">
        <f>SUMIFS( INDEX( 'ETPT Format DDG'!$A:$FF,,MATCH("Temps ventilés sur la période (contentieux civils et sociaux)",'ETPT Format DDG'!2:2,0)),'ETPT Format DDG'!$C:$C,$D$5,'ETPT Format DDG'!$FA:$FA,"Magistrat SIEGE S")-SUM(V5:AD5)-AF5-AG5-SUMIFS( INDEX( 'ETPT Format DDG'!$A:$FF,,MATCH("6.1. ACTIVITÉ CIVILE",'ETPT Format DDG'!2:2,0)),'ETPT Format DDG'!$C:$C,$D$5,'ETPT Format DDG'!$FA:$FA,"Magistrat SIEGE S")-SUMIFS( INDEX( 'ETPT Format DDG'!$A:$FF,,MATCH("5. TOTAL JLD CIVIL",'ETPT Format DDG'!2:2,0)),'ETPT Format DDG'!$C:$C,$D$5,'ETPT Format DDG'!$FA:$FA,"Magistrat SIEGE S")-SUMIFS( INDEX( 'ETPT Format DDG'!$A:$FF,,MATCH("2. TOTAL CONTENTIEUX JAF",'ETPT Format DDG'!2:2,0)),'ETPT Format DDG'!$C:$C,$D$5,'ETPT Format DDG'!$C:$C,$D$5,'ETPT Format DDG'!$FA:$FA,"Magistrat SIEGE S")</f>
        <v>#N/A</v>
      </c>
      <c r="AI5" s="94" t="e">
        <f t="shared" ref="AI5:AI15" si="4">SUM(AF5:AH5)</f>
        <v>#N/A</v>
      </c>
    </row>
    <row r="6" spans="1:35" x14ac:dyDescent="0.2">
      <c r="A6" s="114" t="s">
        <v>186</v>
      </c>
      <c r="B6" s="115"/>
      <c r="C6" s="115"/>
      <c r="D6" s="115">
        <f t="shared" ref="D6:D15" si="5">$D$5</f>
        <v>0</v>
      </c>
      <c r="E6" s="115" t="s">
        <v>71</v>
      </c>
      <c r="F6" s="115" t="s">
        <v>70</v>
      </c>
      <c r="G6" s="72"/>
      <c r="H6" s="116">
        <f t="shared" si="0"/>
        <v>0</v>
      </c>
      <c r="I6" s="117"/>
      <c r="J6" s="57"/>
      <c r="K6" s="57"/>
      <c r="L6" s="57"/>
      <c r="M6" s="57"/>
      <c r="N6" s="118"/>
      <c r="O6" s="57"/>
      <c r="P6" s="57"/>
      <c r="Q6" s="57"/>
      <c r="R6" s="118"/>
      <c r="S6" s="119">
        <f t="shared" si="1"/>
        <v>0</v>
      </c>
      <c r="T6" s="120"/>
      <c r="U6" s="119">
        <f t="shared" si="2"/>
        <v>0</v>
      </c>
      <c r="V6" s="121"/>
      <c r="W6" s="57"/>
      <c r="X6" s="57"/>
      <c r="Y6" s="57"/>
      <c r="Z6" s="57"/>
      <c r="AA6" s="57"/>
      <c r="AB6" s="57"/>
      <c r="AC6" s="57"/>
      <c r="AD6" s="57"/>
      <c r="AE6" s="116">
        <f t="shared" si="3"/>
        <v>0</v>
      </c>
      <c r="AF6" s="57"/>
      <c r="AG6" s="57"/>
      <c r="AH6" s="57"/>
      <c r="AI6" s="116">
        <f t="shared" si="4"/>
        <v>0</v>
      </c>
    </row>
    <row r="7" spans="1:35" x14ac:dyDescent="0.2">
      <c r="A7" s="93" t="s">
        <v>186</v>
      </c>
      <c r="B7" s="65"/>
      <c r="C7" s="65"/>
      <c r="D7" s="65">
        <f t="shared" si="5"/>
        <v>0</v>
      </c>
      <c r="E7" s="65" t="s">
        <v>69</v>
      </c>
      <c r="F7" s="65" t="s">
        <v>68</v>
      </c>
      <c r="G7" s="72"/>
      <c r="H7" s="94">
        <f t="shared" si="0"/>
        <v>0</v>
      </c>
      <c r="I7" s="95"/>
      <c r="J7" s="66"/>
      <c r="K7" s="66"/>
      <c r="L7" s="66"/>
      <c r="M7" s="66"/>
      <c r="N7" s="70"/>
      <c r="O7" s="57"/>
      <c r="P7" s="57"/>
      <c r="Q7" s="66"/>
      <c r="R7" s="66"/>
      <c r="S7" s="49">
        <f t="shared" si="1"/>
        <v>0</v>
      </c>
      <c r="T7" s="59"/>
      <c r="U7" s="49">
        <f t="shared" si="2"/>
        <v>0</v>
      </c>
      <c r="V7" s="60"/>
      <c r="W7" s="66"/>
      <c r="X7" s="66"/>
      <c r="Y7" s="66"/>
      <c r="Z7" s="66"/>
      <c r="AA7" s="66"/>
      <c r="AB7" s="57"/>
      <c r="AC7" s="57"/>
      <c r="AD7" s="57"/>
      <c r="AE7" s="94">
        <f t="shared" si="3"/>
        <v>0</v>
      </c>
      <c r="AF7" s="66"/>
      <c r="AG7" s="66"/>
      <c r="AH7" s="66"/>
      <c r="AI7" s="94">
        <f t="shared" si="4"/>
        <v>0</v>
      </c>
    </row>
    <row r="8" spans="1:35" x14ac:dyDescent="0.2">
      <c r="A8" s="93" t="s">
        <v>186</v>
      </c>
      <c r="B8" s="65"/>
      <c r="C8" s="65"/>
      <c r="D8" s="65">
        <f t="shared" si="5"/>
        <v>0</v>
      </c>
      <c r="E8" s="65" t="s">
        <v>67</v>
      </c>
      <c r="F8" s="65" t="s">
        <v>66</v>
      </c>
      <c r="G8" s="69" t="e">
        <f>SUMIFS( INDEX( 'ETPT Format DDG'!$A:$FF,,MATCH("11.51. ACCUEIL DU JUSTICIABLE (DONT SAUJ)",'ETPT Format DDG'!2:2,0)),'ETPT Format DDG'!$C:$C,$D$5,'ETPT Format DDG'!$FA:$FA,"Fonctionnaire CTECH")</f>
        <v>#N/A</v>
      </c>
      <c r="H8" s="94" t="e">
        <f t="shared" si="0"/>
        <v>#N/A</v>
      </c>
      <c r="I8" s="95"/>
      <c r="J8" s="66"/>
      <c r="K8" s="66"/>
      <c r="L8" s="66"/>
      <c r="M8" s="66"/>
      <c r="N8" s="70"/>
      <c r="O8" s="57"/>
      <c r="P8" s="57"/>
      <c r="Q8" s="66"/>
      <c r="R8" s="61" t="e">
        <f>SUMIFS( INDEX( 'ETPT Format DDG'!$A:$FF,,MATCH("11.51. ACCUEIL DU JUSTICIABLE (DONT SAUJ)",'ETPT Format DDG'!2:2,0)),'ETPT Format DDG'!$C:$C,$D$5,'ETPT Format DDG'!$FA:$FA,"Fonctionnaire A-B-CBUR")</f>
        <v>#N/A</v>
      </c>
      <c r="S8" s="49" t="e">
        <f t="shared" si="1"/>
        <v>#N/A</v>
      </c>
      <c r="T8" s="68" t="e">
        <f>SUMIFS( INDEX( 'ETPT Format DDG'!$A:$FF,,MATCH("11.51. ACCUEIL DU JUSTICIABLE (DONT SAUJ)",'ETPT Format DDG'!2:2,0)),'ETPT Format DDG'!$C:$C,$D$5,'ETPT Format DDG'!$FA:$FA,"JURISTE AS siège Autres")</f>
        <v>#N/A</v>
      </c>
      <c r="U8" s="49" t="e">
        <f t="shared" si="2"/>
        <v>#N/A</v>
      </c>
      <c r="V8" s="60"/>
      <c r="W8" s="66"/>
      <c r="X8" s="66"/>
      <c r="Y8" s="66"/>
      <c r="Z8" s="66"/>
      <c r="AA8" s="66"/>
      <c r="AB8" s="57"/>
      <c r="AC8" s="57"/>
      <c r="AD8" s="57"/>
      <c r="AE8" s="94">
        <f t="shared" si="3"/>
        <v>0</v>
      </c>
      <c r="AF8" s="66"/>
      <c r="AG8" s="66"/>
      <c r="AH8" s="61" t="e">
        <f>SUMIFS( INDEX( 'ETPT Format DDG'!$A:$FF,,MATCH("11.51. ACCUEIL DU JUSTICIABLE (DONT SAUJ)",'ETPT Format DDG'!2:2,0)),'ETPT Format DDG'!$C:$C,$D$5,'ETPT Format DDG'!$FA:$FA,"Magistrat SIEGE S")</f>
        <v>#N/A</v>
      </c>
      <c r="AI8" s="94" t="e">
        <f t="shared" si="4"/>
        <v>#N/A</v>
      </c>
    </row>
    <row r="9" spans="1:35" x14ac:dyDescent="0.2">
      <c r="A9" s="93" t="s">
        <v>186</v>
      </c>
      <c r="B9" s="65"/>
      <c r="C9" s="65"/>
      <c r="D9" s="65">
        <f t="shared" si="5"/>
        <v>0</v>
      </c>
      <c r="E9" s="65" t="s">
        <v>65</v>
      </c>
      <c r="F9" s="65" t="s">
        <v>64</v>
      </c>
      <c r="G9" s="69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94" t="e">
        <f t="shared" si="0"/>
        <v>#N/A</v>
      </c>
      <c r="I9" s="95"/>
      <c r="J9" s="66"/>
      <c r="K9" s="66"/>
      <c r="L9" s="66"/>
      <c r="M9" s="66"/>
      <c r="N9" s="70"/>
      <c r="O9" s="57"/>
      <c r="P9" s="57"/>
      <c r="Q9" s="66"/>
      <c r="R9" s="61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S9" s="49" t="e">
        <f t="shared" si="1"/>
        <v>#N/A</v>
      </c>
      <c r="T9" s="68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U9" s="49" t="e">
        <f t="shared" si="2"/>
        <v>#N/A</v>
      </c>
      <c r="V9" s="60"/>
      <c r="W9" s="66"/>
      <c r="X9" s="66"/>
      <c r="Y9" s="66"/>
      <c r="Z9" s="66"/>
      <c r="AA9" s="66"/>
      <c r="AB9" s="57"/>
      <c r="AC9" s="57"/>
      <c r="AD9" s="57"/>
      <c r="AE9" s="94">
        <f t="shared" si="3"/>
        <v>0</v>
      </c>
      <c r="AF9" s="66"/>
      <c r="AG9" s="66"/>
      <c r="AH9" s="61" t="e">
        <f>SUMIFS( INDEX( 'ETPT Format DDG'!$A:$FF,,MATCH("11.1. SOUTIEN (HORS FORMATIONS SUIVIES)",'ETPT Format DDG'!2:2,0)),'ETPT Format DDG'!$C:$C,$D$5,'ETPT Format DDG'!$FA:$FA,"Magistrat SIEGE S")+
SUMIFS( INDEX( 'ETPT Format DDG'!$A:$FF,,MATCH("11.2. FORMATIONS SUIVIES",'ETPT Format DDG'!2:2,0)),'ETPT Format DDG'!$C:$C,$D$5,'ETPT Format DDG'!$FA:$FA,"Magistrat SIEGE S")+
SUMIFS( INDEX( 'ETPT Format DDG'!$A:$FF,,MATCH("11.6. AUTRES ACTIVITÉS NON JURIDICTIONNELLES",'ETPT Format DDG'!2:2,0)),'ETPT Format DDG'!$C:$C,$D$5,'ETPT Format DDG'!$FA:$FA,"Magistrat SIEGE S")</f>
        <v>#N/A</v>
      </c>
      <c r="AI9" s="94" t="e">
        <f t="shared" si="4"/>
        <v>#N/A</v>
      </c>
    </row>
    <row r="10" spans="1:35" x14ac:dyDescent="0.2">
      <c r="A10" s="93" t="s">
        <v>186</v>
      </c>
      <c r="B10" s="65"/>
      <c r="C10" s="65"/>
      <c r="D10" s="65">
        <f t="shared" si="5"/>
        <v>0</v>
      </c>
      <c r="E10" s="65" t="s">
        <v>63</v>
      </c>
      <c r="F10" s="65" t="s">
        <v>62</v>
      </c>
      <c r="G10" s="69" t="e">
        <f>SUMIFS( INDEX( 'ETPT Format DDG'!$A:$FF,,MATCH("11.3. FORMATIONS DISPENSÉES",'ETPT Format DDG'!2:2,0)),'ETPT Format DDG'!$C:$C,$D$5,'ETPT Format DDG'!$FA:$FA,"Fonctionnaire CTECH")</f>
        <v>#N/A</v>
      </c>
      <c r="H10" s="94" t="e">
        <f t="shared" si="0"/>
        <v>#N/A</v>
      </c>
      <c r="I10" s="95"/>
      <c r="J10" s="66"/>
      <c r="K10" s="66"/>
      <c r="L10" s="66"/>
      <c r="M10" s="66"/>
      <c r="N10" s="70"/>
      <c r="O10" s="57"/>
      <c r="P10" s="57"/>
      <c r="Q10" s="66"/>
      <c r="R10" s="61" t="e">
        <f>SUMIFS( INDEX( 'ETPT Format DDG'!$A:$FF,,MATCH("11.3. FORMATIONS DISPENSÉES",'ETPT Format DDG'!2:2,0)),'ETPT Format DDG'!$C:$C,$D$5,'ETPT Format DDG'!$FA:$FA,"Fonctionnaire A-B-CBUR")</f>
        <v>#N/A</v>
      </c>
      <c r="S10" s="49" t="e">
        <f t="shared" si="1"/>
        <v>#N/A</v>
      </c>
      <c r="T10" s="68" t="e">
        <f>SUMIFS( INDEX( 'ETPT Format DDG'!$A:$FF,,MATCH("11.3. FORMATIONS DISPENSÉES",'ETPT Format DDG'!2:2,0)),'ETPT Format DDG'!$C:$C,$D$5,'ETPT Format DDG'!$FA:$FA,"JURISTE AS siège Autres")</f>
        <v>#N/A</v>
      </c>
      <c r="U10" s="49" t="e">
        <f t="shared" si="2"/>
        <v>#N/A</v>
      </c>
      <c r="V10" s="60"/>
      <c r="W10" s="66"/>
      <c r="X10" s="66"/>
      <c r="Y10" s="66"/>
      <c r="Z10" s="66"/>
      <c r="AA10" s="66"/>
      <c r="AB10" s="57"/>
      <c r="AC10" s="57"/>
      <c r="AD10" s="57"/>
      <c r="AE10" s="94">
        <f t="shared" si="3"/>
        <v>0</v>
      </c>
      <c r="AF10" s="66"/>
      <c r="AG10" s="66"/>
      <c r="AH10" s="61" t="e">
        <f>SUMIFS( INDEX( 'ETPT Format DDG'!$A:$FF,,MATCH("11.3. FORMATIONS DISPENSÉES",'ETPT Format DDG'!2:2,0)),'ETPT Format DDG'!$C:$C,$D$5,'ETPT Format DDG'!$FA:$FA,"Magistrat SIEGE S")</f>
        <v>#N/A</v>
      </c>
      <c r="AI10" s="94" t="e">
        <f t="shared" si="4"/>
        <v>#N/A</v>
      </c>
    </row>
    <row r="11" spans="1:35" x14ac:dyDescent="0.2">
      <c r="A11" s="93" t="s">
        <v>186</v>
      </c>
      <c r="B11" s="65"/>
      <c r="C11" s="65"/>
      <c r="D11" s="65">
        <f t="shared" si="5"/>
        <v>0</v>
      </c>
      <c r="E11" s="65" t="s">
        <v>61</v>
      </c>
      <c r="F11" s="65" t="s">
        <v>60</v>
      </c>
      <c r="G11" s="69" t="e">
        <f>SUMIFS( INDEX( 'ETPT Format DDG'!$A:$FF,,MATCH("11.4. ACCÈS AU DROIT ET À LA JUSTICE",'ETPT Format DDG'!2:2,0)),'ETPT Format DDG'!$C:$C,$D$5,'ETPT Format DDG'!$FA:$FA,"Fonctionnaire CTECH")</f>
        <v>#N/A</v>
      </c>
      <c r="H11" s="94" t="e">
        <f t="shared" si="0"/>
        <v>#N/A</v>
      </c>
      <c r="I11" s="95"/>
      <c r="J11" s="66"/>
      <c r="K11" s="66"/>
      <c r="L11" s="66"/>
      <c r="M11" s="66"/>
      <c r="N11" s="70"/>
      <c r="O11" s="57"/>
      <c r="P11" s="57"/>
      <c r="Q11" s="66"/>
      <c r="R11" s="61" t="e">
        <f>SUMIFS( INDEX( 'ETPT Format DDG'!$A:$FF,,MATCH("11.4. ACCÈS AU DROIT ET À LA JUSTICE",'ETPT Format DDG'!2:2,0)),'ETPT Format DDG'!$C:$C,$D$5,'ETPT Format DDG'!$FA:$FA,"Fonctionnaire A-B-CBUR")</f>
        <v>#N/A</v>
      </c>
      <c r="S11" s="49" t="e">
        <f t="shared" si="1"/>
        <v>#N/A</v>
      </c>
      <c r="T11" s="68" t="e">
        <f>SUMIFS( INDEX( 'ETPT Format DDG'!$A:$FF,,MATCH("11.4. ACCÈS AU DROIT ET À LA JUSTICE",'ETPT Format DDG'!2:2,0)),'ETPT Format DDG'!$C:$C,$D$5,'ETPT Format DDG'!$FA:$FA,"JURISTE AS siège Autres")</f>
        <v>#N/A</v>
      </c>
      <c r="U11" s="49" t="e">
        <f t="shared" si="2"/>
        <v>#N/A</v>
      </c>
      <c r="V11" s="60"/>
      <c r="W11" s="66"/>
      <c r="X11" s="66"/>
      <c r="Y11" s="66"/>
      <c r="Z11" s="66"/>
      <c r="AA11" s="66"/>
      <c r="AB11" s="57"/>
      <c r="AC11" s="57"/>
      <c r="AD11" s="57"/>
      <c r="AE11" s="94">
        <f t="shared" si="3"/>
        <v>0</v>
      </c>
      <c r="AF11" s="66"/>
      <c r="AG11" s="66"/>
      <c r="AH11" s="61" t="e">
        <f>SUMIFS( INDEX( 'ETPT Format DDG'!$A:$FF,,MATCH("11.4. ACCÈS AU DROIT ET À LA JUSTICE",'ETPT Format DDG'!2:2,0)),'ETPT Format DDG'!$C:$C,$D$5,'ETPT Format DDG'!$FA:$FA,"Magistrat SIEGE S")</f>
        <v>#N/A</v>
      </c>
      <c r="AI11" s="94" t="e">
        <f t="shared" si="4"/>
        <v>#N/A</v>
      </c>
    </row>
    <row r="12" spans="1:35" x14ac:dyDescent="0.2">
      <c r="A12" s="93" t="s">
        <v>186</v>
      </c>
      <c r="B12" s="65"/>
      <c r="C12" s="65"/>
      <c r="D12" s="65">
        <f t="shared" si="5"/>
        <v>0</v>
      </c>
      <c r="E12" s="65" t="s">
        <v>59</v>
      </c>
      <c r="F12" s="65" t="s">
        <v>58</v>
      </c>
      <c r="G12" s="69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94" t="e">
        <f t="shared" si="0"/>
        <v>#N/A</v>
      </c>
      <c r="I12" s="95"/>
      <c r="J12" s="66"/>
      <c r="K12" s="66"/>
      <c r="L12" s="66"/>
      <c r="M12" s="66"/>
      <c r="N12" s="70"/>
      <c r="O12" s="57"/>
      <c r="P12" s="57"/>
      <c r="Q12" s="66"/>
      <c r="R12" s="61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S12" s="49" t="e">
        <f t="shared" si="1"/>
        <v>#N/A</v>
      </c>
      <c r="T12" s="68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U12" s="49" t="e">
        <f t="shared" si="2"/>
        <v>#N/A</v>
      </c>
      <c r="V12" s="60"/>
      <c r="W12" s="66"/>
      <c r="X12" s="66"/>
      <c r="Y12" s="66"/>
      <c r="Z12" s="66"/>
      <c r="AA12" s="66"/>
      <c r="AB12" s="57"/>
      <c r="AC12" s="57"/>
      <c r="AD12" s="57"/>
      <c r="AE12" s="94">
        <f t="shared" si="3"/>
        <v>0</v>
      </c>
      <c r="AF12" s="66"/>
      <c r="AG12" s="66"/>
      <c r="AH12" s="56" t="e">
        <f>SUMIFS( INDEX( 'ETPT Format DDG'!$A:$FF,,MATCH("12. TOTAL INDISPONIBILITÉ",'ETPT Format DDG'!2:2,0)),'ETPT Format DDG'!$C:$C,$D$5,'ETPT Format DDG'!$FA:$FA,"Magistrat SIEGE S")</f>
        <v>#N/A</v>
      </c>
      <c r="AI12" s="94" t="e">
        <f t="shared" si="4"/>
        <v>#N/A</v>
      </c>
    </row>
    <row r="13" spans="1:35" x14ac:dyDescent="0.2">
      <c r="A13" s="93" t="s">
        <v>186</v>
      </c>
      <c r="B13" s="65"/>
      <c r="C13" s="65"/>
      <c r="D13" s="65">
        <f t="shared" si="5"/>
        <v>0</v>
      </c>
      <c r="E13" s="65" t="s">
        <v>57</v>
      </c>
      <c r="F13" s="65" t="s">
        <v>56</v>
      </c>
      <c r="G13" s="63" t="e">
        <f>SUMIFS( INDEX( 'ETPT Format DDG'!$A:$FF,,MATCH("12.5. MISE À DISPOSITION",'ETPT Format DDG'!2:2,0)),'ETPT Format DDG'!$C:$C,$D$5,'ETPT Format DDG'!$FA:$FA,"Fonctionnaire CTECH")</f>
        <v>#N/A</v>
      </c>
      <c r="H13" s="94" t="e">
        <f t="shared" si="0"/>
        <v>#N/A</v>
      </c>
      <c r="I13" s="95"/>
      <c r="J13" s="66"/>
      <c r="K13" s="66"/>
      <c r="L13" s="66"/>
      <c r="M13" s="66"/>
      <c r="N13" s="70"/>
      <c r="O13" s="57"/>
      <c r="P13" s="57"/>
      <c r="Q13" s="66"/>
      <c r="R13" s="56" t="e">
        <f>SUMIFS( INDEX( 'ETPT Format DDG'!$A:$FF,,MATCH("12.5. MISE À DISPOSITION",'ETPT Format DDG'!2:2,0)),'ETPT Format DDG'!$C:$C,$D$5,'ETPT Format DDG'!$FA:$FA,"Fonctionnaire A-B-CBUR")</f>
        <v>#N/A</v>
      </c>
      <c r="S13" s="49" t="e">
        <f t="shared" si="1"/>
        <v>#N/A</v>
      </c>
      <c r="T13" s="67" t="e">
        <f>SUMIFS( INDEX( 'ETPT Format DDG'!$A:$FF,,MATCH("12.5. MISE À DISPOSITION",'ETPT Format DDG'!2:2,0)),'ETPT Format DDG'!$C:$C,$D$5,'ETPT Format DDG'!$FA:$FA,"JURISTE AS siège Autres")</f>
        <v>#N/A</v>
      </c>
      <c r="U13" s="49" t="e">
        <f t="shared" si="2"/>
        <v>#N/A</v>
      </c>
      <c r="V13" s="60"/>
      <c r="W13" s="66"/>
      <c r="X13" s="66"/>
      <c r="Y13" s="66"/>
      <c r="Z13" s="66"/>
      <c r="AA13" s="66"/>
      <c r="AB13" s="57"/>
      <c r="AC13" s="57"/>
      <c r="AD13" s="57"/>
      <c r="AE13" s="94">
        <f t="shared" si="3"/>
        <v>0</v>
      </c>
      <c r="AF13" s="66"/>
      <c r="AG13" s="66"/>
      <c r="AH13" s="303" t="e">
        <f>SUMIFS( INDEX( 'ETPT Format DDG'!$A:$FF,,MATCH("12.5. MISE À DISPOSITION",'ETPT Format DDG'!2:2,0)),'ETPT Format DDG'!$C:$C,$D$5,'ETPT Format DDG'!$FA:$FA,"Magistrat SIEGE S")</f>
        <v>#N/A</v>
      </c>
      <c r="AI13" s="94" t="e">
        <f t="shared" si="4"/>
        <v>#N/A</v>
      </c>
    </row>
    <row r="14" spans="1:35" x14ac:dyDescent="0.2">
      <c r="A14" s="93" t="s">
        <v>186</v>
      </c>
      <c r="B14" s="65"/>
      <c r="C14" s="65"/>
      <c r="D14" s="65">
        <f t="shared" si="5"/>
        <v>0</v>
      </c>
      <c r="E14" s="65" t="s">
        <v>55</v>
      </c>
      <c r="F14" s="65" t="s">
        <v>54</v>
      </c>
      <c r="G14" s="63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94">
        <f t="shared" si="0"/>
        <v>0</v>
      </c>
      <c r="I14" s="95"/>
      <c r="J14" s="61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K14" s="61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L14" s="61" t="e">
        <f>SUMIFS( INDEX( 'ETPT Format DDG'!$A:$FF,,MATCH("3.2. PROTECTION DES MAJEURS",'ETPT Format DDG'!2:2,0)),'ETPT Format DDG'!$C:$C,$D$5,'ETPT Format DDG'!$FA:$FA,"Fonctionnaire A-B-CBUR placé ADD")</f>
        <v>#N/A</v>
      </c>
      <c r="M14" s="164"/>
      <c r="N14" s="164"/>
      <c r="O14" s="57"/>
      <c r="P14" s="57"/>
      <c r="Q14" s="66"/>
      <c r="R14" s="166" t="e">
        <f>SUMIFS( INDEX( 'ETPT Format DDG'!$A:$FF,,MATCH("Temps ventilé sur la période (y.c. indisponibilité)",'ETPT Format DDG'!2:2,0)),'ETPT Format DDG'!$C:$C,$D$5,'ETPT Format DDG'!$FA:$FA,"Fonctionnaire A-B-CBUR placé ADD")-SUM(I14:Q14)-SUMIFS( INDEX( 'ETPT Format DDG'!$A:$FF,,MATCH("11.7. FONCTIONNAIRES AFFECTÉS AU CPH",'ETPT Format DDG'!2:2,0)),'ETPT Format DDG'!$C:$C,$D$5,'ETPT Format DDG'!$FA:$FA,"Fonctionnaire CTECH placé ADD")</f>
        <v>#N/A</v>
      </c>
      <c r="S14" s="49" t="e">
        <f t="shared" si="1"/>
        <v>#N/A</v>
      </c>
      <c r="T14" s="59"/>
      <c r="U14" s="49">
        <f t="shared" si="2"/>
        <v>0</v>
      </c>
      <c r="V14" s="60"/>
      <c r="W14" s="61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X14" s="61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Y14" s="61" t="e">
        <f>SUMIFS( INDEX( 'ETPT Format DDG'!$A:$FF,,MATCH("3.2. PROTECTION DES MAJEURS",'ETPT Format DDG'!2:2,0)),'ETPT Format DDG'!$C:$C,$D$5,'ETPT Format DDG'!$FA:$FA,"Magistrat placé ADD")</f>
        <v>#N/A</v>
      </c>
      <c r="Z14" s="164"/>
      <c r="AA14" s="164"/>
      <c r="AB14" s="57"/>
      <c r="AC14" s="57"/>
      <c r="AD14" s="57"/>
      <c r="AE14" s="94" t="e">
        <f t="shared" si="3"/>
        <v>#N/A</v>
      </c>
      <c r="AF14" s="57"/>
      <c r="AG14" s="56" t="e">
        <f>SUMIFS( INDEX( 'ETPT Format DDG'!$A:$FF,,MATCH("1.1. DÉPARTAGE PRUD'HOMAL",'ETPT Format DDG'!2:2,0)),'ETPT Format DDG'!$C:$C,$D$5,'ETPT Format DDG'!$FA:$FA,"Magistrat placé ADD")</f>
        <v>#N/A</v>
      </c>
      <c r="AH14" s="165" t="e">
        <f>SUMIFS( INDEX( 'ETPT Format DDG'!$A:$FF,,MATCH("Temps ventilé sur la période (y.c. indisponibilité)",'ETPT Format DDG'!2:2,0)),'ETPT Format DDG'!$C:$C,$D$5,'ETPT Format DDG'!$FA:$FA,"Magistrat placé ADD")-SUM(AE14:AG14)</f>
        <v>#N/A</v>
      </c>
      <c r="AI14" s="94" t="e">
        <f t="shared" si="4"/>
        <v>#N/A</v>
      </c>
    </row>
    <row r="15" spans="1:35" x14ac:dyDescent="0.2">
      <c r="A15" s="93" t="s">
        <v>186</v>
      </c>
      <c r="B15" s="65"/>
      <c r="C15" s="65"/>
      <c r="D15" s="65">
        <f t="shared" si="5"/>
        <v>0</v>
      </c>
      <c r="E15" s="65" t="s">
        <v>52</v>
      </c>
      <c r="F15" s="65" t="s">
        <v>51</v>
      </c>
      <c r="G15" s="63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94">
        <f t="shared" si="0"/>
        <v>0</v>
      </c>
      <c r="I15" s="95"/>
      <c r="J15" s="61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K15" s="61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L15" s="61" t="e">
        <f>SUMIFS( INDEX( 'ETPT Format DDG'!$A:$FF,,MATCH("3.2. PROTECTION DES MAJEURS",'ETPT Format DDG'!2:2,0)),'ETPT Format DDG'!$C:$C,$D$5,'ETPT Format DDG'!$FA:$FA,"Fonctionnaire A-B-CBUR placé SUB")</f>
        <v>#N/A</v>
      </c>
      <c r="M15" s="164"/>
      <c r="N15" s="164"/>
      <c r="O15" s="57"/>
      <c r="P15" s="57"/>
      <c r="Q15" s="66"/>
      <c r="R15" s="166" t="e">
        <f>SUMIFS( INDEX( 'ETPT Format DDG'!$A:$FF,,MATCH("Temps ventilé sur la période (y.c. indisponibilité)",'ETPT Format DDG'!2:2,0)),'ETPT Format DDG'!$C:$C,$D$5,'ETPT Format DDG'!$FA:$FA,"Fonctionnaire A-B-CBUR placé SUB")-SUM(I15:Q15)-SUMIFS( INDEX( 'ETPT Format DDG'!$A:$FF,,MATCH("11.7. FONCTIONNAIRES AFFECTÉS AU CPH",'ETPT Format DDG'!2:2,0)),'ETPT Format DDG'!$C:$C,$D$5,'ETPT Format DDG'!$FA:$FA,"Fonctionnaire CTECH placé SUB")</f>
        <v>#N/A</v>
      </c>
      <c r="S15" s="49" t="e">
        <f t="shared" si="1"/>
        <v>#N/A</v>
      </c>
      <c r="T15" s="59"/>
      <c r="U15" s="49">
        <f t="shared" si="2"/>
        <v>0</v>
      </c>
      <c r="V15" s="60"/>
      <c r="W15" s="61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X15" s="61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Y15" s="61" t="e">
        <f>SUMIFS( INDEX( 'ETPT Format DDG'!$A:$FF,,MATCH("3.2. PROTECTION DES MAJEURS",'ETPT Format DDG'!2:2,0)),'ETPT Format DDG'!$C:$C,$D$5,'ETPT Format DDG'!$FA:$FA,"Magistrat placé SUB")</f>
        <v>#N/A</v>
      </c>
      <c r="Z15" s="164"/>
      <c r="AA15" s="164"/>
      <c r="AB15" s="57"/>
      <c r="AC15" s="57"/>
      <c r="AD15" s="57"/>
      <c r="AE15" s="94" t="e">
        <f t="shared" si="3"/>
        <v>#N/A</v>
      </c>
      <c r="AF15" s="66"/>
      <c r="AG15" s="56" t="e">
        <f>SUMIFS( INDEX( 'ETPT Format DDG'!$A:$FF,,MATCH("1.1. DÉPARTAGE PRUD'HOMAL",'ETPT Format DDG'!2:2,0)),'ETPT Format DDG'!$C:$C,$D$5,'ETPT Format DDG'!$FA:$FA,"Magistrat placé SUB")</f>
        <v>#N/A</v>
      </c>
      <c r="AH15" s="165" t="e">
        <f>SUMIFS( INDEX( 'ETPT Format DDG'!$A:$FF,,MATCH("Temps ventilé sur la période (y.c. indisponibilité)",'ETPT Format DDG'!2:2,0)),'ETPT Format DDG'!$C:$C,$D$5,'ETPT Format DDG'!$FA:$FA,"Magistrat placé SUB")-SUM(AE15:AG15)</f>
        <v>#N/A</v>
      </c>
      <c r="AI15" s="94" t="e">
        <f t="shared" si="4"/>
        <v>#N/A</v>
      </c>
    </row>
    <row r="16" spans="1:35" x14ac:dyDescent="0.2">
      <c r="A16" s="93"/>
      <c r="B16" s="92"/>
      <c r="C16" s="92"/>
      <c r="D16" s="92"/>
      <c r="E16" s="92"/>
      <c r="F16" s="91" t="s">
        <v>50</v>
      </c>
      <c r="G16" s="49" t="e">
        <f t="shared" ref="G16:AI16" si="6">SUM(G5:G15)</f>
        <v>#N/A</v>
      </c>
      <c r="H16" s="49" t="e">
        <f t="shared" si="6"/>
        <v>#N/A</v>
      </c>
      <c r="I16" s="49">
        <f t="shared" si="6"/>
        <v>0</v>
      </c>
      <c r="J16" s="49" t="e">
        <f t="shared" si="6"/>
        <v>#N/A</v>
      </c>
      <c r="K16" s="49" t="e">
        <f t="shared" si="6"/>
        <v>#N/A</v>
      </c>
      <c r="L16" s="49" t="e">
        <f t="shared" si="6"/>
        <v>#N/A</v>
      </c>
      <c r="M16" s="49">
        <f t="shared" si="6"/>
        <v>0</v>
      </c>
      <c r="N16" s="49">
        <f t="shared" si="6"/>
        <v>0</v>
      </c>
      <c r="O16" s="119">
        <f t="shared" si="6"/>
        <v>0</v>
      </c>
      <c r="P16" s="119">
        <f t="shared" si="6"/>
        <v>0</v>
      </c>
      <c r="Q16" s="49">
        <f t="shared" si="6"/>
        <v>0</v>
      </c>
      <c r="R16" s="49" t="e">
        <f>SUM(R5:R15)</f>
        <v>#N/A</v>
      </c>
      <c r="S16" s="49" t="e">
        <f t="shared" si="6"/>
        <v>#N/A</v>
      </c>
      <c r="T16" s="49" t="e">
        <f t="shared" si="6"/>
        <v>#N/A</v>
      </c>
      <c r="U16" s="49" t="e">
        <f t="shared" si="6"/>
        <v>#N/A</v>
      </c>
      <c r="V16" s="49">
        <f t="shared" si="6"/>
        <v>0</v>
      </c>
      <c r="W16" s="49" t="e">
        <f t="shared" si="6"/>
        <v>#N/A</v>
      </c>
      <c r="X16" s="49" t="e">
        <f t="shared" si="6"/>
        <v>#N/A</v>
      </c>
      <c r="Y16" s="49" t="e">
        <f t="shared" si="6"/>
        <v>#N/A</v>
      </c>
      <c r="Z16" s="49">
        <f t="shared" si="6"/>
        <v>0</v>
      </c>
      <c r="AA16" s="49">
        <f t="shared" si="6"/>
        <v>0</v>
      </c>
      <c r="AB16" s="119">
        <f t="shared" si="6"/>
        <v>0</v>
      </c>
      <c r="AC16" s="119">
        <f t="shared" si="6"/>
        <v>0</v>
      </c>
      <c r="AD16" s="49">
        <f t="shared" si="6"/>
        <v>0</v>
      </c>
      <c r="AE16" s="49" t="e">
        <f t="shared" si="6"/>
        <v>#N/A</v>
      </c>
      <c r="AF16" s="49">
        <f t="shared" si="6"/>
        <v>0</v>
      </c>
      <c r="AG16" s="49" t="e">
        <f t="shared" si="6"/>
        <v>#N/A</v>
      </c>
      <c r="AH16" s="49" t="e">
        <f t="shared" si="6"/>
        <v>#N/A</v>
      </c>
      <c r="AI16" s="49" t="e">
        <f t="shared" si="6"/>
        <v>#N/A</v>
      </c>
    </row>
    <row r="17" spans="4:34" x14ac:dyDescent="0.2">
      <c r="S17" s="43" t="e">
        <f>S16+H16-S14-H14-H15-S15+ETPT_CPH!G5</f>
        <v>#N/A</v>
      </c>
    </row>
    <row r="18" spans="4:34" ht="28" x14ac:dyDescent="0.2">
      <c r="F18" s="305" t="s">
        <v>402</v>
      </c>
      <c r="G18" s="236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Q18" s="306" t="s">
        <v>404</v>
      </c>
      <c r="R18" s="236" t="e">
        <f>SUMIFS( INDEX( 'ETPT Format DDG'!$A:$FF,,MATCH("12. TOTAL INDISPONIBILITÉ",'ETPT Format DDG'!2:2,0)),'ETPT Format DDG'!$C:$C,$D$5,'ETPT Format DDG'!$FA:$FA,"Fonctionnaire A-B-CBUR placé ADD")+
SUMIFS( INDEX( 'ETPT Format DDG'!$A:$FF,,MATCH("12. TOTAL INDISPONIBILITÉ",'ETPT Format DDG'!2:2,0)),'ETPT Format DDG'!$C:$C,$D$5,'ETPT Format DDG'!$FA:$FA,"Fonctionnaire A-B-CBUR placé SUB")</f>
        <v>#N/A</v>
      </c>
      <c r="S18" s="41"/>
      <c r="AF18" s="307"/>
      <c r="AG18" s="304" t="s">
        <v>400</v>
      </c>
      <c r="AH18" s="56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</row>
    <row r="19" spans="4:34" x14ac:dyDescent="0.2">
      <c r="D19" s="42" t="s">
        <v>185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2025-01-21T13:41:03Z</dcterms:modified>
  <cp:category/>
</cp:coreProperties>
</file>