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paulm\Documents\Pro\PPME\beta.gouv.fr\A-JUST\Construction\Produit\Calculatrice\"/>
    </mc:Choice>
  </mc:AlternateContent>
  <xr:revisionPtr revIDLastSave="0" documentId="13_ncr:1_{4C69CC18-6A26-4968-9A9B-1F94D79130E7}" xr6:coauthVersionLast="47" xr6:coauthVersionMax="47" xr10:uidLastSave="{00000000-0000-0000-0000-000000000000}"/>
  <workbookProtection workbookAlgorithmName="SHA-512" workbookHashValue="ObRgUzRlu8iQSYGVA2lhVH078zP8iP0F6GyFZ5bGpriWZ1Hwj3maJsSgI3ZOQE3LrjmCbxrcQ87zOl98xoDpSQ==" workbookSaltValue="QKZk8Zmv165nJIoj5ruu2A==" workbookSpinCount="100000" lockStructure="1"/>
  <bookViews>
    <workbookView xWindow="-98" yWindow="-98" windowWidth="21795" windowHeight="13875" xr2:uid="{F5E75FD0-8D4A-4F41-B6C7-77BCC38AF8C3}"/>
  </bookViews>
  <sheets>
    <sheet name="Magistrats" sheetId="3" r:id="rId1"/>
    <sheet name="Fonctionnaires" sheetId="4" r:id="rId2"/>
    <sheet name="Reconvertir un % d'ETP en temps" sheetId="5" r:id="rId3"/>
    <sheet name="Convertir des ETPT en audiences" sheetId="7" r:id="rId4"/>
    <sheet name="Listes" sheetId="2"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6" i="5" l="1"/>
  <c r="H16" i="5" s="1"/>
  <c r="D12" i="5"/>
  <c r="H16" i="4"/>
  <c r="J9" i="4"/>
  <c r="H16" i="3"/>
  <c r="J9" i="3"/>
  <c r="H8" i="7"/>
  <c r="F14" i="7"/>
  <c r="I14" i="7" s="1"/>
  <c r="F18" i="7"/>
  <c r="H18" i="7" s="1"/>
  <c r="D4" i="5"/>
  <c r="B5" i="2"/>
  <c r="D3" i="2"/>
  <c r="D4" i="2" s="1"/>
  <c r="D11" i="2"/>
  <c r="B10" i="2"/>
  <c r="B11" i="2" s="1"/>
  <c r="D12" i="2"/>
  <c r="F16" i="7" l="1"/>
  <c r="I16" i="7" s="1"/>
  <c r="D14" i="5"/>
  <c r="H14" i="5" s="1"/>
  <c r="F3" i="2"/>
  <c r="F4" i="2" s="1"/>
  <c r="F5" i="2"/>
  <c r="D10" i="2"/>
  <c r="J16" i="7" l="1"/>
  <c r="K16" i="7" s="1"/>
  <c r="H16" i="7"/>
  <c r="F10" i="2"/>
  <c r="F11" i="2" s="1"/>
  <c r="F12" i="2"/>
  <c r="H12" i="5"/>
  <c r="I18" i="7" l="1"/>
</calcChain>
</file>

<file path=xl/sharedStrings.xml><?xml version="1.0" encoding="utf-8"?>
<sst xmlns="http://schemas.openxmlformats.org/spreadsheetml/2006/main" count="125" uniqueCount="81">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</sst>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0_-;\-* #,##0.0_-;_-* &quot;-&quot;??_-;_-@_-"/>
    <numFmt numFmtId="166" formatCode="_-* #,##0_-;\-* #,##0_-;_-* &quot;-&quot;??_-;_-@_-"/>
    <numFmt numFmtId="167" formatCode="_-* #,##0.00\ _€_-;\-* #,##0.00\ _€_-;_-* &quot;-&quot;??\ _€_-;_-@_-"/>
    <numFmt numFmtId="168"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9FF78"/>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44">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4"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4"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43" fontId="0" fillId="0" borderId="0" xfId="2" applyFont="1"/>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43"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43" fontId="0" fillId="0" borderId="0" xfId="2" applyFont="1" applyFill="1" applyAlignment="1" applyProtection="1">
      <alignment horizontal="right" vertical="center"/>
    </xf>
    <xf numFmtId="0" fontId="1" fillId="0" borderId="0" xfId="0" applyFont="1" applyAlignment="1">
      <alignment vertical="center"/>
    </xf>
    <xf numFmtId="166" fontId="1" fillId="0" borderId="0" xfId="2" applyNumberFormat="1" applyFont="1" applyAlignment="1" applyProtection="1">
      <alignment horizontal="center" vertical="center"/>
    </xf>
    <xf numFmtId="43"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43" fontId="0" fillId="0" borderId="0" xfId="2" applyFont="1" applyBorder="1" applyAlignment="1" applyProtection="1">
      <alignment horizontal="right" vertical="center"/>
    </xf>
    <xf numFmtId="43" fontId="0" fillId="0" borderId="0" xfId="2" applyFont="1" applyBorder="1" applyAlignment="1" applyProtection="1">
      <alignment horizontal="left" vertical="center"/>
    </xf>
    <xf numFmtId="43" fontId="1" fillId="2" borderId="0" xfId="2" applyFont="1" applyFill="1" applyBorder="1" applyAlignment="1" applyProtection="1">
      <alignment horizontal="left" vertical="center"/>
      <protection locked="0"/>
    </xf>
    <xf numFmtId="167" fontId="0" fillId="0" borderId="0" xfId="0" applyNumberFormat="1"/>
    <xf numFmtId="43" fontId="0" fillId="0" borderId="0" xfId="0" applyNumberFormat="1"/>
    <xf numFmtId="43" fontId="2" fillId="0" borderId="0" xfId="2" applyFont="1" applyFill="1" applyBorder="1" applyAlignment="1" applyProtection="1">
      <alignment horizontal="center" vertical="center"/>
    </xf>
    <xf numFmtId="43" fontId="0" fillId="0" borderId="0" xfId="2" applyFont="1" applyBorder="1" applyAlignment="1" applyProtection="1">
      <alignment horizontal="center" vertical="center"/>
    </xf>
    <xf numFmtId="43" fontId="2" fillId="0" borderId="0" xfId="2" applyFont="1" applyBorder="1" applyAlignment="1" applyProtection="1">
      <alignment horizontal="center" vertical="center"/>
    </xf>
    <xf numFmtId="43"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43"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43"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4"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4" fontId="3" fillId="0" borderId="7" xfId="1" applyNumberFormat="1" applyFont="1" applyBorder="1" applyAlignment="1">
      <alignment horizontal="center" vertical="center"/>
    </xf>
    <xf numFmtId="164" fontId="3" fillId="3" borderId="0" xfId="1" applyNumberFormat="1" applyFont="1" applyFill="1" applyBorder="1" applyAlignment="1">
      <alignment horizontal="center" vertical="center"/>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5"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43" fontId="2" fillId="0" borderId="7" xfId="2" applyFont="1" applyBorder="1" applyAlignment="1" applyProtection="1">
      <alignment vertical="center"/>
    </xf>
    <xf numFmtId="43"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43"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43" fontId="1" fillId="0" borderId="0" xfId="2" applyFont="1" applyBorder="1" applyAlignment="1" applyProtection="1">
      <alignment horizontal="left" vertical="center"/>
    </xf>
    <xf numFmtId="43" fontId="0" fillId="0" borderId="0" xfId="0" applyNumberFormat="1" applyAlignment="1">
      <alignment horizontal="left" vertical="center"/>
    </xf>
    <xf numFmtId="43"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5" fontId="2" fillId="3" borderId="0" xfId="2" applyNumberFormat="1" applyFont="1" applyFill="1" applyBorder="1" applyAlignment="1" applyProtection="1">
      <alignment vertical="center"/>
    </xf>
    <xf numFmtId="165" fontId="2" fillId="2" borderId="0" xfId="2" applyNumberFormat="1" applyFont="1" applyFill="1" applyBorder="1" applyAlignment="1" applyProtection="1">
      <alignment horizontal="center" vertical="center"/>
      <protection locked="0"/>
    </xf>
    <xf numFmtId="165" fontId="2" fillId="0" borderId="0" xfId="2" applyNumberFormat="1" applyFont="1" applyFill="1" applyBorder="1" applyAlignment="1" applyProtection="1">
      <alignment horizontal="center" vertical="center"/>
      <protection locked="0"/>
    </xf>
    <xf numFmtId="165" fontId="4" fillId="0" borderId="0" xfId="1" applyNumberFormat="1" applyFont="1" applyFill="1" applyBorder="1" applyAlignment="1" applyProtection="1">
      <alignment horizontal="center" vertical="top"/>
    </xf>
    <xf numFmtId="165" fontId="2" fillId="3" borderId="0" xfId="2" applyNumberFormat="1" applyFont="1" applyFill="1" applyBorder="1" applyAlignment="1" applyProtection="1">
      <alignment horizontal="center" vertical="center"/>
    </xf>
    <xf numFmtId="165" fontId="0" fillId="0" borderId="0" xfId="2" applyNumberFormat="1" applyFont="1" applyBorder="1" applyAlignment="1" applyProtection="1">
      <alignment horizontal="center" vertical="center"/>
    </xf>
    <xf numFmtId="165" fontId="2" fillId="0" borderId="0" xfId="2" applyNumberFormat="1" applyFont="1" applyBorder="1" applyAlignment="1" applyProtection="1">
      <alignment horizontal="center" vertical="center"/>
    </xf>
    <xf numFmtId="168" fontId="0" fillId="2" borderId="0" xfId="0" applyNumberFormat="1" applyFill="1" applyAlignment="1" applyProtection="1">
      <alignment horizontal="center" vertical="center"/>
      <protection locked="0"/>
    </xf>
    <xf numFmtId="168" fontId="0" fillId="0" borderId="7" xfId="0" applyNumberFormat="1" applyBorder="1"/>
    <xf numFmtId="168" fontId="0" fillId="0" borderId="0" xfId="0" applyNumberFormat="1"/>
    <xf numFmtId="168" fontId="0" fillId="0" borderId="2" xfId="0" applyNumberFormat="1" applyBorder="1" applyAlignment="1">
      <alignment horizontal="center" vertical="top" wrapText="1"/>
    </xf>
    <xf numFmtId="168" fontId="0" fillId="0" borderId="0" xfId="0" applyNumberFormat="1" applyAlignment="1">
      <alignment horizontal="center" vertical="center" wrapText="1"/>
    </xf>
    <xf numFmtId="168" fontId="0" fillId="0" borderId="0" xfId="0" applyNumberFormat="1" applyAlignment="1">
      <alignment horizontal="center" vertical="center"/>
    </xf>
    <xf numFmtId="168" fontId="3" fillId="2" borderId="0" xfId="1" applyNumberFormat="1" applyFont="1" applyFill="1" applyBorder="1" applyAlignment="1" applyProtection="1">
      <alignment horizontal="right" vertical="center"/>
      <protection locked="0"/>
    </xf>
    <xf numFmtId="164" fontId="3" fillId="2" borderId="0" xfId="1" applyNumberFormat="1" applyFont="1" applyFill="1" applyBorder="1" applyAlignment="1" applyProtection="1">
      <alignment horizontal="left" vertical="center"/>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xf numFmtId="168" fontId="2" fillId="2" borderId="0" xfId="1" applyNumberFormat="1" applyFont="1" applyFill="1" applyBorder="1" applyAlignment="1" applyProtection="1">
      <alignment horizontal="right" vertical="center"/>
      <protection locked="0"/>
    </xf>
    <xf numFmtId="0" fontId="1" fillId="0" borderId="0" xfId="0" applyFont="1" applyAlignment="1" applyProtection="1">
      <alignment horizontal="left" vertical="center"/>
    </xf>
    <xf numFmtId="164" fontId="2" fillId="2" borderId="0" xfId="1" applyNumberFormat="1" applyFont="1" applyFill="1" applyBorder="1" applyAlignment="1" applyProtection="1">
      <alignment horizontal="left" vertical="center"/>
    </xf>
    <xf numFmtId="0" fontId="1" fillId="0" borderId="2" xfId="0" applyFont="1" applyBorder="1" applyAlignment="1" applyProtection="1">
      <alignment horizontal="left" vertical="center"/>
    </xf>
    <xf numFmtId="165" fontId="2" fillId="3" borderId="0" xfId="2" applyNumberFormat="1" applyFont="1" applyFill="1" applyBorder="1" applyAlignment="1" applyProtection="1">
      <alignment horizontal="left" vertical="center"/>
    </xf>
    <xf numFmtId="165" fontId="2" fillId="0" borderId="0" xfId="2" applyNumberFormat="1" applyFont="1" applyBorder="1" applyAlignment="1" applyProtection="1">
      <alignment horizontal="left" vertical="center"/>
    </xf>
    <xf numFmtId="43" fontId="2" fillId="0" borderId="7" xfId="2" applyFont="1" applyBorder="1" applyAlignment="1" applyProtection="1">
      <alignment horizontal="left" vertical="center"/>
    </xf>
    <xf numFmtId="0" fontId="0" fillId="0" borderId="7" xfId="0" applyBorder="1" applyAlignment="1" applyProtection="1">
      <alignment horizontal="right" vertical="center"/>
    </xf>
  </cellXfs>
  <cellStyles count="3">
    <cellStyle name="Milliers" xfId="2" builtinId="3"/>
    <cellStyle name="Normal" xfId="0" builtinId="0"/>
    <cellStyle name="Pourcentage" xfId="1" builtinId="5"/>
  </cellStyles>
  <dxfs count="0"/>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5</xdr:col>
      <xdr:colOff>710559</xdr:colOff>
      <xdr:row>6</xdr:row>
      <xdr:rowOff>798191</xdr:rowOff>
    </xdr:from>
    <xdr:to>
      <xdr:col>6</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7</xdr:col>
      <xdr:colOff>366706</xdr:colOff>
      <xdr:row>7</xdr:row>
      <xdr:rowOff>131441</xdr:rowOff>
    </xdr:from>
    <xdr:to>
      <xdr:col>7</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5</xdr:col>
      <xdr:colOff>238124</xdr:colOff>
      <xdr:row>12</xdr:row>
      <xdr:rowOff>0</xdr:rowOff>
    </xdr:from>
    <xdr:to>
      <xdr:col>5</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6</xdr:col>
      <xdr:colOff>220027</xdr:colOff>
      <xdr:row>13</xdr:row>
      <xdr:rowOff>90488</xdr:rowOff>
    </xdr:from>
    <xdr:to>
      <xdr:col>6</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12</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7</xdr:col>
      <xdr:colOff>236221</xdr:colOff>
      <xdr:row>0</xdr:row>
      <xdr:rowOff>190500</xdr:rowOff>
    </xdr:from>
    <xdr:to>
      <xdr:col>11</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7</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52605" cy="1851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5</xdr:col>
      <xdr:colOff>710559</xdr:colOff>
      <xdr:row>6</xdr:row>
      <xdr:rowOff>798191</xdr:rowOff>
    </xdr:from>
    <xdr:to>
      <xdr:col>6</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7</xdr:col>
      <xdr:colOff>405761</xdr:colOff>
      <xdr:row>7</xdr:row>
      <xdr:rowOff>107630</xdr:rowOff>
    </xdr:from>
    <xdr:to>
      <xdr:col>7</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5</xdr:col>
      <xdr:colOff>238124</xdr:colOff>
      <xdr:row>12</xdr:row>
      <xdr:rowOff>0</xdr:rowOff>
    </xdr:from>
    <xdr:to>
      <xdr:col>5</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6</xdr:col>
      <xdr:colOff>220027</xdr:colOff>
      <xdr:row>13</xdr:row>
      <xdr:rowOff>90488</xdr:rowOff>
    </xdr:from>
    <xdr:to>
      <xdr:col>6</xdr:col>
      <xdr:colOff>640019</xdr:colOff>
      <xdr:row>15</xdr:row>
      <xdr:rowOff>279528</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12</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7</xdr:col>
      <xdr:colOff>779124</xdr:colOff>
      <xdr:row>0</xdr:row>
      <xdr:rowOff>219053</xdr:rowOff>
    </xdr:from>
    <xdr:to>
      <xdr:col>11</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7</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M19"/>
  <sheetViews>
    <sheetView showGridLines="0" tabSelected="1" zoomScale="95" zoomScaleNormal="95" workbookViewId="0">
      <selection activeCell="C3" sqref="C3"/>
    </sheetView>
  </sheetViews>
  <sheetFormatPr baseColWidth="10" defaultRowHeight="14.25" x14ac:dyDescent="0.45"/>
  <cols>
    <col min="1" max="1" width="33.265625" customWidth="1"/>
    <col min="2" max="2" width="53.3984375" customWidth="1"/>
    <col min="3" max="3" width="13" customWidth="1"/>
    <col min="4" max="4" width="3.33203125" customWidth="1"/>
    <col min="5" max="5" width="1.3984375" customWidth="1"/>
    <col min="6" max="6" width="12.73046875" customWidth="1"/>
    <col min="7" max="7" width="13.1328125" customWidth="1"/>
    <col min="8" max="8" width="13.73046875" customWidth="1"/>
    <col min="9" max="9" width="1.265625" customWidth="1"/>
    <col min="10" max="10" width="13.59765625" style="2" customWidth="1"/>
    <col min="11" max="11" width="1" customWidth="1"/>
    <col min="12" max="12" width="12.265625" customWidth="1"/>
    <col min="13" max="13" width="19.3984375" style="2" customWidth="1"/>
  </cols>
  <sheetData>
    <row r="1" spans="2:13" ht="67.900000000000006" customHeight="1" thickBot="1" x14ac:dyDescent="0.5"/>
    <row r="2" spans="2:13" ht="6" customHeight="1" x14ac:dyDescent="0.45">
      <c r="B2" s="19"/>
      <c r="C2" s="4"/>
      <c r="D2" s="4"/>
      <c r="E2" s="11"/>
      <c r="G2" s="19"/>
      <c r="H2" s="4"/>
      <c r="I2" s="4"/>
      <c r="J2" s="77"/>
      <c r="K2" s="4"/>
      <c r="L2" s="5"/>
      <c r="M2"/>
    </row>
    <row r="3" spans="2:13" ht="40.5" customHeight="1" x14ac:dyDescent="0.45">
      <c r="B3" s="28" t="s">
        <v>17</v>
      </c>
      <c r="C3" s="116"/>
      <c r="D3" s="117" t="s">
        <v>80</v>
      </c>
      <c r="E3" s="26"/>
      <c r="G3" s="18" t="s">
        <v>19</v>
      </c>
      <c r="H3" s="20"/>
      <c r="I3" s="20"/>
      <c r="L3" s="21"/>
      <c r="M3"/>
    </row>
    <row r="4" spans="2:13" s="3" customFormat="1" ht="19.5" customHeight="1" thickBot="1" x14ac:dyDescent="0.5">
      <c r="B4" s="29"/>
      <c r="C4" s="7"/>
      <c r="D4" s="30" t="s">
        <v>18</v>
      </c>
      <c r="E4" s="27"/>
      <c r="G4" s="123" t="s">
        <v>0</v>
      </c>
      <c r="H4" s="124"/>
      <c r="I4" s="70"/>
      <c r="J4" s="2">
        <v>208</v>
      </c>
      <c r="K4" s="1"/>
      <c r="L4" s="21" t="s">
        <v>39</v>
      </c>
    </row>
    <row r="5" spans="2:13" s="3" customFormat="1" ht="24.95" customHeight="1" thickBot="1" x14ac:dyDescent="0.5">
      <c r="G5" s="125" t="s">
        <v>15</v>
      </c>
      <c r="H5" s="126"/>
      <c r="I5" s="71"/>
      <c r="J5" s="6">
        <v>8</v>
      </c>
      <c r="K5" s="36"/>
      <c r="L5" s="12" t="s">
        <v>40</v>
      </c>
    </row>
    <row r="6" spans="2:13" ht="20.85" customHeight="1" thickBot="1" x14ac:dyDescent="0.5">
      <c r="G6" s="34"/>
      <c r="H6" s="34"/>
      <c r="I6" s="34"/>
    </row>
    <row r="7" spans="2:13" ht="69.95" customHeight="1" x14ac:dyDescent="0.45">
      <c r="B7" s="121" t="s">
        <v>11</v>
      </c>
      <c r="C7" s="17" t="s">
        <v>10</v>
      </c>
      <c r="D7" s="17"/>
      <c r="E7" s="17"/>
      <c r="F7" s="120" t="s">
        <v>8</v>
      </c>
      <c r="G7" s="120"/>
      <c r="H7" s="4"/>
      <c r="I7" s="4"/>
      <c r="J7" s="118" t="s">
        <v>20</v>
      </c>
      <c r="K7" s="68"/>
      <c r="M7"/>
    </row>
    <row r="8" spans="2:13" ht="25.9" customHeight="1" x14ac:dyDescent="0.45">
      <c r="B8" s="122"/>
      <c r="J8" s="119"/>
      <c r="K8" s="69"/>
      <c r="M8"/>
    </row>
    <row r="9" spans="2:13" ht="38.25" customHeight="1" x14ac:dyDescent="0.45">
      <c r="B9" s="14" t="s">
        <v>16</v>
      </c>
      <c r="C9" s="110"/>
      <c r="D9" s="115"/>
      <c r="E9" s="10"/>
      <c r="F9" s="74" t="s">
        <v>7</v>
      </c>
      <c r="G9" s="74" t="s">
        <v>6</v>
      </c>
      <c r="H9" s="3"/>
      <c r="I9" s="3"/>
      <c r="J9" s="79" t="str">
        <f>IF($C$3="","",(C9*(VLOOKUP(F9,Listes!$A$2:$B$5,2,FALSE))*VLOOKUP(G9,Listes!$C$2:$D$6,2,FALSE))/($J$4*$C$3/100))</f>
        <v/>
      </c>
      <c r="K9" s="75"/>
      <c r="M9"/>
    </row>
    <row r="10" spans="2:13" ht="9.75" customHeight="1" thickBot="1" x14ac:dyDescent="0.5">
      <c r="B10" s="23"/>
      <c r="C10" s="24"/>
      <c r="D10" s="24"/>
      <c r="E10" s="24"/>
      <c r="F10" s="24"/>
      <c r="G10" s="24"/>
      <c r="H10" s="24"/>
      <c r="I10" s="24"/>
      <c r="J10" s="73"/>
      <c r="K10" s="25"/>
      <c r="M10"/>
    </row>
    <row r="11" spans="2:13" ht="7.15" customHeight="1" thickBot="1" x14ac:dyDescent="0.5">
      <c r="K11" s="2"/>
      <c r="M11"/>
    </row>
    <row r="12" spans="2:13" ht="69" customHeight="1" x14ac:dyDescent="0.45">
      <c r="B12" s="121" t="s">
        <v>12</v>
      </c>
      <c r="C12" s="32" t="s">
        <v>22</v>
      </c>
      <c r="D12" s="32"/>
      <c r="E12" s="17"/>
      <c r="F12" s="32" t="s">
        <v>23</v>
      </c>
      <c r="G12" s="4"/>
      <c r="H12" s="77"/>
      <c r="I12" s="5"/>
      <c r="M12"/>
    </row>
    <row r="13" spans="2:13" ht="34.5" customHeight="1" x14ac:dyDescent="0.45">
      <c r="B13" s="122"/>
      <c r="C13" s="76"/>
      <c r="D13" s="76"/>
      <c r="E13" s="76"/>
      <c r="F13" s="72"/>
      <c r="H13" s="119" t="s">
        <v>21</v>
      </c>
      <c r="I13" s="69"/>
      <c r="M13"/>
    </row>
    <row r="14" spans="2:13" s="3" customFormat="1" ht="40.15" customHeight="1" x14ac:dyDescent="0.45">
      <c r="B14" s="15" t="s">
        <v>13</v>
      </c>
      <c r="C14" s="110"/>
      <c r="D14" s="115"/>
      <c r="E14" s="10"/>
      <c r="F14" s="74" t="s">
        <v>7</v>
      </c>
      <c r="H14" s="119"/>
      <c r="I14" s="69"/>
      <c r="J14" s="10"/>
    </row>
    <row r="15" spans="2:13" s="3" customFormat="1" ht="6.75" customHeight="1" x14ac:dyDescent="0.45">
      <c r="B15" s="15"/>
      <c r="C15" s="115"/>
      <c r="D15" s="115"/>
      <c r="E15" s="10"/>
      <c r="F15" s="10"/>
      <c r="H15" s="76"/>
      <c r="I15" s="9"/>
      <c r="J15" s="10"/>
    </row>
    <row r="16" spans="2:13" s="3" customFormat="1" ht="40.25" customHeight="1" x14ac:dyDescent="0.45">
      <c r="B16" s="15" t="s">
        <v>9</v>
      </c>
      <c r="C16" s="110"/>
      <c r="D16" s="115"/>
      <c r="E16" s="10"/>
      <c r="F16" s="74" t="s">
        <v>6</v>
      </c>
      <c r="H16" s="79" t="str">
        <f>IF($C$3="","",(C14*VLOOKUP(F14,Listes!A2:B5,2,FALSE))*C16*VLOOKUP(F16,Listes!C2:D6,2,FALSE)/($J$4*$C$3/100))</f>
        <v/>
      </c>
      <c r="I16" s="22"/>
      <c r="J16" s="10"/>
    </row>
    <row r="17" spans="2:10" s="3" customFormat="1" ht="8.65" customHeight="1" thickBot="1" x14ac:dyDescent="0.5">
      <c r="B17" s="16"/>
      <c r="C17" s="6"/>
      <c r="D17" s="6"/>
      <c r="E17" s="6"/>
      <c r="F17" s="6"/>
      <c r="G17" s="7"/>
      <c r="H17" s="78"/>
      <c r="I17" s="8"/>
      <c r="J17" s="10"/>
    </row>
    <row r="18" spans="2:10" ht="18" customHeight="1" x14ac:dyDescent="0.45">
      <c r="B18" s="31" t="s">
        <v>14</v>
      </c>
      <c r="C18" s="13"/>
      <c r="D18" s="13"/>
      <c r="E18" s="13"/>
    </row>
    <row r="19" spans="2:10" ht="9.4" customHeight="1" x14ac:dyDescent="0.45">
      <c r="B19" s="1"/>
      <c r="C19" s="1"/>
      <c r="D19" s="1"/>
      <c r="E19" s="1"/>
    </row>
  </sheetData>
  <sheetProtection algorithmName="SHA-512" hashValue="nCAsHAqJTpAeMBW86rr2vuxTmOi0bKuv6zNI9Edrz9qThuWBs9wcQ9wYXM7yZsOplV8DSUJthxKBXzQy2FQCYA==" saltValue="sfGTb/wwfPB6gXutKeE+SQ==" spinCount="100000" sheet="1" objects="1" scenarios="1" selectLockedCells="1"/>
  <mergeCells count="7">
    <mergeCell ref="J7:J8"/>
    <mergeCell ref="F7:G7"/>
    <mergeCell ref="B7:B8"/>
    <mergeCell ref="B12:B13"/>
    <mergeCell ref="G4:H4"/>
    <mergeCell ref="G5:H5"/>
    <mergeCell ref="H13:H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F14:F15 F9</xm:sqref>
        </x14:dataValidation>
        <x14:dataValidation type="list" allowBlank="1" showInputMessage="1" showErrorMessage="1" xr:uid="{15544EA6-92DC-4247-B936-C858DBA7B129}">
          <x14:formula1>
            <xm:f>Listes!$C$2:$C$6</xm:f>
          </x14:formula1>
          <xm:sqref>G9 F16:F17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M19"/>
  <sheetViews>
    <sheetView showGridLines="0" zoomScale="95" zoomScaleNormal="95" workbookViewId="0">
      <selection activeCell="C3" sqref="C3"/>
    </sheetView>
  </sheetViews>
  <sheetFormatPr baseColWidth="10" defaultRowHeight="14.25" x14ac:dyDescent="0.45"/>
  <cols>
    <col min="1" max="1" width="33.265625" customWidth="1"/>
    <col min="2" max="2" width="53.3984375" customWidth="1"/>
    <col min="3" max="3" width="13" customWidth="1"/>
    <col min="4" max="4" width="3.19921875" customWidth="1"/>
    <col min="5" max="5" width="1.3984375" customWidth="1"/>
    <col min="6" max="6" width="12.73046875" customWidth="1"/>
    <col min="7" max="7" width="13.1328125" customWidth="1"/>
    <col min="8" max="8" width="17.46484375" customWidth="1"/>
    <col min="9" max="9" width="1.33203125" customWidth="1"/>
    <col min="10" max="10" width="13.59765625" style="2" customWidth="1"/>
    <col min="11" max="11" width="1.33203125" customWidth="1"/>
    <col min="12" max="12" width="21.33203125" customWidth="1"/>
    <col min="13" max="13" width="19.3984375" style="2" customWidth="1"/>
  </cols>
  <sheetData>
    <row r="1" spans="2:13" ht="69.400000000000006" customHeight="1" thickBot="1" x14ac:dyDescent="0.5"/>
    <row r="2" spans="2:13" ht="6" customHeight="1" x14ac:dyDescent="0.45">
      <c r="B2" s="19"/>
      <c r="C2" s="4"/>
      <c r="D2" s="4"/>
      <c r="E2" s="11"/>
      <c r="G2" s="19"/>
      <c r="H2" s="4"/>
      <c r="I2" s="4"/>
      <c r="J2" s="77"/>
      <c r="K2" s="4"/>
      <c r="L2" s="5"/>
      <c r="M2"/>
    </row>
    <row r="3" spans="2:13" ht="40.5" customHeight="1" x14ac:dyDescent="0.45">
      <c r="B3" s="28" t="s">
        <v>24</v>
      </c>
      <c r="C3" s="116"/>
      <c r="D3" s="117" t="s">
        <v>80</v>
      </c>
      <c r="E3" s="26"/>
      <c r="G3" s="127" t="s">
        <v>37</v>
      </c>
      <c r="H3" s="128"/>
      <c r="I3" s="128"/>
      <c r="J3" s="128"/>
      <c r="K3" s="128"/>
      <c r="L3" s="129"/>
      <c r="M3"/>
    </row>
    <row r="4" spans="2:13" s="3" customFormat="1" ht="19.5" customHeight="1" thickBot="1" x14ac:dyDescent="0.5">
      <c r="B4" s="29"/>
      <c r="C4" s="7"/>
      <c r="D4" s="30" t="s">
        <v>18</v>
      </c>
      <c r="E4" s="27"/>
      <c r="G4" s="123" t="s">
        <v>25</v>
      </c>
      <c r="H4" s="124"/>
      <c r="I4" s="70"/>
      <c r="J4" s="10">
        <v>1607</v>
      </c>
      <c r="K4" s="1"/>
      <c r="L4" s="87" t="s">
        <v>36</v>
      </c>
    </row>
    <row r="5" spans="2:13" s="3" customFormat="1" ht="24.75" customHeight="1" thickBot="1" x14ac:dyDescent="0.5">
      <c r="G5" s="125" t="s">
        <v>26</v>
      </c>
      <c r="H5" s="126"/>
      <c r="I5" s="71"/>
      <c r="J5" s="101">
        <v>35</v>
      </c>
      <c r="K5" s="143"/>
      <c r="L5" s="102" t="s">
        <v>35</v>
      </c>
    </row>
    <row r="6" spans="2:13" ht="30.4" customHeight="1" thickBot="1" x14ac:dyDescent="0.5">
      <c r="G6" s="34"/>
      <c r="L6" s="35" t="s">
        <v>38</v>
      </c>
    </row>
    <row r="7" spans="2:13" ht="69.95" customHeight="1" x14ac:dyDescent="0.45">
      <c r="B7" s="121" t="s">
        <v>11</v>
      </c>
      <c r="C7" s="17" t="s">
        <v>10</v>
      </c>
      <c r="D7" s="17"/>
      <c r="E7" s="17"/>
      <c r="F7" s="120" t="s">
        <v>8</v>
      </c>
      <c r="G7" s="120"/>
      <c r="H7" s="4"/>
      <c r="I7" s="4"/>
      <c r="J7" s="118" t="s">
        <v>20</v>
      </c>
      <c r="K7" s="68"/>
      <c r="M7"/>
    </row>
    <row r="8" spans="2:13" ht="25.9" customHeight="1" x14ac:dyDescent="0.45">
      <c r="B8" s="122"/>
      <c r="J8" s="119"/>
      <c r="K8" s="69"/>
      <c r="M8"/>
    </row>
    <row r="9" spans="2:13" ht="38.25" customHeight="1" x14ac:dyDescent="0.45">
      <c r="B9" s="14" t="s">
        <v>16</v>
      </c>
      <c r="C9" s="110"/>
      <c r="D9" s="115"/>
      <c r="E9" s="10"/>
      <c r="F9" s="74" t="s">
        <v>7</v>
      </c>
      <c r="G9" s="74" t="s">
        <v>6</v>
      </c>
      <c r="H9" s="3"/>
      <c r="I9" s="3"/>
      <c r="J9" s="79" t="str">
        <f>IF($C$3="","",(C9*(VLOOKUP(F9,Listes!$A$9:$B$12,2,FALSE))*VLOOKUP(G9,Listes!$C$9:$D$13,2,FALSE))/(($J$4)*$C$3/100))</f>
        <v/>
      </c>
      <c r="K9" s="22"/>
      <c r="M9"/>
    </row>
    <row r="10" spans="2:13" ht="9.75" customHeight="1" thickBot="1" x14ac:dyDescent="0.5">
      <c r="B10" s="23"/>
      <c r="C10" s="111"/>
      <c r="D10" s="111"/>
      <c r="E10" s="24"/>
      <c r="F10" s="24"/>
      <c r="G10" s="24"/>
      <c r="H10" s="24"/>
      <c r="I10" s="24"/>
      <c r="J10" s="73"/>
      <c r="K10" s="25"/>
      <c r="M10"/>
    </row>
    <row r="11" spans="2:13" ht="7.15" customHeight="1" thickBot="1" x14ac:dyDescent="0.5">
      <c r="C11" s="112"/>
      <c r="D11" s="112"/>
      <c r="K11" s="2"/>
      <c r="M11"/>
    </row>
    <row r="12" spans="2:13" ht="69" customHeight="1" x14ac:dyDescent="0.45">
      <c r="B12" s="121" t="s">
        <v>31</v>
      </c>
      <c r="C12" s="113" t="s">
        <v>22</v>
      </c>
      <c r="D12" s="113"/>
      <c r="E12" s="17"/>
      <c r="F12" s="32" t="s">
        <v>23</v>
      </c>
      <c r="G12" s="4"/>
      <c r="H12" s="77"/>
      <c r="I12" s="5"/>
      <c r="M12"/>
    </row>
    <row r="13" spans="2:13" ht="34.5" customHeight="1" x14ac:dyDescent="0.45">
      <c r="B13" s="122"/>
      <c r="C13" s="114"/>
      <c r="D13" s="114"/>
      <c r="E13" s="76"/>
      <c r="F13" s="72"/>
      <c r="H13" s="119" t="s">
        <v>21</v>
      </c>
      <c r="I13" s="69"/>
      <c r="M13"/>
    </row>
    <row r="14" spans="2:13" s="3" customFormat="1" ht="40.25" customHeight="1" x14ac:dyDescent="0.45">
      <c r="B14" s="15" t="s">
        <v>33</v>
      </c>
      <c r="C14" s="110"/>
      <c r="D14" s="115"/>
      <c r="E14" s="10"/>
      <c r="F14" s="74" t="s">
        <v>7</v>
      </c>
      <c r="H14" s="119"/>
      <c r="I14" s="69"/>
      <c r="J14" s="10"/>
    </row>
    <row r="15" spans="2:13" s="3" customFormat="1" ht="11.75" customHeight="1" x14ac:dyDescent="0.45">
      <c r="B15" s="15"/>
      <c r="C15" s="115"/>
      <c r="D15" s="115"/>
      <c r="E15" s="10"/>
      <c r="F15" s="10"/>
      <c r="H15" s="76"/>
      <c r="I15" s="9"/>
      <c r="J15" s="10"/>
    </row>
    <row r="16" spans="2:13" s="3" customFormat="1" ht="40.25" customHeight="1" x14ac:dyDescent="0.45">
      <c r="B16" s="15" t="s">
        <v>34</v>
      </c>
      <c r="C16" s="110"/>
      <c r="D16" s="115"/>
      <c r="E16" s="10"/>
      <c r="F16" s="74" t="s">
        <v>6</v>
      </c>
      <c r="H16" s="79" t="str">
        <f>IF($C$3="","",(C14*VLOOKUP(F14,Listes!A9:B12,2,FALSE))*C16*VLOOKUP(F16,Listes!C9:D13,2,FALSE)/($J$4*$C$3/100))</f>
        <v/>
      </c>
      <c r="I16" s="22"/>
      <c r="J16" s="10"/>
    </row>
    <row r="17" spans="2:10" s="3" customFormat="1" ht="8.65" customHeight="1" thickBot="1" x14ac:dyDescent="0.5">
      <c r="B17" s="16"/>
      <c r="C17" s="6"/>
      <c r="D17" s="6"/>
      <c r="E17" s="6"/>
      <c r="F17" s="6"/>
      <c r="G17" s="7"/>
      <c r="H17" s="78"/>
      <c r="I17" s="8"/>
      <c r="J17" s="10"/>
    </row>
    <row r="18" spans="2:10" ht="18" customHeight="1" x14ac:dyDescent="0.45">
      <c r="B18" s="31" t="s">
        <v>32</v>
      </c>
      <c r="C18" s="13"/>
      <c r="D18" s="13"/>
      <c r="E18" s="13"/>
    </row>
    <row r="19" spans="2:10" ht="9.4" customHeight="1" x14ac:dyDescent="0.45">
      <c r="B19" s="1"/>
      <c r="C19" s="1"/>
      <c r="D19" s="1"/>
      <c r="E19" s="1"/>
    </row>
  </sheetData>
  <sheetProtection algorithmName="SHA-512" hashValue="zT11AMzOrz6RZt2EcevcqkzPujhmv44csbZKo8U8VANRZP6a1cV4IchlN+CO/A8iMZdoAZ+o3duoZPYedxVEAw==" saltValue="t4Q8GqrnFUa1+OPiSbuumQ==" spinCount="100000" sheet="1" objects="1" scenarios="1" selectLockedCells="1"/>
  <mergeCells count="8">
    <mergeCell ref="G3:L3"/>
    <mergeCell ref="J7:J8"/>
    <mergeCell ref="B12:B13"/>
    <mergeCell ref="H13:H14"/>
    <mergeCell ref="G4:H4"/>
    <mergeCell ref="G5:H5"/>
    <mergeCell ref="B7:B8"/>
    <mergeCell ref="F7:G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F14:F15 F9</xm:sqref>
        </x14:dataValidation>
        <x14:dataValidation type="list" allowBlank="1" showInputMessage="1" showErrorMessage="1" xr:uid="{C56303ED-7DD0-42D1-B841-363D196135D2}">
          <x14:formula1>
            <xm:f>Listes!$C$2:$C$6</xm:f>
          </x14:formula1>
          <xm:sqref>F16:F17 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dimension ref="C1:J22"/>
  <sheetViews>
    <sheetView showGridLines="0" zoomScale="95" zoomScaleNormal="95" workbookViewId="0">
      <selection activeCell="D3" sqref="D3:F3"/>
    </sheetView>
  </sheetViews>
  <sheetFormatPr baseColWidth="10" defaultColWidth="11.3984375" defaultRowHeight="24" customHeight="1" x14ac:dyDescent="0.45"/>
  <cols>
    <col min="1" max="1" width="12" style="3" customWidth="1"/>
    <col min="2" max="2" width="18.59765625" style="3" customWidth="1"/>
    <col min="3" max="3" width="43.53125" style="49" customWidth="1"/>
    <col min="4" max="4" width="9" style="3" customWidth="1"/>
    <col min="5" max="5" width="2.3984375" style="41" customWidth="1"/>
    <col min="6" max="6" width="19.265625" style="10" customWidth="1"/>
    <col min="7" max="7" width="6.3984375" style="42" customWidth="1"/>
    <col min="8" max="8" width="9.3984375" style="3" customWidth="1"/>
    <col min="9" max="9" width="11.3984375" style="3"/>
    <col min="10" max="10" width="22.265625" style="3" customWidth="1"/>
    <col min="11" max="16384" width="11.3984375" style="3"/>
  </cols>
  <sheetData>
    <row r="1" spans="3:10" ht="18" customHeight="1" x14ac:dyDescent="0.45">
      <c r="C1" s="3"/>
      <c r="F1" s="3"/>
      <c r="G1" s="3"/>
    </row>
    <row r="2" spans="3:10" ht="54.75" customHeight="1" x14ac:dyDescent="0.45">
      <c r="C2" s="131" t="s">
        <v>56</v>
      </c>
      <c r="D2" s="131"/>
      <c r="E2" s="131"/>
      <c r="F2" s="131"/>
      <c r="G2" s="131"/>
      <c r="H2" s="131"/>
      <c r="I2" s="131"/>
      <c r="J2" s="131"/>
    </row>
    <row r="3" spans="3:10" ht="27.75" customHeight="1" x14ac:dyDescent="0.4">
      <c r="C3" s="38" t="s">
        <v>41</v>
      </c>
      <c r="D3" s="130" t="s">
        <v>50</v>
      </c>
      <c r="E3" s="130"/>
      <c r="F3" s="130"/>
      <c r="G3" s="132" t="s">
        <v>57</v>
      </c>
      <c r="H3" s="132"/>
      <c r="I3" s="132"/>
      <c r="J3" s="132"/>
    </row>
    <row r="4" spans="3:10" ht="23.25" customHeight="1" x14ac:dyDescent="0.45">
      <c r="C4" s="39" t="s">
        <v>58</v>
      </c>
      <c r="D4" s="40" t="str">
        <f>IF(D3="FONCTIONNAIRE","1607 h/an et 35h/semaine","208 jours/an et 8 h/jour")</f>
        <v>208 jours/an et 8 h/jour</v>
      </c>
      <c r="E4" s="137"/>
      <c r="F4" s="3"/>
      <c r="G4" s="41"/>
      <c r="H4" s="42"/>
    </row>
    <row r="5" spans="3:10" ht="7.5" customHeight="1" x14ac:dyDescent="0.45">
      <c r="C5" s="38"/>
      <c r="D5" s="40"/>
      <c r="E5" s="137"/>
      <c r="F5" s="3"/>
      <c r="G5" s="10"/>
      <c r="H5" s="42"/>
    </row>
    <row r="6" spans="3:10" ht="23.25" customHeight="1" x14ac:dyDescent="0.45">
      <c r="C6" s="38" t="s">
        <v>48</v>
      </c>
      <c r="D6" s="136"/>
      <c r="E6" s="138" t="s">
        <v>80</v>
      </c>
      <c r="F6" s="43" t="s">
        <v>42</v>
      </c>
      <c r="G6" s="10"/>
      <c r="H6" s="42"/>
      <c r="I6" s="44"/>
      <c r="J6" s="44"/>
    </row>
    <row r="7" spans="3:10" ht="25.15" customHeight="1" x14ac:dyDescent="0.45">
      <c r="C7" s="38"/>
      <c r="D7" s="80" t="s">
        <v>54</v>
      </c>
      <c r="E7" s="80"/>
      <c r="F7" s="43"/>
      <c r="G7" s="10"/>
      <c r="H7" s="45"/>
      <c r="I7" s="44"/>
      <c r="J7" s="44"/>
    </row>
    <row r="8" spans="3:10" ht="24" customHeight="1" x14ac:dyDescent="0.45">
      <c r="C8" s="38" t="s">
        <v>43</v>
      </c>
      <c r="D8" s="136"/>
      <c r="E8" s="138" t="s">
        <v>80</v>
      </c>
      <c r="F8" s="43" t="s">
        <v>44</v>
      </c>
      <c r="G8" s="10"/>
      <c r="H8" s="42"/>
      <c r="I8" s="44"/>
      <c r="J8" s="44"/>
    </row>
    <row r="9" spans="3:10" ht="18" customHeight="1" x14ac:dyDescent="0.45">
      <c r="C9" s="38"/>
      <c r="D9" s="81" t="s">
        <v>55</v>
      </c>
      <c r="E9" s="81"/>
      <c r="F9" s="43"/>
      <c r="G9" s="10"/>
      <c r="H9" s="42"/>
      <c r="I9" s="44"/>
      <c r="J9" s="44"/>
    </row>
    <row r="10" spans="3:10" ht="36" customHeight="1" thickBot="1" x14ac:dyDescent="0.5">
      <c r="C10" s="38"/>
      <c r="D10" s="46"/>
      <c r="E10" s="137"/>
      <c r="F10" s="3"/>
      <c r="G10" s="3"/>
    </row>
    <row r="11" spans="3:10" ht="7.25" customHeight="1" x14ac:dyDescent="0.45">
      <c r="C11" s="83"/>
      <c r="D11" s="84"/>
      <c r="E11" s="139"/>
      <c r="F11" s="85"/>
      <c r="G11" s="85"/>
      <c r="H11" s="85"/>
      <c r="I11" s="85"/>
      <c r="J11" s="86"/>
    </row>
    <row r="12" spans="3:10" ht="24" customHeight="1" x14ac:dyDescent="0.45">
      <c r="C12" s="15" t="s">
        <v>45</v>
      </c>
      <c r="D12" s="103">
        <f>IF(D3="MAGISTRAT",D6*D8*Listes!D3/10000,D6*D8*Fonctionnaires!J4/70000)</f>
        <v>0</v>
      </c>
      <c r="E12" s="140"/>
      <c r="F12" s="43" t="s">
        <v>47</v>
      </c>
      <c r="G12" s="10" t="s">
        <v>49</v>
      </c>
      <c r="H12" s="103">
        <f>IF(D3="FONCTIONNAIRE",D12*7,D12*8)</f>
        <v>0</v>
      </c>
      <c r="I12" s="43" t="s">
        <v>46</v>
      </c>
      <c r="J12" s="87"/>
    </row>
    <row r="13" spans="3:10" ht="8.35" customHeight="1" x14ac:dyDescent="0.45">
      <c r="C13" s="15"/>
      <c r="D13" s="82"/>
      <c r="E13" s="141"/>
      <c r="F13" s="43"/>
      <c r="G13" s="10"/>
      <c r="H13" s="82"/>
      <c r="I13" s="43"/>
      <c r="J13" s="87"/>
    </row>
    <row r="14" spans="3:10" ht="24" customHeight="1" x14ac:dyDescent="0.45">
      <c r="C14" s="15" t="s">
        <v>52</v>
      </c>
      <c r="D14" s="103">
        <f>D12/12</f>
        <v>0</v>
      </c>
      <c r="E14" s="140"/>
      <c r="F14" s="43" t="s">
        <v>59</v>
      </c>
      <c r="G14" s="10" t="s">
        <v>49</v>
      </c>
      <c r="H14" s="103">
        <f>IF(D4="FONCTIONNAIRE",D14*7,D14*8)</f>
        <v>0</v>
      </c>
      <c r="I14" s="43" t="s">
        <v>60</v>
      </c>
      <c r="J14" s="87"/>
    </row>
    <row r="15" spans="3:10" ht="6.85" customHeight="1" x14ac:dyDescent="0.45">
      <c r="C15" s="15"/>
      <c r="D15" s="82"/>
      <c r="E15" s="141"/>
      <c r="F15" s="43"/>
      <c r="G15" s="10"/>
      <c r="H15" s="82"/>
      <c r="I15" s="43"/>
      <c r="J15" s="87"/>
    </row>
    <row r="16" spans="3:10" ht="24" customHeight="1" x14ac:dyDescent="0.45">
      <c r="C16" s="15" t="s">
        <v>53</v>
      </c>
      <c r="D16" s="103">
        <f>(D8*D6)*5/10000</f>
        <v>0</v>
      </c>
      <c r="E16" s="140"/>
      <c r="F16" s="43" t="s">
        <v>61</v>
      </c>
      <c r="G16" s="10" t="s">
        <v>49</v>
      </c>
      <c r="H16" s="103">
        <f>IF(D3="FONCTIONNAIRE",D16*7,D16*8)</f>
        <v>0</v>
      </c>
      <c r="I16" s="43" t="s">
        <v>62</v>
      </c>
      <c r="J16" s="87"/>
    </row>
    <row r="17" spans="3:10" ht="9" customHeight="1" thickBot="1" x14ac:dyDescent="0.5">
      <c r="C17" s="88"/>
      <c r="D17" s="89"/>
      <c r="E17" s="142"/>
      <c r="F17" s="7"/>
      <c r="G17" s="6"/>
      <c r="H17" s="90"/>
      <c r="I17" s="7"/>
      <c r="J17" s="12"/>
    </row>
    <row r="18" spans="3:10" ht="16.149999999999999" customHeight="1" x14ac:dyDescent="0.45">
      <c r="C18" s="50" t="s">
        <v>64</v>
      </c>
    </row>
    <row r="19" spans="3:10" ht="16.149999999999999" customHeight="1" x14ac:dyDescent="0.45">
      <c r="C19" s="50" t="s">
        <v>63</v>
      </c>
    </row>
    <row r="20" spans="3:10" ht="24" customHeight="1" x14ac:dyDescent="0.45">
      <c r="C20" s="47"/>
    </row>
    <row r="21" spans="3:10" ht="24" customHeight="1" x14ac:dyDescent="0.45">
      <c r="C21" s="48"/>
    </row>
    <row r="22" spans="3:10" ht="24" customHeight="1" x14ac:dyDescent="0.45">
      <c r="C22" s="47"/>
    </row>
  </sheetData>
  <sheetProtection algorithmName="SHA-512" hashValue="ihvGjFifcrx3XOsHXboinl7AV6X69ANXLI1Dp7XEz2BvdOq4a8A4+H+87QxON2PsWQUjk3aIDBQQlFz/+67ifQ==" saltValue="n6oOmnfw2U9Y4maai3Dsjg==" spinCount="100000" sheet="1" objects="1" scenarios="1" selectLockedCells="1"/>
  <mergeCells count="3">
    <mergeCell ref="D3:F3"/>
    <mergeCell ref="C2:J2"/>
    <mergeCell ref="G3:J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D3:E3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dimension ref="C1:L19"/>
  <sheetViews>
    <sheetView showGridLines="0" zoomScale="95" zoomScaleNormal="95" workbookViewId="0">
      <selection activeCell="F6" sqref="F6"/>
    </sheetView>
  </sheetViews>
  <sheetFormatPr baseColWidth="10" defaultColWidth="11.3984375" defaultRowHeight="24" customHeight="1" x14ac:dyDescent="0.45"/>
  <cols>
    <col min="1" max="1" width="11.3984375" style="3"/>
    <col min="2" max="2" width="0.796875" style="3" customWidth="1"/>
    <col min="3" max="3" width="9.3984375" style="3" customWidth="1"/>
    <col min="4" max="4" width="2.06640625" style="3" customWidth="1"/>
    <col min="5" max="5" width="54.73046875" style="49" customWidth="1"/>
    <col min="6" max="6" width="9.796875" style="3" customWidth="1"/>
    <col min="7" max="7" width="0.59765625" style="3" customWidth="1"/>
    <col min="8" max="8" width="11.19921875" style="10" customWidth="1"/>
    <col min="9" max="9" width="13.86328125" style="42" customWidth="1"/>
    <col min="10" max="10" width="15.19921875" style="3" customWidth="1"/>
    <col min="11" max="11" width="38.265625" style="3" customWidth="1"/>
    <col min="12" max="12" width="2" style="3" customWidth="1"/>
    <col min="13" max="16384" width="11.3984375" style="3"/>
  </cols>
  <sheetData>
    <row r="1" spans="3:12" ht="18" customHeight="1" x14ac:dyDescent="0.45">
      <c r="E1" s="3"/>
      <c r="H1" s="3"/>
      <c r="I1" s="3"/>
    </row>
    <row r="2" spans="3:12" ht="46.5" customHeight="1" x14ac:dyDescent="0.45">
      <c r="E2" s="133" t="s">
        <v>75</v>
      </c>
      <c r="F2" s="133"/>
      <c r="G2" s="133"/>
      <c r="H2" s="133"/>
      <c r="I2" s="133"/>
      <c r="J2" s="133"/>
      <c r="K2" s="133"/>
    </row>
    <row r="3" spans="3:12" ht="53.35" customHeight="1" x14ac:dyDescent="0.45">
      <c r="E3" s="134" t="s">
        <v>74</v>
      </c>
      <c r="F3" s="134"/>
      <c r="G3" s="134"/>
      <c r="H3" s="134"/>
      <c r="I3" s="134"/>
      <c r="J3" s="134"/>
      <c r="K3" s="134"/>
    </row>
    <row r="4" spans="3:12" ht="20.75" customHeight="1" x14ac:dyDescent="0.45">
      <c r="E4" s="60"/>
      <c r="F4" s="10" t="s">
        <v>77</v>
      </c>
      <c r="G4" s="60"/>
      <c r="H4" s="67"/>
      <c r="I4" s="60"/>
      <c r="J4" s="60"/>
      <c r="K4" s="60"/>
    </row>
    <row r="5" spans="3:12" ht="21.4" customHeight="1" x14ac:dyDescent="0.45">
      <c r="E5" s="60"/>
      <c r="F5" s="41"/>
      <c r="G5" s="60"/>
      <c r="H5" s="67"/>
      <c r="I5" s="60"/>
      <c r="J5" s="60"/>
      <c r="K5" s="60"/>
    </row>
    <row r="6" spans="3:12" ht="23.25" customHeight="1" x14ac:dyDescent="0.45">
      <c r="E6" s="38" t="s">
        <v>69</v>
      </c>
      <c r="F6" s="104"/>
      <c r="G6" s="56"/>
      <c r="H6" s="10" t="s">
        <v>65</v>
      </c>
      <c r="I6" s="52"/>
      <c r="J6" s="51"/>
      <c r="K6" s="44"/>
    </row>
    <row r="7" spans="3:12" ht="5.65" customHeight="1" x14ac:dyDescent="0.45">
      <c r="E7" s="38"/>
      <c r="F7" s="105"/>
      <c r="G7" s="56"/>
      <c r="H7" s="41"/>
      <c r="I7" s="66"/>
      <c r="J7" s="62"/>
      <c r="K7" s="44"/>
    </row>
    <row r="8" spans="3:12" ht="25.9" customHeight="1" x14ac:dyDescent="0.4">
      <c r="C8" s="63"/>
      <c r="D8" s="63"/>
      <c r="E8" s="64" t="s">
        <v>66</v>
      </c>
      <c r="F8" s="104"/>
      <c r="G8" s="56"/>
      <c r="H8" s="10" t="str">
        <f>IF(F8&lt;2,"audience","audiences")</f>
        <v>audience</v>
      </c>
      <c r="I8" s="53" t="s">
        <v>6</v>
      </c>
      <c r="J8" s="132" t="s">
        <v>67</v>
      </c>
      <c r="K8" s="132"/>
    </row>
    <row r="9" spans="3:12" ht="13.9" customHeight="1" x14ac:dyDescent="0.45">
      <c r="D9" s="38"/>
      <c r="E9" s="38"/>
      <c r="F9" s="106"/>
      <c r="G9" s="61"/>
      <c r="I9" s="10"/>
      <c r="J9" s="62"/>
      <c r="K9" s="44"/>
    </row>
    <row r="10" spans="3:12" ht="23.25" customHeight="1" x14ac:dyDescent="0.45">
      <c r="E10" s="38" t="s">
        <v>76</v>
      </c>
      <c r="F10" s="104"/>
      <c r="G10" s="56"/>
      <c r="H10" s="10" t="s">
        <v>68</v>
      </c>
      <c r="I10" s="135" t="s">
        <v>79</v>
      </c>
      <c r="J10" s="135"/>
      <c r="K10" s="135"/>
    </row>
    <row r="11" spans="3:12" customFormat="1" ht="14.75" customHeight="1" x14ac:dyDescent="0.45">
      <c r="E11" s="49"/>
      <c r="F11" s="2" t="s">
        <v>71</v>
      </c>
      <c r="H11" s="2"/>
      <c r="I11" s="100"/>
    </row>
    <row r="12" spans="3:12" ht="39.85" customHeight="1" thickBot="1" x14ac:dyDescent="0.5">
      <c r="E12" s="3"/>
    </row>
    <row r="13" spans="3:12" ht="5.75" customHeight="1" x14ac:dyDescent="0.45">
      <c r="D13" s="91"/>
      <c r="E13" s="85"/>
      <c r="F13" s="85"/>
      <c r="G13" s="85"/>
      <c r="H13" s="92"/>
      <c r="I13" s="93"/>
      <c r="J13" s="85"/>
      <c r="K13" s="86"/>
      <c r="L13" s="97"/>
    </row>
    <row r="14" spans="3:12" ht="24" customHeight="1" x14ac:dyDescent="0.45">
      <c r="C14" s="63"/>
      <c r="D14" s="94"/>
      <c r="E14" s="38" t="s">
        <v>78</v>
      </c>
      <c r="F14" s="107" t="str">
        <f>IF(F10="","",ABS(F10-F6))</f>
        <v/>
      </c>
      <c r="G14" s="57"/>
      <c r="H14" s="10" t="s">
        <v>65</v>
      </c>
      <c r="I14" s="98" t="str">
        <f>IF(F14="","",IF((F10-F6)&gt;=2,"supplémentaires",IF((F10-F6)&gt;0,"supplémentaire","en moins")))</f>
        <v/>
      </c>
      <c r="J14" s="99" t="s">
        <v>70</v>
      </c>
      <c r="K14" s="87"/>
      <c r="L14" s="97"/>
    </row>
    <row r="15" spans="3:12" ht="6" customHeight="1" x14ac:dyDescent="0.45">
      <c r="C15" s="63"/>
      <c r="D15" s="94"/>
      <c r="E15" s="64"/>
      <c r="F15" s="108"/>
      <c r="G15" s="57"/>
      <c r="I15" s="98"/>
      <c r="J15" s="99"/>
      <c r="K15" s="87"/>
      <c r="L15" s="97"/>
    </row>
    <row r="16" spans="3:12" ht="24" customHeight="1" x14ac:dyDescent="0.45">
      <c r="C16" s="63"/>
      <c r="D16" s="94"/>
      <c r="E16" s="38" t="s">
        <v>72</v>
      </c>
      <c r="F16" s="107" t="str">
        <f>IF(F14="","",ABS(F8*F14/F6))</f>
        <v/>
      </c>
      <c r="G16" s="58"/>
      <c r="H16" s="10" t="str">
        <f>IF(F16&lt;2,"audience","audiences")</f>
        <v>audiences</v>
      </c>
      <c r="I16" s="98" t="str">
        <f>IF(F16="","",IF((F10-F6)&lt;0,"en moins",IF(F16&gt;=2,"supplémentaires","supplémentaire")))</f>
        <v/>
      </c>
      <c r="J16" s="99" t="str">
        <f>IF(I16="","",I8)</f>
        <v/>
      </c>
      <c r="K16" s="87" t="str">
        <f>IF(J16="","","(toutes choses restant égales par ailleurs)")</f>
        <v/>
      </c>
      <c r="L16" s="97"/>
    </row>
    <row r="17" spans="3:12" ht="5.35" customHeight="1" x14ac:dyDescent="0.45">
      <c r="C17" s="63"/>
      <c r="D17" s="94"/>
      <c r="E17" s="38"/>
      <c r="F17" s="109"/>
      <c r="G17" s="58"/>
      <c r="I17" s="98"/>
      <c r="J17" s="99"/>
      <c r="K17" s="87"/>
      <c r="L17" s="97"/>
    </row>
    <row r="18" spans="3:12" ht="24" customHeight="1" x14ac:dyDescent="0.45">
      <c r="C18" s="63"/>
      <c r="D18" s="94"/>
      <c r="E18" s="38" t="s">
        <v>73</v>
      </c>
      <c r="F18" s="107" t="str">
        <f>IF(OR(F10=0,F6=0),"",F8/F6*F10)</f>
        <v/>
      </c>
      <c r="G18" s="59"/>
      <c r="H18" s="10" t="str">
        <f>IF(F18&lt;2,"audience","audiences")</f>
        <v>audiences</v>
      </c>
      <c r="I18" s="98" t="str">
        <f>J16</f>
        <v/>
      </c>
      <c r="J18" s="99"/>
      <c r="K18" s="87"/>
      <c r="L18" s="97"/>
    </row>
    <row r="19" spans="3:12" ht="6.4" customHeight="1" thickBot="1" x14ac:dyDescent="0.5">
      <c r="C19" s="65"/>
      <c r="D19" s="95"/>
      <c r="E19" s="7"/>
      <c r="F19" s="7"/>
      <c r="G19" s="7"/>
      <c r="H19" s="7"/>
      <c r="I19" s="7"/>
      <c r="J19" s="96"/>
      <c r="K19" s="12"/>
      <c r="L19" s="97"/>
    </row>
  </sheetData>
  <sheetProtection algorithmName="SHA-512" hashValue="MriNyt6uGjBwn6KwokVs/sb7/c6nlPAyy9JlF9DCT8QGEWVOLVlkqeizkTOPc9h1qGLK0bDzYv5EVXXbsaYbRg==" saltValue="J78SKFVuT2YqIiRKOu0bpQ==" spinCount="100000" sheet="1"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F16"/>
  <sheetViews>
    <sheetView workbookViewId="0">
      <selection activeCell="E18" sqref="E18"/>
    </sheetView>
  </sheetViews>
  <sheetFormatPr baseColWidth="10" defaultRowHeight="14.25" x14ac:dyDescent="0.45"/>
  <sheetData>
    <row r="1" spans="1:6" x14ac:dyDescent="0.45">
      <c r="A1" t="s">
        <v>29</v>
      </c>
    </row>
    <row r="2" spans="1:6" x14ac:dyDescent="0.45">
      <c r="A2" t="s">
        <v>7</v>
      </c>
      <c r="C2" t="s">
        <v>6</v>
      </c>
      <c r="E2" t="s">
        <v>7</v>
      </c>
    </row>
    <row r="3" spans="1:6" x14ac:dyDescent="0.45">
      <c r="A3" t="s">
        <v>1</v>
      </c>
      <c r="B3">
        <v>1</v>
      </c>
      <c r="C3" t="s">
        <v>27</v>
      </c>
      <c r="D3">
        <f>Magistrats!J4</f>
        <v>208</v>
      </c>
      <c r="E3" t="s">
        <v>1</v>
      </c>
      <c r="F3" s="55">
        <f>D3</f>
        <v>208</v>
      </c>
    </row>
    <row r="4" spans="1:6" x14ac:dyDescent="0.45">
      <c r="A4" t="s">
        <v>3</v>
      </c>
      <c r="B4">
        <v>0.5</v>
      </c>
      <c r="C4" t="s">
        <v>28</v>
      </c>
      <c r="D4">
        <f>D3/5</f>
        <v>41.6</v>
      </c>
      <c r="E4" t="s">
        <v>3</v>
      </c>
      <c r="F4" s="54">
        <f>F3*2</f>
        <v>416</v>
      </c>
    </row>
    <row r="5" spans="1:6" x14ac:dyDescent="0.45">
      <c r="A5" t="s">
        <v>2</v>
      </c>
      <c r="B5">
        <f>1/Magistrats!J5</f>
        <v>0.125</v>
      </c>
      <c r="C5" t="s">
        <v>4</v>
      </c>
      <c r="D5">
        <v>12</v>
      </c>
      <c r="E5" t="s">
        <v>2</v>
      </c>
      <c r="F5" s="54">
        <f>D3*8</f>
        <v>1664</v>
      </c>
    </row>
    <row r="6" spans="1:6" x14ac:dyDescent="0.45">
      <c r="C6" t="s">
        <v>5</v>
      </c>
      <c r="D6">
        <v>1</v>
      </c>
    </row>
    <row r="8" spans="1:6" x14ac:dyDescent="0.45">
      <c r="A8" t="s">
        <v>30</v>
      </c>
    </row>
    <row r="9" spans="1:6" x14ac:dyDescent="0.45">
      <c r="A9" t="s">
        <v>7</v>
      </c>
      <c r="B9" s="33"/>
      <c r="C9" t="s">
        <v>6</v>
      </c>
      <c r="D9" s="33"/>
      <c r="E9" t="s">
        <v>7</v>
      </c>
    </row>
    <row r="10" spans="1:6" x14ac:dyDescent="0.45">
      <c r="A10" t="s">
        <v>1</v>
      </c>
      <c r="B10" s="33">
        <f>Fonctionnaires!J5/5</f>
        <v>7</v>
      </c>
      <c r="C10" t="s">
        <v>27</v>
      </c>
      <c r="D10" s="33">
        <f>Fonctionnaires!J4/Listes!B10</f>
        <v>229.57142857142858</v>
      </c>
      <c r="E10" t="s">
        <v>1</v>
      </c>
      <c r="F10" s="55">
        <f>D10</f>
        <v>229.57142857142858</v>
      </c>
    </row>
    <row r="11" spans="1:6" x14ac:dyDescent="0.45">
      <c r="A11" t="s">
        <v>3</v>
      </c>
      <c r="B11" s="33">
        <f>B10/2</f>
        <v>3.5</v>
      </c>
      <c r="C11" t="s">
        <v>28</v>
      </c>
      <c r="D11" s="33">
        <f>Fonctionnaires!J4/Fonctionnaires!J5</f>
        <v>45.914285714285711</v>
      </c>
      <c r="E11" t="s">
        <v>3</v>
      </c>
      <c r="F11" s="54">
        <f>F10*2</f>
        <v>459.14285714285717</v>
      </c>
    </row>
    <row r="12" spans="1:6" x14ac:dyDescent="0.45">
      <c r="A12" t="s">
        <v>2</v>
      </c>
      <c r="B12" s="33">
        <v>1</v>
      </c>
      <c r="C12" t="s">
        <v>4</v>
      </c>
      <c r="D12" s="33">
        <f>12</f>
        <v>12</v>
      </c>
      <c r="E12" t="s">
        <v>2</v>
      </c>
      <c r="F12" s="54">
        <f>D10*7</f>
        <v>1607</v>
      </c>
    </row>
    <row r="13" spans="1:6" x14ac:dyDescent="0.45">
      <c r="B13" s="33"/>
      <c r="C13" t="s">
        <v>5</v>
      </c>
      <c r="D13" s="33">
        <v>1</v>
      </c>
    </row>
    <row r="15" spans="1:6" ht="15.75" x14ac:dyDescent="0.5">
      <c r="A15" s="37" t="s">
        <v>50</v>
      </c>
      <c r="C15" s="37" t="s">
        <v>29</v>
      </c>
    </row>
    <row r="16" spans="1:6" ht="15.75" x14ac:dyDescent="0.5">
      <c r="A16" s="37" t="s">
        <v>51</v>
      </c>
      <c r="C16" s="37"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Magistrats</vt:lpstr>
      <vt:lpstr>Fonctionnaires</vt:lpstr>
      <vt:lpstr>Reconvertir un % d'ETP en temps</vt:lpstr>
      <vt:lpstr>Convertir des ETPT en audiences</vt:lpstr>
      <vt:lpstr>Listes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Paul Marcadé</cp:lastModifiedBy>
  <dcterms:created xsi:type="dcterms:W3CDTF">2022-06-21T12:15:44Z</dcterms:created>
  <dcterms:modified xsi:type="dcterms:W3CDTF">2025-02-19T16:14:26Z</dcterms:modified>
</cp:coreProperties>
</file>