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hidePivotFieldList="1"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FA858C80-C3E3-5745-AD6A-7B4D1C9BEFC0}" xr6:coauthVersionLast="47" xr6:coauthVersionMax="47" xr10:uidLastSave="{00000000-0000-0000-0000-000000000000}"/>
  <bookViews>
    <workbookView xWindow="0" yWindow="600" windowWidth="22940" windowHeight="13240" xr2:uid="{50CB0F02-73D8-432D-BA19-0D33B1FE1838}"/>
  </bookViews>
  <sheets>
    <sheet name="ACCUEIL" sheetId="4" r:id="rId1"/>
    <sheet name="ETPT A-JUST" sheetId="1" r:id="rId2"/>
    <sheet name="ETPT Format DDG" sheetId="9" r:id="rId3"/>
    <sheet name="Agrégats DDG" sheetId="10" r:id="rId4"/>
    <sheet name="codage tribunal" sheetId="12" state="hidden" r:id="rId5"/>
    <sheet name="Juridictions" sheetId="17" state="hidden" r:id="rId6"/>
    <sheet name="Table_Fonctions" sheetId="19" state="hidden" r:id="rId7"/>
    <sheet name="ETPT_TJ_corresp-AJUST2" sheetId="24" state="hidden" r:id="rId8"/>
    <sheet name="ETPT_TJ" sheetId="25" state="hidden" r:id="rId9"/>
    <sheet name="ETPT_TPRX" sheetId="26" state="hidden" r:id="rId10"/>
    <sheet name="ETPT_CPH" sheetId="27" state="hidden" r:id="rId11"/>
    <sheet name="ETPT_TJ_DDG" sheetId="28" r:id="rId12"/>
    <sheet name="ETPT_TPRX_DDG" sheetId="29" r:id="rId13"/>
    <sheet name="ETPT_CPH_DDG" sheetId="30" r:id="rId14"/>
  </sheets>
  <definedNames>
    <definedName name="_xlnm._FilterDatabase" localSheetId="1" hidden="1">'ETPT A-JUST'!$A$2:$DN$2</definedName>
    <definedName name="_xlnm._FilterDatabase" localSheetId="2" hidden="1">'ETPT Format DDG'!$A$2:$DT$2</definedName>
    <definedName name="_xlnm._FilterDatabase" localSheetId="6" hidden="1">Table_Fonctions!$A$1:$F$65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25" l="1"/>
  <c r="V9" i="25"/>
  <c r="G13" i="27"/>
  <c r="G12" i="27"/>
  <c r="I5" i="27"/>
  <c r="G5" i="27"/>
  <c r="AG15" i="26"/>
  <c r="AA15" i="26"/>
  <c r="Z15" i="26"/>
  <c r="AH15" i="26" s="1"/>
  <c r="Y15" i="26"/>
  <c r="X15" i="26"/>
  <c r="W15" i="26"/>
  <c r="N15" i="26"/>
  <c r="M15" i="26"/>
  <c r="L15" i="26"/>
  <c r="K15" i="26"/>
  <c r="J15" i="26"/>
  <c r="R15" i="26" s="1"/>
  <c r="G15" i="26"/>
  <c r="AG14" i="26"/>
  <c r="AA14" i="26"/>
  <c r="Z14" i="26"/>
  <c r="AH14" i="26" s="1"/>
  <c r="Y14" i="26"/>
  <c r="X14" i="26"/>
  <c r="W14" i="26"/>
  <c r="N14" i="26"/>
  <c r="M14" i="26"/>
  <c r="L14" i="26"/>
  <c r="K14" i="26"/>
  <c r="J14" i="26"/>
  <c r="R14" i="26" s="1"/>
  <c r="G14" i="26"/>
  <c r="T13" i="26"/>
  <c r="R13" i="26"/>
  <c r="G13" i="26"/>
  <c r="AH12" i="26"/>
  <c r="T12" i="26"/>
  <c r="R12" i="26"/>
  <c r="G12" i="26"/>
  <c r="AH11" i="26"/>
  <c r="T11" i="26"/>
  <c r="R11" i="26"/>
  <c r="G11" i="26"/>
  <c r="AH10" i="26"/>
  <c r="T10" i="26"/>
  <c r="R10" i="26"/>
  <c r="G10" i="26"/>
  <c r="AH9" i="26"/>
  <c r="T9" i="26"/>
  <c r="R9" i="26"/>
  <c r="G9" i="26"/>
  <c r="AH8" i="26"/>
  <c r="T8" i="26"/>
  <c r="R8" i="26"/>
  <c r="G8" i="26"/>
  <c r="AG5" i="26"/>
  <c r="AA5" i="26"/>
  <c r="Z5" i="26"/>
  <c r="Y5" i="26"/>
  <c r="X5" i="26"/>
  <c r="W5" i="26"/>
  <c r="T5" i="26"/>
  <c r="N5" i="26"/>
  <c r="M5" i="26"/>
  <c r="L5" i="26"/>
  <c r="K5" i="26"/>
  <c r="J5" i="26"/>
  <c r="R5" i="26" s="1"/>
  <c r="G5" i="26"/>
  <c r="AW15" i="25"/>
  <c r="AV15" i="25"/>
  <c r="AU15" i="25"/>
  <c r="AT15" i="25"/>
  <c r="AS15" i="25"/>
  <c r="AR15" i="25"/>
  <c r="AQ15" i="25"/>
  <c r="AP15" i="25"/>
  <c r="AO15" i="25"/>
  <c r="AN15" i="25"/>
  <c r="AM15" i="25"/>
  <c r="AK15" i="25"/>
  <c r="AJ15" i="25"/>
  <c r="AI15" i="25"/>
  <c r="AH15" i="25"/>
  <c r="AG15" i="25"/>
  <c r="AF15" i="25"/>
  <c r="AE15" i="25"/>
  <c r="AD15" i="25"/>
  <c r="AC15" i="25"/>
  <c r="U15" i="25"/>
  <c r="T15" i="25"/>
  <c r="S15" i="25"/>
  <c r="R15" i="25"/>
  <c r="Q15" i="25"/>
  <c r="P15" i="25"/>
  <c r="O15" i="25"/>
  <c r="N15" i="25"/>
  <c r="M15" i="25"/>
  <c r="L15" i="25"/>
  <c r="K15" i="25"/>
  <c r="J15" i="25"/>
  <c r="I15" i="25"/>
  <c r="AW14" i="25"/>
  <c r="AV14" i="25"/>
  <c r="AU14" i="25"/>
  <c r="AT14" i="25"/>
  <c r="AS14" i="25"/>
  <c r="AR14" i="25"/>
  <c r="AQ14" i="25"/>
  <c r="AP14" i="25"/>
  <c r="AO14" i="25"/>
  <c r="AN14" i="25"/>
  <c r="AM14" i="25"/>
  <c r="AK14" i="25"/>
  <c r="AJ14" i="25"/>
  <c r="AI14" i="25"/>
  <c r="AH14" i="25"/>
  <c r="AG14" i="25"/>
  <c r="AF14" i="25"/>
  <c r="AE14" i="25"/>
  <c r="AD14" i="25"/>
  <c r="AC14" i="25"/>
  <c r="U14" i="25"/>
  <c r="T14" i="25"/>
  <c r="S14" i="25"/>
  <c r="R14" i="25"/>
  <c r="Q14" i="25"/>
  <c r="P14" i="25"/>
  <c r="O14" i="25"/>
  <c r="N14" i="25"/>
  <c r="M14" i="25"/>
  <c r="L14" i="25"/>
  <c r="K14" i="25"/>
  <c r="J14" i="25"/>
  <c r="I14" i="25"/>
  <c r="AA13" i="25"/>
  <c r="Z13" i="25"/>
  <c r="Y13" i="25"/>
  <c r="X13" i="25"/>
  <c r="V13" i="25"/>
  <c r="G13" i="25"/>
  <c r="AY12" i="25"/>
  <c r="AK12" i="25"/>
  <c r="AJ12" i="25"/>
  <c r="AI12" i="25"/>
  <c r="AE12" i="25"/>
  <c r="AD12" i="25"/>
  <c r="AA12" i="25"/>
  <c r="Z12" i="25"/>
  <c r="Y12" i="25"/>
  <c r="X12" i="25"/>
  <c r="V12" i="25"/>
  <c r="G12" i="25"/>
  <c r="AY11" i="25"/>
  <c r="AK11" i="25"/>
  <c r="AJ11" i="25"/>
  <c r="AI11" i="25"/>
  <c r="AE11" i="25"/>
  <c r="AD11" i="25"/>
  <c r="AA11" i="25"/>
  <c r="Z11" i="25"/>
  <c r="Y11" i="25"/>
  <c r="X11" i="25"/>
  <c r="V11" i="25"/>
  <c r="G11" i="25"/>
  <c r="AY10" i="25"/>
  <c r="AK10" i="25"/>
  <c r="AJ10" i="25"/>
  <c r="AI10" i="25"/>
  <c r="AE10" i="25"/>
  <c r="AD10" i="25"/>
  <c r="AA10" i="25"/>
  <c r="Z10" i="25"/>
  <c r="Y10" i="25"/>
  <c r="X10" i="25"/>
  <c r="V10" i="25"/>
  <c r="G10" i="25"/>
  <c r="AY9" i="25"/>
  <c r="AK9" i="25"/>
  <c r="AJ9" i="25"/>
  <c r="AI9" i="25"/>
  <c r="AE9" i="25"/>
  <c r="AD9" i="25"/>
  <c r="AA9" i="25"/>
  <c r="Z9" i="25"/>
  <c r="Y9" i="25"/>
  <c r="X9" i="25"/>
  <c r="G9" i="25"/>
  <c r="AA8" i="25"/>
  <c r="Z8" i="25"/>
  <c r="Y8" i="25"/>
  <c r="X8" i="25"/>
  <c r="V8" i="25"/>
  <c r="G8" i="25"/>
  <c r="AY7" i="25"/>
  <c r="AK7" i="25"/>
  <c r="AJ7" i="25"/>
  <c r="AI7" i="25"/>
  <c r="AE7" i="25"/>
  <c r="AD7" i="25"/>
  <c r="AR6" i="25"/>
  <c r="AQ6" i="25"/>
  <c r="AP6" i="25"/>
  <c r="AO6" i="25"/>
  <c r="AN6" i="25"/>
  <c r="AM6" i="25"/>
  <c r="AK6" i="25"/>
  <c r="AJ6" i="25"/>
  <c r="AI6" i="25"/>
  <c r="AH6" i="25"/>
  <c r="AG6" i="25"/>
  <c r="AF6" i="25"/>
  <c r="AE6" i="25"/>
  <c r="R6" i="25"/>
  <c r="O6" i="25"/>
  <c r="N6" i="25"/>
  <c r="M6" i="25"/>
  <c r="L6" i="25"/>
  <c r="K6" i="25"/>
  <c r="J6" i="25"/>
  <c r="AW5" i="25"/>
  <c r="AV5" i="25"/>
  <c r="AU5" i="25"/>
  <c r="AT5" i="25"/>
  <c r="AS5" i="25"/>
  <c r="AK5" i="25"/>
  <c r="AJ5" i="25"/>
  <c r="AD5" i="25"/>
  <c r="AC5" i="25"/>
  <c r="U5" i="25"/>
  <c r="T5" i="25"/>
  <c r="S5" i="25"/>
  <c r="R5" i="25"/>
  <c r="Q5" i="25"/>
  <c r="P5" i="25"/>
  <c r="I5" i="25"/>
  <c r="BJ6" i="25"/>
  <c r="X6" i="25" l="1"/>
  <c r="V14" i="25"/>
  <c r="Y6" i="25"/>
  <c r="X5" i="25"/>
  <c r="Z6" i="25"/>
  <c r="Y5" i="25"/>
  <c r="AX5" i="25"/>
  <c r="AA6" i="25"/>
  <c r="Z5" i="25"/>
  <c r="G6" i="25"/>
  <c r="AA5" i="25"/>
  <c r="AX6" i="25"/>
  <c r="G5" i="25"/>
  <c r="V6" i="25"/>
  <c r="V5" i="25"/>
  <c r="AY5" i="25"/>
  <c r="AY6" i="25"/>
  <c r="G14" i="25"/>
  <c r="V15" i="25"/>
  <c r="AH5" i="26"/>
  <c r="AY15" i="25"/>
  <c r="AY14" i="25"/>
  <c r="E6" i="10"/>
  <c r="D6" i="30" l="1"/>
  <c r="G6" i="30"/>
  <c r="H6" i="30" s="1"/>
  <c r="I6" i="30"/>
  <c r="J6" i="30" s="1"/>
  <c r="D7" i="30"/>
  <c r="G7" i="30"/>
  <c r="H7" i="30" s="1"/>
  <c r="I7" i="30"/>
  <c r="J7" i="30" s="1"/>
  <c r="D8" i="30"/>
  <c r="G8" i="30"/>
  <c r="H8" i="30"/>
  <c r="I8" i="30"/>
  <c r="J8" i="30"/>
  <c r="D9" i="30"/>
  <c r="G9" i="30"/>
  <c r="H9" i="30"/>
  <c r="I9" i="30"/>
  <c r="J9" i="30"/>
  <c r="D10" i="30"/>
  <c r="G10" i="30"/>
  <c r="H10" i="30" s="1"/>
  <c r="I10" i="30"/>
  <c r="J10" i="30"/>
  <c r="D11" i="30"/>
  <c r="G11" i="30"/>
  <c r="H11" i="30"/>
  <c r="I11" i="30"/>
  <c r="J11" i="30"/>
  <c r="D12" i="30"/>
  <c r="I12" i="30"/>
  <c r="J12" i="30" s="1"/>
  <c r="D13" i="30"/>
  <c r="I13" i="30"/>
  <c r="J13" i="30"/>
  <c r="I5" i="29"/>
  <c r="O5" i="29"/>
  <c r="P5" i="29"/>
  <c r="Q5" i="29"/>
  <c r="V5" i="29"/>
  <c r="AB5" i="29"/>
  <c r="AC5" i="29"/>
  <c r="AD5" i="29"/>
  <c r="AF5" i="29"/>
  <c r="D6" i="29"/>
  <c r="G6" i="29"/>
  <c r="H6" i="29"/>
  <c r="I6" i="29"/>
  <c r="J6" i="29"/>
  <c r="K6" i="29"/>
  <c r="L6" i="29"/>
  <c r="M6" i="29"/>
  <c r="N6" i="29"/>
  <c r="O6" i="29"/>
  <c r="P6" i="29"/>
  <c r="Q6" i="29"/>
  <c r="R6" i="29"/>
  <c r="T6" i="29"/>
  <c r="U6" i="29"/>
  <c r="V6" i="29"/>
  <c r="W6" i="29"/>
  <c r="X6" i="29"/>
  <c r="Y6" i="29"/>
  <c r="Z6" i="29"/>
  <c r="AA6" i="29"/>
  <c r="AB6" i="29"/>
  <c r="AC6" i="29"/>
  <c r="AE6" i="29" s="1"/>
  <c r="AD6" i="29"/>
  <c r="AF6" i="29"/>
  <c r="AG6" i="29"/>
  <c r="AI6" i="29" s="1"/>
  <c r="AH6" i="29"/>
  <c r="D7" i="29"/>
  <c r="G7" i="29"/>
  <c r="H7" i="29" s="1"/>
  <c r="I7" i="29"/>
  <c r="J7" i="29"/>
  <c r="K7" i="29"/>
  <c r="L7" i="29"/>
  <c r="M7" i="29"/>
  <c r="N7" i="29"/>
  <c r="O7" i="29"/>
  <c r="P7" i="29"/>
  <c r="Q7" i="29"/>
  <c r="R7" i="29"/>
  <c r="T7" i="29"/>
  <c r="U7" i="29" s="1"/>
  <c r="V7" i="29"/>
  <c r="W7" i="29"/>
  <c r="X7" i="29"/>
  <c r="Y7" i="29"/>
  <c r="Z7" i="29"/>
  <c r="AA7" i="29"/>
  <c r="AB7" i="29"/>
  <c r="AC7" i="29"/>
  <c r="AD7" i="29"/>
  <c r="AF7" i="29"/>
  <c r="AI7" i="29" s="1"/>
  <c r="AG7" i="29"/>
  <c r="AH7" i="29"/>
  <c r="D8" i="29"/>
  <c r="I8" i="29"/>
  <c r="J8" i="29"/>
  <c r="K8" i="29"/>
  <c r="L8" i="29"/>
  <c r="M8" i="29"/>
  <c r="N8" i="29"/>
  <c r="O8" i="29"/>
  <c r="P8" i="29"/>
  <c r="Q8" i="29"/>
  <c r="V8" i="29"/>
  <c r="W8" i="29"/>
  <c r="X8" i="29"/>
  <c r="Y8" i="29"/>
  <c r="Z8" i="29"/>
  <c r="AA8" i="29"/>
  <c r="AB8" i="29"/>
  <c r="AC8" i="29"/>
  <c r="AD8" i="29"/>
  <c r="AF8" i="29"/>
  <c r="AG8" i="29"/>
  <c r="D9" i="29"/>
  <c r="I9" i="29"/>
  <c r="J9" i="29"/>
  <c r="K9" i="29"/>
  <c r="L9" i="29"/>
  <c r="M9" i="29"/>
  <c r="N9" i="29"/>
  <c r="O9" i="29"/>
  <c r="P9" i="29"/>
  <c r="Q9" i="29"/>
  <c r="V9" i="29"/>
  <c r="W9" i="29"/>
  <c r="X9" i="29"/>
  <c r="Y9" i="29"/>
  <c r="Z9" i="29"/>
  <c r="AA9" i="29"/>
  <c r="AB9" i="29"/>
  <c r="AC9" i="29"/>
  <c r="AD9" i="29"/>
  <c r="AF9" i="29"/>
  <c r="AG9" i="29"/>
  <c r="D10" i="29"/>
  <c r="I10" i="29"/>
  <c r="J10" i="29"/>
  <c r="K10" i="29"/>
  <c r="L10" i="29"/>
  <c r="M10" i="29"/>
  <c r="N10" i="29"/>
  <c r="O10" i="29"/>
  <c r="P10" i="29"/>
  <c r="Q10" i="29"/>
  <c r="V10" i="29"/>
  <c r="AE10" i="29" s="1"/>
  <c r="W10" i="29"/>
  <c r="X10" i="29"/>
  <c r="Y10" i="29"/>
  <c r="Z10" i="29"/>
  <c r="AA10" i="29"/>
  <c r="AB10" i="29"/>
  <c r="AC10" i="29"/>
  <c r="AD10" i="29"/>
  <c r="AF10" i="29"/>
  <c r="AG10" i="29"/>
  <c r="D11" i="29"/>
  <c r="I11" i="29"/>
  <c r="J11" i="29"/>
  <c r="K11" i="29"/>
  <c r="L11" i="29"/>
  <c r="M11" i="29"/>
  <c r="N11" i="29"/>
  <c r="O11" i="29"/>
  <c r="P11" i="29"/>
  <c r="Q11" i="29"/>
  <c r="V11" i="29"/>
  <c r="W11" i="29"/>
  <c r="X11" i="29"/>
  <c r="Y11" i="29"/>
  <c r="Z11" i="29"/>
  <c r="AA11" i="29"/>
  <c r="AB11" i="29"/>
  <c r="AC11" i="29"/>
  <c r="AD11" i="29"/>
  <c r="AF11" i="29"/>
  <c r="AG11" i="29"/>
  <c r="D12" i="29"/>
  <c r="I12" i="29"/>
  <c r="J12" i="29"/>
  <c r="K12" i="29"/>
  <c r="L12" i="29"/>
  <c r="M12" i="29"/>
  <c r="N12" i="29"/>
  <c r="O12" i="29"/>
  <c r="P12" i="29"/>
  <c r="Q12" i="29"/>
  <c r="V12" i="29"/>
  <c r="W12" i="29"/>
  <c r="X12" i="29"/>
  <c r="Y12" i="29"/>
  <c r="Z12" i="29"/>
  <c r="AA12" i="29"/>
  <c r="AB12" i="29"/>
  <c r="AC12" i="29"/>
  <c r="AD12" i="29"/>
  <c r="AF12" i="29"/>
  <c r="AG12" i="29"/>
  <c r="D13" i="29"/>
  <c r="I13" i="29"/>
  <c r="J13" i="29"/>
  <c r="K13" i="29"/>
  <c r="L13" i="29"/>
  <c r="M13" i="29"/>
  <c r="N13" i="29"/>
  <c r="O13" i="29"/>
  <c r="P13" i="29"/>
  <c r="Q13" i="29"/>
  <c r="V13" i="29"/>
  <c r="W13" i="29"/>
  <c r="X13" i="29"/>
  <c r="Y13" i="29"/>
  <c r="Z13" i="29"/>
  <c r="AA13" i="29"/>
  <c r="AB13" i="29"/>
  <c r="AC13" i="29"/>
  <c r="AD13" i="29"/>
  <c r="AF13" i="29"/>
  <c r="AI13" i="29" s="1"/>
  <c r="AG13" i="29"/>
  <c r="AH13" i="29"/>
  <c r="D14" i="29"/>
  <c r="I14" i="29"/>
  <c r="O14" i="29"/>
  <c r="P14" i="29"/>
  <c r="Q14" i="29"/>
  <c r="T14" i="29"/>
  <c r="U14" i="29"/>
  <c r="V14" i="29"/>
  <c r="AB14" i="29"/>
  <c r="AC14" i="29"/>
  <c r="AD14" i="29"/>
  <c r="AF14" i="29"/>
  <c r="D15" i="29"/>
  <c r="I15" i="29"/>
  <c r="O15" i="29"/>
  <c r="P15" i="29"/>
  <c r="Q15" i="29"/>
  <c r="T15" i="29"/>
  <c r="U15" i="29" s="1"/>
  <c r="V15" i="29"/>
  <c r="AB15" i="29"/>
  <c r="AC15" i="29"/>
  <c r="AD15" i="29"/>
  <c r="AF15" i="29"/>
  <c r="J5" i="28"/>
  <c r="K5" i="28"/>
  <c r="L5" i="28"/>
  <c r="M5" i="28"/>
  <c r="N5" i="28"/>
  <c r="O5" i="28"/>
  <c r="AE5" i="28"/>
  <c r="AF5" i="28"/>
  <c r="AG5" i="28"/>
  <c r="AH5" i="28"/>
  <c r="AI5" i="28"/>
  <c r="AM5" i="28"/>
  <c r="AN5" i="28"/>
  <c r="AO5" i="28"/>
  <c r="AP5" i="28"/>
  <c r="AQ5" i="28"/>
  <c r="AR5" i="28"/>
  <c r="BJ5" i="28"/>
  <c r="BJ16" i="28" s="1"/>
  <c r="D6" i="28"/>
  <c r="I6" i="28"/>
  <c r="P6" i="28"/>
  <c r="Q6" i="28"/>
  <c r="S6" i="28"/>
  <c r="T6" i="28"/>
  <c r="U6" i="28"/>
  <c r="AC6" i="28"/>
  <c r="AD6" i="28"/>
  <c r="AS6" i="28"/>
  <c r="AT6" i="28"/>
  <c r="AU6" i="28"/>
  <c r="AV6" i="28"/>
  <c r="AW6" i="28"/>
  <c r="BJ6" i="28"/>
  <c r="D7" i="28"/>
  <c r="G7" i="28"/>
  <c r="H7" i="28" s="1"/>
  <c r="I7" i="28"/>
  <c r="J7" i="28"/>
  <c r="K7" i="28"/>
  <c r="L7" i="28"/>
  <c r="M7" i="28"/>
  <c r="N7" i="28"/>
  <c r="O7" i="28"/>
  <c r="P7" i="28"/>
  <c r="Q7" i="28"/>
  <c r="R7" i="28"/>
  <c r="S7" i="28"/>
  <c r="T7" i="28"/>
  <c r="U7" i="28"/>
  <c r="V7" i="28"/>
  <c r="X7" i="28"/>
  <c r="AB7" i="28" s="1"/>
  <c r="Y7" i="28"/>
  <c r="Z7" i="28"/>
  <c r="AA7" i="28"/>
  <c r="AC7" i="28"/>
  <c r="AF7" i="28"/>
  <c r="AG7" i="28"/>
  <c r="AH7" i="28"/>
  <c r="AM7" i="28"/>
  <c r="AN7" i="28"/>
  <c r="AO7" i="28"/>
  <c r="AP7" i="28"/>
  <c r="AQ7" i="28"/>
  <c r="AR7" i="28"/>
  <c r="AS7" i="28"/>
  <c r="AT7" i="28"/>
  <c r="AU7" i="28"/>
  <c r="AV7" i="28"/>
  <c r="AW7" i="28"/>
  <c r="AX7" i="28"/>
  <c r="BJ7" i="28"/>
  <c r="D8" i="28"/>
  <c r="I8" i="28"/>
  <c r="J8" i="28"/>
  <c r="K8" i="28"/>
  <c r="L8" i="28"/>
  <c r="M8" i="28"/>
  <c r="N8" i="28"/>
  <c r="O8" i="28"/>
  <c r="P8" i="28"/>
  <c r="Q8" i="28"/>
  <c r="R8" i="28"/>
  <c r="S8" i="28"/>
  <c r="T8" i="28"/>
  <c r="U8" i="28"/>
  <c r="AC8" i="28"/>
  <c r="AD8" i="28"/>
  <c r="AE8" i="28"/>
  <c r="AF8" i="28"/>
  <c r="AG8" i="28"/>
  <c r="AH8" i="28"/>
  <c r="AI8" i="28"/>
  <c r="AJ8" i="28"/>
  <c r="AK8" i="28"/>
  <c r="AM8" i="28"/>
  <c r="AN8" i="28"/>
  <c r="AO8" i="28"/>
  <c r="AP8" i="28"/>
  <c r="AQ8" i="28"/>
  <c r="AR8" i="28"/>
  <c r="AS8" i="28"/>
  <c r="AT8" i="28"/>
  <c r="AU8" i="28"/>
  <c r="AV8" i="28"/>
  <c r="AW8" i="28"/>
  <c r="AX8" i="28"/>
  <c r="AY8" i="28"/>
  <c r="BJ8" i="28"/>
  <c r="D9" i="28"/>
  <c r="I9" i="28"/>
  <c r="J9" i="28"/>
  <c r="K9" i="28"/>
  <c r="L9" i="28"/>
  <c r="M9" i="28"/>
  <c r="N9" i="28"/>
  <c r="O9" i="28"/>
  <c r="P9" i="28"/>
  <c r="Q9" i="28"/>
  <c r="R9" i="28"/>
  <c r="S9" i="28"/>
  <c r="T9" i="28"/>
  <c r="U9" i="28"/>
  <c r="AC9" i="28"/>
  <c r="AF9" i="28"/>
  <c r="AG9" i="28"/>
  <c r="AH9" i="28"/>
  <c r="AM9" i="28"/>
  <c r="AN9" i="28"/>
  <c r="AO9" i="28"/>
  <c r="AP9" i="28"/>
  <c r="AQ9" i="28"/>
  <c r="AR9" i="28"/>
  <c r="AS9" i="28"/>
  <c r="AT9" i="28"/>
  <c r="AU9" i="28"/>
  <c r="AV9" i="28"/>
  <c r="AW9" i="28"/>
  <c r="AX9" i="28"/>
  <c r="BJ9" i="28"/>
  <c r="D10" i="28"/>
  <c r="I10" i="28"/>
  <c r="J10" i="28"/>
  <c r="K10" i="28"/>
  <c r="L10" i="28"/>
  <c r="M10" i="28"/>
  <c r="N10" i="28"/>
  <c r="O10" i="28"/>
  <c r="P10" i="28"/>
  <c r="Q10" i="28"/>
  <c r="R10" i="28"/>
  <c r="S10" i="28"/>
  <c r="T10" i="28"/>
  <c r="U10" i="28"/>
  <c r="AC10" i="28"/>
  <c r="AF10" i="28"/>
  <c r="AG10" i="28"/>
  <c r="AH10" i="28"/>
  <c r="AM10" i="28"/>
  <c r="AN10" i="28"/>
  <c r="AO10" i="28"/>
  <c r="AP10" i="28"/>
  <c r="AQ10" i="28"/>
  <c r="AR10" i="28"/>
  <c r="AS10" i="28"/>
  <c r="AT10" i="28"/>
  <c r="AU10" i="28"/>
  <c r="AV10" i="28"/>
  <c r="AW10" i="28"/>
  <c r="AX10" i="28"/>
  <c r="BJ10" i="28"/>
  <c r="D11" i="28"/>
  <c r="I11" i="28"/>
  <c r="J11" i="28"/>
  <c r="K11" i="28"/>
  <c r="L11" i="28"/>
  <c r="M11" i="28"/>
  <c r="N11" i="28"/>
  <c r="O11" i="28"/>
  <c r="P11" i="28"/>
  <c r="Q11" i="28"/>
  <c r="R11" i="28"/>
  <c r="S11" i="28"/>
  <c r="T11" i="28"/>
  <c r="U11" i="28"/>
  <c r="AC11" i="28"/>
  <c r="AF11" i="28"/>
  <c r="AG11" i="28"/>
  <c r="AH11" i="28"/>
  <c r="AM11" i="28"/>
  <c r="AN11" i="28"/>
  <c r="AO11" i="28"/>
  <c r="AP11" i="28"/>
  <c r="AQ11" i="28"/>
  <c r="AR11" i="28"/>
  <c r="AS11" i="28"/>
  <c r="AT11" i="28"/>
  <c r="AU11" i="28"/>
  <c r="AV11" i="28"/>
  <c r="AW11" i="28"/>
  <c r="AX11" i="28"/>
  <c r="BJ11" i="28"/>
  <c r="D12" i="28"/>
  <c r="I12" i="28"/>
  <c r="J12" i="28"/>
  <c r="K12" i="28"/>
  <c r="L12" i="28"/>
  <c r="M12" i="28"/>
  <c r="N12" i="28"/>
  <c r="O12" i="28"/>
  <c r="P12" i="28"/>
  <c r="Q12" i="28"/>
  <c r="R12" i="28"/>
  <c r="S12" i="28"/>
  <c r="T12" i="28"/>
  <c r="U12" i="28"/>
  <c r="AC12" i="28"/>
  <c r="AF12" i="28"/>
  <c r="AG12" i="28"/>
  <c r="AH12" i="28"/>
  <c r="AM12" i="28"/>
  <c r="AN12" i="28"/>
  <c r="AO12" i="28"/>
  <c r="AP12" i="28"/>
  <c r="AQ12" i="28"/>
  <c r="AR12" i="28"/>
  <c r="AS12" i="28"/>
  <c r="AT12" i="28"/>
  <c r="AU12" i="28"/>
  <c r="AV12" i="28"/>
  <c r="AW12" i="28"/>
  <c r="AX12" i="28"/>
  <c r="BJ12" i="28"/>
  <c r="D13" i="28"/>
  <c r="I13" i="28"/>
  <c r="J13" i="28"/>
  <c r="K13" i="28"/>
  <c r="L13" i="28"/>
  <c r="M13" i="28"/>
  <c r="N13" i="28"/>
  <c r="O13" i="28"/>
  <c r="P13" i="28"/>
  <c r="Q13" i="28"/>
  <c r="R13" i="28"/>
  <c r="S13" i="28"/>
  <c r="T13" i="28"/>
  <c r="U13" i="28"/>
  <c r="AC13" i="28"/>
  <c r="AD13" i="28"/>
  <c r="AE13" i="28"/>
  <c r="AF13" i="28"/>
  <c r="AG13" i="28"/>
  <c r="AH13" i="28"/>
  <c r="AI13" i="28"/>
  <c r="AJ13" i="28"/>
  <c r="AK13" i="28"/>
  <c r="AM13" i="28"/>
  <c r="AN13" i="28"/>
  <c r="AO13" i="28"/>
  <c r="AP13" i="28"/>
  <c r="AQ13" i="28"/>
  <c r="AR13" i="28"/>
  <c r="AS13" i="28"/>
  <c r="AT13" i="28"/>
  <c r="AU13" i="28"/>
  <c r="AV13" i="28"/>
  <c r="AW13" i="28"/>
  <c r="AX13" i="28"/>
  <c r="AY13" i="28"/>
  <c r="BJ13" i="28"/>
  <c r="D14" i="28"/>
  <c r="X14" i="28"/>
  <c r="AB14" i="28" s="1"/>
  <c r="Y14" i="28"/>
  <c r="Z14" i="28"/>
  <c r="AA14" i="28"/>
  <c r="AX14" i="28"/>
  <c r="BJ14" i="28"/>
  <c r="D15" i="28"/>
  <c r="X15" i="28"/>
  <c r="Y15" i="28"/>
  <c r="Z15" i="28"/>
  <c r="AA15" i="28"/>
  <c r="AB15" i="28"/>
  <c r="AX15" i="28"/>
  <c r="BJ15" i="28"/>
  <c r="BA16" i="28"/>
  <c r="BB16" i="28"/>
  <c r="BC16" i="28"/>
  <c r="BD16" i="28"/>
  <c r="BE16" i="28"/>
  <c r="BF16" i="28"/>
  <c r="BG16" i="28"/>
  <c r="BH16" i="28"/>
  <c r="BI16" i="28"/>
  <c r="D5" i="27"/>
  <c r="AD16" i="29" l="1"/>
  <c r="AC16" i="29"/>
  <c r="AB16" i="29"/>
  <c r="AE7" i="29"/>
  <c r="S7" i="29"/>
  <c r="AE12" i="29"/>
  <c r="AE8" i="29"/>
  <c r="Q16" i="29"/>
  <c r="AE11" i="29"/>
  <c r="P16" i="29"/>
  <c r="O16" i="29"/>
  <c r="AE13" i="29"/>
  <c r="AE9" i="29"/>
  <c r="V16" i="29"/>
  <c r="S6" i="29"/>
  <c r="AF16" i="29"/>
  <c r="AZ13" i="28"/>
  <c r="AL13" i="28"/>
  <c r="W7" i="28"/>
  <c r="AL8" i="28"/>
  <c r="AZ8" i="28"/>
  <c r="G5" i="30"/>
  <c r="I16" i="29"/>
  <c r="I5" i="30" l="1"/>
  <c r="H5" i="30"/>
  <c r="D6" i="27"/>
  <c r="H6" i="27"/>
  <c r="J6" i="27"/>
  <c r="D7" i="27"/>
  <c r="H7" i="27"/>
  <c r="J7" i="27"/>
  <c r="D8" i="27"/>
  <c r="H8" i="27"/>
  <c r="J8" i="27"/>
  <c r="D9" i="27"/>
  <c r="H9" i="27"/>
  <c r="J9" i="27"/>
  <c r="D10" i="27"/>
  <c r="H10" i="27"/>
  <c r="J10" i="27"/>
  <c r="D11" i="27"/>
  <c r="H11" i="27"/>
  <c r="J11" i="27"/>
  <c r="D12" i="27"/>
  <c r="G12" i="30" l="1"/>
  <c r="J5" i="30"/>
  <c r="J14" i="30" s="1"/>
  <c r="I14" i="30"/>
  <c r="J12" i="27"/>
  <c r="D13" i="27"/>
  <c r="G13" i="30" l="1"/>
  <c r="H13" i="30" s="1"/>
  <c r="H12" i="30"/>
  <c r="J13" i="27"/>
  <c r="D5" i="26"/>
  <c r="H14" i="30" l="1"/>
  <c r="G14" i="30"/>
  <c r="G5" i="29"/>
  <c r="R5" i="29" l="1"/>
  <c r="N5" i="29"/>
  <c r="M5" i="29"/>
  <c r="L5" i="29"/>
  <c r="K5" i="29"/>
  <c r="J5" i="29"/>
  <c r="H5" i="29"/>
  <c r="T5" i="29" l="1"/>
  <c r="S5" i="29"/>
  <c r="AA5" i="29" l="1"/>
  <c r="Z5" i="29"/>
  <c r="Y5" i="29"/>
  <c r="X5" i="29"/>
  <c r="W5" i="29"/>
  <c r="U5" i="29"/>
  <c r="AH5" i="29" l="1"/>
  <c r="AG5" i="29"/>
  <c r="AE5" i="29"/>
  <c r="D6" i="26"/>
  <c r="H6" i="26"/>
  <c r="S6" i="26"/>
  <c r="U6" i="26"/>
  <c r="AE6" i="26"/>
  <c r="AI6" i="26"/>
  <c r="D7" i="26"/>
  <c r="H7" i="26"/>
  <c r="S7" i="26"/>
  <c r="U7" i="26"/>
  <c r="AE7" i="26"/>
  <c r="AI7" i="26"/>
  <c r="D8" i="26"/>
  <c r="G8" i="29" l="1"/>
  <c r="AI5" i="29"/>
  <c r="R8" i="29" l="1"/>
  <c r="H8" i="29"/>
  <c r="T8" i="29" l="1"/>
  <c r="S8" i="29"/>
  <c r="AE8" i="26"/>
  <c r="AH8" i="29" l="1"/>
  <c r="U8" i="29"/>
  <c r="D9" i="26"/>
  <c r="G9" i="29" l="1"/>
  <c r="AI8" i="29"/>
  <c r="R9" i="29" l="1"/>
  <c r="H9" i="29"/>
  <c r="T9" i="29" l="1"/>
  <c r="S9" i="29"/>
  <c r="AE9" i="26"/>
  <c r="AH9" i="29" l="1"/>
  <c r="U9" i="29"/>
  <c r="D10" i="26"/>
  <c r="G10" i="29" l="1"/>
  <c r="AI9" i="29"/>
  <c r="R10" i="29" l="1"/>
  <c r="H10" i="29"/>
  <c r="T10" i="29" l="1"/>
  <c r="S10" i="29"/>
  <c r="AE10" i="26"/>
  <c r="AH10" i="29" l="1"/>
  <c r="U10" i="29"/>
  <c r="D11" i="26"/>
  <c r="G11" i="29" l="1"/>
  <c r="AI10" i="29"/>
  <c r="R11" i="29" l="1"/>
  <c r="S11" i="29" s="1"/>
  <c r="H11" i="29"/>
  <c r="T11" i="29" l="1"/>
  <c r="AE11" i="26"/>
  <c r="AH11" i="29" l="1"/>
  <c r="AI11" i="29" s="1"/>
  <c r="U11" i="29"/>
  <c r="D12" i="26"/>
  <c r="G12" i="29" l="1"/>
  <c r="H12" i="29" s="1"/>
  <c r="R12" i="29" l="1"/>
  <c r="S12" i="29" s="1"/>
  <c r="T12" i="29" l="1"/>
  <c r="U12" i="29" s="1"/>
  <c r="AE12" i="26"/>
  <c r="AH12" i="29" l="1"/>
  <c r="AI12" i="29" s="1"/>
  <c r="D13" i="26"/>
  <c r="G13" i="29" l="1"/>
  <c r="H13" i="29" s="1"/>
  <c r="R13" i="29" l="1"/>
  <c r="S13" i="29" s="1"/>
  <c r="T13" i="29" l="1"/>
  <c r="AE13" i="26"/>
  <c r="AI13" i="26"/>
  <c r="D14" i="26"/>
  <c r="G14" i="29" l="1"/>
  <c r="H14" i="29" s="1"/>
  <c r="U13" i="29"/>
  <c r="U16" i="29" s="1"/>
  <c r="T16" i="29"/>
  <c r="R14" i="29" l="1"/>
  <c r="N14" i="29"/>
  <c r="M14" i="29"/>
  <c r="L14" i="29"/>
  <c r="K14" i="29"/>
  <c r="J14" i="29"/>
  <c r="U14" i="26"/>
  <c r="AA14" i="29" l="1"/>
  <c r="Z14" i="29"/>
  <c r="Y14" i="29"/>
  <c r="X14" i="29"/>
  <c r="W14" i="29"/>
  <c r="S14" i="29"/>
  <c r="AH14" i="29" l="1"/>
  <c r="AG14" i="29"/>
  <c r="AE14" i="29"/>
  <c r="D15" i="26"/>
  <c r="G15" i="29" l="1"/>
  <c r="AI14" i="29"/>
  <c r="R15" i="29" l="1"/>
  <c r="R16" i="29" s="1"/>
  <c r="N15" i="29"/>
  <c r="N16" i="29" s="1"/>
  <c r="M15" i="29"/>
  <c r="M16" i="29" s="1"/>
  <c r="L15" i="29"/>
  <c r="L16" i="29" s="1"/>
  <c r="K15" i="29"/>
  <c r="K16" i="29" s="1"/>
  <c r="J15" i="29"/>
  <c r="H15" i="29"/>
  <c r="H16" i="29" s="1"/>
  <c r="G16" i="29"/>
  <c r="U15" i="26"/>
  <c r="AA15" i="29" l="1"/>
  <c r="AA16" i="29" s="1"/>
  <c r="Z15" i="29"/>
  <c r="Z16" i="29" s="1"/>
  <c r="Y15" i="29"/>
  <c r="Y16" i="29" s="1"/>
  <c r="X15" i="29"/>
  <c r="X16" i="29" s="1"/>
  <c r="W15" i="29"/>
  <c r="S15" i="29"/>
  <c r="S16" i="29" s="1"/>
  <c r="J16" i="29"/>
  <c r="AH15" i="29" l="1"/>
  <c r="AH16" i="29" s="1"/>
  <c r="AG15" i="29"/>
  <c r="AE15" i="29"/>
  <c r="AE16" i="29" s="1"/>
  <c r="W16" i="29"/>
  <c r="I16" i="26"/>
  <c r="O16" i="26"/>
  <c r="P16" i="26"/>
  <c r="Q16" i="26"/>
  <c r="V16" i="26"/>
  <c r="AB16" i="26"/>
  <c r="AC16" i="26"/>
  <c r="AD16" i="26"/>
  <c r="AF16" i="26"/>
  <c r="D5" i="25"/>
  <c r="AI15" i="29" l="1"/>
  <c r="AI16" i="29" s="1"/>
  <c r="AG16" i="29"/>
  <c r="G5" i="28"/>
  <c r="V5" i="28" l="1"/>
  <c r="U5" i="28"/>
  <c r="T5" i="28"/>
  <c r="S5" i="28"/>
  <c r="R5" i="28"/>
  <c r="Q5" i="28"/>
  <c r="P5" i="28"/>
  <c r="I5" i="28"/>
  <c r="H5" i="28"/>
  <c r="AA5" i="28" l="1"/>
  <c r="Z5" i="28"/>
  <c r="Y5" i="28"/>
  <c r="X5" i="28"/>
  <c r="W5" i="28"/>
  <c r="AD5" i="28" l="1"/>
  <c r="AC5" i="28"/>
  <c r="AB5" i="28"/>
  <c r="AY5" i="28" l="1"/>
  <c r="AX5" i="28"/>
  <c r="AW5" i="28"/>
  <c r="AV5" i="28"/>
  <c r="AU5" i="28"/>
  <c r="AT5" i="28"/>
  <c r="AS5" i="28"/>
  <c r="BJ5" i="25"/>
  <c r="D6" i="25"/>
  <c r="AZ5" i="28" l="1"/>
  <c r="D7" i="25" l="1"/>
  <c r="H7" i="25"/>
  <c r="W7" i="25"/>
  <c r="AB7" i="25"/>
  <c r="AK7" i="28" l="1"/>
  <c r="AJ7" i="28"/>
  <c r="AI7" i="28"/>
  <c r="AE7" i="28"/>
  <c r="AD7" i="28"/>
  <c r="AY7" i="28" l="1"/>
  <c r="AL7" i="28"/>
  <c r="BJ7" i="25"/>
  <c r="D8" i="25"/>
  <c r="G8" i="28" l="1"/>
  <c r="AZ7" i="28"/>
  <c r="V8" i="28" l="1"/>
  <c r="H8" i="28"/>
  <c r="AA8" i="28" l="1"/>
  <c r="Z8" i="28"/>
  <c r="Y8" i="28"/>
  <c r="X8" i="28"/>
  <c r="W8" i="28"/>
  <c r="AL8" i="25"/>
  <c r="AZ8" i="25"/>
  <c r="BJ8" i="25"/>
  <c r="D9" i="25"/>
  <c r="G9" i="28" l="1"/>
  <c r="AB8" i="28"/>
  <c r="V9" i="28" l="1"/>
  <c r="H9" i="28"/>
  <c r="AA9" i="28" l="1"/>
  <c r="Z9" i="28"/>
  <c r="Y9" i="28"/>
  <c r="X9" i="28"/>
  <c r="W9" i="28"/>
  <c r="AK9" i="28" l="1"/>
  <c r="AJ9" i="28"/>
  <c r="AI9" i="28"/>
  <c r="AE9" i="28"/>
  <c r="AD9" i="28"/>
  <c r="AB9" i="28"/>
  <c r="AY9" i="28" l="1"/>
  <c r="AL9" i="28"/>
  <c r="BJ9" i="25"/>
  <c r="D10" i="25"/>
  <c r="G10" i="28" l="1"/>
  <c r="AZ9" i="28"/>
  <c r="V10" i="28" l="1"/>
  <c r="H10" i="28"/>
  <c r="AA10" i="28" l="1"/>
  <c r="Z10" i="28"/>
  <c r="Y10" i="28"/>
  <c r="X10" i="28"/>
  <c r="W10" i="28"/>
  <c r="AK10" i="28" l="1"/>
  <c r="AJ10" i="28"/>
  <c r="AI10" i="28"/>
  <c r="AE10" i="28"/>
  <c r="AD10" i="28"/>
  <c r="AB10" i="28"/>
  <c r="AY10" i="28" l="1"/>
  <c r="AL10" i="28"/>
  <c r="BJ10" i="25"/>
  <c r="D11" i="25"/>
  <c r="G11" i="28" l="1"/>
  <c r="AZ10" i="28"/>
  <c r="V11" i="28" l="1"/>
  <c r="W11" i="28" s="1"/>
  <c r="H11" i="28"/>
  <c r="AA11" i="28" l="1"/>
  <c r="Z11" i="28"/>
  <c r="Y11" i="28"/>
  <c r="X11" i="28"/>
  <c r="AK11" i="28" l="1"/>
  <c r="AJ11" i="28"/>
  <c r="AI11" i="28"/>
  <c r="AE11" i="28"/>
  <c r="AD11" i="28"/>
  <c r="AB11" i="28"/>
  <c r="AY11" i="28" l="1"/>
  <c r="AZ11" i="28" s="1"/>
  <c r="AL11" i="28"/>
  <c r="BJ11" i="25"/>
  <c r="D12" i="25"/>
  <c r="G12" i="28" l="1"/>
  <c r="H12" i="28" s="1"/>
  <c r="V12" i="28" l="1"/>
  <c r="W12" i="28" s="1"/>
  <c r="AA12" i="28" l="1"/>
  <c r="Z12" i="28"/>
  <c r="Y12" i="28"/>
  <c r="X12" i="28"/>
  <c r="AK12" i="28" l="1"/>
  <c r="AJ12" i="28"/>
  <c r="AI12" i="28"/>
  <c r="AE12" i="28"/>
  <c r="AD12" i="28"/>
  <c r="AB12" i="28"/>
  <c r="AY12" i="28" l="1"/>
  <c r="AZ12" i="28" s="1"/>
  <c r="AL12" i="28"/>
  <c r="BJ12" i="25"/>
  <c r="D13" i="25"/>
  <c r="G13" i="28" l="1"/>
  <c r="H13" i="28" s="1"/>
  <c r="V13" i="28" l="1"/>
  <c r="W13" i="28" s="1"/>
  <c r="AA13" i="28" l="1"/>
  <c r="Z13" i="28"/>
  <c r="Y13" i="28"/>
  <c r="X13" i="28"/>
  <c r="AL13" i="25"/>
  <c r="AZ13" i="25"/>
  <c r="BJ13" i="25"/>
  <c r="D14" i="25"/>
  <c r="G14" i="28" l="1"/>
  <c r="H14" i="28" s="1"/>
  <c r="AB13" i="28"/>
  <c r="V14" i="28" l="1"/>
  <c r="U14" i="28"/>
  <c r="T14" i="28"/>
  <c r="S14" i="28"/>
  <c r="R14" i="28"/>
  <c r="Q14" i="28"/>
  <c r="P14" i="28"/>
  <c r="O14" i="28"/>
  <c r="N14" i="28"/>
  <c r="M14" i="28"/>
  <c r="L14" i="28"/>
  <c r="K14" i="28"/>
  <c r="J14" i="28"/>
  <c r="I14" i="28"/>
  <c r="AB14" i="25"/>
  <c r="AD14" i="28" l="1"/>
  <c r="AC14" i="28"/>
  <c r="W14" i="28"/>
  <c r="AW14" i="28" l="1"/>
  <c r="AV14" i="28"/>
  <c r="AU14" i="28"/>
  <c r="AT14" i="28"/>
  <c r="AS14" i="28"/>
  <c r="BJ14" i="25"/>
  <c r="D15" i="25"/>
  <c r="G15" i="28" l="1"/>
  <c r="V15" i="28" l="1"/>
  <c r="U15" i="28"/>
  <c r="U16" i="28" s="1"/>
  <c r="T15" i="28"/>
  <c r="T16" i="28" s="1"/>
  <c r="S15" i="28"/>
  <c r="S16" i="28" s="1"/>
  <c r="R15" i="28"/>
  <c r="Q15" i="28"/>
  <c r="Q16" i="28" s="1"/>
  <c r="P15" i="28"/>
  <c r="P16" i="28" s="1"/>
  <c r="O15" i="28"/>
  <c r="N15" i="28"/>
  <c r="M15" i="28"/>
  <c r="L15" i="28"/>
  <c r="K15" i="28"/>
  <c r="J15" i="28"/>
  <c r="I15" i="28"/>
  <c r="H15" i="28"/>
  <c r="AB15" i="25"/>
  <c r="AD15" i="28" l="1"/>
  <c r="AD16" i="28" s="1"/>
  <c r="AC15" i="28"/>
  <c r="W15" i="28"/>
  <c r="I16" i="28"/>
  <c r="AW15" i="28" l="1"/>
  <c r="AW16" i="28" s="1"/>
  <c r="AV15" i="28"/>
  <c r="AV16" i="28" s="1"/>
  <c r="AU15" i="28"/>
  <c r="AU16" i="28" s="1"/>
  <c r="AT15" i="28"/>
  <c r="AT16" i="28" s="1"/>
  <c r="AS15" i="28"/>
  <c r="AC16" i="28"/>
  <c r="BJ15" i="25"/>
  <c r="BA16" i="25"/>
  <c r="BB16" i="25"/>
  <c r="BC16" i="25"/>
  <c r="BD16" i="25"/>
  <c r="BE16" i="25"/>
  <c r="BF16" i="25"/>
  <c r="BG16" i="25"/>
  <c r="BH16" i="25"/>
  <c r="BI16" i="25"/>
  <c r="BJ16" i="25"/>
  <c r="H5" i="24"/>
  <c r="W5" i="24"/>
  <c r="AB5" i="24"/>
  <c r="AL5" i="24"/>
  <c r="AL16" i="24" s="1"/>
  <c r="AZ5" i="24"/>
  <c r="AZ16" i="24" s="1"/>
  <c r="BJ5" i="24"/>
  <c r="BJ16" i="24" s="1"/>
  <c r="H6" i="24"/>
  <c r="H16" i="24" s="1"/>
  <c r="W6" i="24"/>
  <c r="AB6" i="24"/>
  <c r="AB16" i="24" s="1"/>
  <c r="AL6" i="24"/>
  <c r="AZ6" i="24"/>
  <c r="BJ6" i="24"/>
  <c r="H7" i="24"/>
  <c r="W7" i="24"/>
  <c r="AB7" i="24"/>
  <c r="AL7" i="24"/>
  <c r="AZ7" i="24"/>
  <c r="BJ7" i="24"/>
  <c r="H8" i="24"/>
  <c r="W8" i="24"/>
  <c r="AB8" i="24"/>
  <c r="AL8" i="24"/>
  <c r="AZ8" i="24"/>
  <c r="BJ8" i="24"/>
  <c r="H9" i="24"/>
  <c r="W9" i="24"/>
  <c r="AB9" i="24"/>
  <c r="AL9" i="24"/>
  <c r="AZ9" i="24"/>
  <c r="BJ9" i="24"/>
  <c r="H10" i="24"/>
  <c r="W10" i="24"/>
  <c r="AB10" i="24"/>
  <c r="AL10" i="24"/>
  <c r="AZ10" i="24"/>
  <c r="BJ10" i="24"/>
  <c r="H11" i="24"/>
  <c r="W11" i="24"/>
  <c r="AB11" i="24"/>
  <c r="AL11" i="24"/>
  <c r="AZ11" i="24"/>
  <c r="BJ11" i="24"/>
  <c r="H12" i="24"/>
  <c r="W12" i="24"/>
  <c r="AB12" i="24"/>
  <c r="AL12" i="24"/>
  <c r="AZ12" i="24"/>
  <c r="BJ12" i="24"/>
  <c r="H13" i="24"/>
  <c r="W13" i="24"/>
  <c r="AB13" i="24"/>
  <c r="AL13" i="24"/>
  <c r="AZ13" i="24"/>
  <c r="BJ13" i="24"/>
  <c r="H14" i="24"/>
  <c r="W14" i="24"/>
  <c r="AB14" i="24"/>
  <c r="AL14" i="24"/>
  <c r="AZ14" i="24"/>
  <c r="BJ14" i="24"/>
  <c r="H15" i="24"/>
  <c r="W15" i="24"/>
  <c r="AB15" i="24"/>
  <c r="AL15" i="24"/>
  <c r="AZ15" i="24"/>
  <c r="BJ15" i="24"/>
  <c r="G16" i="24"/>
  <c r="I16" i="24"/>
  <c r="J16" i="24"/>
  <c r="K16" i="24"/>
  <c r="L16" i="24"/>
  <c r="M16" i="24"/>
  <c r="N16" i="24"/>
  <c r="O16" i="24"/>
  <c r="P16" i="24"/>
  <c r="Q16" i="24"/>
  <c r="S16" i="24"/>
  <c r="T16" i="24"/>
  <c r="U16" i="24"/>
  <c r="V16" i="24"/>
  <c r="W16" i="24"/>
  <c r="X16" i="24"/>
  <c r="Y16" i="24"/>
  <c r="Z16" i="24"/>
  <c r="AA16" i="24"/>
  <c r="AC16" i="24"/>
  <c r="AD16" i="24"/>
  <c r="AE16" i="24"/>
  <c r="AF16" i="24"/>
  <c r="AG16" i="24"/>
  <c r="AH16" i="24"/>
  <c r="AI16" i="24"/>
  <c r="AJ16" i="24"/>
  <c r="AK16" i="24"/>
  <c r="AM16" i="24"/>
  <c r="AN16" i="24"/>
  <c r="AO16" i="24"/>
  <c r="AP16" i="24"/>
  <c r="AQ16" i="24"/>
  <c r="AR16" i="24"/>
  <c r="AS16" i="24"/>
  <c r="AT16" i="24"/>
  <c r="AU16" i="24"/>
  <c r="AV16" i="24"/>
  <c r="AW16" i="24"/>
  <c r="AX16" i="24"/>
  <c r="AY16" i="24"/>
  <c r="BA16" i="24"/>
  <c r="BB16" i="24"/>
  <c r="BC16" i="24"/>
  <c r="BD16" i="24"/>
  <c r="BE16" i="24"/>
  <c r="BF16" i="24"/>
  <c r="BG16" i="24"/>
  <c r="BH16" i="24"/>
  <c r="BI16" i="24"/>
  <c r="H12" i="27" l="1"/>
  <c r="H13" i="27"/>
  <c r="H13" i="26"/>
  <c r="AI9" i="26"/>
  <c r="H9" i="26"/>
  <c r="S8" i="26"/>
  <c r="S13" i="26"/>
  <c r="U10" i="26"/>
  <c r="U8" i="26"/>
  <c r="U12" i="26"/>
  <c r="H12" i="26"/>
  <c r="S12" i="26"/>
  <c r="H10" i="26"/>
  <c r="H8" i="26"/>
  <c r="H15" i="26"/>
  <c r="AI11" i="26"/>
  <c r="H14" i="26"/>
  <c r="AI10" i="26"/>
  <c r="S9" i="26"/>
  <c r="AI12" i="26"/>
  <c r="AI8" i="26"/>
  <c r="U11" i="26"/>
  <c r="S10" i="26"/>
  <c r="U13" i="26"/>
  <c r="U9" i="26"/>
  <c r="S11" i="26"/>
  <c r="H11" i="26"/>
  <c r="W11" i="25"/>
  <c r="W13" i="25"/>
  <c r="H8" i="25"/>
  <c r="H11" i="25"/>
  <c r="H13" i="25"/>
  <c r="H15" i="25"/>
  <c r="AZ7" i="25"/>
  <c r="AZ9" i="25"/>
  <c r="AZ10" i="25"/>
  <c r="W8" i="25"/>
  <c r="H14" i="25"/>
  <c r="W10" i="25"/>
  <c r="H12" i="25"/>
  <c r="W9" i="25"/>
  <c r="H10" i="25"/>
  <c r="AZ11" i="25"/>
  <c r="H5" i="25"/>
  <c r="H9" i="25"/>
  <c r="W12" i="25"/>
  <c r="AZ12" i="25"/>
  <c r="AS16" i="28"/>
  <c r="M16" i="26" l="1"/>
  <c r="AC16" i="25"/>
  <c r="S14" i="26"/>
  <c r="AZ5" i="25"/>
  <c r="AB12" i="25"/>
  <c r="L16" i="26"/>
  <c r="K16" i="26"/>
  <c r="AW16" i="25"/>
  <c r="AN15" i="28"/>
  <c r="AL11" i="25"/>
  <c r="T16" i="25"/>
  <c r="AL10" i="25"/>
  <c r="Z16" i="26"/>
  <c r="AD16" i="25"/>
  <c r="AB8" i="25"/>
  <c r="W14" i="25"/>
  <c r="AV16" i="25"/>
  <c r="AE15" i="26"/>
  <c r="W5" i="25"/>
  <c r="P16" i="25"/>
  <c r="AT16" i="25"/>
  <c r="AB13" i="25"/>
  <c r="AB9" i="25"/>
  <c r="AE14" i="26"/>
  <c r="U5" i="26"/>
  <c r="U16" i="26" s="1"/>
  <c r="T16" i="26"/>
  <c r="AB5" i="25"/>
  <c r="W15" i="25"/>
  <c r="U16" i="25"/>
  <c r="AE5" i="26"/>
  <c r="W16" i="26"/>
  <c r="AL7" i="25"/>
  <c r="Y16" i="26"/>
  <c r="H5" i="27"/>
  <c r="H14" i="27" s="1"/>
  <c r="G14" i="27"/>
  <c r="J16" i="26"/>
  <c r="AI5" i="26"/>
  <c r="AG16" i="26"/>
  <c r="S16" i="25"/>
  <c r="AU16" i="25"/>
  <c r="AB11" i="25"/>
  <c r="H5" i="26"/>
  <c r="H16" i="26" s="1"/>
  <c r="G16" i="26"/>
  <c r="AS16" i="25"/>
  <c r="N16" i="26"/>
  <c r="I16" i="25"/>
  <c r="AB10" i="25"/>
  <c r="Q16" i="25"/>
  <c r="AL12" i="25"/>
  <c r="S15" i="26"/>
  <c r="AA16" i="26"/>
  <c r="J5" i="27"/>
  <c r="J14" i="27" s="1"/>
  <c r="I14" i="27"/>
  <c r="AL9" i="25"/>
  <c r="X16" i="26"/>
  <c r="AJ14" i="28"/>
  <c r="AQ15" i="28"/>
  <c r="AH15" i="28"/>
  <c r="AO14" i="28"/>
  <c r="AK6" i="28"/>
  <c r="AF15" i="28"/>
  <c r="AG15" i="28"/>
  <c r="AJ15" i="28"/>
  <c r="AN14" i="28"/>
  <c r="AI14" i="28"/>
  <c r="AQ14" i="28"/>
  <c r="AH14" i="28"/>
  <c r="AP15" i="28"/>
  <c r="AO15" i="28"/>
  <c r="AJ6" i="28"/>
  <c r="AK14" i="28"/>
  <c r="AI15" i="28"/>
  <c r="AR15" i="28"/>
  <c r="AG14" i="28"/>
  <c r="AP14" i="28"/>
  <c r="AK15" i="28"/>
  <c r="AF14" i="28"/>
  <c r="O6" i="10"/>
  <c r="M6" i="10"/>
  <c r="N6" i="10"/>
  <c r="I6" i="10"/>
  <c r="H6" i="10"/>
  <c r="G6" i="10"/>
  <c r="L6" i="10"/>
  <c r="K6" i="10"/>
  <c r="J6" i="10"/>
  <c r="F6" i="10"/>
  <c r="AI14" i="26" l="1"/>
  <c r="AI15" i="26"/>
  <c r="AZ6" i="25"/>
  <c r="R16" i="26"/>
  <c r="AE16" i="26"/>
  <c r="S5" i="26"/>
  <c r="S16" i="26" s="1"/>
  <c r="S17" i="26" s="1"/>
  <c r="AR14" i="28"/>
  <c r="AY14" i="28"/>
  <c r="Z6" i="28"/>
  <c r="Z16" i="28" s="1"/>
  <c r="Z16" i="25"/>
  <c r="G6" i="28"/>
  <c r="H6" i="25"/>
  <c r="H16" i="25" s="1"/>
  <c r="G16" i="25"/>
  <c r="M6" i="28"/>
  <c r="M16" i="28" s="1"/>
  <c r="M16" i="25"/>
  <c r="AJ5" i="28"/>
  <c r="AL5" i="25"/>
  <c r="AJ16" i="25"/>
  <c r="AF6" i="28"/>
  <c r="AF16" i="28" s="1"/>
  <c r="AF16" i="25"/>
  <c r="N6" i="28"/>
  <c r="N16" i="28" s="1"/>
  <c r="N16" i="25"/>
  <c r="AY6" i="28"/>
  <c r="AH6" i="28"/>
  <c r="AH16" i="28" s="1"/>
  <c r="AH16" i="25"/>
  <c r="K6" i="28"/>
  <c r="K16" i="28" s="1"/>
  <c r="K16" i="25"/>
  <c r="AN6" i="28"/>
  <c r="AN16" i="28" s="1"/>
  <c r="AN16" i="25"/>
  <c r="AR6" i="28"/>
  <c r="AR16" i="25"/>
  <c r="Y6" i="28"/>
  <c r="Y16" i="28" s="1"/>
  <c r="Y16" i="25"/>
  <c r="AM6" i="28"/>
  <c r="AM16" i="25"/>
  <c r="J6" i="28"/>
  <c r="J16" i="28" s="1"/>
  <c r="J16" i="25"/>
  <c r="AA6" i="28"/>
  <c r="AA16" i="28" s="1"/>
  <c r="AA16" i="25"/>
  <c r="AP6" i="28"/>
  <c r="AP16" i="28" s="1"/>
  <c r="AP16" i="25"/>
  <c r="AO6" i="28"/>
  <c r="AO16" i="28" s="1"/>
  <c r="AO16" i="25"/>
  <c r="AX6" i="28"/>
  <c r="AX16" i="28" s="1"/>
  <c r="AX16" i="25"/>
  <c r="L6" i="28"/>
  <c r="L16" i="28" s="1"/>
  <c r="L16" i="25"/>
  <c r="AE6" i="28"/>
  <c r="AL6" i="25"/>
  <c r="AE16" i="25"/>
  <c r="AG6" i="28"/>
  <c r="AG16" i="28" s="1"/>
  <c r="AG16" i="25"/>
  <c r="AY15" i="28"/>
  <c r="AE15" i="28"/>
  <c r="AL15" i="28" s="1"/>
  <c r="AL15" i="25"/>
  <c r="AQ6" i="28"/>
  <c r="AQ16" i="28" s="1"/>
  <c r="AQ16" i="25"/>
  <c r="AM15" i="28"/>
  <c r="O6" i="28"/>
  <c r="O16" i="28" s="1"/>
  <c r="O16" i="25"/>
  <c r="R6" i="28"/>
  <c r="R16" i="28" s="1"/>
  <c r="R16" i="25"/>
  <c r="AI6" i="28"/>
  <c r="AI16" i="28" s="1"/>
  <c r="AI16" i="25"/>
  <c r="AM14" i="28"/>
  <c r="AE14" i="28"/>
  <c r="AL14" i="28" s="1"/>
  <c r="AL14" i="25"/>
  <c r="X6" i="28"/>
  <c r="AB6" i="25"/>
  <c r="AB16" i="25" s="1"/>
  <c r="X16" i="25"/>
  <c r="AK5" i="28"/>
  <c r="AK16" i="28" s="1"/>
  <c r="AK16" i="25"/>
  <c r="B3" i="10"/>
  <c r="AI16" i="26" l="1"/>
  <c r="AH16" i="26"/>
  <c r="AR16" i="28"/>
  <c r="AL16" i="25"/>
  <c r="AY16" i="28"/>
  <c r="AZ15" i="25"/>
  <c r="AZ14" i="25"/>
  <c r="AL5" i="28"/>
  <c r="AJ16" i="28"/>
  <c r="AB6" i="28"/>
  <c r="AB16" i="28" s="1"/>
  <c r="X16" i="28"/>
  <c r="V6" i="28"/>
  <c r="V16" i="25"/>
  <c r="W6" i="25"/>
  <c r="W16" i="25" s="1"/>
  <c r="W18" i="25" s="1"/>
  <c r="AY16" i="25"/>
  <c r="AM16" i="28"/>
  <c r="AZ6" i="28"/>
  <c r="H6" i="28"/>
  <c r="H16" i="28" s="1"/>
  <c r="G16" i="28"/>
  <c r="AL6" i="28"/>
  <c r="AE16" i="28"/>
  <c r="AZ15" i="28"/>
  <c r="AZ14" i="28"/>
  <c r="AZ16" i="25" l="1"/>
  <c r="AZ18" i="25" s="1"/>
  <c r="AL16" i="28"/>
  <c r="AZ16" i="28"/>
  <c r="W6" i="28"/>
  <c r="W16" i="28" s="1"/>
  <c r="V16" i="28"/>
</calcChain>
</file>

<file path=xl/sharedStrings.xml><?xml version="1.0" encoding="utf-8"?>
<sst xmlns="http://schemas.openxmlformats.org/spreadsheetml/2006/main" count="1624" uniqueCount="519">
  <si>
    <t>#! END_ROW</t>
  </si>
  <si>
    <t>#! FOR_EACH w stats</t>
  </si>
  <si>
    <t>#! DUMP_COLS days</t>
  </si>
  <si>
    <t>#! DUMP_COLS w.actions</t>
  </si>
  <si>
    <t>#! CONTINUE w</t>
  </si>
  <si>
    <t>#! END_LOOP w</t>
  </si>
  <si>
    <t>#! DUMP_COLS subtitles</t>
  </si>
  <si>
    <t>1.</t>
  </si>
  <si>
    <t>- ou qu'il y a des périodes pendant lesquelles la ventilation est incomplète (&lt; 100% -&gt; présence d'une barre rouge sous les cases de couleur dans la liste des agents dans A-JUST)</t>
  </si>
  <si>
    <t>2.</t>
  </si>
  <si>
    <t>3.</t>
  </si>
  <si>
    <t>3.1.</t>
  </si>
  <si>
    <t>3.2.</t>
  </si>
  <si>
    <t>3.4.</t>
  </si>
  <si>
    <t>4.</t>
  </si>
  <si>
    <t>#! FINISH</t>
  </si>
  <si>
    <t>#! DUMP_COLS days1</t>
  </si>
  <si>
    <t>#! DUMP_COLS subtitles1</t>
  </si>
  <si>
    <t>#! FOR_EACH x stats1</t>
  </si>
  <si>
    <t>#! END_LOOP x</t>
  </si>
  <si>
    <t>#! DUMP_COLS x.actions</t>
  </si>
  <si>
    <t>#` ${arrondissement}</t>
  </si>
  <si>
    <t>Magistrats hors placés</t>
  </si>
  <si>
    <t>Magistrats placés additionnels</t>
  </si>
  <si>
    <t>Magistrats placés de substitution</t>
  </si>
  <si>
    <t>Fonctionnaires hors placés</t>
  </si>
  <si>
    <t>Fonctionnaires placés additionnels</t>
  </si>
  <si>
    <t>Fonctionnaires placés de substitution</t>
  </si>
  <si>
    <t>Code</t>
  </si>
  <si>
    <t>#! FOR_EACH y agregat</t>
  </si>
  <si>
    <t>#! END_LOOP y</t>
  </si>
  <si>
    <t>## y.sub</t>
  </si>
  <si>
    <t>## y.global</t>
  </si>
  <si>
    <t>Selectionner une juridiction</t>
  </si>
  <si>
    <t xml:space="preserve">        EXPLICATIONS ET CONTROLES A EFFECTUER</t>
  </si>
  <si>
    <r>
      <rPr>
        <b/>
        <sz val="11"/>
        <color theme="1"/>
        <rFont val="Calibri"/>
        <family val="2"/>
        <scheme val="minor"/>
      </rPr>
      <t>L'onglet "ETPT A-JUST"</t>
    </r>
    <r>
      <rPr>
        <sz val="11"/>
        <color theme="1"/>
        <rFont val="Calibri"/>
        <family val="2"/>
        <scheme val="minor"/>
      </rPr>
      <t xml:space="preserve"> fait apparaître les ETPT tels que renseignés dans A-JUST, avec le détail des activités et indispopnibilités de l'agent enregistrées dans sa fiche individuelle du "Ventilateur".</t>
    </r>
  </si>
  <si>
    <t>1.1.</t>
  </si>
  <si>
    <t>La colonne "ETPT sur la période" désigne l'équivalent temps plein de l'agent pour la période sélectionnée pour l'extraction, en fonction du temps de présence dans la juridiction, déduction faite des éventuels temps partiels et indisponibilités renseignés dans A-JUST.</t>
  </si>
  <si>
    <t>1.2.</t>
  </si>
  <si>
    <t>La colonne "Temps ventilés sur la période" indique la somme des ETPT de l'agent pour les périodes où ses activités ont été ventilées. Autrement dit, un agent présent à temps plein sur toute la période d'extraction mais n'ayant été affecté à aucune activité aura, dans cette colonne "Temps ventilés sur la période", une valeur égale à 0 alors que son "ETPT sur la période" sera égal à 1.</t>
  </si>
  <si>
    <t>1.3.</t>
  </si>
  <si>
    <t xml:space="preserve">Un écart entre les colonnes précédemment décrites "ETPT sur la période" et "Temps ventilés sur la période" indiquera donc qu'il y a des périodes pour lesquels l'affectation du temps de travail de l'agent n'a pas été saisie dans A-JUST. </t>
  </si>
  <si>
    <r>
      <rPr>
        <b/>
        <sz val="11"/>
        <color theme="1"/>
        <rFont val="Calibri"/>
        <family val="2"/>
        <scheme val="minor"/>
      </rPr>
      <t>L'onglet "ETPT format DDG"</t>
    </r>
    <r>
      <rPr>
        <sz val="11"/>
        <color theme="1"/>
        <rFont val="Calibri"/>
        <family val="2"/>
        <scheme val="minor"/>
      </rPr>
      <t xml:space="preserve"> fait apparaître tous les ETPT (global et par activité), recalculés selon la pratique des dialogues de gestion (DDG) : réintégration de l'absentéisme, dont le total figure dans la dernière colonne "Absentéisme réintégré (CMO + Congé maternité + CET &lt; 30 jours)".</t>
    </r>
  </si>
  <si>
    <r>
      <rPr>
        <b/>
        <sz val="11"/>
        <color theme="1"/>
        <rFont val="Calibri"/>
        <family val="2"/>
        <scheme val="minor"/>
      </rPr>
      <t>Dans ce même onglet</t>
    </r>
    <r>
      <rPr>
        <sz val="11"/>
        <color theme="1"/>
        <rFont val="Calibri"/>
        <family val="2"/>
        <scheme val="minor"/>
      </rPr>
      <t>, la colonne "Ecart -&gt; à contrôler" indique la différence entre l'ETPT renseigné et la somme des ventilations saisies (cf. point 1.3. ci-dessus). La présence d'un écart peut signifier :</t>
    </r>
  </si>
  <si>
    <r>
      <t>- qu'il y a des périodes pendant lesquelles l'agent n'a pas été ventilé. Attention notamment de</t>
    </r>
    <r>
      <rPr>
        <b/>
        <sz val="11"/>
        <color rgb="FFFF0000"/>
        <rFont val="Calibri"/>
        <family val="2"/>
        <scheme val="minor"/>
      </rPr>
      <t xml:space="preserve"> ventiler dans A-JUST  100% du temps d'un agent même pendant ses périodes d'indisponibilité</t>
    </r>
    <r>
      <rPr>
        <sz val="11"/>
        <color theme="1"/>
        <rFont val="Calibri"/>
        <family val="2"/>
        <scheme val="minor"/>
      </rPr>
      <t>.</t>
    </r>
  </si>
  <si>
    <r>
      <t xml:space="preserve">-&gt; dans un cas comme dans l'autre, il est recommandé de </t>
    </r>
    <r>
      <rPr>
        <b/>
        <sz val="11"/>
        <color theme="1"/>
        <rFont val="Calibri"/>
        <family val="2"/>
        <scheme val="minor"/>
      </rPr>
      <t>compléter les données dans A-JUST</t>
    </r>
    <r>
      <rPr>
        <sz val="11"/>
        <color theme="1"/>
        <rFont val="Calibri"/>
        <family val="2"/>
        <scheme val="minor"/>
      </rPr>
      <t xml:space="preserve"> puis de procéder à un nouvel export afin d'avoir une vision complète des ETPT.</t>
    </r>
  </si>
  <si>
    <r>
      <t xml:space="preserve">Un </t>
    </r>
    <r>
      <rPr>
        <b/>
        <sz val="11"/>
        <color theme="1"/>
        <rFont val="Calibri"/>
        <family val="2"/>
        <scheme val="minor"/>
      </rPr>
      <t xml:space="preserve">ETPT à 0 </t>
    </r>
    <r>
      <rPr>
        <sz val="11"/>
        <color theme="1"/>
        <rFont val="Calibri"/>
        <family val="2"/>
        <scheme val="minor"/>
      </rPr>
      <t>appelle une vérification. Soit l'agent était effectivement absent pendant toute la période (en CLM par ex.), soit il n'a pas été ventilé.</t>
    </r>
  </si>
  <si>
    <r>
      <rPr>
        <b/>
        <sz val="11"/>
        <color theme="1"/>
        <rFont val="Calibri"/>
        <family val="2"/>
        <scheme val="minor"/>
      </rPr>
      <t>Précisions nécessaires aux DDG</t>
    </r>
    <r>
      <rPr>
        <sz val="11"/>
        <color theme="1"/>
        <rFont val="Calibri"/>
        <family val="2"/>
        <scheme val="minor"/>
      </rPr>
      <t xml:space="preserve"> (dans l'onglet "ETPT Format DDG"):</t>
    </r>
  </si>
  <si>
    <r>
      <t xml:space="preserve">La colonne "JURIDICTION" permet de préciser le </t>
    </r>
    <r>
      <rPr>
        <b/>
        <sz val="11"/>
        <color theme="1"/>
        <rFont val="Calibri"/>
        <family val="2"/>
        <scheme val="minor"/>
      </rPr>
      <t>tribunal d'affectation</t>
    </r>
    <r>
      <rPr>
        <sz val="11"/>
        <color theme="1"/>
        <rFont val="Calibri"/>
        <family val="2"/>
        <scheme val="minor"/>
      </rPr>
      <t xml:space="preserve"> (TJ / TPRX) -&gt; les données ont été prérenseignées à partir des éléments présents dans A-JUST. LEs magistrats sont, par défaut, affectés au TJ. Il convient de </t>
    </r>
    <r>
      <rPr>
        <b/>
        <sz val="11"/>
        <color rgb="FFFF0000"/>
        <rFont val="Calibri"/>
        <family val="2"/>
        <scheme val="minor"/>
      </rPr>
      <t>contrôler ces renseignements et de réaffecter, au besoin, les agents dans l'un des TPRX proposés dans le menu déroulant.</t>
    </r>
  </si>
  <si>
    <r>
      <rPr>
        <b/>
        <sz val="11"/>
        <color rgb="FFFF0000"/>
        <rFont val="Calibri"/>
        <family val="2"/>
        <scheme val="minor"/>
      </rPr>
      <t>La colonne "Code fonction"</t>
    </r>
    <r>
      <rPr>
        <sz val="11"/>
        <color theme="1"/>
        <rFont val="Calibri"/>
        <family val="2"/>
        <scheme val="minor"/>
      </rPr>
      <t xml:space="preserve"> est remplie automatiquement mais </t>
    </r>
    <r>
      <rPr>
        <b/>
        <sz val="11"/>
        <color rgb="FFFF0000"/>
        <rFont val="Calibri"/>
        <family val="2"/>
        <scheme val="minor"/>
      </rPr>
      <t>doit être contrôlée et, au besoin, corrigée pour les agents placés</t>
    </r>
    <r>
      <rPr>
        <sz val="11"/>
        <color theme="1"/>
        <rFont val="Calibri"/>
        <family val="2"/>
        <scheme val="minor"/>
      </rPr>
      <t xml:space="preserve"> car elle permet de distinguer</t>
    </r>
    <r>
      <rPr>
        <b/>
        <sz val="11"/>
        <color theme="1"/>
        <rFont val="Calibri"/>
        <family val="2"/>
        <scheme val="minor"/>
      </rPr>
      <t xml:space="preserve"> les placés de substitution des placés additionnels</t>
    </r>
    <r>
      <rPr>
        <sz val="11"/>
        <color theme="1"/>
        <rFont val="Calibri"/>
        <family val="2"/>
        <scheme val="minor"/>
      </rPr>
      <t>. Par défaut, tous les placés ont été codés en "M-PLAC-ADD" (Magistrat placé additionnel) ou "F-PLAC-ADD" (Fonctionnaire placé additionnel). Si des Placés étaient des effectifs de substitution, les recoder "M-PLAC-SUB" pour les magistrats ou "F-PLAC-SUB" pour les fonctionnaires, à l'aide du menu déroulant.</t>
    </r>
  </si>
  <si>
    <r>
      <t xml:space="preserve">Les éventuels </t>
    </r>
    <r>
      <rPr>
        <b/>
        <sz val="11"/>
        <color theme="1"/>
        <rFont val="Calibri"/>
        <family val="2"/>
        <scheme val="minor"/>
      </rPr>
      <t>CET</t>
    </r>
    <r>
      <rPr>
        <sz val="11"/>
        <color theme="1"/>
        <rFont val="Calibri"/>
        <family val="2"/>
        <scheme val="minor"/>
      </rPr>
      <t xml:space="preserve"> ont été répartis entre les CET de</t>
    </r>
    <r>
      <rPr>
        <b/>
        <sz val="11"/>
        <color theme="1"/>
        <rFont val="Calibri"/>
        <family val="2"/>
        <scheme val="minor"/>
      </rPr>
      <t xml:space="preserve"> moins d'un mois</t>
    </r>
    <r>
      <rPr>
        <sz val="11"/>
        <color theme="1"/>
        <rFont val="Calibri"/>
        <family val="2"/>
        <scheme val="minor"/>
      </rPr>
      <t xml:space="preserve"> (colonne DS), qui sont considérés, lors des DDG, comme de l'absentéisme et ceux de</t>
    </r>
    <r>
      <rPr>
        <b/>
        <sz val="11"/>
        <color theme="1"/>
        <rFont val="Calibri"/>
        <family val="2"/>
        <scheme val="minor"/>
      </rPr>
      <t xml:space="preserve"> plus d'un mois</t>
    </r>
    <r>
      <rPr>
        <sz val="11"/>
        <color theme="1"/>
        <rFont val="Calibri"/>
        <family val="2"/>
        <scheme val="minor"/>
      </rPr>
      <t xml:space="preserve"> (colonne DR) qui déduisent de l'ETPT (action 99).</t>
    </r>
  </si>
  <si>
    <r>
      <t xml:space="preserve">Dans l'onglet </t>
    </r>
    <r>
      <rPr>
        <b/>
        <sz val="11"/>
        <color theme="1"/>
        <rFont val="Calibri"/>
        <family val="2"/>
        <scheme val="minor"/>
      </rPr>
      <t>"Agrégats DDG"</t>
    </r>
    <r>
      <rPr>
        <sz val="11"/>
        <color theme="1"/>
        <rFont val="Calibri"/>
        <family val="2"/>
        <scheme val="minor"/>
      </rPr>
      <t xml:space="preserve">, il convient de </t>
    </r>
    <r>
      <rPr>
        <b/>
        <sz val="11"/>
        <color theme="1"/>
        <rFont val="Calibri"/>
        <family val="2"/>
        <scheme val="minor"/>
      </rPr>
      <t xml:space="preserve">sélectionner le tribunal voulu dans le menu déroulant </t>
    </r>
    <r>
      <rPr>
        <sz val="11"/>
        <color theme="1"/>
        <rFont val="Calibri"/>
        <family val="2"/>
        <scheme val="minor"/>
      </rPr>
      <t>(case en bleu) pour que s'affiche une synthèse montrant, pour le tribunal sélectionné (TJ ou TPRX), les ETPT affectés à chaque activité ou contentieux, ainsi que les indisponibilités déduisant de l'ETPT (action 99) et celles qui ont été réintégrées (absentéisme).</t>
    </r>
  </si>
  <si>
    <t>Pour toute question, n'hésitez pas à contacter l'équipe A-JUST : support-utilisateurs@a-just.fr</t>
  </si>
  <si>
    <t>SIEGE</t>
  </si>
  <si>
    <t>GREFFE</t>
  </si>
  <si>
    <t>EQUIPE AUTOUR DU MAGISTRAT</t>
  </si>
  <si>
    <t>Contractuels et vacataires</t>
  </si>
  <si>
    <t>TOTAL SIEGE</t>
  </si>
  <si>
    <t>TOTAL GREFFE</t>
  </si>
  <si>
    <t>Juridiction</t>
  </si>
  <si>
    <t>Fonction</t>
  </si>
  <si>
    <t>Fonction recodée</t>
  </si>
  <si>
    <t>Temps ventilés sur la période (contentieux civils et sociaux)</t>
  </si>
  <si>
    <t>Temps ventilés sur la période (affaires pénales)</t>
  </si>
  <si>
    <t>Vérif adéquation "temps ventilé sur la période" et somme (temps ventilés civils + pénals + autres activités + indisponibilité)</t>
  </si>
  <si>
    <t>1. TOTAL CONTENTIEUX SOCIAL</t>
  </si>
  <si>
    <t>2. TOTAL CONTENTIEUX JAF</t>
  </si>
  <si>
    <t>9. TOTAL JAP</t>
  </si>
  <si>
    <t>11.8. FONCTIONNAIRES AFFECTÉS AUX ACTIVITÉS CIVILES ET COMMERCIALES DU PARQUET</t>
  </si>
  <si>
    <t>ACTION 99 à reventiler</t>
  </si>
  <si>
    <t>Temps ventilé sur la période (y.c. indisponibilité)</t>
  </si>
  <si>
    <t>TJ</t>
  </si>
  <si>
    <t>P</t>
  </si>
  <si>
    <t>M-TIT</t>
  </si>
  <si>
    <t>Magistrat SIEGE NS</t>
  </si>
  <si>
    <t>1VP</t>
  </si>
  <si>
    <t>1VPA</t>
  </si>
  <si>
    <t>1VPCP</t>
  </si>
  <si>
    <t>Magistrat SIEGE S</t>
  </si>
  <si>
    <t>1VPE</t>
  </si>
  <si>
    <t>1VPI</t>
  </si>
  <si>
    <t>VPSG</t>
  </si>
  <si>
    <t>1VPAP</t>
  </si>
  <si>
    <t>1VPLD</t>
  </si>
  <si>
    <t>VP</t>
  </si>
  <si>
    <t>VPCP</t>
  </si>
  <si>
    <t>VPE</t>
  </si>
  <si>
    <t>VPI</t>
  </si>
  <si>
    <t>VPAP</t>
  </si>
  <si>
    <t>VPLD</t>
  </si>
  <si>
    <t>J</t>
  </si>
  <si>
    <t>JCP</t>
  </si>
  <si>
    <t>JE</t>
  </si>
  <si>
    <t>JI</t>
  </si>
  <si>
    <t>JAP</t>
  </si>
  <si>
    <t>VP PLACÉ ADDITIONNEL</t>
  </si>
  <si>
    <t>M-PLAC-ADD</t>
  </si>
  <si>
    <t>Magistrat placé ADD</t>
  </si>
  <si>
    <t>J. PLACÉ ADDITIONNEL</t>
  </si>
  <si>
    <t>VP PLACÉ SUBSTITUTION</t>
  </si>
  <si>
    <t>M-PLAC-SUB</t>
  </si>
  <si>
    <t>Magistrat placé SUB</t>
  </si>
  <si>
    <t>J. PLACÉ SUBSTITUTION</t>
  </si>
  <si>
    <t>MHFJ</t>
  </si>
  <si>
    <t>M-CONT</t>
  </si>
  <si>
    <t>HONORAIRES</t>
  </si>
  <si>
    <t>MHFNJ</t>
  </si>
  <si>
    <t>MTT</t>
  </si>
  <si>
    <t>MRES</t>
  </si>
  <si>
    <t>RESERVISTES</t>
  </si>
  <si>
    <t>A</t>
  </si>
  <si>
    <t>F-TIT</t>
  </si>
  <si>
    <t>Fonctionnaire A-B-CBUR</t>
  </si>
  <si>
    <t>CHCAB</t>
  </si>
  <si>
    <t>B</t>
  </si>
  <si>
    <t>SA</t>
  </si>
  <si>
    <t>CB</t>
  </si>
  <si>
    <t>CT</t>
  </si>
  <si>
    <t>Fonctionnaire CTECH</t>
  </si>
  <si>
    <t>A PLACÉ ADDITIONNEL</t>
  </si>
  <si>
    <t>F-PLAC-ADD</t>
  </si>
  <si>
    <t>Fonctionnaire A-B-CBUR placé ADD</t>
  </si>
  <si>
    <t>B GREF  PLACÉ ADDITIONNEL</t>
  </si>
  <si>
    <t>B PLACÉ ADDITIONNEL</t>
  </si>
  <si>
    <t>CB PLACÉ ADDITIONNEL</t>
  </si>
  <si>
    <t>CT PLACÉ ADDITIONNEL</t>
  </si>
  <si>
    <t>Fonctionnaire CTECH placé ADD</t>
  </si>
  <si>
    <t>A PLACÉ SUBSTITUTION</t>
  </si>
  <si>
    <t>F-PLAC-SUB</t>
  </si>
  <si>
    <t>Fonctionnaire A-B-CBUR placé SUB</t>
  </si>
  <si>
    <t>B GREF  PLACÉ SUBSTITUTION</t>
  </si>
  <si>
    <t>B PLACÉ SUBSTITUTION</t>
  </si>
  <si>
    <t>CB PLACÉ SUBSTITUTION</t>
  </si>
  <si>
    <t>CT PLACÉ SUBSTITUTION</t>
  </si>
  <si>
    <t>Fonctionnaire CTECH placé SUB</t>
  </si>
  <si>
    <t>GRES</t>
  </si>
  <si>
    <t>C</t>
  </si>
  <si>
    <t>RESERVISTES GREF</t>
  </si>
  <si>
    <t>CONT A</t>
  </si>
  <si>
    <t>CONT B</t>
  </si>
  <si>
    <t>CONT C</t>
  </si>
  <si>
    <t>CONT CB</t>
  </si>
  <si>
    <t>CONT CT</t>
  </si>
  <si>
    <t>VAC</t>
  </si>
  <si>
    <t>VACATAIRES</t>
  </si>
  <si>
    <t>CONT A JP</t>
  </si>
  <si>
    <t>CONT A JP Greffe</t>
  </si>
  <si>
    <t>CONT B JP</t>
  </si>
  <si>
    <t>CONT C JP</t>
  </si>
  <si>
    <t>AS</t>
  </si>
  <si>
    <t>ADJ</t>
  </si>
  <si>
    <t>ASSIST_JUST</t>
  </si>
  <si>
    <t>JA Siège autres</t>
  </si>
  <si>
    <t>JURISTE AS siège Autres</t>
  </si>
  <si>
    <t>JA Pôle social</t>
  </si>
  <si>
    <t>JURISTE AS Pôle social</t>
  </si>
  <si>
    <t>JA Parquet</t>
  </si>
  <si>
    <t>JURISTE AS Parquet</t>
  </si>
  <si>
    <t>PPI</t>
  </si>
  <si>
    <t>CONT A JP Autour du magistrat</t>
  </si>
  <si>
    <t>CONT A JP Autour du Juge</t>
  </si>
  <si>
    <t>CPH</t>
  </si>
  <si>
    <t>TJ BOURG EN BRESSE</t>
  </si>
  <si>
    <t>TPROX</t>
  </si>
  <si>
    <t>Il me semble que cela n'existe pas (seulement sur Catégorie Greffe)</t>
  </si>
  <si>
    <t>Contractuel</t>
  </si>
  <si>
    <t>CONT C JP Autour du magistrat</t>
  </si>
  <si>
    <t>CONTRACTUEL C JUSTICE DE PROXIMITE</t>
  </si>
  <si>
    <t>Autour du Juge</t>
  </si>
  <si>
    <t>CONT B JP Autour du magistrat</t>
  </si>
  <si>
    <t>CONTRACTUEL B JUSTICE DE PROXIMITE</t>
  </si>
  <si>
    <t>CONTRACTUEL A JUSTICE DE PROXIMITE</t>
  </si>
  <si>
    <t>Hors périmètre ventilation ETPT</t>
  </si>
  <si>
    <t>ELEVE AVOCAT</t>
  </si>
  <si>
    <t>Manque affectation (siège Autres/parquet/pôle social) ?</t>
  </si>
  <si>
    <t>JURISTE ASSISTANT Parquet</t>
  </si>
  <si>
    <t>JURISTE ASSISTANT Pôle social</t>
  </si>
  <si>
    <t>JURISTE ASSISTANT siège Autres</t>
  </si>
  <si>
    <t>JURISTE AS</t>
  </si>
  <si>
    <t>ATTACHÉ DE JUSTICE</t>
  </si>
  <si>
    <t>ASSISTANT DE JUSTICE</t>
  </si>
  <si>
    <t>ASSISTANT SPECIALISE</t>
  </si>
  <si>
    <t>Greffe</t>
  </si>
  <si>
    <t>VACATAIRE</t>
  </si>
  <si>
    <t>CONTRACTUEL CT</t>
  </si>
  <si>
    <t>CONTRACTUEL CB</t>
  </si>
  <si>
    <t>CONTRACTUEL C</t>
  </si>
  <si>
    <t>CONTRACTUEL B</t>
  </si>
  <si>
    <t>CONTRACTUEL A</t>
  </si>
  <si>
    <t>GREFFIER RESERVISTE</t>
  </si>
  <si>
    <t>Placé</t>
  </si>
  <si>
    <t>B GREFFIER PLACÉ SUBSTITUTION</t>
  </si>
  <si>
    <t>B GREFFIER PLACÉ ADDITIONNEL</t>
  </si>
  <si>
    <t>Titulaire</t>
  </si>
  <si>
    <t>B GREFFIER</t>
  </si>
  <si>
    <t>CHEF DE CABINET</t>
  </si>
  <si>
    <t>MAGISTRAT RESERVISTE</t>
  </si>
  <si>
    <t>Magistrat</t>
  </si>
  <si>
    <t>MAGISTRAT A TITRE TEMPORAIRE</t>
  </si>
  <si>
    <t>MAGISTRAT HONORAIRE NON JURIDICTIONNEL</t>
  </si>
  <si>
    <t>MAGISTRAT HONORAIRE JURIDICTIONNEL</t>
  </si>
  <si>
    <t>JUGE PLACÉ SUBSTITUTION</t>
  </si>
  <si>
    <t>VICE-PRÉSIDENT PLACÉ SUBSTITUTION</t>
  </si>
  <si>
    <t>JUGE PLACÉ ADDITIONNEL</t>
  </si>
  <si>
    <t>VICE-PRÉSIDENT PLACÉ ADDITIONNEL</t>
  </si>
  <si>
    <t>JUGE D'APPLICATION DES PEINES</t>
  </si>
  <si>
    <t>JUGE D'INSTRUCTION</t>
  </si>
  <si>
    <t>JUGE DES ENFANTS</t>
  </si>
  <si>
    <t>JUGE DES CONTENTIEUX DE LA PROTECTION</t>
  </si>
  <si>
    <t>JUGE</t>
  </si>
  <si>
    <t>VICE-PRÉSIDENT CHARGÉ DES FONCTIONS DE JUGE DES LIBERTÉS ET DE LA DÉTENTION</t>
  </si>
  <si>
    <t>VICE-PRÉSIDENT CHARGÉ DES FONCTIONS DE JUGE DE L'APPLICATION DES PEINES</t>
  </si>
  <si>
    <t>VICE-PRÉSIDENT CHARGÉ DES FONCTIONS DE JUGE D'INSTRUCTION</t>
  </si>
  <si>
    <t>VICE-PRÉSIDENT CHARGÉ DES FONCTIONS DE JUGE DES ENFANTS</t>
  </si>
  <si>
    <t>VICE-PRÉSIDENT CHARGÉ DES FONCTIONS DE JUGE DES CONTENTIEUX DE LA PROTECTION</t>
  </si>
  <si>
    <t>VICE-PRÉSIDENT</t>
  </si>
  <si>
    <t>PREMIER VICE-PRÉSIDENT CHARGÉ DES FONCTIONS DE JUGE DES LIBERTÉS ET DE LA DÉTENTION</t>
  </si>
  <si>
    <t>PREMIER VICE-PRÉSIDENT CHARGÉ DES FONCTIONS DE JUGE DE L'APPLICATION DES PEINES</t>
  </si>
  <si>
    <t>VICE-PRÉSIDENT CHARGÉ D'UN SECRÉTARIAT GÉNÉRAL</t>
  </si>
  <si>
    <t>PREMIER VICE-PRÉSIDENT CHARGÉ DES FONCTIONS DE JUGE D'INSTRUCTION</t>
  </si>
  <si>
    <t>PREMIER VICE-PRÉSIDENT CHARGÉ DES FONCTIONS DE JUGE DES ENFANTS</t>
  </si>
  <si>
    <t>PREMIER VICE-PRÉSIDENT CHARGÉ DES FONCTIONS DE JUGE DES CONTENTIEUX DE LA PROTECTION</t>
  </si>
  <si>
    <t>PREMIER VICE-PRÉSIDENT ADJOINT</t>
  </si>
  <si>
    <t>PREMIER VICE-PRÉSIDENT</t>
  </si>
  <si>
    <t>PRÉSIDENT</t>
  </si>
  <si>
    <t>CODE EXTRACTEUR</t>
  </si>
  <si>
    <t>Titulaire / Placé / Contractuel</t>
  </si>
  <si>
    <t>Raccourci</t>
  </si>
  <si>
    <t>Catégorie(s)</t>
  </si>
  <si>
    <t>Somme de Temps ventilés sur la période (contentieux civils et sociaux)</t>
  </si>
  <si>
    <t>Somme de Temps ventilé sur la période (y.c. indisponibilité)</t>
  </si>
  <si>
    <t>TOTAL ETPT</t>
  </si>
  <si>
    <t>Temps ventilés sur la période - somme colonnes précédentes Mag siege S + NS</t>
  </si>
  <si>
    <t>1. TOTAL CONTENTIEUX SOCIAL - 1.1 Contentieux du travail</t>
  </si>
  <si>
    <t>3.43 Injonctions de payer + 3.44 Saisies des rémunérations</t>
  </si>
  <si>
    <t>4.0 Contentieux général &lt; 10000 euros</t>
  </si>
  <si>
    <t>1.1 Contentieux du travail</t>
  </si>
  <si>
    <t>7.6 Tribunal de police + 7.7 OP contraventionnelles</t>
  </si>
  <si>
    <t>7.122 Collégiales autres sections spécialisées</t>
  </si>
  <si>
    <t>7.12 Collégiales JIRS crim-org</t>
  </si>
  <si>
    <t>7.121 Collégiales JIRS eco-fi</t>
  </si>
  <si>
    <t>7.52 cour criminelle</t>
  </si>
  <si>
    <t>7.5 + 7.51 Cour d'assises JIRS et hors JIRS</t>
  </si>
  <si>
    <t>5. TOTAL JLD CIVIL + 10. TOTAL JLD PÉNAL</t>
  </si>
  <si>
    <t>6.1 JE : activité civile + 6.2 JE : activité pénale</t>
  </si>
  <si>
    <t>8.4 autres sections spécialisées</t>
  </si>
  <si>
    <t>8.3 JIRS crim-org</t>
  </si>
  <si>
    <t>8.2 JIRS eco-fi</t>
  </si>
  <si>
    <t>8.1 : service général</t>
  </si>
  <si>
    <t>Soustraction
3. Contentieux de la Protection - 3.2 Protection des majeurs - 3.43 Injonctions de payer - 3.44 Saisies des rémunérations</t>
  </si>
  <si>
    <t>3.2 Protection des majeurs</t>
  </si>
  <si>
    <t>Somme de Temps ventilé sur la période (y.c. indisponibilité) - somme colonnes I à U</t>
  </si>
  <si>
    <t>5. JLD civil + 6.1. ACTIVITÉ CIVILE + 6.2. ACTIVITÉ PÉNALE + (8. Juge d'instruction - 8.2 JIRS eco-fi - 8.3 JIRS crim-org - 8.4 autres sections spécialisées) + 9. TOTAL JAP + 10. TOTAL JLD PÉNAL</t>
  </si>
  <si>
    <t>Soustraction
3. Contentieux de la Protection - 3.2 Protection des majeurs - 3.43 IP - 3.44 Saisies rémunérations</t>
  </si>
  <si>
    <t>11.9 Fonctionnaires affectés à l'exécution des peines</t>
  </si>
  <si>
    <t>Etpt placés de substitution</t>
  </si>
  <si>
    <t>166-PS-NC</t>
  </si>
  <si>
    <t>00100039</t>
  </si>
  <si>
    <t>UO LYON</t>
  </si>
  <si>
    <t>ETPT_TJ</t>
  </si>
  <si>
    <t>Etpt placés additionnels</t>
  </si>
  <si>
    <t>166-PA-NC</t>
  </si>
  <si>
    <t>12.5 Mise à disposition</t>
  </si>
  <si>
    <t>Etpt autres personnels à reventiler (dont droit local,commercial- rcs, mise à disposition)</t>
  </si>
  <si>
    <t>166-NC-NC</t>
  </si>
  <si>
    <r>
      <t xml:space="preserve">12. TOTAL INDISPONIBILITÉ
</t>
    </r>
    <r>
      <rPr>
        <b/>
        <sz val="7"/>
        <rFont val="Arial"/>
        <family val="2"/>
      </rPr>
      <t>(pour Magistrats NS seulement)</t>
    </r>
  </si>
  <si>
    <r>
      <t xml:space="preserve">12. TOTAL INDISPONIBILITÉ
</t>
    </r>
    <r>
      <rPr>
        <b/>
        <sz val="7"/>
        <rFont val="Arial"/>
        <family val="2"/>
      </rPr>
      <t>(pour Fonction JLD seulement)</t>
    </r>
  </si>
  <si>
    <r>
      <t xml:space="preserve">12. TOTAL INDISPONIBILITÉ
</t>
    </r>
    <r>
      <rPr>
        <b/>
        <sz val="7"/>
        <rFont val="Arial"/>
        <family val="2"/>
      </rPr>
      <t>(pour Fonction JE seulement)</t>
    </r>
  </si>
  <si>
    <r>
      <t xml:space="preserve">12. TOTAL INDISPONIBILITÉ
</t>
    </r>
    <r>
      <rPr>
        <b/>
        <sz val="7"/>
        <rFont val="Arial"/>
        <family val="2"/>
      </rPr>
      <t>(pour Fonction JAP seulement)</t>
    </r>
  </si>
  <si>
    <r>
      <t xml:space="preserve">12. TOTAL INDISPONIBILITÉ
</t>
    </r>
    <r>
      <rPr>
        <b/>
        <sz val="7"/>
        <rFont val="Arial"/>
        <family val="2"/>
      </rPr>
      <t>(pour Fonction JI seulement)</t>
    </r>
  </si>
  <si>
    <r>
      <t xml:space="preserve">12. TOTAL INDISPONIBILITÉ
</t>
    </r>
    <r>
      <rPr>
        <b/>
        <sz val="7"/>
        <rFont val="Arial"/>
        <family val="2"/>
      </rPr>
      <t>(pour Fonction JCP seulement)</t>
    </r>
  </si>
  <si>
    <t>12. TOTAL INDISPONIBILITÉ - 12.5 Mise à disposition</t>
  </si>
  <si>
    <t>Action 99 - Personnel concourant au programme - à reventiler</t>
  </si>
  <si>
    <t>166-99-NC</t>
  </si>
  <si>
    <r>
      <t xml:space="preserve">11.4 Accès au droit et à la justice
</t>
    </r>
    <r>
      <rPr>
        <b/>
        <sz val="7"/>
        <rFont val="Arial"/>
        <family val="2"/>
      </rPr>
      <t>(pour Magistrats NS seulement)</t>
    </r>
  </si>
  <si>
    <r>
      <t xml:space="preserve">11.4 Accès au droit et à la justice
</t>
    </r>
    <r>
      <rPr>
        <b/>
        <sz val="7"/>
        <rFont val="Arial"/>
        <family val="2"/>
      </rPr>
      <t>(pour Fonction JLD seulement)</t>
    </r>
  </si>
  <si>
    <r>
      <t xml:space="preserve">11.4 Accès au droit et à la justice
</t>
    </r>
    <r>
      <rPr>
        <b/>
        <sz val="7"/>
        <rFont val="Arial"/>
        <family val="2"/>
      </rPr>
      <t>(pour Fonction JE seulement)</t>
    </r>
  </si>
  <si>
    <r>
      <t xml:space="preserve">11.4 Accès au droit et à la justice
</t>
    </r>
    <r>
      <rPr>
        <b/>
        <sz val="7"/>
        <rFont val="Arial"/>
        <family val="2"/>
      </rPr>
      <t>(pour Fonction JAP seulement)</t>
    </r>
  </si>
  <si>
    <r>
      <t xml:space="preserve">11.4 Accès au droit et à la justice
</t>
    </r>
    <r>
      <rPr>
        <b/>
        <sz val="7"/>
        <rFont val="Arial"/>
        <family val="2"/>
      </rPr>
      <t>(pour Fonction JI seulement)</t>
    </r>
  </si>
  <si>
    <r>
      <t xml:space="preserve">11.4 Accès au droit et à la justice
</t>
    </r>
    <r>
      <rPr>
        <b/>
        <sz val="7"/>
        <rFont val="Arial"/>
        <family val="2"/>
      </rPr>
      <t>(pour Fonction JCP seulement)</t>
    </r>
  </si>
  <si>
    <t>11.4 Accès au droit et à la justice</t>
  </si>
  <si>
    <t>Action 8 - Support à l'accès au droit et à la justice</t>
  </si>
  <si>
    <t>166-08-NC</t>
  </si>
  <si>
    <r>
      <t xml:space="preserve">11.3 Formations dispensées
</t>
    </r>
    <r>
      <rPr>
        <b/>
        <sz val="7"/>
        <rFont val="Arial"/>
        <family val="2"/>
      </rPr>
      <t>(pour Magistrats NS seulement)</t>
    </r>
  </si>
  <si>
    <r>
      <t xml:space="preserve">11.3 Formations dispensées
</t>
    </r>
    <r>
      <rPr>
        <b/>
        <sz val="7"/>
        <rFont val="Arial"/>
        <family val="2"/>
      </rPr>
      <t>(pour Fonction JLD seulement)</t>
    </r>
  </si>
  <si>
    <r>
      <t xml:space="preserve">11.3 Formations dispensées
</t>
    </r>
    <r>
      <rPr>
        <b/>
        <sz val="7"/>
        <rFont val="Arial"/>
        <family val="2"/>
      </rPr>
      <t>(pour Fonction JE seulement)</t>
    </r>
  </si>
  <si>
    <r>
      <t xml:space="preserve">11.3 Formations dispensées
</t>
    </r>
    <r>
      <rPr>
        <b/>
        <sz val="7"/>
        <rFont val="Arial"/>
        <family val="2"/>
      </rPr>
      <t>(pour Fonction JAP seulement)</t>
    </r>
  </si>
  <si>
    <r>
      <t xml:space="preserve">11.3 Formations dispensées
</t>
    </r>
    <r>
      <rPr>
        <b/>
        <sz val="7"/>
        <rFont val="Arial"/>
        <family val="2"/>
      </rPr>
      <t>(pour Fonction JI seulement)</t>
    </r>
  </si>
  <si>
    <r>
      <t xml:space="preserve">11.3 Formations dispensées
</t>
    </r>
    <r>
      <rPr>
        <b/>
        <sz val="7"/>
        <rFont val="Arial"/>
        <family val="2"/>
      </rPr>
      <t>(pour Fonction JCP seulement)</t>
    </r>
  </si>
  <si>
    <t>11.3 Formations dispensées</t>
  </si>
  <si>
    <t>Action 7 - Formation dispensée</t>
  </si>
  <si>
    <t>166-07-NC</t>
  </si>
  <si>
    <r>
      <t xml:space="preserve">11.1 Soutien + 11.2 Formations suivies + 1.6 Autres activités non juridictionnelles
</t>
    </r>
    <r>
      <rPr>
        <b/>
        <sz val="7"/>
        <rFont val="Arial"/>
        <family val="2"/>
      </rPr>
      <t>(pour Magistrats NS seulement)</t>
    </r>
  </si>
  <si>
    <r>
      <t xml:space="preserve">11.1 Soutien + 11.2 Formations suivies + 1.6 Autres activités non juridictionnelles
</t>
    </r>
    <r>
      <rPr>
        <b/>
        <sz val="7"/>
        <rFont val="Arial"/>
        <family val="2"/>
      </rPr>
      <t>(pour Fonction JLD seulement)</t>
    </r>
  </si>
  <si>
    <r>
      <t xml:space="preserve">11.1 Soutien + 11.2 Formations suivies + 1.6 Autres activités non juridictionnelles
</t>
    </r>
    <r>
      <rPr>
        <b/>
        <sz val="7"/>
        <rFont val="Arial"/>
        <family val="2"/>
      </rPr>
      <t>(pour Fonction JE seulement)</t>
    </r>
  </si>
  <si>
    <r>
      <t xml:space="preserve">11.1 Soutien + 11.2 Formations suivies + 1.6 Autres activités non juridictionnelles
</t>
    </r>
    <r>
      <rPr>
        <b/>
        <sz val="7"/>
        <rFont val="Arial"/>
        <family val="2"/>
      </rPr>
      <t>(pour Fonction JAP seulement)</t>
    </r>
  </si>
  <si>
    <r>
      <t xml:space="preserve">11.1 Soutien + 11.2 Formations suivies + 1.6 Autres activités non juridictionnelles
</t>
    </r>
    <r>
      <rPr>
        <b/>
        <sz val="7"/>
        <rFont val="Arial"/>
        <family val="2"/>
      </rPr>
      <t>(pour Fonction JI seulement)</t>
    </r>
  </si>
  <si>
    <r>
      <t xml:space="preserve">11.1 Soutien + 11.2 Formations suivies + 1.6 Autres activités non juridictionnelles
</t>
    </r>
    <r>
      <rPr>
        <b/>
        <sz val="7"/>
        <rFont val="Arial"/>
        <family val="2"/>
      </rPr>
      <t>(pour Fonction JCP seulement)</t>
    </r>
  </si>
  <si>
    <t>11.1 Soutien + 11.2 Formations suivies + 1.6 Autres activités non juridictionnelles</t>
  </si>
  <si>
    <t>11.1 Soutien + 11.2 Formations suivies + 1.6 Autres activités non juridictionnelles + Temps ventilé sur la période (y.c. indisponibilité) (pour CONT A JP Greffe)</t>
  </si>
  <si>
    <t>Action 6 - Soutien (Hors accueil du justiciable)</t>
  </si>
  <si>
    <t>166-06-NC</t>
  </si>
  <si>
    <t>11.51 Accueil du justiciable</t>
  </si>
  <si>
    <t>Action 6 - Accueil du justiciable (inclus SAUJ)</t>
  </si>
  <si>
    <t>166-06-99</t>
  </si>
  <si>
    <r>
      <t xml:space="preserve">11.5 CSM
</t>
    </r>
    <r>
      <rPr>
        <b/>
        <sz val="7"/>
        <rFont val="Arial"/>
        <family val="2"/>
      </rPr>
      <t>(pour Magistrats NS seulement)</t>
    </r>
  </si>
  <si>
    <r>
      <t xml:space="preserve">11.5 CSM
</t>
    </r>
    <r>
      <rPr>
        <b/>
        <sz val="7"/>
        <rFont val="Arial"/>
        <family val="2"/>
      </rPr>
      <t>(pour Fonction JLD seulement)</t>
    </r>
  </si>
  <si>
    <r>
      <t xml:space="preserve">11.5 CSM
</t>
    </r>
    <r>
      <rPr>
        <b/>
        <sz val="7"/>
        <rFont val="Arial"/>
        <family val="2"/>
      </rPr>
      <t>(pour Fonction JE seulement)</t>
    </r>
  </si>
  <si>
    <r>
      <t xml:space="preserve">11.5 CSM
</t>
    </r>
    <r>
      <rPr>
        <b/>
        <sz val="7"/>
        <rFont val="Arial"/>
        <family val="2"/>
      </rPr>
      <t>(pour Fonction JAP seulement)</t>
    </r>
  </si>
  <si>
    <r>
      <t xml:space="preserve">11.5 CSM
</t>
    </r>
    <r>
      <rPr>
        <b/>
        <sz val="7"/>
        <rFont val="Arial"/>
        <family val="2"/>
      </rPr>
      <t>(pour Fonction JI seulement)</t>
    </r>
  </si>
  <si>
    <r>
      <t xml:space="preserve">11.5 CSM
</t>
    </r>
    <r>
      <rPr>
        <b/>
        <sz val="7"/>
        <rFont val="Arial"/>
        <family val="2"/>
      </rPr>
      <t>(pour Fonction JCP seulement)</t>
    </r>
  </si>
  <si>
    <t>Action 4 - Conseil supérieur de la magistrature</t>
  </si>
  <si>
    <t>166-04-NC</t>
  </si>
  <si>
    <r>
      <rPr>
        <b/>
        <sz val="7"/>
        <rFont val="Arial"/>
        <family val="2"/>
      </rPr>
      <t>Pour Magistrats SIEGE NS :</t>
    </r>
    <r>
      <rPr>
        <sz val="7"/>
        <rFont val="Arial"/>
        <family val="2"/>
      </rPr>
      <t xml:space="preserve">
Temps ventilés sur la période (affaires pénales) - somme colonnes précédentes S et NS (sauf activités non spécialisées des juges spécialisées)</t>
    </r>
  </si>
  <si>
    <r>
      <rPr>
        <b/>
        <sz val="7"/>
        <rFont val="Arial"/>
        <family val="2"/>
      </rPr>
      <t>Pour Magistrats SIEGE S :</t>
    </r>
    <r>
      <rPr>
        <sz val="7"/>
        <rFont val="Arial"/>
        <family val="2"/>
      </rPr>
      <t xml:space="preserve">
Temps ventilés sur la période (affaires pénales)  - somme colonnes ligne action pénale du SIEGE S 
</t>
    </r>
    <r>
      <rPr>
        <b/>
        <sz val="7"/>
        <color rgb="FFFF0000"/>
        <rFont val="Arial"/>
        <family val="2"/>
      </rPr>
      <t>TJ et TPR</t>
    </r>
  </si>
  <si>
    <r>
      <t xml:space="preserve">7.6 Tribunal de police + 7.7 OP contraventionnelles
</t>
    </r>
    <r>
      <rPr>
        <b/>
        <sz val="7"/>
        <rFont val="Arial"/>
        <family val="2"/>
      </rPr>
      <t>(Pour Magistrats SIEGE NS seulement)</t>
    </r>
  </si>
  <si>
    <r>
      <t xml:space="preserve">7.122 Collégiales autres sections spécialisées
</t>
    </r>
    <r>
      <rPr>
        <b/>
        <sz val="7"/>
        <rFont val="Arial"/>
        <family val="2"/>
      </rPr>
      <t>(Pour Magistrats SIEGE NS seulement)</t>
    </r>
  </si>
  <si>
    <r>
      <t xml:space="preserve">7.12 Collégiales JIRS crim-org
</t>
    </r>
    <r>
      <rPr>
        <b/>
        <sz val="7"/>
        <rFont val="Arial"/>
        <family val="2"/>
      </rPr>
      <t>(Pour Magistrats SIEGE NS seulement)</t>
    </r>
  </si>
  <si>
    <r>
      <t xml:space="preserve">7.121 Collégiales JIRS eco-fi
</t>
    </r>
    <r>
      <rPr>
        <b/>
        <sz val="7"/>
        <rFont val="Arial"/>
        <family val="2"/>
      </rPr>
      <t>(Pour Magistrats SIEGE NS seulement)</t>
    </r>
  </si>
  <si>
    <r>
      <t xml:space="preserve">7.52 cour criminelle
</t>
    </r>
    <r>
      <rPr>
        <b/>
        <sz val="7"/>
        <rFont val="Arial"/>
        <family val="2"/>
      </rPr>
      <t>(Pour Magistrats SIEGE NS seulement)</t>
    </r>
  </si>
  <si>
    <r>
      <t xml:space="preserve">7.5 + 7.51 Cour d'assises JIRS et hors JIRS
</t>
    </r>
    <r>
      <rPr>
        <b/>
        <sz val="7"/>
        <rFont val="Arial"/>
        <family val="2"/>
      </rPr>
      <t>(Pour Magistrats SIEGE NS seulement)</t>
    </r>
  </si>
  <si>
    <r>
      <t xml:space="preserve">10. TOTAL JLD PÉNAL
</t>
    </r>
    <r>
      <rPr>
        <b/>
        <sz val="7"/>
        <rFont val="Arial"/>
        <family val="2"/>
      </rPr>
      <t>(Pour Magistrats SIEGE S et NS)</t>
    </r>
    <r>
      <rPr>
        <sz val="7"/>
        <rFont val="Arial"/>
        <family val="2"/>
      </rPr>
      <t xml:space="preserve">
</t>
    </r>
    <r>
      <rPr>
        <b/>
        <sz val="7"/>
        <color rgb="FFFF0000"/>
        <rFont val="Arial"/>
        <family val="2"/>
      </rPr>
      <t>TJ et TPR</t>
    </r>
  </si>
  <si>
    <r>
      <t xml:space="preserve">6.2 JE : activité pénale
</t>
    </r>
    <r>
      <rPr>
        <b/>
        <sz val="7"/>
        <rFont val="Arial"/>
        <family val="2"/>
      </rPr>
      <t>(Pour Magistrats SIEGE S et NS)</t>
    </r>
    <r>
      <rPr>
        <sz val="7"/>
        <rFont val="Arial"/>
        <family val="2"/>
      </rPr>
      <t xml:space="preserve">
</t>
    </r>
    <r>
      <rPr>
        <b/>
        <sz val="7"/>
        <color rgb="FFFF0000"/>
        <rFont val="Arial"/>
        <family val="2"/>
      </rPr>
      <t>TJ et TPR</t>
    </r>
  </si>
  <si>
    <r>
      <t xml:space="preserve">9. TOTAL JAP
</t>
    </r>
    <r>
      <rPr>
        <b/>
        <sz val="7"/>
        <rFont val="Arial"/>
        <family val="2"/>
      </rPr>
      <t>(Pour Magistrats SIEGE S et NS)</t>
    </r>
    <r>
      <rPr>
        <sz val="7"/>
        <rFont val="Arial"/>
        <family val="2"/>
      </rPr>
      <t xml:space="preserve">
</t>
    </r>
    <r>
      <rPr>
        <b/>
        <sz val="7"/>
        <color rgb="FFFF0000"/>
        <rFont val="Arial"/>
        <family val="2"/>
      </rPr>
      <t>TJ et TPR</t>
    </r>
  </si>
  <si>
    <r>
      <t xml:space="preserve">8.4 autres sections spécialisées
</t>
    </r>
    <r>
      <rPr>
        <b/>
        <sz val="7"/>
        <rFont val="Arial"/>
        <family val="2"/>
      </rPr>
      <t>(Pour Magistrats SIEGE S et NS)</t>
    </r>
    <r>
      <rPr>
        <sz val="7"/>
        <rFont val="Arial"/>
        <family val="2"/>
      </rPr>
      <t xml:space="preserve">
</t>
    </r>
    <r>
      <rPr>
        <b/>
        <sz val="7"/>
        <color rgb="FFFF0000"/>
        <rFont val="Arial"/>
        <family val="2"/>
      </rPr>
      <t>TJ et TPR</t>
    </r>
  </si>
  <si>
    <r>
      <t xml:space="preserve">8.3 JIRS crim-org
</t>
    </r>
    <r>
      <rPr>
        <b/>
        <sz val="7"/>
        <rFont val="Arial"/>
        <family val="2"/>
      </rPr>
      <t>(Pour Magistrats SIEGE S et NS)</t>
    </r>
    <r>
      <rPr>
        <sz val="7"/>
        <rFont val="Arial"/>
        <family val="2"/>
      </rPr>
      <t xml:space="preserve">
</t>
    </r>
    <r>
      <rPr>
        <b/>
        <sz val="7"/>
        <color rgb="FFFF0000"/>
        <rFont val="Arial"/>
        <family val="2"/>
      </rPr>
      <t>TJ et TPR</t>
    </r>
  </si>
  <si>
    <r>
      <t xml:space="preserve">8.2 JIRS eco-fi
</t>
    </r>
    <r>
      <rPr>
        <b/>
        <sz val="7"/>
        <rFont val="Arial"/>
        <family val="2"/>
      </rPr>
      <t>(Pour Magistrats SIEGE S et NS)</t>
    </r>
    <r>
      <rPr>
        <sz val="7"/>
        <rFont val="Arial"/>
        <family val="2"/>
      </rPr>
      <t xml:space="preserve">
</t>
    </r>
    <r>
      <rPr>
        <b/>
        <sz val="7"/>
        <color rgb="FFFF0000"/>
        <rFont val="Arial"/>
        <family val="2"/>
      </rPr>
      <t>TJ et TPR</t>
    </r>
  </si>
  <si>
    <r>
      <t xml:space="preserve">8.1 : service général
</t>
    </r>
    <r>
      <rPr>
        <b/>
        <sz val="7"/>
        <rFont val="Arial"/>
        <family val="2"/>
      </rPr>
      <t>(Pour Magistrats SIEGE S et NS)</t>
    </r>
    <r>
      <rPr>
        <sz val="7"/>
        <rFont val="Arial"/>
        <family val="2"/>
      </rPr>
      <t xml:space="preserve">
</t>
    </r>
    <r>
      <rPr>
        <b/>
        <sz val="7"/>
        <color rgb="FFFF0000"/>
        <rFont val="Arial"/>
        <family val="2"/>
      </rPr>
      <t>TJ et TPR</t>
    </r>
  </si>
  <si>
    <r>
      <t xml:space="preserve">Temps ventilés sur la période (affaires pénales) + 11.10 AUTRES FONCTIONNAIRES AFFECTÉS AU PARQUET 
</t>
    </r>
    <r>
      <rPr>
        <b/>
        <sz val="7"/>
        <color rgb="FFFF0000"/>
        <rFont val="Arial"/>
        <family val="2"/>
      </rPr>
      <t>TJ et TPR</t>
    </r>
  </si>
  <si>
    <r>
      <t xml:space="preserve">Temps ventilés sur la période (affaires pénales) + 11.10 AUTRES FONCTIONNAIRES AFFECTÉS AU PARQUET - somme colonnes </t>
    </r>
    <r>
      <rPr>
        <b/>
        <u/>
        <sz val="7"/>
        <rFont val="Arial"/>
        <family val="2"/>
      </rPr>
      <t xml:space="preserve">K à U </t>
    </r>
    <r>
      <rPr>
        <sz val="7"/>
        <rFont val="Arial"/>
        <family val="2"/>
      </rPr>
      <t xml:space="preserve">
</t>
    </r>
    <r>
      <rPr>
        <b/>
        <sz val="7"/>
        <color rgb="FFFF0000"/>
        <rFont val="Arial"/>
        <family val="2"/>
      </rPr>
      <t>TJ et TPR</t>
    </r>
  </si>
  <si>
    <r>
      <t xml:space="preserve">6.2 Activité pénale + (8. Juge d'instruction - 8.2 JIRS eco-fi - 8.3 JIRS crim-org - 8.4 autres sections spécialisées) + 9. JAP + 10. JLD pénal
</t>
    </r>
    <r>
      <rPr>
        <b/>
        <sz val="7"/>
        <color rgb="FFFF0000"/>
        <rFont val="Arial"/>
        <family val="2"/>
      </rPr>
      <t>TJ et TPR</t>
    </r>
  </si>
  <si>
    <r>
      <t xml:space="preserve">8.4 autres sections spécialisées
</t>
    </r>
    <r>
      <rPr>
        <b/>
        <sz val="7"/>
        <color rgb="FFFF0000"/>
        <rFont val="Arial"/>
        <family val="2"/>
      </rPr>
      <t>TJ et TPR</t>
    </r>
  </si>
  <si>
    <r>
      <t xml:space="preserve">8.3 JIRS crim-org
</t>
    </r>
    <r>
      <rPr>
        <b/>
        <sz val="7"/>
        <color rgb="FFFF0000"/>
        <rFont val="Arial"/>
        <family val="2"/>
      </rPr>
      <t>TJ et TPR</t>
    </r>
  </si>
  <si>
    <r>
      <t xml:space="preserve">8.2 JIRS eco-fi
</t>
    </r>
    <r>
      <rPr>
        <b/>
        <sz val="7"/>
        <color rgb="FFFF0000"/>
        <rFont val="Arial"/>
        <family val="2"/>
      </rPr>
      <t>TJ et TPR</t>
    </r>
  </si>
  <si>
    <r>
      <t xml:space="preserve">7.52 cour criminelle
</t>
    </r>
    <r>
      <rPr>
        <b/>
        <sz val="7"/>
        <color rgb="FFFF0000"/>
        <rFont val="Arial"/>
        <family val="2"/>
      </rPr>
      <t>TJ et TPR</t>
    </r>
  </si>
  <si>
    <r>
      <t xml:space="preserve">7.5 + 7.51 Cour d'assises JIRS et hors JIRS
</t>
    </r>
    <r>
      <rPr>
        <b/>
        <sz val="7"/>
        <color rgb="FFFF0000"/>
        <rFont val="Arial"/>
        <family val="2"/>
      </rPr>
      <t>TJ et TPR</t>
    </r>
  </si>
  <si>
    <r>
      <t xml:space="preserve">11.9 Fonctionnaires affectés à l'exécution des peines
</t>
    </r>
    <r>
      <rPr>
        <b/>
        <sz val="7"/>
        <color rgb="FFFF0000"/>
        <rFont val="Arial"/>
        <family val="2"/>
      </rPr>
      <t>TJ et TPR</t>
    </r>
  </si>
  <si>
    <r>
      <t xml:space="preserve">Somme de Temps ventilés sur la période (affaires pénales)
</t>
    </r>
    <r>
      <rPr>
        <b/>
        <sz val="7"/>
        <color rgb="FFFF0000"/>
        <rFont val="Arial"/>
        <family val="2"/>
      </rPr>
      <t>TJ et TPR</t>
    </r>
  </si>
  <si>
    <t>Action 2 - Traitement et jugement des affaires pénales</t>
  </si>
  <si>
    <t>166-02-NC</t>
  </si>
  <si>
    <r>
      <rPr>
        <b/>
        <sz val="7"/>
        <rFont val="Arial"/>
        <family val="2"/>
      </rPr>
      <t>Pour Magistrats SIEGE NS :</t>
    </r>
    <r>
      <rPr>
        <sz val="7"/>
        <rFont val="Arial"/>
        <family val="2"/>
      </rPr>
      <t xml:space="preserve">
Temps ventilés sur la période (contentieux civils et sociaux) - somme colonnes précédentes S et NS (sauf activités non spécialisées des juges spécialisées)</t>
    </r>
  </si>
  <si>
    <r>
      <rPr>
        <b/>
        <sz val="7"/>
        <rFont val="Arial"/>
        <family val="2"/>
      </rPr>
      <t>Pour Magistrats SIEGE S</t>
    </r>
    <r>
      <rPr>
        <sz val="7"/>
        <rFont val="Arial"/>
        <family val="2"/>
      </rPr>
      <t xml:space="preserve"> :
Temps ventilés sur la période (contentieux civils et sociaux) - somme colonnes ligne action civile du SIEGE S </t>
    </r>
  </si>
  <si>
    <r>
      <t xml:space="preserve">2. TOTAL CONTENTIEUX JAF
</t>
    </r>
    <r>
      <rPr>
        <b/>
        <sz val="7"/>
        <rFont val="Arial"/>
        <family val="2"/>
      </rPr>
      <t>(Pour Magistrats SIEGE NS seulement)</t>
    </r>
  </si>
  <si>
    <r>
      <t xml:space="preserve">1. TOTAL CONTENTIEUX SOCIAL - 1.1 Contentieux du travail
</t>
    </r>
    <r>
      <rPr>
        <b/>
        <sz val="7"/>
        <rFont val="Arial"/>
        <family val="2"/>
      </rPr>
      <t>(Pour Magistrats SIEGE NS seulement)</t>
    </r>
  </si>
  <si>
    <r>
      <t xml:space="preserve">3.43 Injonctions de payer + 3.44 Saisies des rémunérations
</t>
    </r>
    <r>
      <rPr>
        <b/>
        <sz val="7"/>
        <rFont val="Arial"/>
        <family val="2"/>
      </rPr>
      <t>(Pour Magistrats SIEGE NS seulement)</t>
    </r>
  </si>
  <si>
    <r>
      <t xml:space="preserve">4.0 Contentieux général &lt; 10000 euros
</t>
    </r>
    <r>
      <rPr>
        <b/>
        <sz val="7"/>
        <rFont val="Arial"/>
        <family val="2"/>
      </rPr>
      <t>(Pour Magistrats SIEGE NS seulement)</t>
    </r>
  </si>
  <si>
    <r>
      <t xml:space="preserve">1.1 Contentieux du travail
</t>
    </r>
    <r>
      <rPr>
        <b/>
        <sz val="7"/>
        <rFont val="Arial"/>
        <family val="2"/>
      </rPr>
      <t>(Pour Magistrats SIEGE NS seulement)</t>
    </r>
  </si>
  <si>
    <r>
      <t xml:space="preserve">5. TOTAL JLD CIVIL
</t>
    </r>
    <r>
      <rPr>
        <b/>
        <sz val="7"/>
        <rFont val="Arial"/>
        <family val="2"/>
      </rPr>
      <t>(Pour Magistrats SIEGE S et NS)</t>
    </r>
  </si>
  <si>
    <r>
      <t xml:space="preserve">6.1 JE : activité civile
</t>
    </r>
    <r>
      <rPr>
        <b/>
        <sz val="7"/>
        <rFont val="Arial"/>
        <family val="2"/>
      </rPr>
      <t>(Pour Magistrats SIEGE S et NS)</t>
    </r>
  </si>
  <si>
    <r>
      <t xml:space="preserve">Soustraction
3. Contentieux de la Protection - 3.2 Protection des majeurs - 3.43 Injonctions de payer - 3.44 Saisies des rémunérations
</t>
    </r>
    <r>
      <rPr>
        <b/>
        <sz val="7"/>
        <rFont val="Arial"/>
        <family val="2"/>
      </rPr>
      <t>(Pour Magistrats SIEGE S et NS)</t>
    </r>
  </si>
  <si>
    <r>
      <t xml:space="preserve">3.2 Protection des majeurs
</t>
    </r>
    <r>
      <rPr>
        <b/>
        <sz val="7"/>
        <rFont val="Arial"/>
        <family val="2"/>
      </rPr>
      <t>(Pour Magistrats SIEGE S et NS)</t>
    </r>
  </si>
  <si>
    <r>
      <t xml:space="preserve">Temps ventilés sur la période (contentieux civils et sociaux) -  somme colonnes </t>
    </r>
    <r>
      <rPr>
        <b/>
        <u/>
        <sz val="7"/>
        <rFont val="Arial"/>
        <family val="2"/>
      </rPr>
      <t>K à U</t>
    </r>
  </si>
  <si>
    <t>5. TOTAL JLD CIVIL + 6.1. ACTIVITÉ CIVILE</t>
  </si>
  <si>
    <t>Action 1 - Traitement et jugement des contentieux civils</t>
  </si>
  <si>
    <t>166-01-NC</t>
  </si>
  <si>
    <t>Autres Magistrats du Parquet</t>
  </si>
  <si>
    <t>Magistrats du Parquet - activité contraventionnelle</t>
  </si>
  <si>
    <t>Magistrats du Parquet Cour criminelle</t>
  </si>
  <si>
    <t>Magistrats du Parquet assises</t>
  </si>
  <si>
    <t>Magistrats du Parquet JIRS sections spécialisées</t>
  </si>
  <si>
    <t>Magistrats du Parquet JIRS crim-org</t>
  </si>
  <si>
    <t>Magistrats du Parquet JIRS éco-fi</t>
  </si>
  <si>
    <t>Magistrats du Parquet - exécution et appl. des peines</t>
  </si>
  <si>
    <t>Magistrats du Parquet - activité civile et commerciale</t>
  </si>
  <si>
    <t>Autres Magistrats du Siège non spécialisés</t>
  </si>
  <si>
    <t>Activités non spécialisés des juges spécialisés</t>
  </si>
  <si>
    <t>JAF</t>
  </si>
  <si>
    <t>Juges du Pôle social</t>
  </si>
  <si>
    <t>Juges TJ  IP et Saisies Rém</t>
  </si>
  <si>
    <t>Juges TJ Contentieux général &lt; 10 000 EUR</t>
  </si>
  <si>
    <t>Magistrats activité juge départiteur</t>
  </si>
  <si>
    <t>Magistrats du Siège activité contraventionnelle</t>
  </si>
  <si>
    <t>Magistrat du siège sections spécialisées</t>
  </si>
  <si>
    <t>Magistrat du siège JIRS crim-org</t>
  </si>
  <si>
    <t>Magistrat du siège JIRS éco-fi</t>
  </si>
  <si>
    <t>Magistrats du siège Cour criminelle</t>
  </si>
  <si>
    <t>Magistrats du Siège assises</t>
  </si>
  <si>
    <t>JLD</t>
  </si>
  <si>
    <t>Juges des Enfants</t>
  </si>
  <si>
    <t>Juges Instruction sections spécialisées</t>
  </si>
  <si>
    <t>Juges Instruction JIRS crim-org</t>
  </si>
  <si>
    <t>Juges Instruction JIRS éco-fi</t>
  </si>
  <si>
    <t>Juges Instruction - service général</t>
  </si>
  <si>
    <t>JCP TJ surendettement et hors surendettement</t>
  </si>
  <si>
    <t>JCP TJ Tutelles majeurs</t>
  </si>
  <si>
    <t>Juristes assistants siège Autres</t>
  </si>
  <si>
    <t>Juristes assistants Pôle social</t>
  </si>
  <si>
    <t>Juristes assistants au parquet</t>
  </si>
  <si>
    <t>de Contractuels A J Prox et A VIF</t>
  </si>
  <si>
    <t xml:space="preserve">Fonctionnaires hors fonctions spécifiques </t>
  </si>
  <si>
    <t>Fonctionnaires affectés aux pôles sociaux</t>
  </si>
  <si>
    <t>Fonctionnaires TJ Contentieux général &lt; 10 000 EUR</t>
  </si>
  <si>
    <t>Fonctionnaires TJ  IP_Saisies Rém</t>
  </si>
  <si>
    <t>Fonctionnaires affectés aux fonctions JI, JE, JAP, JLD</t>
  </si>
  <si>
    <t>Fonctionnaires TJ au surendettement et au hors surendettement</t>
  </si>
  <si>
    <t>Fonctionnaires TJ Tutelles majeurs</t>
  </si>
  <si>
    <t>Fonctionnaires sections spécialisées</t>
  </si>
  <si>
    <t>Fonctionnaires JIRS crim-org</t>
  </si>
  <si>
    <t>Fonctionnaires JIRS éco-fi</t>
  </si>
  <si>
    <t>Fonctionnaires Cour criminelle</t>
  </si>
  <si>
    <t>Fonctionnaires Assises</t>
  </si>
  <si>
    <t>Fonctionnaires exécution des peines</t>
  </si>
  <si>
    <t>Fonctionnaires activité civile et commerciale du parquet</t>
  </si>
  <si>
    <t>Fonctionnaires Catégorie C Technique spécialisés</t>
  </si>
  <si>
    <t>Action</t>
  </si>
  <si>
    <t>Code sous action</t>
  </si>
  <si>
    <t>Code de la juridiction</t>
  </si>
  <si>
    <t>UO</t>
  </si>
  <si>
    <t>AUTRES_PARQUET</t>
  </si>
  <si>
    <t>PARQUET_TI</t>
  </si>
  <si>
    <t>PQT_COUR_CRIM</t>
  </si>
  <si>
    <t>PARQUET_ASSISES</t>
  </si>
  <si>
    <t>PARQUET_JIRS_SS</t>
  </si>
  <si>
    <t>PARQUET_JIRS_CRIMO</t>
  </si>
  <si>
    <t>PARQUET_JIRS_ECOFI</t>
  </si>
  <si>
    <t>PARQUET_EXE_APP_PEINES</t>
  </si>
  <si>
    <t>PARQUET_ACTIVITE_CIV_COM</t>
  </si>
  <si>
    <t>AUTRES_JNS</t>
  </si>
  <si>
    <t>J_SPEC_ACT_NON_SPEC</t>
  </si>
  <si>
    <t>JAF_JNS</t>
  </si>
  <si>
    <t>JUGE_TASS_JNS</t>
  </si>
  <si>
    <t>JUGE_TJ_IP_SR</t>
  </si>
  <si>
    <t>JUGE_CTX_GEN_INF_DIX_MIL</t>
  </si>
  <si>
    <t>TI_ACT_J_DEPARTITEUR</t>
  </si>
  <si>
    <t>MAG_SIEGE_CONTRAV</t>
  </si>
  <si>
    <t>MAG_SIEGE_JIRS_SS</t>
  </si>
  <si>
    <t>MAG_SIEGE_JIRS_CRIMO</t>
  </si>
  <si>
    <t>MAG_SIEGE_JIRS_ECOFI</t>
  </si>
  <si>
    <t>JNS_COUR_CRIM</t>
  </si>
  <si>
    <t>MAG_SIEGE_ASSISES</t>
  </si>
  <si>
    <t>JLD_JNS</t>
  </si>
  <si>
    <t>J_INSTRUCTION_JIRS_SS</t>
  </si>
  <si>
    <t>J_INSTRUCTION_JIRS_CRIMO</t>
  </si>
  <si>
    <t>J_INSTRUCTION_JIRS_ECOFI</t>
  </si>
  <si>
    <t>J_INSTRUCTION</t>
  </si>
  <si>
    <t>JCP_TJ_SURENDETTEMENT</t>
  </si>
  <si>
    <t>JCP_TJ_TUT_MAJ</t>
  </si>
  <si>
    <t>JUR_ASS_SIEGE</t>
  </si>
  <si>
    <t>JUR_ASS_TASS</t>
  </si>
  <si>
    <t>JUR_ASS_PARQUET</t>
  </si>
  <si>
    <t>FONCTIONNAIRES_HORS_FONCT_SPEC</t>
  </si>
  <si>
    <t>FONC_P_SOC</t>
  </si>
  <si>
    <t>FONC_CTX_GEN_INF_DIX_MIL</t>
  </si>
  <si>
    <t>FONC_TJ_IP_SR</t>
  </si>
  <si>
    <t>FONC_TJ_SURENDETTEMENT</t>
  </si>
  <si>
    <t>FONC_TJ_TUT_MAJ</t>
  </si>
  <si>
    <t>FONCTIONNAIRES_JIRS_SS</t>
  </si>
  <si>
    <t>FONCTIONNAIRES_JIRS_CRIMO</t>
  </si>
  <si>
    <t>FONCTIONNAIRES_JIRS_ECOFI</t>
  </si>
  <si>
    <t>FONC_COUR_CRIM</t>
  </si>
  <si>
    <t>FONCTIONNAIRES_ASSISES</t>
  </si>
  <si>
    <t>FONCTIONNAIRES_BEX_APP</t>
  </si>
  <si>
    <t>FONCTIONNAIRES_ACTIVITE_CIV_PRQT</t>
  </si>
  <si>
    <t>FONCTIONNAIRES_C_TECHNIQUES_SPEC</t>
  </si>
  <si>
    <t>Total magistrats du parquet</t>
  </si>
  <si>
    <t>PRQT</t>
  </si>
  <si>
    <t>Total magistrats du siège non spécialisés</t>
  </si>
  <si>
    <t>SIEGE NS</t>
  </si>
  <si>
    <t>Total magistrats du siège spécialisés</t>
  </si>
  <si>
    <t>SIEGE S</t>
  </si>
  <si>
    <t>Total juristes assistants</t>
  </si>
  <si>
    <t>Total fonctionnaires administratifs</t>
  </si>
  <si>
    <t>A-B-CBUR</t>
  </si>
  <si>
    <t>Total fonctionnaires techniques</t>
  </si>
  <si>
    <t>CTECH</t>
  </si>
  <si>
    <t>DÉCLARATION ETPT TJ</t>
  </si>
  <si>
    <t>Attention : par défaut, l'activité pénale recensée au niveau des TPR est comptabilisée sur le TJ</t>
  </si>
  <si>
    <t>ETPT_TPRX</t>
  </si>
  <si>
    <t>Magistrats du TJ affectés au TPRX</t>
  </si>
  <si>
    <t>Magistrat TPRX sur activité déléguée du TJ : Autres contentieux</t>
  </si>
  <si>
    <t>Magistrat TPRX sur activité déléguée du TJ en matière de police</t>
  </si>
  <si>
    <t>Magistrat TPRX sur activité déléguée du TJ en matière correctionnelle</t>
  </si>
  <si>
    <t>Magistrat TPRX sur activité déléguée du TJ en matière : Tutelles mineurs</t>
  </si>
  <si>
    <t>Magistrat TPRX sur activité déléguée du TJ en matière : JAF</t>
  </si>
  <si>
    <t>Magistrats suivi tutelles majeurs et comptes</t>
  </si>
  <si>
    <t xml:space="preserve">Magistrats TPRX affectés au surendettement et au Hors surendettement </t>
  </si>
  <si>
    <t>Magistrats TPRX affectés aux saisies sur rémunération et IP</t>
  </si>
  <si>
    <t>Juges du Livre Foncier + Juge d'Instance RCS et Droit Local</t>
  </si>
  <si>
    <t>Fonctionnaires TPRX sur activité déléguèe du TJ : Autres contentieux</t>
  </si>
  <si>
    <t>Fonctionnaires TPRX sur activité déléguée du TJ en matière de police</t>
  </si>
  <si>
    <t>Fonctionnaires TPRX sur activité déléguée du TJ en matière  correctionnelle</t>
  </si>
  <si>
    <t>Fonctionnaires TPRX sur activité déléguée du TJ en matière : Tutelles mineurs</t>
  </si>
  <si>
    <t>Fonctionnaires TPRX sur activité déléguée du TJ en matière : JAF</t>
  </si>
  <si>
    <t>Fonctionnaires TPRX tutelles majeurs et vérification des comptes</t>
  </si>
  <si>
    <t>Fonctionnaires TPRX affectés au surendettement et au Hors surendettement</t>
  </si>
  <si>
    <t>Fonctionnaires TPRX IP, Saisies rém, Nationalité, actes de greffe, etc.</t>
  </si>
  <si>
    <t>Fonctionnaires TPRX, Droit Local, Livre foncier, RCS,etc.</t>
  </si>
  <si>
    <t>MAGISTRATS_TGI_TI</t>
  </si>
  <si>
    <t>MAGISTRAT_TPRX_AUT_CTX_TJ</t>
  </si>
  <si>
    <t>MAGISTRAT_TPRX_POLICE</t>
  </si>
  <si>
    <t>MAGISTRAT_TPRX_CORREC</t>
  </si>
  <si>
    <t>MAGISTRAT_TPRX_TUT_MIN</t>
  </si>
  <si>
    <t>MAGISTRAT_TPRX_JAF</t>
  </si>
  <si>
    <t>MAGISTRATS_TI_TUTELLES</t>
  </si>
  <si>
    <t>MAGISTRATS_TI_SURENDET</t>
  </si>
  <si>
    <t>MAGISTRATS_TI_SR_IP</t>
  </si>
  <si>
    <t>JUGE_LIVRE_FONCIER_JNS</t>
  </si>
  <si>
    <t>FONC_TPRX_AUT_CTX_TJ</t>
  </si>
  <si>
    <t>FONC_TPRX_POLICE</t>
  </si>
  <si>
    <t>FONC_TPRX_CORREC</t>
  </si>
  <si>
    <t>FONC_TPRX_TUT_MIN</t>
  </si>
  <si>
    <t>FONC_TPRX_JAF</t>
  </si>
  <si>
    <t>FONCTIONNAIRES_TI_TUTELLES</t>
  </si>
  <si>
    <t>FONCTIONNAIRES_TI_SURENDET</t>
  </si>
  <si>
    <t>FONCTIONNAIRES_TI_AG_PACS_NAT</t>
  </si>
  <si>
    <t>FONCTIONNAIRES_TI_DRT_LOCAL_RCS</t>
  </si>
  <si>
    <t>Total magistrats du siège autres activités</t>
  </si>
  <si>
    <t>SIEGE  S</t>
  </si>
  <si>
    <t>Total magistrats du siège activités spécifiques</t>
  </si>
  <si>
    <t xml:space="preserve">DÉCLARATION ETPT TPRX
</t>
  </si>
  <si>
    <t>ETPT_CPH</t>
  </si>
  <si>
    <t>DÉCLARATION ETPT CPH</t>
  </si>
  <si>
    <t xml:space="preserve">                Agrégats DDG</t>
  </si>
  <si>
    <t xml:space="preserve">                  Extracteur de données d'effectifs - Format DDG (avec réintégration de l'absentéisme)</t>
  </si>
  <si>
    <t xml:space="preserve">                  Extracteur de données d'effectifs</t>
  </si>
  <si>
    <t xml:space="preserve">                 Déclaration des ETPT TJ</t>
  </si>
  <si>
    <t xml:space="preserve">                 Déclaration des ETPT TPROX</t>
  </si>
  <si>
    <t xml:space="preserve">                 Déclaration des ETPT CPH</t>
  </si>
  <si>
    <t>RECAPITULATIF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</si>
</sst>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00_-;\-* #,##0.00_-;_-* &quot;-&quot;??_-;_-@_-"/>
    <numFmt numFmtId="166" formatCode="_-* #,##0.000_-;\-* #,##0.000_-;_-* &quot;-&quot;??_-;_-@_-"/>
    <numFmt numFmtId="167" formatCode="General;General;\-"/>
    <numFmt numFmtId="168" formatCode="0.###;0.###;\-"/>
    <numFmt numFmtId="170" formatCode="#,##0.00_ ;[Red]\-#,##0.00\ "/>
  </numFmts>
  <fonts count="39"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22"/>
      <color theme="0" tint="-4.9989318521683403E-2"/>
      <name val="Calibri"/>
      <family val="2"/>
      <scheme val="minor"/>
    </font>
    <font>
      <b/>
      <i/>
      <sz val="16"/>
      <color theme="0" tint="-4.9989318521683403E-2"/>
      <name val="Calibri"/>
      <family val="2"/>
      <scheme val="minor"/>
    </font>
    <font>
      <sz val="11"/>
      <color theme="0"/>
      <name val="Calibri"/>
      <family val="2"/>
      <scheme val="minor"/>
    </font>
    <font>
      <sz val="11"/>
      <color theme="1"/>
      <name val="Calibri"/>
      <family val="2"/>
      <scheme val="minor"/>
    </font>
    <font>
      <b/>
      <sz val="11"/>
      <color rgb="FFFF0000"/>
      <name val="Calibri"/>
      <family val="2"/>
      <scheme val="minor"/>
    </font>
    <font>
      <sz val="8"/>
      <color theme="1"/>
      <name val="Calibri"/>
      <family val="2"/>
      <scheme val="minor"/>
    </font>
    <font>
      <b/>
      <sz val="12"/>
      <color theme="0"/>
      <name val="Calibri"/>
      <family val="2"/>
      <scheme val="minor"/>
    </font>
    <font>
      <b/>
      <sz val="14"/>
      <color theme="1"/>
      <name val="Calibri"/>
      <family val="2"/>
      <scheme val="minor"/>
    </font>
    <font>
      <sz val="12"/>
      <color rgb="FFFF0000"/>
      <name val="Calibri"/>
      <family val="2"/>
      <scheme val="minor"/>
    </font>
    <font>
      <b/>
      <sz val="12"/>
      <color rgb="FFFF0000"/>
      <name val="Calibri"/>
      <family val="2"/>
      <scheme val="minor"/>
    </font>
    <font>
      <sz val="10"/>
      <color theme="1"/>
      <name val="Arial"/>
      <family val="2"/>
    </font>
    <font>
      <sz val="10"/>
      <color rgb="FF860000"/>
      <name val="Arial"/>
      <family val="2"/>
    </font>
    <font>
      <b/>
      <sz val="10"/>
      <color theme="1"/>
      <name val="Arial"/>
      <family val="2"/>
    </font>
    <font>
      <sz val="11"/>
      <color rgb="FFFF0000"/>
      <name val="Calibri"/>
      <family val="2"/>
      <scheme val="minor"/>
    </font>
    <font>
      <sz val="11"/>
      <name val="Calibri"/>
      <family val="2"/>
      <scheme val="minor"/>
    </font>
    <font>
      <sz val="11"/>
      <color rgb="FF000000"/>
      <name val="Calibri"/>
      <family val="2"/>
      <scheme val="minor"/>
    </font>
    <font>
      <sz val="9"/>
      <color rgb="FF333333"/>
      <name val="Arial"/>
      <family val="2"/>
    </font>
    <font>
      <b/>
      <sz val="7"/>
      <color rgb="FF000000"/>
      <name val="Arial"/>
      <family val="2"/>
    </font>
    <font>
      <b/>
      <u/>
      <sz val="7"/>
      <color rgb="FF000000"/>
      <name val="Arial"/>
      <family val="2"/>
    </font>
    <font>
      <sz val="7"/>
      <color rgb="FF000000"/>
      <name val="Arial"/>
      <family val="2"/>
    </font>
    <font>
      <sz val="7"/>
      <name val="Arial"/>
      <family val="2"/>
    </font>
    <font>
      <sz val="7"/>
      <color rgb="FFFF0000"/>
      <name val="Arial"/>
      <family val="2"/>
    </font>
    <font>
      <b/>
      <sz val="7"/>
      <name val="Arial"/>
      <family val="2"/>
    </font>
    <font>
      <b/>
      <sz val="7"/>
      <color rgb="FFFF0000"/>
      <name val="Arial"/>
      <family val="2"/>
    </font>
    <font>
      <b/>
      <u/>
      <sz val="7"/>
      <name val="Arial"/>
      <family val="2"/>
    </font>
    <font>
      <b/>
      <sz val="7"/>
      <color rgb="FF333333"/>
      <name val="Arial"/>
      <family val="2"/>
    </font>
    <font>
      <b/>
      <sz val="8"/>
      <color rgb="FFFF0000"/>
      <name val="Arial"/>
      <family val="2"/>
    </font>
    <font>
      <b/>
      <sz val="8"/>
      <color rgb="FF333333"/>
      <name val="Arial"/>
      <family val="2"/>
    </font>
    <font>
      <b/>
      <sz val="8"/>
      <color rgb="FF000000"/>
      <name val="Arial"/>
      <family val="2"/>
    </font>
    <font>
      <sz val="8"/>
      <color rgb="FF000000"/>
      <name val="Arial"/>
      <family val="2"/>
    </font>
    <font>
      <sz val="7"/>
      <color rgb="FF333333"/>
      <name val="Arial"/>
      <family val="2"/>
    </font>
    <font>
      <sz val="8"/>
      <color rgb="FF333333"/>
      <name val="Arial"/>
      <family val="2"/>
    </font>
    <font>
      <b/>
      <sz val="9"/>
      <color rgb="FF333333"/>
      <name val="Arial"/>
      <family val="2"/>
    </font>
    <font>
      <sz val="7"/>
      <color theme="0"/>
      <name val="Arial"/>
      <family val="2"/>
    </font>
    <font>
      <b/>
      <sz val="20"/>
      <color theme="0"/>
      <name val="Calibri"/>
      <family val="2"/>
      <scheme val="minor"/>
    </font>
  </fonts>
  <fills count="22">
    <fill>
      <patternFill patternType="none"/>
    </fill>
    <fill>
      <patternFill patternType="gray125"/>
    </fill>
    <fill>
      <patternFill patternType="solid">
        <fgColor theme="3" tint="0.59999389629810485"/>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2060"/>
        <bgColor indexed="64"/>
      </patternFill>
    </fill>
    <fill>
      <patternFill patternType="solid">
        <fgColor rgb="FF92D050"/>
        <bgColor indexed="64"/>
      </patternFill>
    </fill>
    <fill>
      <patternFill patternType="solid">
        <fgColor rgb="FFFFFFFF"/>
        <bgColor rgb="FFFFFFFF"/>
      </patternFill>
    </fill>
    <fill>
      <patternFill patternType="solid">
        <fgColor rgb="FFCCFFFF"/>
        <bgColor rgb="FFFFFFFF"/>
      </patternFill>
    </fill>
    <fill>
      <patternFill patternType="solid">
        <fgColor rgb="FFCEFFFF"/>
        <bgColor rgb="FFFFFFFF"/>
      </patternFill>
    </fill>
    <fill>
      <patternFill patternType="solid">
        <fgColor theme="1" tint="0.249977111117893"/>
        <bgColor rgb="FFFFFFFF"/>
      </patternFill>
    </fill>
    <fill>
      <patternFill patternType="solid">
        <fgColor rgb="FF92D050"/>
        <bgColor rgb="FFFFFFFF"/>
      </patternFill>
    </fill>
    <fill>
      <patternFill patternType="solid">
        <fgColor theme="9" tint="0.79998168889431442"/>
        <bgColor rgb="FFFFFFFF"/>
      </patternFill>
    </fill>
    <fill>
      <patternFill patternType="solid">
        <fgColor theme="5" tint="0.79998168889431442"/>
        <bgColor rgb="FFFFFFFF"/>
      </patternFill>
    </fill>
    <fill>
      <patternFill patternType="solid">
        <fgColor theme="7" tint="0.79998168889431442"/>
        <bgColor rgb="FFFFFFFF"/>
      </patternFill>
    </fill>
    <fill>
      <patternFill patternType="solid">
        <fgColor theme="4" tint="0.79998168889431442"/>
        <bgColor rgb="FFFFFFFF"/>
      </patternFill>
    </fill>
    <fill>
      <patternFill patternType="solid">
        <fgColor rgb="FFFFC000"/>
        <bgColor rgb="FFFFFFFF"/>
      </patternFill>
    </fill>
    <fill>
      <patternFill patternType="solid">
        <fgColor rgb="FFFCFDFD"/>
        <bgColor rgb="FFFFFFFF"/>
      </patternFill>
    </fill>
    <fill>
      <patternFill patternType="solid">
        <fgColor theme="5"/>
        <bgColor rgb="FFFFFFFF"/>
      </patternFill>
    </fill>
    <fill>
      <patternFill patternType="solid">
        <fgColor theme="2" tint="-9.9978637043366805E-2"/>
        <bgColor indexed="64"/>
      </patternFill>
    </fill>
  </fills>
  <borders count="21">
    <border>
      <left/>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6">
    <xf numFmtId="0" fontId="0" fillId="0" borderId="0"/>
    <xf numFmtId="0" fontId="2" fillId="0" borderId="0"/>
    <xf numFmtId="165" fontId="2" fillId="0" borderId="0" applyFont="0" applyFill="0" applyBorder="0" applyAlignment="0" applyProtection="0"/>
    <xf numFmtId="164" fontId="7" fillId="0" borderId="0" applyFont="0" applyFill="0" applyBorder="0" applyAlignment="0" applyProtection="0"/>
    <xf numFmtId="0" fontId="1" fillId="0" borderId="0"/>
    <xf numFmtId="165" fontId="1" fillId="0" borderId="0" applyFont="0" applyFill="0" applyBorder="0" applyAlignment="0" applyProtection="0"/>
  </cellStyleXfs>
  <cellXfs count="213">
    <xf numFmtId="0" fontId="0" fillId="0" borderId="0" xfId="0"/>
    <xf numFmtId="0" fontId="0" fillId="0" borderId="0" xfId="0" applyAlignment="1">
      <alignment horizontal="right"/>
    </xf>
    <xf numFmtId="0" fontId="0" fillId="0" borderId="0" xfId="0" applyAlignment="1">
      <alignment horizontal="center"/>
    </xf>
    <xf numFmtId="0" fontId="4" fillId="3" borderId="0" xfId="0" applyFont="1" applyFill="1" applyAlignment="1">
      <alignment vertical="center"/>
    </xf>
    <xf numFmtId="0" fontId="0" fillId="0" borderId="0" xfId="0" applyAlignment="1">
      <alignment vertical="center"/>
    </xf>
    <xf numFmtId="0" fontId="0" fillId="3" borderId="0" xfId="0" applyFill="1" applyAlignment="1">
      <alignment horizontal="right" vertical="center"/>
    </xf>
    <xf numFmtId="0" fontId="5" fillId="3" borderId="0" xfId="0" applyFont="1" applyFill="1" applyAlignment="1">
      <alignment horizontal="right"/>
    </xf>
    <xf numFmtId="0" fontId="0" fillId="3" borderId="0" xfId="0" applyFill="1" applyAlignment="1">
      <alignment horizontal="center" vertical="center"/>
    </xf>
    <xf numFmtId="0" fontId="6" fillId="0" borderId="0" xfId="0" applyFont="1" applyAlignment="1">
      <alignment vertical="center"/>
    </xf>
    <xf numFmtId="0" fontId="3" fillId="0" borderId="0" xfId="0" applyFont="1" applyAlignment="1">
      <alignment horizontal="center"/>
    </xf>
    <xf numFmtId="0" fontId="7" fillId="0" borderId="0" xfId="0" applyFont="1" applyAlignment="1">
      <alignment vertical="center" wrapText="1"/>
    </xf>
    <xf numFmtId="0" fontId="7" fillId="0" borderId="0" xfId="0" applyFont="1" applyAlignment="1">
      <alignment horizontal="left" vertical="center" wrapText="1"/>
    </xf>
    <xf numFmtId="166" fontId="3" fillId="0" borderId="3" xfId="3" applyNumberFormat="1" applyFont="1" applyBorder="1" applyAlignment="1">
      <alignment horizontal="center" vertical="center" wrapText="1"/>
    </xf>
    <xf numFmtId="166" fontId="3" fillId="0" borderId="4" xfId="3" applyNumberFormat="1" applyFont="1" applyBorder="1" applyAlignment="1">
      <alignment horizontal="center" vertical="center" wrapText="1"/>
    </xf>
    <xf numFmtId="0" fontId="7" fillId="0" borderId="0" xfId="0" applyFont="1" applyAlignment="1">
      <alignment vertical="center"/>
    </xf>
    <xf numFmtId="0" fontId="9" fillId="4" borderId="0" xfId="0" applyFont="1" applyFill="1" applyAlignment="1">
      <alignment wrapText="1"/>
    </xf>
    <xf numFmtId="0" fontId="9" fillId="4" borderId="0" xfId="0" applyFont="1" applyFill="1" applyAlignment="1">
      <alignment horizontal="center" vertical="center"/>
    </xf>
    <xf numFmtId="0" fontId="0" fillId="5" borderId="0" xfId="0" applyFill="1" applyAlignment="1">
      <alignment horizontal="left"/>
    </xf>
    <xf numFmtId="0" fontId="3" fillId="5" borderId="0" xfId="0" applyFont="1" applyFill="1" applyAlignment="1">
      <alignment horizontal="left"/>
    </xf>
    <xf numFmtId="166" fontId="3" fillId="0" borderId="0" xfId="3" applyNumberFormat="1" applyFont="1" applyBorder="1" applyAlignment="1">
      <alignment horizontal="center" vertical="center"/>
    </xf>
    <xf numFmtId="166" fontId="3" fillId="0" borderId="5" xfId="3" applyNumberFormat="1" applyFont="1" applyBorder="1" applyAlignment="1">
      <alignment horizontal="center" vertical="center"/>
    </xf>
    <xf numFmtId="166" fontId="3" fillId="0" borderId="1" xfId="3" applyNumberFormat="1" applyFont="1" applyBorder="1" applyAlignment="1">
      <alignment horizontal="center" vertical="center"/>
    </xf>
    <xf numFmtId="0" fontId="3" fillId="6" borderId="6" xfId="0" applyFont="1" applyFill="1" applyBorder="1" applyAlignment="1">
      <alignment horizontal="center" vertical="center" wrapText="1"/>
    </xf>
    <xf numFmtId="0" fontId="0" fillId="0" borderId="0" xfId="0" applyAlignment="1">
      <alignment wrapText="1"/>
    </xf>
    <xf numFmtId="0" fontId="3" fillId="2" borderId="0" xfId="0" applyFont="1" applyFill="1" applyAlignment="1">
      <alignment horizontal="center" vertical="center" wrapText="1"/>
    </xf>
    <xf numFmtId="167" fontId="0" fillId="0" borderId="0" xfId="0" applyNumberFormat="1"/>
    <xf numFmtId="0" fontId="0" fillId="6" borderId="0" xfId="0" applyFill="1" applyAlignment="1">
      <alignment horizontal="center" vertical="center"/>
    </xf>
    <xf numFmtId="168" fontId="0" fillId="0" borderId="0" xfId="0" applyNumberFormat="1" applyAlignment="1">
      <alignment horizontal="left" vertical="top"/>
    </xf>
    <xf numFmtId="0" fontId="0" fillId="0" borderId="0" xfId="0" applyAlignment="1">
      <alignment vertical="center" wrapText="1"/>
    </xf>
    <xf numFmtId="0" fontId="7" fillId="0" borderId="0" xfId="0" applyFont="1" applyAlignment="1">
      <alignment horizontal="right" vertical="center" wrapText="1"/>
    </xf>
    <xf numFmtId="0" fontId="7" fillId="0" borderId="0" xfId="0" applyFont="1" applyAlignment="1">
      <alignment horizontal="right" vertical="top" wrapText="1"/>
    </xf>
    <xf numFmtId="0" fontId="6" fillId="0" borderId="0" xfId="0" applyFont="1"/>
    <xf numFmtId="0" fontId="11" fillId="0" borderId="10" xfId="0" applyFont="1" applyBorder="1" applyAlignment="1">
      <alignment horizontal="center" vertical="center" wrapText="1"/>
    </xf>
    <xf numFmtId="166" fontId="3" fillId="0" borderId="4" xfId="0" applyNumberFormat="1" applyFont="1" applyBorder="1" applyAlignment="1">
      <alignment horizontal="center" vertical="center" wrapText="1"/>
    </xf>
    <xf numFmtId="166" fontId="3" fillId="0" borderId="11" xfId="0" applyNumberFormat="1" applyFont="1" applyBorder="1" applyAlignment="1">
      <alignment horizontal="center" vertical="center" wrapText="1"/>
    </xf>
    <xf numFmtId="166" fontId="3" fillId="0" borderId="2" xfId="0" applyNumberFormat="1" applyFont="1" applyBorder="1" applyAlignment="1">
      <alignment horizontal="center" vertical="center" wrapText="1"/>
    </xf>
    <xf numFmtId="166" fontId="3" fillId="0" borderId="12" xfId="3" applyNumberFormat="1" applyFont="1" applyBorder="1" applyAlignment="1">
      <alignment horizontal="center" vertical="center"/>
    </xf>
    <xf numFmtId="0" fontId="14" fillId="0" borderId="0" xfId="4" applyFont="1" applyProtection="1">
      <protection hidden="1"/>
    </xf>
    <xf numFmtId="0" fontId="15" fillId="0" borderId="0" xfId="4" applyFont="1" applyProtection="1">
      <protection locked="0"/>
    </xf>
    <xf numFmtId="49" fontId="15" fillId="0" borderId="0" xfId="4" applyNumberFormat="1" applyFont="1" applyAlignment="1" applyProtection="1">
      <alignment horizontal="left" vertical="center"/>
      <protection locked="0"/>
    </xf>
    <xf numFmtId="0" fontId="15" fillId="0" borderId="0" xfId="4" applyFont="1" applyAlignment="1" applyProtection="1">
      <alignment horizontal="left" vertical="center"/>
      <protection locked="0"/>
    </xf>
    <xf numFmtId="0" fontId="14" fillId="0" borderId="0" xfId="4" applyFont="1" applyAlignment="1" applyProtection="1">
      <alignment horizontal="left"/>
      <protection hidden="1"/>
    </xf>
    <xf numFmtId="0" fontId="16" fillId="0" borderId="0" xfId="4" applyFont="1" applyAlignment="1" applyProtection="1">
      <alignment horizontal="left"/>
      <protection hidden="1"/>
    </xf>
    <xf numFmtId="0" fontId="7" fillId="0" borderId="0" xfId="4" applyFont="1" applyAlignment="1">
      <alignment vertical="center" wrapText="1"/>
    </xf>
    <xf numFmtId="0" fontId="17" fillId="0" borderId="0" xfId="4" applyFont="1" applyAlignment="1">
      <alignment vertical="center" wrapText="1"/>
    </xf>
    <xf numFmtId="0" fontId="7" fillId="0" borderId="13" xfId="4" applyFont="1" applyBorder="1" applyAlignment="1">
      <alignment vertical="center"/>
    </xf>
    <xf numFmtId="0" fontId="17" fillId="0" borderId="13" xfId="4" applyFont="1" applyBorder="1" applyAlignment="1">
      <alignment vertical="center" wrapText="1"/>
    </xf>
    <xf numFmtId="0" fontId="17" fillId="0" borderId="14" xfId="4" applyFont="1" applyBorder="1" applyAlignment="1">
      <alignment vertical="center" wrapText="1"/>
    </xf>
    <xf numFmtId="0" fontId="7" fillId="0" borderId="0" xfId="4" applyFont="1" applyAlignment="1">
      <alignment vertical="center"/>
    </xf>
    <xf numFmtId="0" fontId="17" fillId="0" borderId="1" xfId="4" applyFont="1" applyBorder="1" applyAlignment="1">
      <alignment vertical="center" wrapText="1"/>
    </xf>
    <xf numFmtId="0" fontId="18" fillId="0" borderId="0" xfId="4" applyFont="1" applyAlignment="1">
      <alignment vertical="center" wrapText="1"/>
    </xf>
    <xf numFmtId="0" fontId="18" fillId="0" borderId="1" xfId="4" applyFont="1" applyBorder="1" applyAlignment="1">
      <alignment vertical="center" wrapText="1"/>
    </xf>
    <xf numFmtId="0" fontId="7" fillId="0" borderId="1" xfId="4" applyFont="1" applyBorder="1" applyAlignment="1">
      <alignment vertical="center" wrapText="1"/>
    </xf>
    <xf numFmtId="0" fontId="7" fillId="0" borderId="4" xfId="4" applyFont="1" applyBorder="1" applyAlignment="1">
      <alignment vertical="center" wrapText="1"/>
    </xf>
    <xf numFmtId="0" fontId="7" fillId="0" borderId="3" xfId="4" applyFont="1" applyBorder="1" applyAlignment="1">
      <alignment vertical="center" wrapText="1"/>
    </xf>
    <xf numFmtId="0" fontId="18" fillId="0" borderId="13" xfId="4" applyFont="1" applyBorder="1" applyAlignment="1">
      <alignment vertical="center" wrapText="1"/>
    </xf>
    <xf numFmtId="0" fontId="7" fillId="0" borderId="13" xfId="4" applyFont="1" applyBorder="1" applyAlignment="1">
      <alignment vertical="center" wrapText="1"/>
    </xf>
    <xf numFmtId="0" fontId="7" fillId="0" borderId="14" xfId="4" applyFont="1" applyBorder="1" applyAlignment="1">
      <alignment vertical="center" wrapText="1"/>
    </xf>
    <xf numFmtId="0" fontId="18" fillId="0" borderId="3" xfId="4" applyFont="1" applyBorder="1" applyAlignment="1">
      <alignment vertical="center" wrapText="1"/>
    </xf>
    <xf numFmtId="168" fontId="18" fillId="0" borderId="0" xfId="4" applyNumberFormat="1" applyFont="1" applyAlignment="1">
      <alignment horizontal="left" vertical="top"/>
    </xf>
    <xf numFmtId="0" fontId="19" fillId="0" borderId="0" xfId="4" applyFont="1" applyAlignment="1">
      <alignment vertical="center" wrapText="1"/>
    </xf>
    <xf numFmtId="0" fontId="3" fillId="8" borderId="0" xfId="4" applyFont="1" applyFill="1" applyAlignment="1">
      <alignment vertical="center"/>
    </xf>
    <xf numFmtId="0" fontId="3" fillId="0" borderId="8" xfId="4" applyFont="1" applyBorder="1" applyAlignment="1">
      <alignment vertical="center" wrapText="1"/>
    </xf>
    <xf numFmtId="0" fontId="3" fillId="0" borderId="7" xfId="4" applyFont="1" applyBorder="1" applyAlignment="1">
      <alignment vertical="center" wrapText="1"/>
    </xf>
    <xf numFmtId="0" fontId="1" fillId="0" borderId="0" xfId="4"/>
    <xf numFmtId="0" fontId="1" fillId="0" borderId="0" xfId="4" applyAlignment="1">
      <alignment vertical="center"/>
    </xf>
    <xf numFmtId="0" fontId="20" fillId="9" borderId="0" xfId="4" applyFont="1" applyFill="1" applyAlignment="1">
      <alignment horizontal="left"/>
    </xf>
    <xf numFmtId="170" fontId="21" fillId="10" borderId="15" xfId="4" applyNumberFormat="1" applyFont="1" applyFill="1" applyBorder="1"/>
    <xf numFmtId="170" fontId="21" fillId="11" borderId="15" xfId="4" applyNumberFormat="1" applyFont="1" applyFill="1" applyBorder="1"/>
    <xf numFmtId="170" fontId="21" fillId="10" borderId="15" xfId="4" applyNumberFormat="1" applyFont="1" applyFill="1" applyBorder="1" applyAlignment="1">
      <alignment wrapText="1"/>
    </xf>
    <xf numFmtId="170" fontId="21" fillId="11" borderId="15" xfId="4" applyNumberFormat="1" applyFont="1" applyFill="1" applyBorder="1" applyAlignment="1">
      <alignment wrapText="1"/>
    </xf>
    <xf numFmtId="0" fontId="22" fillId="11" borderId="15" xfId="4" applyFont="1" applyFill="1" applyBorder="1" applyAlignment="1">
      <alignment horizontal="left" vertical="center" wrapText="1"/>
    </xf>
    <xf numFmtId="0" fontId="21" fillId="9" borderId="15" xfId="4" applyFont="1" applyFill="1" applyBorder="1" applyAlignment="1">
      <alignment horizontal="left" vertical="center" wrapText="1"/>
    </xf>
    <xf numFmtId="0" fontId="21" fillId="9" borderId="15" xfId="4" applyFont="1" applyFill="1" applyBorder="1" applyAlignment="1">
      <alignment horizontal="left"/>
    </xf>
    <xf numFmtId="49" fontId="23" fillId="9" borderId="16" xfId="4" applyNumberFormat="1" applyFont="1" applyFill="1" applyBorder="1" applyAlignment="1">
      <alignment horizontal="left" vertical="center"/>
    </xf>
    <xf numFmtId="170" fontId="23" fillId="12" borderId="15" xfId="4" applyNumberFormat="1" applyFont="1" applyFill="1" applyBorder="1"/>
    <xf numFmtId="170" fontId="24" fillId="13" borderId="15" xfId="4" applyNumberFormat="1" applyFont="1" applyFill="1" applyBorder="1" applyAlignment="1">
      <alignment horizontal="center" vertical="center" wrapText="1"/>
    </xf>
    <xf numFmtId="170" fontId="25" fillId="9" borderId="15" xfId="4" applyNumberFormat="1" applyFont="1" applyFill="1" applyBorder="1" applyAlignment="1">
      <alignment horizontal="center" vertical="center" wrapText="1"/>
    </xf>
    <xf numFmtId="170" fontId="24" fillId="0" borderId="15" xfId="4" applyNumberFormat="1" applyFont="1" applyBorder="1" applyAlignment="1">
      <alignment horizontal="center" vertical="center" wrapText="1"/>
    </xf>
    <xf numFmtId="0" fontId="23" fillId="9" borderId="15" xfId="4" applyFont="1" applyFill="1" applyBorder="1" applyAlignment="1">
      <alignment horizontal="left" vertical="center" wrapText="1"/>
    </xf>
    <xf numFmtId="0" fontId="23" fillId="9" borderId="15" xfId="4" applyFont="1" applyFill="1" applyBorder="1" applyAlignment="1">
      <alignment horizontal="left"/>
    </xf>
    <xf numFmtId="170" fontId="25" fillId="0" borderId="15" xfId="4" applyNumberFormat="1" applyFont="1" applyBorder="1" applyAlignment="1">
      <alignment horizontal="center" vertical="center" wrapText="1"/>
    </xf>
    <xf numFmtId="170" fontId="25" fillId="9" borderId="17" xfId="4" applyNumberFormat="1" applyFont="1" applyFill="1" applyBorder="1" applyAlignment="1">
      <alignment horizontal="center" vertical="center" wrapText="1"/>
    </xf>
    <xf numFmtId="170" fontId="23" fillId="9" borderId="15" xfId="4" applyNumberFormat="1" applyFont="1" applyFill="1" applyBorder="1" applyAlignment="1">
      <alignment wrapText="1"/>
    </xf>
    <xf numFmtId="170" fontId="21" fillId="10" borderId="18" xfId="4" applyNumberFormat="1" applyFont="1" applyFill="1" applyBorder="1"/>
    <xf numFmtId="0" fontId="12" fillId="0" borderId="10" xfId="4" applyFont="1" applyBorder="1" applyAlignment="1">
      <alignment horizontal="center" vertical="center" wrapText="1"/>
    </xf>
    <xf numFmtId="170" fontId="25" fillId="0" borderId="10" xfId="4" applyNumberFormat="1" applyFont="1" applyBorder="1" applyAlignment="1">
      <alignment horizontal="center" vertical="center" wrapText="1"/>
    </xf>
    <xf numFmtId="170" fontId="21" fillId="10" borderId="19" xfId="4" applyNumberFormat="1" applyFont="1" applyFill="1" applyBorder="1"/>
    <xf numFmtId="170" fontId="25" fillId="0" borderId="15" xfId="4" applyNumberFormat="1" applyFont="1" applyBorder="1" applyAlignment="1">
      <alignment horizontal="center" wrapText="1"/>
    </xf>
    <xf numFmtId="170" fontId="25" fillId="9" borderId="20" xfId="4" applyNumberFormat="1" applyFont="1" applyFill="1" applyBorder="1" applyAlignment="1">
      <alignment horizontal="center" vertical="center" wrapText="1"/>
    </xf>
    <xf numFmtId="170" fontId="24" fillId="13" borderId="15" xfId="4" applyNumberFormat="1" applyFont="1" applyFill="1" applyBorder="1" applyAlignment="1">
      <alignment horizontal="center" wrapText="1"/>
    </xf>
    <xf numFmtId="170" fontId="23" fillId="12" borderId="15" xfId="4" applyNumberFormat="1" applyFont="1" applyFill="1" applyBorder="1" applyAlignment="1">
      <alignment horizontal="center" vertical="center"/>
    </xf>
    <xf numFmtId="170" fontId="25" fillId="9" borderId="15" xfId="4" applyNumberFormat="1" applyFont="1" applyFill="1" applyBorder="1"/>
    <xf numFmtId="170" fontId="23" fillId="12" borderId="15" xfId="4" applyNumberFormat="1" applyFont="1" applyFill="1" applyBorder="1" applyAlignment="1">
      <alignment horizontal="center" vertical="center" wrapText="1"/>
    </xf>
    <xf numFmtId="170" fontId="25" fillId="12" borderId="15" xfId="4" applyNumberFormat="1" applyFont="1" applyFill="1" applyBorder="1" applyAlignment="1">
      <alignment horizontal="center" vertical="center" wrapText="1"/>
    </xf>
    <xf numFmtId="170" fontId="25" fillId="12" borderId="15" xfId="4" applyNumberFormat="1" applyFont="1" applyFill="1" applyBorder="1" applyAlignment="1">
      <alignment wrapText="1"/>
    </xf>
    <xf numFmtId="170" fontId="24" fillId="12" borderId="15" xfId="4" applyNumberFormat="1" applyFont="1" applyFill="1" applyBorder="1" applyAlignment="1">
      <alignment wrapText="1"/>
    </xf>
    <xf numFmtId="170" fontId="24" fillId="12" borderId="15" xfId="4" applyNumberFormat="1" applyFont="1" applyFill="1" applyBorder="1" applyAlignment="1">
      <alignment horizontal="center" vertical="center" wrapText="1"/>
    </xf>
    <xf numFmtId="0" fontId="22" fillId="10" borderId="15" xfId="4" applyFont="1" applyFill="1" applyBorder="1" applyAlignment="1">
      <alignment horizontal="center" vertical="center" wrapText="1"/>
    </xf>
    <xf numFmtId="0" fontId="21" fillId="14" borderId="15" xfId="4" applyFont="1" applyFill="1" applyBorder="1" applyAlignment="1">
      <alignment horizontal="center" vertical="center" wrapText="1"/>
    </xf>
    <xf numFmtId="0" fontId="21" fillId="15" borderId="15" xfId="4" applyFont="1" applyFill="1" applyBorder="1" applyAlignment="1">
      <alignment horizontal="center" vertical="center" wrapText="1"/>
    </xf>
    <xf numFmtId="0" fontId="21" fillId="16" borderId="15" xfId="4" applyFont="1" applyFill="1" applyBorder="1" applyAlignment="1">
      <alignment horizontal="center" vertical="center" wrapText="1"/>
    </xf>
    <xf numFmtId="0" fontId="26" fillId="17" borderId="15" xfId="4" applyFont="1" applyFill="1" applyBorder="1" applyAlignment="1">
      <alignment horizontal="center" vertical="center" wrapText="1"/>
    </xf>
    <xf numFmtId="0" fontId="21" fillId="17" borderId="15" xfId="4" applyFont="1" applyFill="1" applyBorder="1" applyAlignment="1">
      <alignment horizontal="center" vertical="center" wrapText="1"/>
    </xf>
    <xf numFmtId="0" fontId="21" fillId="9" borderId="15" xfId="4" applyFont="1" applyFill="1" applyBorder="1" applyAlignment="1">
      <alignment horizontal="center" vertical="center" wrapText="1"/>
    </xf>
    <xf numFmtId="0" fontId="29" fillId="9" borderId="15" xfId="4" applyFont="1" applyFill="1" applyBorder="1" applyAlignment="1">
      <alignment horizontal="center" vertical="center" wrapText="1"/>
    </xf>
    <xf numFmtId="49" fontId="29" fillId="9" borderId="0" xfId="4" applyNumberFormat="1" applyFont="1" applyFill="1" applyAlignment="1">
      <alignment horizontal="center" vertical="center" wrapText="1"/>
    </xf>
    <xf numFmtId="0" fontId="29" fillId="9" borderId="0" xfId="4" applyFont="1" applyFill="1" applyAlignment="1">
      <alignment horizontal="center" vertical="center" wrapText="1"/>
    </xf>
    <xf numFmtId="0" fontId="30" fillId="9" borderId="0" xfId="4" applyFont="1" applyFill="1" applyAlignment="1">
      <alignment horizontal="center" vertical="center" wrapText="1"/>
    </xf>
    <xf numFmtId="0" fontId="20" fillId="9" borderId="0" xfId="4" applyFont="1" applyFill="1" applyAlignment="1">
      <alignment horizontal="left" vertical="center"/>
    </xf>
    <xf numFmtId="0" fontId="1" fillId="0" borderId="0" xfId="4" applyProtection="1">
      <protection hidden="1"/>
    </xf>
    <xf numFmtId="170" fontId="1" fillId="0" borderId="0" xfId="4" applyNumberFormat="1" applyProtection="1">
      <protection hidden="1"/>
    </xf>
    <xf numFmtId="0" fontId="13" fillId="0" borderId="0" xfId="4" applyFont="1" applyProtection="1">
      <protection hidden="1"/>
    </xf>
    <xf numFmtId="170" fontId="13" fillId="0" borderId="0" xfId="4" applyNumberFormat="1" applyFont="1" applyProtection="1">
      <protection hidden="1"/>
    </xf>
    <xf numFmtId="0" fontId="20" fillId="9" borderId="0" xfId="4" applyFont="1" applyFill="1" applyAlignment="1" applyProtection="1">
      <alignment horizontal="left"/>
      <protection hidden="1"/>
    </xf>
    <xf numFmtId="170" fontId="21" fillId="9" borderId="0" xfId="4" applyNumberFormat="1" applyFont="1" applyFill="1" applyProtection="1">
      <protection hidden="1"/>
    </xf>
    <xf numFmtId="0" fontId="22" fillId="9" borderId="0" xfId="4" applyFont="1" applyFill="1" applyAlignment="1" applyProtection="1">
      <alignment horizontal="left"/>
      <protection hidden="1"/>
    </xf>
    <xf numFmtId="0" fontId="21" fillId="9" borderId="0" xfId="4" applyFont="1" applyFill="1" applyAlignment="1" applyProtection="1">
      <alignment horizontal="left"/>
      <protection hidden="1"/>
    </xf>
    <xf numFmtId="0" fontId="23" fillId="9" borderId="0" xfId="4" applyFont="1" applyFill="1" applyAlignment="1" applyProtection="1">
      <alignment horizontal="left"/>
      <protection hidden="1"/>
    </xf>
    <xf numFmtId="170" fontId="21" fillId="10" borderId="15" xfId="4" applyNumberFormat="1" applyFont="1" applyFill="1" applyBorder="1" applyProtection="1">
      <protection hidden="1"/>
    </xf>
    <xf numFmtId="170" fontId="21" fillId="11" borderId="15" xfId="4" applyNumberFormat="1" applyFont="1" applyFill="1" applyBorder="1" applyProtection="1">
      <protection hidden="1"/>
    </xf>
    <xf numFmtId="170" fontId="26" fillId="11" borderId="15" xfId="4" applyNumberFormat="1" applyFont="1" applyFill="1" applyBorder="1" applyProtection="1">
      <protection hidden="1"/>
    </xf>
    <xf numFmtId="0" fontId="22" fillId="11" borderId="15" xfId="4" applyFont="1" applyFill="1" applyBorder="1" applyAlignment="1" applyProtection="1">
      <alignment horizontal="left"/>
      <protection hidden="1"/>
    </xf>
    <xf numFmtId="0" fontId="21" fillId="9" borderId="15" xfId="4" applyFont="1" applyFill="1" applyBorder="1" applyAlignment="1" applyProtection="1">
      <alignment horizontal="left"/>
      <protection hidden="1"/>
    </xf>
    <xf numFmtId="49" fontId="23" fillId="9" borderId="16" xfId="4" applyNumberFormat="1" applyFont="1" applyFill="1" applyBorder="1" applyAlignment="1" applyProtection="1">
      <alignment horizontal="left"/>
      <protection hidden="1"/>
    </xf>
    <xf numFmtId="170" fontId="23" fillId="12" borderId="15" xfId="4" applyNumberFormat="1" applyFont="1" applyFill="1" applyBorder="1" applyProtection="1">
      <protection hidden="1"/>
    </xf>
    <xf numFmtId="170" fontId="24" fillId="13" borderId="15" xfId="4" applyNumberFormat="1" applyFont="1" applyFill="1" applyBorder="1" applyAlignment="1" applyProtection="1">
      <alignment horizontal="right"/>
      <protection hidden="1"/>
    </xf>
    <xf numFmtId="170" fontId="25" fillId="0" borderId="15" xfId="4" applyNumberFormat="1" applyFont="1" applyBorder="1" applyAlignment="1" applyProtection="1">
      <alignment horizontal="right"/>
      <protection hidden="1"/>
    </xf>
    <xf numFmtId="170" fontId="24" fillId="13" borderId="15" xfId="4" applyNumberFormat="1" applyFont="1" applyFill="1" applyBorder="1" applyAlignment="1" applyProtection="1">
      <alignment horizontal="right" vertical="center" wrapText="1"/>
      <protection hidden="1"/>
    </xf>
    <xf numFmtId="170" fontId="23" fillId="0" borderId="15" xfId="4" applyNumberFormat="1" applyFont="1" applyBorder="1" applyProtection="1">
      <protection hidden="1"/>
    </xf>
    <xf numFmtId="170" fontId="25" fillId="9" borderId="15" xfId="4" applyNumberFormat="1" applyFont="1" applyFill="1" applyBorder="1" applyProtection="1">
      <protection hidden="1"/>
    </xf>
    <xf numFmtId="170" fontId="24" fillId="8" borderId="15" xfId="4" applyNumberFormat="1" applyFont="1" applyFill="1" applyBorder="1" applyAlignment="1" applyProtection="1">
      <alignment horizontal="right"/>
      <protection hidden="1"/>
    </xf>
    <xf numFmtId="170" fontId="26" fillId="10" borderId="15" xfId="4" applyNumberFormat="1" applyFont="1" applyFill="1" applyBorder="1" applyProtection="1">
      <protection hidden="1"/>
    </xf>
    <xf numFmtId="170" fontId="24" fillId="13" borderId="15" xfId="4" applyNumberFormat="1" applyFont="1" applyFill="1" applyBorder="1" applyProtection="1">
      <protection hidden="1"/>
    </xf>
    <xf numFmtId="0" fontId="23" fillId="9" borderId="15" xfId="4" applyFont="1" applyFill="1" applyBorder="1" applyAlignment="1" applyProtection="1">
      <alignment horizontal="left"/>
      <protection hidden="1"/>
    </xf>
    <xf numFmtId="0" fontId="23" fillId="9" borderId="15" xfId="4" applyFont="1" applyFill="1" applyBorder="1" applyAlignment="1" applyProtection="1">
      <alignment horizontal="left" vertical="center"/>
      <protection hidden="1"/>
    </xf>
    <xf numFmtId="170" fontId="25" fillId="9" borderId="15" xfId="4" applyNumberFormat="1" applyFont="1" applyFill="1" applyBorder="1" applyAlignment="1" applyProtection="1">
      <alignment horizontal="right"/>
      <protection hidden="1"/>
    </xf>
    <xf numFmtId="170" fontId="24" fillId="13" borderId="15" xfId="4" applyNumberFormat="1" applyFont="1" applyFill="1" applyBorder="1" applyAlignment="1" applyProtection="1">
      <alignment horizontal="right" vertical="center"/>
      <protection hidden="1"/>
    </xf>
    <xf numFmtId="170" fontId="24" fillId="8" borderId="15" xfId="4" applyNumberFormat="1" applyFont="1" applyFill="1" applyBorder="1" applyAlignment="1" applyProtection="1">
      <alignment horizontal="right" vertical="center"/>
      <protection hidden="1"/>
    </xf>
    <xf numFmtId="170" fontId="24" fillId="8" borderId="15" xfId="4" applyNumberFormat="1" applyFont="1" applyFill="1" applyBorder="1" applyProtection="1">
      <protection hidden="1"/>
    </xf>
    <xf numFmtId="170" fontId="24" fillId="9" borderId="15" xfId="4" applyNumberFormat="1" applyFont="1" applyFill="1" applyBorder="1" applyAlignment="1" applyProtection="1">
      <alignment horizontal="right"/>
      <protection hidden="1"/>
    </xf>
    <xf numFmtId="170" fontId="24" fillId="9" borderId="15" xfId="4" applyNumberFormat="1" applyFont="1" applyFill="1" applyBorder="1" applyAlignment="1" applyProtection="1">
      <alignment horizontal="right" vertical="center"/>
      <protection hidden="1"/>
    </xf>
    <xf numFmtId="170" fontId="24" fillId="0" borderId="15" xfId="4" applyNumberFormat="1" applyFont="1" applyBorder="1" applyProtection="1">
      <protection hidden="1"/>
    </xf>
    <xf numFmtId="170" fontId="23" fillId="12" borderId="15" xfId="4" applyNumberFormat="1" applyFont="1" applyFill="1" applyBorder="1" applyAlignment="1" applyProtection="1">
      <alignment horizontal="center" vertical="center" wrapText="1"/>
      <protection hidden="1"/>
    </xf>
    <xf numFmtId="170" fontId="24" fillId="8" borderId="15" xfId="4" applyNumberFormat="1" applyFont="1" applyFill="1" applyBorder="1" applyAlignment="1" applyProtection="1">
      <alignment horizontal="right" vertical="center" wrapText="1"/>
      <protection hidden="1"/>
    </xf>
    <xf numFmtId="170" fontId="25" fillId="12" borderId="15" xfId="4" applyNumberFormat="1" applyFont="1" applyFill="1" applyBorder="1" applyAlignment="1" applyProtection="1">
      <alignment horizontal="right" vertical="center" wrapText="1"/>
      <protection hidden="1"/>
    </xf>
    <xf numFmtId="170" fontId="25" fillId="12" borderId="15" xfId="4" applyNumberFormat="1" applyFont="1" applyFill="1" applyBorder="1" applyAlignment="1" applyProtection="1">
      <alignment horizontal="right"/>
      <protection hidden="1"/>
    </xf>
    <xf numFmtId="170" fontId="24" fillId="13" borderId="15" xfId="4" quotePrefix="1" applyNumberFormat="1" applyFont="1" applyFill="1" applyBorder="1" applyAlignment="1" applyProtection="1">
      <alignment horizontal="right"/>
      <protection hidden="1"/>
    </xf>
    <xf numFmtId="170" fontId="24" fillId="12" borderId="15" xfId="4" applyNumberFormat="1" applyFont="1" applyFill="1" applyBorder="1" applyAlignment="1" applyProtection="1">
      <alignment horizontal="right"/>
      <protection hidden="1"/>
    </xf>
    <xf numFmtId="170" fontId="23" fillId="8" borderId="15" xfId="4" applyNumberFormat="1" applyFont="1" applyFill="1" applyBorder="1" applyAlignment="1" applyProtection="1">
      <alignment horizontal="right" vertical="center" wrapText="1"/>
      <protection hidden="1"/>
    </xf>
    <xf numFmtId="170" fontId="23" fillId="8" borderId="15" xfId="4" applyNumberFormat="1" applyFont="1" applyFill="1" applyBorder="1" applyAlignment="1" applyProtection="1">
      <alignment horizontal="right" vertical="center"/>
      <protection hidden="1"/>
    </xf>
    <xf numFmtId="0" fontId="23" fillId="18" borderId="15" xfId="4" applyFont="1" applyFill="1" applyBorder="1" applyAlignment="1" applyProtection="1">
      <alignment horizontal="left" vertical="center"/>
      <protection hidden="1"/>
    </xf>
    <xf numFmtId="0" fontId="22" fillId="10" borderId="15" xfId="4" applyFont="1" applyFill="1" applyBorder="1" applyAlignment="1" applyProtection="1">
      <alignment horizontal="center" vertical="center" wrapText="1"/>
      <protection hidden="1"/>
    </xf>
    <xf numFmtId="0" fontId="21" fillId="14" borderId="15" xfId="4" applyFont="1" applyFill="1" applyBorder="1" applyAlignment="1" applyProtection="1">
      <alignment horizontal="center" vertical="center" wrapText="1"/>
      <protection hidden="1"/>
    </xf>
    <xf numFmtId="0" fontId="21" fillId="15" borderId="15" xfId="4" applyFont="1" applyFill="1" applyBorder="1" applyAlignment="1" applyProtection="1">
      <alignment horizontal="center" vertical="center" wrapText="1"/>
      <protection hidden="1"/>
    </xf>
    <xf numFmtId="0" fontId="21" fillId="16" borderId="15" xfId="4" applyFont="1" applyFill="1" applyBorder="1" applyAlignment="1" applyProtection="1">
      <alignment horizontal="center" vertical="center" wrapText="1"/>
      <protection hidden="1"/>
    </xf>
    <xf numFmtId="0" fontId="21" fillId="17" borderId="15" xfId="4" applyFont="1" applyFill="1" applyBorder="1" applyAlignment="1" applyProtection="1">
      <alignment horizontal="center" vertical="center" wrapText="1"/>
      <protection hidden="1"/>
    </xf>
    <xf numFmtId="0" fontId="21" fillId="9" borderId="15" xfId="4" applyFont="1" applyFill="1" applyBorder="1" applyAlignment="1" applyProtection="1">
      <alignment horizontal="center" vertical="center" wrapText="1"/>
      <protection hidden="1"/>
    </xf>
    <xf numFmtId="0" fontId="29" fillId="9" borderId="15" xfId="4" applyFont="1" applyFill="1" applyBorder="1" applyAlignment="1" applyProtection="1">
      <alignment horizontal="center" vertical="center" wrapText="1"/>
      <protection hidden="1"/>
    </xf>
    <xf numFmtId="49" fontId="29" fillId="9" borderId="0" xfId="4" applyNumberFormat="1" applyFont="1" applyFill="1" applyAlignment="1" applyProtection="1">
      <alignment horizontal="center" vertical="center" wrapText="1"/>
      <protection hidden="1"/>
    </xf>
    <xf numFmtId="0" fontId="29" fillId="9" borderId="0" xfId="4" applyFont="1" applyFill="1" applyAlignment="1" applyProtection="1">
      <alignment horizontal="center" vertical="center" wrapText="1"/>
      <protection hidden="1"/>
    </xf>
    <xf numFmtId="0" fontId="22" fillId="11" borderId="15" xfId="4" applyFont="1" applyFill="1" applyBorder="1" applyAlignment="1" applyProtection="1">
      <alignment horizontal="left" vertical="center"/>
      <protection hidden="1"/>
    </xf>
    <xf numFmtId="0" fontId="21" fillId="9" borderId="15" xfId="4" applyFont="1" applyFill="1" applyBorder="1" applyAlignment="1" applyProtection="1">
      <alignment horizontal="left" vertical="center"/>
      <protection hidden="1"/>
    </xf>
    <xf numFmtId="0" fontId="23" fillId="9" borderId="16" xfId="4" applyFont="1" applyFill="1" applyBorder="1" applyAlignment="1" applyProtection="1">
      <alignment horizontal="center" vertical="center"/>
      <protection hidden="1"/>
    </xf>
    <xf numFmtId="170" fontId="21" fillId="10" borderId="15" xfId="4" applyNumberFormat="1" applyFont="1" applyFill="1" applyBorder="1" applyAlignment="1" applyProtection="1">
      <alignment horizontal="right"/>
      <protection hidden="1"/>
    </xf>
    <xf numFmtId="170" fontId="23" fillId="9" borderId="15" xfId="4" applyNumberFormat="1" applyFont="1" applyFill="1" applyBorder="1" applyAlignment="1" applyProtection="1">
      <alignment horizontal="right"/>
      <protection hidden="1"/>
    </xf>
    <xf numFmtId="170" fontId="29" fillId="10" borderId="15" xfId="4" applyNumberFormat="1" applyFont="1" applyFill="1" applyBorder="1" applyProtection="1">
      <protection hidden="1"/>
    </xf>
    <xf numFmtId="49" fontId="22" fillId="11" borderId="15" xfId="4" applyNumberFormat="1" applyFont="1" applyFill="1" applyBorder="1" applyAlignment="1" applyProtection="1">
      <alignment horizontal="left" vertical="center"/>
      <protection hidden="1"/>
    </xf>
    <xf numFmtId="0" fontId="32" fillId="9" borderId="15" xfId="4" applyFont="1" applyFill="1" applyBorder="1" applyAlignment="1" applyProtection="1">
      <alignment horizontal="left" vertical="center"/>
      <protection hidden="1"/>
    </xf>
    <xf numFmtId="0" fontId="33" fillId="9" borderId="15" xfId="4" applyFont="1" applyFill="1" applyBorder="1" applyAlignment="1" applyProtection="1">
      <alignment horizontal="left" vertical="center"/>
      <protection hidden="1"/>
    </xf>
    <xf numFmtId="0" fontId="33" fillId="9" borderId="0" xfId="4" applyFont="1" applyFill="1" applyAlignment="1" applyProtection="1">
      <alignment horizontal="center" vertical="center"/>
      <protection hidden="1"/>
    </xf>
    <xf numFmtId="170" fontId="34" fillId="8" borderId="15" xfId="4" applyNumberFormat="1" applyFont="1" applyFill="1" applyBorder="1" applyProtection="1">
      <protection hidden="1"/>
    </xf>
    <xf numFmtId="49" fontId="23" fillId="9" borderId="15" xfId="4" applyNumberFormat="1" applyFont="1" applyFill="1" applyBorder="1" applyAlignment="1" applyProtection="1">
      <alignment horizontal="left" vertical="center"/>
      <protection hidden="1"/>
    </xf>
    <xf numFmtId="49" fontId="23" fillId="9" borderId="0" xfId="4" applyNumberFormat="1" applyFont="1" applyFill="1" applyAlignment="1" applyProtection="1">
      <alignment horizontal="center" vertical="center"/>
      <protection hidden="1"/>
    </xf>
    <xf numFmtId="170" fontId="34" fillId="19" borderId="15" xfId="4" applyNumberFormat="1" applyFont="1" applyFill="1" applyBorder="1" applyProtection="1">
      <protection hidden="1"/>
    </xf>
    <xf numFmtId="170" fontId="34" fillId="0" borderId="15" xfId="4" applyNumberFormat="1" applyFont="1" applyBorder="1" applyProtection="1">
      <protection hidden="1"/>
    </xf>
    <xf numFmtId="170" fontId="34" fillId="9" borderId="15" xfId="4" applyNumberFormat="1" applyFont="1" applyFill="1" applyBorder="1" applyProtection="1">
      <protection hidden="1"/>
    </xf>
    <xf numFmtId="49" fontId="23" fillId="18" borderId="15" xfId="4" applyNumberFormat="1" applyFont="1" applyFill="1" applyBorder="1" applyAlignment="1" applyProtection="1">
      <alignment horizontal="left" vertical="center"/>
      <protection hidden="1"/>
    </xf>
    <xf numFmtId="49" fontId="29" fillId="9" borderId="15" xfId="4" applyNumberFormat="1" applyFont="1" applyFill="1" applyBorder="1" applyAlignment="1" applyProtection="1">
      <alignment horizontal="center" vertical="center" wrapText="1"/>
      <protection hidden="1"/>
    </xf>
    <xf numFmtId="49" fontId="35" fillId="9" borderId="0" xfId="4" applyNumberFormat="1" applyFont="1" applyFill="1" applyAlignment="1" applyProtection="1">
      <alignment horizontal="center" vertical="center"/>
      <protection hidden="1"/>
    </xf>
    <xf numFmtId="0" fontId="36" fillId="9" borderId="0" xfId="4" applyFont="1" applyFill="1" applyAlignment="1" applyProtection="1">
      <alignment horizontal="center" vertical="center" wrapText="1"/>
      <protection hidden="1"/>
    </xf>
    <xf numFmtId="0" fontId="35" fillId="9" borderId="0" xfId="4" applyFont="1" applyFill="1" applyAlignment="1" applyProtection="1">
      <alignment horizontal="center" vertical="center"/>
      <protection hidden="1"/>
    </xf>
    <xf numFmtId="49" fontId="31" fillId="9" borderId="0" xfId="4" applyNumberFormat="1" applyFont="1" applyFill="1" applyAlignment="1" applyProtection="1">
      <alignment horizontal="left" vertical="top"/>
      <protection hidden="1"/>
    </xf>
    <xf numFmtId="170" fontId="24" fillId="8" borderId="15" xfId="4" applyNumberFormat="1" applyFont="1" applyFill="1" applyBorder="1" applyAlignment="1" applyProtection="1">
      <alignment wrapText="1"/>
      <protection hidden="1"/>
    </xf>
    <xf numFmtId="0" fontId="23" fillId="0" borderId="16" xfId="4" applyFont="1" applyBorder="1" applyAlignment="1" applyProtection="1">
      <alignment horizontal="center" vertical="center"/>
      <protection hidden="1"/>
    </xf>
    <xf numFmtId="0" fontId="23" fillId="0" borderId="15" xfId="4" applyFont="1" applyBorder="1" applyAlignment="1" applyProtection="1">
      <alignment horizontal="left" vertical="center"/>
      <protection hidden="1"/>
    </xf>
    <xf numFmtId="170" fontId="21" fillId="0" borderId="15" xfId="4" applyNumberFormat="1" applyFont="1" applyBorder="1" applyAlignment="1" applyProtection="1">
      <alignment horizontal="right"/>
      <protection hidden="1"/>
    </xf>
    <xf numFmtId="170" fontId="23" fillId="0" borderId="15" xfId="4" applyNumberFormat="1" applyFont="1" applyBorder="1" applyAlignment="1" applyProtection="1">
      <alignment horizontal="right"/>
      <protection hidden="1"/>
    </xf>
    <xf numFmtId="170" fontId="24" fillId="0" borderId="15" xfId="4" applyNumberFormat="1" applyFont="1" applyBorder="1" applyAlignment="1" applyProtection="1">
      <alignment horizontal="right"/>
      <protection hidden="1"/>
    </xf>
    <xf numFmtId="170" fontId="21" fillId="0" borderId="15" xfId="4" applyNumberFormat="1" applyFont="1" applyBorder="1" applyProtection="1">
      <protection hidden="1"/>
    </xf>
    <xf numFmtId="170" fontId="24" fillId="0" borderId="15" xfId="4" applyNumberFormat="1" applyFont="1" applyBorder="1" applyAlignment="1" applyProtection="1">
      <alignment horizontal="right" vertical="center"/>
      <protection hidden="1"/>
    </xf>
    <xf numFmtId="170" fontId="25" fillId="0" borderId="15" xfId="4" applyNumberFormat="1" applyFont="1" applyBorder="1" applyProtection="1">
      <protection hidden="1"/>
    </xf>
    <xf numFmtId="0" fontId="20" fillId="0" borderId="0" xfId="4" applyFont="1" applyAlignment="1" applyProtection="1">
      <alignment horizontal="left"/>
      <protection hidden="1"/>
    </xf>
    <xf numFmtId="0" fontId="21" fillId="0" borderId="15" xfId="4" applyFont="1" applyBorder="1" applyAlignment="1" applyProtection="1">
      <alignment horizontal="center" vertical="center" wrapText="1"/>
      <protection hidden="1"/>
    </xf>
    <xf numFmtId="0" fontId="37" fillId="20" borderId="15" xfId="4" applyFont="1" applyFill="1" applyBorder="1" applyAlignment="1" applyProtection="1">
      <alignment horizontal="left" vertical="center"/>
      <protection hidden="1"/>
    </xf>
    <xf numFmtId="49" fontId="37" fillId="20" borderId="15" xfId="4" applyNumberFormat="1" applyFont="1" applyFill="1" applyBorder="1" applyAlignment="1" applyProtection="1">
      <alignment horizontal="left" vertical="center"/>
      <protection hidden="1"/>
    </xf>
    <xf numFmtId="0" fontId="3" fillId="21" borderId="0" xfId="0" applyFont="1" applyFill="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7" fillId="0" borderId="0" xfId="0" applyFont="1" applyAlignment="1">
      <alignment horizontal="left" vertical="top" wrapText="1"/>
    </xf>
    <xf numFmtId="0" fontId="7" fillId="0" borderId="0" xfId="0" quotePrefix="1" applyFont="1" applyAlignment="1">
      <alignment horizontal="left" vertical="center" wrapText="1"/>
    </xf>
    <xf numFmtId="0" fontId="10" fillId="7" borderId="0" xfId="0" applyFont="1" applyFill="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left" vertical="center" wrapText="1"/>
    </xf>
    <xf numFmtId="0" fontId="7" fillId="0" borderId="0" xfId="0" applyFont="1" applyAlignment="1">
      <alignment vertical="center" wrapText="1"/>
    </xf>
    <xf numFmtId="0" fontId="0" fillId="0" borderId="0" xfId="0" applyAlignment="1">
      <alignment vertical="center" wrapText="1"/>
    </xf>
    <xf numFmtId="0" fontId="22" fillId="10" borderId="15" xfId="4" applyFont="1" applyFill="1" applyBorder="1" applyAlignment="1">
      <alignment horizontal="center" vertical="center" wrapText="1"/>
    </xf>
    <xf numFmtId="0" fontId="31" fillId="9" borderId="0" xfId="4" applyFont="1" applyFill="1" applyAlignment="1">
      <alignment horizontal="left" vertical="top"/>
    </xf>
    <xf numFmtId="0" fontId="22" fillId="10" borderId="15" xfId="4" applyFont="1" applyFill="1" applyBorder="1" applyAlignment="1" applyProtection="1">
      <alignment horizontal="center" vertical="center" wrapText="1"/>
      <protection hidden="1"/>
    </xf>
    <xf numFmtId="0" fontId="31" fillId="9" borderId="0" xfId="4" applyFont="1" applyFill="1" applyAlignment="1" applyProtection="1">
      <alignment horizontal="left" vertical="top"/>
      <protection hidden="1"/>
    </xf>
    <xf numFmtId="0" fontId="31" fillId="9" borderId="0" xfId="4" applyFont="1" applyFill="1" applyAlignment="1" applyProtection="1">
      <alignment horizontal="left" vertical="top" wrapText="1"/>
      <protection hidden="1"/>
    </xf>
    <xf numFmtId="0" fontId="38" fillId="7" borderId="0" xfId="0" applyFont="1" applyFill="1" applyAlignment="1">
      <alignment horizontal="center" vertical="center"/>
    </xf>
  </cellXfs>
  <cellStyles count="6">
    <cellStyle name="Comma 2" xfId="2" xr:uid="{C877C5E8-FCBF-114F-9ECB-F75EF7C9C0EB}"/>
    <cellStyle name="Milliers" xfId="3" builtinId="3"/>
    <cellStyle name="Milliers 2" xfId="5" xr:uid="{C98A9282-6AC5-784B-80AA-54BB74A59302}"/>
    <cellStyle name="Normal" xfId="0" builtinId="0"/>
    <cellStyle name="Normal 2" xfId="1" xr:uid="{6FC886D6-2077-B34D-B1DF-739B068A66D1}"/>
    <cellStyle name="Normal 3" xfId="4" xr:uid="{6BD57324-3FD5-D341-A299-730D14794802}"/>
  </cellStyles>
  <dxfs count="1">
    <dxf>
      <fill>
        <patternFill>
          <fgColor theme="5" tint="0.79998168889431442"/>
          <bgColor theme="5" tint="0.79998168889431442"/>
        </patternFill>
      </fill>
      <border>
        <top style="thin">
          <color theme="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80818</xdr:colOff>
      <xdr:row>0</xdr:row>
      <xdr:rowOff>34637</xdr:rowOff>
    </xdr:from>
    <xdr:to>
      <xdr:col>0</xdr:col>
      <xdr:colOff>1041499</xdr:colOff>
      <xdr:row>0</xdr:row>
      <xdr:rowOff>912092</xdr:rowOff>
    </xdr:to>
    <xdr:pic>
      <xdr:nvPicPr>
        <xdr:cNvPr id="4" name="Picture 5">
          <a:extLst>
            <a:ext uri="{FF2B5EF4-FFF2-40B4-BE49-F238E27FC236}">
              <a16:creationId xmlns:a16="http://schemas.microsoft.com/office/drawing/2014/main" id="{55C61324-E573-A246-9DC1-CC27AB5D3430}"/>
            </a:ext>
          </a:extLst>
        </xdr:cNvPr>
        <xdr:cNvPicPr>
          <a:picLocks noChangeAspect="1"/>
        </xdr:cNvPicPr>
      </xdr:nvPicPr>
      <xdr:blipFill>
        <a:blip xmlns:r="http://schemas.openxmlformats.org/officeDocument/2006/relationships" r:embed="rId1"/>
        <a:stretch>
          <a:fillRect/>
        </a:stretch>
      </xdr:blipFill>
      <xdr:spPr>
        <a:xfrm>
          <a:off x="80818" y="34637"/>
          <a:ext cx="960681" cy="8774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40404</xdr:colOff>
      <xdr:row>0</xdr:row>
      <xdr:rowOff>34635</xdr:rowOff>
    </xdr:from>
    <xdr:to>
      <xdr:col>0</xdr:col>
      <xdr:colOff>520744</xdr:colOff>
      <xdr:row>0</xdr:row>
      <xdr:rowOff>912090</xdr:rowOff>
    </xdr:to>
    <xdr:pic>
      <xdr:nvPicPr>
        <xdr:cNvPr id="2" name="Picture 5">
          <a:extLst>
            <a:ext uri="{FF2B5EF4-FFF2-40B4-BE49-F238E27FC236}">
              <a16:creationId xmlns:a16="http://schemas.microsoft.com/office/drawing/2014/main" id="{92CAA262-EE87-1645-B3B3-39A2AC20B813}"/>
            </a:ext>
          </a:extLst>
        </xdr:cNvPr>
        <xdr:cNvPicPr>
          <a:picLocks noChangeAspect="1"/>
        </xdr:cNvPicPr>
      </xdr:nvPicPr>
      <xdr:blipFill>
        <a:blip xmlns:r="http://schemas.openxmlformats.org/officeDocument/2006/relationships" r:embed="rId1"/>
        <a:stretch>
          <a:fillRect/>
        </a:stretch>
      </xdr:blipFill>
      <xdr:spPr>
        <a:xfrm>
          <a:off x="80808" y="34635"/>
          <a:ext cx="960680" cy="8774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126999</xdr:colOff>
      <xdr:row>0</xdr:row>
      <xdr:rowOff>42333</xdr:rowOff>
    </xdr:from>
    <xdr:to>
      <xdr:col>0</xdr:col>
      <xdr:colOff>1087680</xdr:colOff>
      <xdr:row>0</xdr:row>
      <xdr:rowOff>919788</xdr:rowOff>
    </xdr:to>
    <xdr:pic>
      <xdr:nvPicPr>
        <xdr:cNvPr id="3" name="Picture 5">
          <a:extLst>
            <a:ext uri="{FF2B5EF4-FFF2-40B4-BE49-F238E27FC236}">
              <a16:creationId xmlns:a16="http://schemas.microsoft.com/office/drawing/2014/main" id="{CC4A8B9D-07C1-B441-8116-3363078844BB}"/>
            </a:ext>
          </a:extLst>
        </xdr:cNvPr>
        <xdr:cNvPicPr>
          <a:picLocks noChangeAspect="1"/>
        </xdr:cNvPicPr>
      </xdr:nvPicPr>
      <xdr:blipFill>
        <a:blip xmlns:r="http://schemas.openxmlformats.org/officeDocument/2006/relationships" r:embed="rId1"/>
        <a:stretch>
          <a:fillRect/>
        </a:stretch>
      </xdr:blipFill>
      <xdr:spPr>
        <a:xfrm>
          <a:off x="126999" y="42333"/>
          <a:ext cx="960681" cy="8774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1104900</xdr:colOff>
      <xdr:row>18</xdr:row>
      <xdr:rowOff>9525</xdr:rowOff>
    </xdr:from>
    <xdr:to>
      <xdr:col>8</xdr:col>
      <xdr:colOff>352425</xdr:colOff>
      <xdr:row>21</xdr:row>
      <xdr:rowOff>28575</xdr:rowOff>
    </xdr:to>
    <xdr:sp macro="" textlink="">
      <xdr:nvSpPr>
        <xdr:cNvPr id="2" name="ZoneTexte 1">
          <a:extLst>
            <a:ext uri="{FF2B5EF4-FFF2-40B4-BE49-F238E27FC236}">
              <a16:creationId xmlns:a16="http://schemas.microsoft.com/office/drawing/2014/main" id="{165597CE-A185-B347-9697-FDC40820F39F}"/>
            </a:ext>
          </a:extLst>
        </xdr:cNvPr>
        <xdr:cNvSpPr txBox="1"/>
      </xdr:nvSpPr>
      <xdr:spPr>
        <a:xfrm>
          <a:off x="3352800" y="3667125"/>
          <a:ext cx="3705225" cy="628650"/>
        </a:xfrm>
        <a:prstGeom prst="rect">
          <a:avLst/>
        </a:prstGeom>
        <a:solidFill>
          <a:schemeClr val="lt1"/>
        </a:solidFill>
        <a:ln w="41275" cmpd="thickThin">
          <a:solidFill>
            <a:srgbClr val="86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600" b="1">
              <a:solidFill>
                <a:srgbClr val="860000"/>
              </a:solidFill>
              <a:latin typeface="Calibri" panose="020F0502020204030204" pitchFamily="34" charset="0"/>
              <a:cs typeface="Calibri" panose="020F0502020204030204" pitchFamily="34" charset="0"/>
              <a:sym typeface="Wingdings" panose="05000000000000000000" pitchFamily="2" charset="2"/>
            </a:rPr>
            <a:t>→ </a:t>
          </a:r>
          <a:r>
            <a:rPr lang="fr-FR" sz="1600" b="1">
              <a:solidFill>
                <a:srgbClr val="860000"/>
              </a:solidFill>
            </a:rPr>
            <a:t>Sélectionner</a:t>
          </a:r>
          <a:r>
            <a:rPr lang="fr-FR" sz="1600" b="1" baseline="0">
              <a:solidFill>
                <a:srgbClr val="860000"/>
              </a:solidFill>
            </a:rPr>
            <a:t> la juridiction souhaitée à partir du menu déroulant qui se trouve dans la cellule D5 identifiée en orange.</a:t>
          </a:r>
          <a:endParaRPr lang="fr-FR" sz="1600" b="1">
            <a:solidFill>
              <a:srgbClr val="860000"/>
            </a:solidFill>
          </a:endParaRPr>
        </a:p>
      </xdr:txBody>
    </xdr:sp>
    <xdr:clientData/>
  </xdr:twoCellAnchor>
  <xdr:twoCellAnchor editAs="oneCell">
    <xdr:from>
      <xdr:col>3</xdr:col>
      <xdr:colOff>88900</xdr:colOff>
      <xdr:row>0</xdr:row>
      <xdr:rowOff>55033</xdr:rowOff>
    </xdr:from>
    <xdr:to>
      <xdr:col>3</xdr:col>
      <xdr:colOff>1049581</xdr:colOff>
      <xdr:row>0</xdr:row>
      <xdr:rowOff>932488</xdr:rowOff>
    </xdr:to>
    <xdr:pic>
      <xdr:nvPicPr>
        <xdr:cNvPr id="3" name="Picture 5">
          <a:extLst>
            <a:ext uri="{FF2B5EF4-FFF2-40B4-BE49-F238E27FC236}">
              <a16:creationId xmlns:a16="http://schemas.microsoft.com/office/drawing/2014/main" id="{94C05814-536A-084A-B3F3-D787AC3C965E}"/>
            </a:ext>
          </a:extLst>
        </xdr:cNvPr>
        <xdr:cNvPicPr>
          <a:picLocks noChangeAspect="1"/>
        </xdr:cNvPicPr>
      </xdr:nvPicPr>
      <xdr:blipFill>
        <a:blip xmlns:r="http://schemas.openxmlformats.org/officeDocument/2006/relationships" r:embed="rId1"/>
        <a:stretch>
          <a:fillRect/>
        </a:stretch>
      </xdr:blipFill>
      <xdr:spPr>
        <a:xfrm>
          <a:off x="88900" y="55033"/>
          <a:ext cx="960681" cy="87745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17</xdr:row>
      <xdr:rowOff>0</xdr:rowOff>
    </xdr:from>
    <xdr:to>
      <xdr:col>8</xdr:col>
      <xdr:colOff>619125</xdr:colOff>
      <xdr:row>20</xdr:row>
      <xdr:rowOff>19050</xdr:rowOff>
    </xdr:to>
    <xdr:sp macro="" textlink="">
      <xdr:nvSpPr>
        <xdr:cNvPr id="2" name="ZoneTexte 1">
          <a:extLst>
            <a:ext uri="{FF2B5EF4-FFF2-40B4-BE49-F238E27FC236}">
              <a16:creationId xmlns:a16="http://schemas.microsoft.com/office/drawing/2014/main" id="{72CDB3F0-2DFC-FF47-B1E8-25B894C7E119}"/>
            </a:ext>
          </a:extLst>
        </xdr:cNvPr>
        <xdr:cNvSpPr txBox="1"/>
      </xdr:nvSpPr>
      <xdr:spPr>
        <a:xfrm>
          <a:off x="4191000" y="3454400"/>
          <a:ext cx="3133725" cy="628650"/>
        </a:xfrm>
        <a:prstGeom prst="rect">
          <a:avLst/>
        </a:prstGeom>
        <a:solidFill>
          <a:schemeClr val="lt1"/>
        </a:solidFill>
        <a:ln w="41275" cmpd="thickThin">
          <a:solidFill>
            <a:srgbClr val="86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600" b="1">
              <a:solidFill>
                <a:srgbClr val="860000"/>
              </a:solidFill>
              <a:latin typeface="Calibri" panose="020F0502020204030204" pitchFamily="34" charset="0"/>
              <a:cs typeface="Calibri" panose="020F0502020204030204" pitchFamily="34" charset="0"/>
              <a:sym typeface="Wingdings" panose="05000000000000000000" pitchFamily="2" charset="2"/>
            </a:rPr>
            <a:t>→ </a:t>
          </a:r>
          <a:r>
            <a:rPr lang="fr-FR" sz="1600" b="1">
              <a:solidFill>
                <a:srgbClr val="860000"/>
              </a:solidFill>
            </a:rPr>
            <a:t>Sélectionner</a:t>
          </a:r>
          <a:r>
            <a:rPr lang="fr-FR" sz="1600" b="1" baseline="0">
              <a:solidFill>
                <a:srgbClr val="860000"/>
              </a:solidFill>
            </a:rPr>
            <a:t> la juridiction souhaitée à partir du menu déroulant qui se trouve dans la cellule D5 identifiée en orange.</a:t>
          </a:r>
          <a:endParaRPr lang="fr-FR" sz="1600" b="1">
            <a:solidFill>
              <a:srgbClr val="860000"/>
            </a:solidFill>
          </a:endParaRPr>
        </a:p>
      </xdr:txBody>
    </xdr:sp>
    <xdr:clientData/>
  </xdr:twoCellAnchor>
  <xdr:twoCellAnchor editAs="oneCell">
    <xdr:from>
      <xdr:col>3</xdr:col>
      <xdr:colOff>88900</xdr:colOff>
      <xdr:row>0</xdr:row>
      <xdr:rowOff>55033</xdr:rowOff>
    </xdr:from>
    <xdr:to>
      <xdr:col>4</xdr:col>
      <xdr:colOff>211381</xdr:colOff>
      <xdr:row>0</xdr:row>
      <xdr:rowOff>932488</xdr:rowOff>
    </xdr:to>
    <xdr:pic>
      <xdr:nvPicPr>
        <xdr:cNvPr id="3" name="Picture 5">
          <a:extLst>
            <a:ext uri="{FF2B5EF4-FFF2-40B4-BE49-F238E27FC236}">
              <a16:creationId xmlns:a16="http://schemas.microsoft.com/office/drawing/2014/main" id="{CB6F3F4A-57CD-7847-B40E-26FCFBF9CD22}"/>
            </a:ext>
          </a:extLst>
        </xdr:cNvPr>
        <xdr:cNvPicPr>
          <a:picLocks noChangeAspect="1"/>
        </xdr:cNvPicPr>
      </xdr:nvPicPr>
      <xdr:blipFill>
        <a:blip xmlns:r="http://schemas.openxmlformats.org/officeDocument/2006/relationships" r:embed="rId1"/>
        <a:stretch>
          <a:fillRect/>
        </a:stretch>
      </xdr:blipFill>
      <xdr:spPr>
        <a:xfrm>
          <a:off x="88900" y="55033"/>
          <a:ext cx="960681" cy="87745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15</xdr:row>
      <xdr:rowOff>0</xdr:rowOff>
    </xdr:from>
    <xdr:to>
      <xdr:col>8</xdr:col>
      <xdr:colOff>619125</xdr:colOff>
      <xdr:row>18</xdr:row>
      <xdr:rowOff>19050</xdr:rowOff>
    </xdr:to>
    <xdr:sp macro="" textlink="">
      <xdr:nvSpPr>
        <xdr:cNvPr id="2" name="ZoneTexte 1">
          <a:extLst>
            <a:ext uri="{FF2B5EF4-FFF2-40B4-BE49-F238E27FC236}">
              <a16:creationId xmlns:a16="http://schemas.microsoft.com/office/drawing/2014/main" id="{75E1B697-6749-8E4B-A844-46BAAAADE9C5}"/>
            </a:ext>
          </a:extLst>
        </xdr:cNvPr>
        <xdr:cNvSpPr txBox="1"/>
      </xdr:nvSpPr>
      <xdr:spPr>
        <a:xfrm>
          <a:off x="4191000" y="3048000"/>
          <a:ext cx="3133725" cy="628650"/>
        </a:xfrm>
        <a:prstGeom prst="rect">
          <a:avLst/>
        </a:prstGeom>
        <a:solidFill>
          <a:schemeClr val="lt1"/>
        </a:solidFill>
        <a:ln w="41275" cmpd="thickThin">
          <a:solidFill>
            <a:srgbClr val="86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600" b="1">
              <a:solidFill>
                <a:srgbClr val="860000"/>
              </a:solidFill>
              <a:latin typeface="Calibri" panose="020F0502020204030204" pitchFamily="34" charset="0"/>
              <a:cs typeface="Calibri" panose="020F0502020204030204" pitchFamily="34" charset="0"/>
              <a:sym typeface="Wingdings" panose="05000000000000000000" pitchFamily="2" charset="2"/>
            </a:rPr>
            <a:t>→ </a:t>
          </a:r>
          <a:r>
            <a:rPr lang="fr-FR" sz="1600" b="1">
              <a:solidFill>
                <a:srgbClr val="860000"/>
              </a:solidFill>
            </a:rPr>
            <a:t>Sélectionner</a:t>
          </a:r>
          <a:r>
            <a:rPr lang="fr-FR" sz="1600" b="1" baseline="0">
              <a:solidFill>
                <a:srgbClr val="860000"/>
              </a:solidFill>
            </a:rPr>
            <a:t> la juridiction souhaitée à partir du menu déroulant qui se trouve dans la cellule D5 identifiée en orange.</a:t>
          </a:r>
          <a:endParaRPr lang="fr-FR" sz="1600" b="1">
            <a:solidFill>
              <a:srgbClr val="860000"/>
            </a:solidFill>
          </a:endParaRPr>
        </a:p>
      </xdr:txBody>
    </xdr:sp>
    <xdr:clientData/>
  </xdr:twoCellAnchor>
  <xdr:twoCellAnchor editAs="oneCell">
    <xdr:from>
      <xdr:col>3</xdr:col>
      <xdr:colOff>88900</xdr:colOff>
      <xdr:row>0</xdr:row>
      <xdr:rowOff>55033</xdr:rowOff>
    </xdr:from>
    <xdr:to>
      <xdr:col>4</xdr:col>
      <xdr:colOff>20881</xdr:colOff>
      <xdr:row>0</xdr:row>
      <xdr:rowOff>932488</xdr:rowOff>
    </xdr:to>
    <xdr:pic>
      <xdr:nvPicPr>
        <xdr:cNvPr id="3" name="Picture 5">
          <a:extLst>
            <a:ext uri="{FF2B5EF4-FFF2-40B4-BE49-F238E27FC236}">
              <a16:creationId xmlns:a16="http://schemas.microsoft.com/office/drawing/2014/main" id="{8DBCC5E3-38D9-8842-9253-F2769D5458D5}"/>
            </a:ext>
          </a:extLst>
        </xdr:cNvPr>
        <xdr:cNvPicPr>
          <a:picLocks noChangeAspect="1"/>
        </xdr:cNvPicPr>
      </xdr:nvPicPr>
      <xdr:blipFill>
        <a:blip xmlns:r="http://schemas.openxmlformats.org/officeDocument/2006/relationships" r:embed="rId1"/>
        <a:stretch>
          <a:fillRect/>
        </a:stretch>
      </xdr:blipFill>
      <xdr:spPr>
        <a:xfrm>
          <a:off x="88900" y="55033"/>
          <a:ext cx="960681" cy="877455"/>
        </a:xfrm>
        <a:prstGeom prst="rect">
          <a:avLst/>
        </a:prstGeom>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06A55-5422-5B42-B9B4-A00444FB459D}">
  <sheetPr codeName="Feuil21">
    <tabColor rgb="FF002060"/>
  </sheetPr>
  <dimension ref="A1:K19"/>
  <sheetViews>
    <sheetView showGridLines="0" tabSelected="1" zoomScale="92" zoomScaleNormal="110" workbookViewId="0">
      <selection activeCell="A19" sqref="A19"/>
    </sheetView>
  </sheetViews>
  <sheetFormatPr baseColWidth="10" defaultRowHeight="15" x14ac:dyDescent="0.2"/>
  <cols>
    <col min="1" max="1" width="8.1640625" style="23" customWidth="1"/>
    <col min="2" max="2" width="7.33203125" style="23" customWidth="1"/>
    <col min="3" max="9" width="10.83203125" style="23"/>
    <col min="10" max="10" width="71.1640625" style="23" customWidth="1"/>
    <col min="11" max="16384" width="10.83203125" style="23"/>
  </cols>
  <sheetData>
    <row r="1" spans="1:11" s="28" customFormat="1" ht="27" customHeight="1" x14ac:dyDescent="0.2">
      <c r="A1" s="202" t="s">
        <v>34</v>
      </c>
      <c r="B1" s="203"/>
      <c r="C1" s="203"/>
      <c r="D1" s="203"/>
      <c r="E1" s="203"/>
      <c r="F1" s="203"/>
      <c r="G1" s="203"/>
      <c r="H1" s="203"/>
      <c r="I1" s="203"/>
      <c r="J1" s="203"/>
      <c r="K1" s="28" t="s">
        <v>0</v>
      </c>
    </row>
    <row r="2" spans="1:11" s="10" customFormat="1" ht="30.75" customHeight="1" x14ac:dyDescent="0.2">
      <c r="A2" s="29" t="s">
        <v>7</v>
      </c>
      <c r="B2" s="204" t="s">
        <v>35</v>
      </c>
      <c r="C2" s="204"/>
      <c r="D2" s="204"/>
      <c r="E2" s="204"/>
      <c r="F2" s="204"/>
      <c r="G2" s="204"/>
      <c r="H2" s="204"/>
      <c r="I2" s="204"/>
      <c r="J2" s="204"/>
      <c r="K2" s="10" t="s">
        <v>0</v>
      </c>
    </row>
    <row r="3" spans="1:11" s="10" customFormat="1" ht="42" customHeight="1" x14ac:dyDescent="0.2">
      <c r="A3" s="29"/>
      <c r="B3" s="30" t="s">
        <v>36</v>
      </c>
      <c r="C3" s="200" t="s">
        <v>37</v>
      </c>
      <c r="D3" s="200"/>
      <c r="E3" s="200"/>
      <c r="F3" s="200"/>
      <c r="G3" s="200"/>
      <c r="H3" s="200"/>
      <c r="I3" s="200"/>
      <c r="J3" s="200"/>
      <c r="K3" s="10" t="s">
        <v>0</v>
      </c>
    </row>
    <row r="4" spans="1:11" s="10" customFormat="1" ht="42" customHeight="1" x14ac:dyDescent="0.2">
      <c r="A4" s="29"/>
      <c r="B4" s="30" t="s">
        <v>38</v>
      </c>
      <c r="C4" s="200" t="s">
        <v>39</v>
      </c>
      <c r="D4" s="200"/>
      <c r="E4" s="200"/>
      <c r="F4" s="200"/>
      <c r="G4" s="200"/>
      <c r="H4" s="200"/>
      <c r="I4" s="200"/>
      <c r="J4" s="200"/>
      <c r="K4" s="10" t="s">
        <v>0</v>
      </c>
    </row>
    <row r="5" spans="1:11" s="10" customFormat="1" ht="43" customHeight="1" x14ac:dyDescent="0.2">
      <c r="A5" s="29"/>
      <c r="B5" s="30" t="s">
        <v>40</v>
      </c>
      <c r="C5" s="200" t="s">
        <v>41</v>
      </c>
      <c r="D5" s="200"/>
      <c r="E5" s="200"/>
      <c r="F5" s="200"/>
      <c r="G5" s="200"/>
      <c r="H5" s="200"/>
      <c r="I5" s="200"/>
      <c r="J5" s="200"/>
      <c r="K5" s="10" t="s">
        <v>0</v>
      </c>
    </row>
    <row r="6" spans="1:11" s="10" customFormat="1" ht="37" customHeight="1" x14ac:dyDescent="0.2">
      <c r="A6" s="30" t="s">
        <v>9</v>
      </c>
      <c r="B6" s="200" t="s">
        <v>42</v>
      </c>
      <c r="C6" s="200"/>
      <c r="D6" s="200"/>
      <c r="E6" s="200"/>
      <c r="F6" s="200"/>
      <c r="G6" s="200"/>
      <c r="H6" s="200"/>
      <c r="I6" s="200"/>
      <c r="J6" s="200"/>
      <c r="K6" s="10" t="s">
        <v>0</v>
      </c>
    </row>
    <row r="7" spans="1:11" s="10" customFormat="1" ht="27" customHeight="1" x14ac:dyDescent="0.2">
      <c r="A7" s="29"/>
      <c r="B7" s="204" t="s">
        <v>43</v>
      </c>
      <c r="C7" s="204"/>
      <c r="D7" s="204"/>
      <c r="E7" s="204"/>
      <c r="F7" s="204"/>
      <c r="G7" s="204"/>
      <c r="H7" s="204"/>
      <c r="I7" s="204"/>
      <c r="J7" s="204"/>
      <c r="K7" s="10" t="s">
        <v>0</v>
      </c>
    </row>
    <row r="8" spans="1:11" s="10" customFormat="1" ht="27" customHeight="1" x14ac:dyDescent="0.2">
      <c r="B8" s="201" t="s">
        <v>44</v>
      </c>
      <c r="C8" s="201"/>
      <c r="D8" s="201"/>
      <c r="E8" s="201"/>
      <c r="F8" s="201"/>
      <c r="G8" s="201"/>
      <c r="H8" s="201"/>
      <c r="I8" s="201"/>
      <c r="J8" s="201"/>
      <c r="K8" s="10" t="s">
        <v>0</v>
      </c>
    </row>
    <row r="9" spans="1:11" s="10" customFormat="1" ht="27" customHeight="1" x14ac:dyDescent="0.2">
      <c r="B9" s="201" t="s">
        <v>8</v>
      </c>
      <c r="C9" s="201"/>
      <c r="D9" s="201"/>
      <c r="E9" s="201"/>
      <c r="F9" s="201"/>
      <c r="G9" s="201"/>
      <c r="H9" s="201"/>
      <c r="I9" s="201"/>
      <c r="J9" s="201"/>
      <c r="K9" s="10" t="s">
        <v>0</v>
      </c>
    </row>
    <row r="10" spans="1:11" s="10" customFormat="1" ht="27" customHeight="1" x14ac:dyDescent="0.2">
      <c r="B10" s="201" t="s">
        <v>45</v>
      </c>
      <c r="C10" s="201"/>
      <c r="D10" s="201"/>
      <c r="E10" s="201"/>
      <c r="F10" s="201"/>
      <c r="G10" s="201"/>
      <c r="H10" s="201"/>
      <c r="I10" s="201"/>
      <c r="J10" s="201"/>
      <c r="K10" s="10" t="s">
        <v>0</v>
      </c>
    </row>
    <row r="11" spans="1:11" s="10" customFormat="1" ht="27" customHeight="1" x14ac:dyDescent="0.2">
      <c r="B11" s="201" t="s">
        <v>46</v>
      </c>
      <c r="C11" s="201"/>
      <c r="D11" s="201"/>
      <c r="E11" s="201"/>
      <c r="F11" s="201"/>
      <c r="G11" s="201"/>
      <c r="H11" s="201"/>
      <c r="I11" s="201"/>
      <c r="J11" s="201"/>
      <c r="K11" s="10" t="s">
        <v>0</v>
      </c>
    </row>
    <row r="12" spans="1:11" s="10" customFormat="1" ht="27" customHeight="1" x14ac:dyDescent="0.2">
      <c r="A12" s="29" t="s">
        <v>10</v>
      </c>
      <c r="B12" s="205" t="s">
        <v>47</v>
      </c>
      <c r="C12" s="206"/>
      <c r="D12" s="206"/>
      <c r="E12" s="206"/>
      <c r="F12" s="206"/>
      <c r="G12" s="206"/>
      <c r="H12" s="206"/>
      <c r="I12" s="206"/>
      <c r="J12" s="206"/>
      <c r="K12" s="10" t="s">
        <v>0</v>
      </c>
    </row>
    <row r="13" spans="1:11" s="10" customFormat="1" ht="34.5" customHeight="1" x14ac:dyDescent="0.2">
      <c r="B13" s="30" t="s">
        <v>11</v>
      </c>
      <c r="C13" s="200" t="s">
        <v>48</v>
      </c>
      <c r="D13" s="200"/>
      <c r="E13" s="200"/>
      <c r="F13" s="200"/>
      <c r="G13" s="200"/>
      <c r="H13" s="200"/>
      <c r="I13" s="200"/>
      <c r="J13" s="200"/>
      <c r="K13" s="10" t="s">
        <v>0</v>
      </c>
    </row>
    <row r="14" spans="1:11" s="10" customFormat="1" ht="56" customHeight="1" x14ac:dyDescent="0.2">
      <c r="B14" s="30" t="s">
        <v>12</v>
      </c>
      <c r="C14" s="200" t="s">
        <v>49</v>
      </c>
      <c r="D14" s="200"/>
      <c r="E14" s="200"/>
      <c r="F14" s="200"/>
      <c r="G14" s="200"/>
      <c r="H14" s="200"/>
      <c r="I14" s="200"/>
      <c r="J14" s="200"/>
      <c r="K14" s="10" t="s">
        <v>0</v>
      </c>
    </row>
    <row r="15" spans="1:11" s="10" customFormat="1" ht="48" customHeight="1" x14ac:dyDescent="0.2">
      <c r="B15" s="30" t="s">
        <v>13</v>
      </c>
      <c r="C15" s="200" t="s">
        <v>50</v>
      </c>
      <c r="D15" s="200"/>
      <c r="E15" s="200"/>
      <c r="F15" s="200"/>
      <c r="G15" s="200"/>
      <c r="H15" s="200"/>
      <c r="I15" s="200"/>
      <c r="J15" s="200"/>
      <c r="K15" s="10" t="s">
        <v>0</v>
      </c>
    </row>
    <row r="16" spans="1:11" s="10" customFormat="1" ht="38.25" customHeight="1" x14ac:dyDescent="0.2">
      <c r="A16" s="30" t="s">
        <v>14</v>
      </c>
      <c r="B16" s="200" t="s">
        <v>51</v>
      </c>
      <c r="C16" s="200"/>
      <c r="D16" s="200"/>
      <c r="E16" s="200"/>
      <c r="F16" s="200"/>
      <c r="G16" s="200"/>
      <c r="H16" s="200"/>
      <c r="I16" s="200"/>
      <c r="J16" s="200"/>
      <c r="K16" s="10" t="s">
        <v>0</v>
      </c>
    </row>
    <row r="17" spans="1:11" ht="16" x14ac:dyDescent="0.2">
      <c r="K17" s="23" t="s">
        <v>0</v>
      </c>
    </row>
    <row r="18" spans="1:11" s="28" customFormat="1" ht="27" customHeight="1" x14ac:dyDescent="0.2">
      <c r="A18" s="202" t="s">
        <v>52</v>
      </c>
      <c r="B18" s="203"/>
      <c r="C18" s="203"/>
      <c r="D18" s="203"/>
      <c r="E18" s="203"/>
      <c r="F18" s="203"/>
      <c r="G18" s="203"/>
      <c r="H18" s="203"/>
      <c r="I18" s="203"/>
      <c r="J18" s="203"/>
      <c r="K18" s="28" t="s">
        <v>0</v>
      </c>
    </row>
    <row r="19" spans="1:11" x14ac:dyDescent="0.2">
      <c r="A19" s="23" t="s">
        <v>15</v>
      </c>
    </row>
  </sheetData>
  <mergeCells count="17">
    <mergeCell ref="A18:J18"/>
    <mergeCell ref="A1:J1"/>
    <mergeCell ref="B2:J2"/>
    <mergeCell ref="C3:J3"/>
    <mergeCell ref="C4:J4"/>
    <mergeCell ref="C5:J5"/>
    <mergeCell ref="B6:J6"/>
    <mergeCell ref="C15:J15"/>
    <mergeCell ref="B16:J16"/>
    <mergeCell ref="B8:J8"/>
    <mergeCell ref="B9:J9"/>
    <mergeCell ref="B10:J10"/>
    <mergeCell ref="B11:J11"/>
    <mergeCell ref="C13:J13"/>
    <mergeCell ref="C14:J14"/>
    <mergeCell ref="B12:J12"/>
    <mergeCell ref="B7:J7"/>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DF550-3CE0-D840-A4B2-BC367E623A92}">
  <sheetPr codeName="Feuil10">
    <tabColor rgb="FFFFC000"/>
  </sheetPr>
  <dimension ref="A1:AI19"/>
  <sheetViews>
    <sheetView zoomScale="62" zoomScaleNormal="100" workbookViewId="0">
      <pane xSplit="6" ySplit="1" topLeftCell="AE2" activePane="bottomRight" state="frozen"/>
      <selection pane="topRight" activeCell="G1" sqref="G1"/>
      <selection pane="bottomLeft" activeCell="A2" sqref="A2"/>
      <selection pane="bottomRight" activeCell="K10" sqref="K10"/>
    </sheetView>
  </sheetViews>
  <sheetFormatPr baseColWidth="10" defaultColWidth="11" defaultRowHeight="16" x14ac:dyDescent="0.2"/>
  <cols>
    <col min="1" max="3" width="11" style="110" hidden="1" customWidth="1"/>
    <col min="4" max="5" width="11" style="110"/>
    <col min="6" max="6" width="46.33203125" style="110" bestFit="1" customWidth="1"/>
    <col min="7" max="16384" width="11" style="110"/>
  </cols>
  <sheetData>
    <row r="1" spans="1:35" x14ac:dyDescent="0.2">
      <c r="A1" s="211" t="s">
        <v>509</v>
      </c>
      <c r="B1" s="211"/>
      <c r="C1" s="211"/>
      <c r="D1" s="211"/>
      <c r="E1" s="211"/>
      <c r="F1" s="211"/>
      <c r="G1" s="211"/>
      <c r="H1" s="211"/>
      <c r="I1" s="114"/>
      <c r="J1" s="114"/>
      <c r="K1" s="114"/>
      <c r="L1" s="114"/>
      <c r="M1" s="114"/>
      <c r="N1" s="114"/>
      <c r="O1" s="192"/>
      <c r="P1" s="192"/>
      <c r="Q1" s="114"/>
      <c r="R1" s="114"/>
      <c r="S1" s="114"/>
      <c r="T1" s="114"/>
      <c r="U1" s="114"/>
      <c r="V1" s="114"/>
      <c r="W1" s="114"/>
      <c r="X1" s="114"/>
      <c r="Y1" s="114"/>
      <c r="Z1" s="114"/>
      <c r="AA1" s="114"/>
      <c r="AB1" s="192"/>
      <c r="AC1" s="192"/>
      <c r="AD1" s="114"/>
      <c r="AE1" s="114"/>
      <c r="AF1" s="114"/>
      <c r="AG1" s="114"/>
      <c r="AH1" s="114"/>
      <c r="AI1" s="114"/>
    </row>
    <row r="2" spans="1:35" x14ac:dyDescent="0.2">
      <c r="A2" s="160"/>
      <c r="B2" s="160"/>
      <c r="C2" s="160"/>
      <c r="D2" s="160"/>
      <c r="E2" s="160"/>
      <c r="F2" s="160"/>
      <c r="G2" s="157" t="s">
        <v>464</v>
      </c>
      <c r="H2" s="209" t="s">
        <v>463</v>
      </c>
      <c r="I2" s="157" t="s">
        <v>462</v>
      </c>
      <c r="J2" s="157" t="s">
        <v>462</v>
      </c>
      <c r="K2" s="157" t="s">
        <v>462</v>
      </c>
      <c r="L2" s="157" t="s">
        <v>462</v>
      </c>
      <c r="M2" s="157" t="s">
        <v>462</v>
      </c>
      <c r="N2" s="157" t="s">
        <v>462</v>
      </c>
      <c r="O2" s="193" t="s">
        <v>462</v>
      </c>
      <c r="P2" s="193" t="s">
        <v>462</v>
      </c>
      <c r="Q2" s="157" t="s">
        <v>462</v>
      </c>
      <c r="R2" s="157" t="s">
        <v>462</v>
      </c>
      <c r="S2" s="209" t="s">
        <v>461</v>
      </c>
      <c r="T2" s="157" t="s">
        <v>178</v>
      </c>
      <c r="U2" s="209" t="s">
        <v>460</v>
      </c>
      <c r="V2" s="157" t="s">
        <v>459</v>
      </c>
      <c r="W2" s="157" t="s">
        <v>459</v>
      </c>
      <c r="X2" s="157" t="s">
        <v>459</v>
      </c>
      <c r="Y2" s="157" t="s">
        <v>459</v>
      </c>
      <c r="Z2" s="157" t="s">
        <v>459</v>
      </c>
      <c r="AA2" s="157" t="s">
        <v>459</v>
      </c>
      <c r="AB2" s="193" t="s">
        <v>459</v>
      </c>
      <c r="AC2" s="193" t="s">
        <v>459</v>
      </c>
      <c r="AD2" s="157" t="s">
        <v>459</v>
      </c>
      <c r="AE2" s="209" t="s">
        <v>508</v>
      </c>
      <c r="AF2" s="157" t="s">
        <v>507</v>
      </c>
      <c r="AG2" s="157" t="s">
        <v>507</v>
      </c>
      <c r="AH2" s="157" t="s">
        <v>507</v>
      </c>
      <c r="AI2" s="209" t="s">
        <v>506</v>
      </c>
    </row>
    <row r="3" spans="1:35" ht="36" x14ac:dyDescent="0.2">
      <c r="A3" s="160"/>
      <c r="B3" s="160"/>
      <c r="C3" s="160"/>
      <c r="D3" s="160"/>
      <c r="E3" s="160"/>
      <c r="F3" s="160"/>
      <c r="G3" s="157" t="s">
        <v>453</v>
      </c>
      <c r="H3" s="209"/>
      <c r="I3" s="157" t="s">
        <v>505</v>
      </c>
      <c r="J3" s="157" t="s">
        <v>504</v>
      </c>
      <c r="K3" s="157" t="s">
        <v>503</v>
      </c>
      <c r="L3" s="157" t="s">
        <v>502</v>
      </c>
      <c r="M3" s="157" t="s">
        <v>501</v>
      </c>
      <c r="N3" s="157" t="s">
        <v>500</v>
      </c>
      <c r="O3" s="193" t="s">
        <v>499</v>
      </c>
      <c r="P3" s="193" t="s">
        <v>498</v>
      </c>
      <c r="Q3" s="157" t="s">
        <v>497</v>
      </c>
      <c r="R3" s="157" t="s">
        <v>440</v>
      </c>
      <c r="S3" s="209"/>
      <c r="T3" s="157" t="s">
        <v>437</v>
      </c>
      <c r="U3" s="209"/>
      <c r="V3" s="157" t="s">
        <v>496</v>
      </c>
      <c r="W3" s="157" t="s">
        <v>495</v>
      </c>
      <c r="X3" s="157" t="s">
        <v>494</v>
      </c>
      <c r="Y3" s="157" t="s">
        <v>493</v>
      </c>
      <c r="Z3" s="157" t="s">
        <v>492</v>
      </c>
      <c r="AA3" s="157" t="s">
        <v>491</v>
      </c>
      <c r="AB3" s="193" t="s">
        <v>490</v>
      </c>
      <c r="AC3" s="193" t="s">
        <v>489</v>
      </c>
      <c r="AD3" s="157" t="s">
        <v>488</v>
      </c>
      <c r="AE3" s="209"/>
      <c r="AF3" s="157" t="s">
        <v>487</v>
      </c>
      <c r="AG3" s="157" t="s">
        <v>423</v>
      </c>
      <c r="AH3" s="157" t="s">
        <v>417</v>
      </c>
      <c r="AI3" s="209"/>
    </row>
    <row r="4" spans="1:35" ht="60" x14ac:dyDescent="0.2">
      <c r="A4" s="160"/>
      <c r="B4" s="158" t="s">
        <v>407</v>
      </c>
      <c r="C4" s="158" t="s">
        <v>406</v>
      </c>
      <c r="D4" s="158" t="s">
        <v>59</v>
      </c>
      <c r="E4" s="158" t="s">
        <v>405</v>
      </c>
      <c r="F4" s="158" t="s">
        <v>404</v>
      </c>
      <c r="G4" s="157" t="s">
        <v>403</v>
      </c>
      <c r="H4" s="209"/>
      <c r="I4" s="157" t="s">
        <v>486</v>
      </c>
      <c r="J4" s="157" t="s">
        <v>485</v>
      </c>
      <c r="K4" s="157" t="s">
        <v>484</v>
      </c>
      <c r="L4" s="157" t="s">
        <v>483</v>
      </c>
      <c r="M4" s="157" t="s">
        <v>482</v>
      </c>
      <c r="N4" s="157" t="s">
        <v>481</v>
      </c>
      <c r="O4" s="193" t="s">
        <v>480</v>
      </c>
      <c r="P4" s="193" t="s">
        <v>479</v>
      </c>
      <c r="Q4" s="157" t="s">
        <v>478</v>
      </c>
      <c r="R4" s="157" t="s">
        <v>389</v>
      </c>
      <c r="S4" s="209"/>
      <c r="T4" s="157" t="s">
        <v>385</v>
      </c>
      <c r="U4" s="209"/>
      <c r="V4" s="157" t="s">
        <v>477</v>
      </c>
      <c r="W4" s="157" t="s">
        <v>476</v>
      </c>
      <c r="X4" s="157" t="s">
        <v>475</v>
      </c>
      <c r="Y4" s="157" t="s">
        <v>474</v>
      </c>
      <c r="Z4" s="157" t="s">
        <v>473</v>
      </c>
      <c r="AA4" s="157" t="s">
        <v>472</v>
      </c>
      <c r="AB4" s="193" t="s">
        <v>471</v>
      </c>
      <c r="AC4" s="193" t="s">
        <v>470</v>
      </c>
      <c r="AD4" s="157" t="s">
        <v>469</v>
      </c>
      <c r="AE4" s="209"/>
      <c r="AF4" s="157" t="s">
        <v>468</v>
      </c>
      <c r="AG4" s="157" t="s">
        <v>370</v>
      </c>
      <c r="AH4" s="157" t="s">
        <v>364</v>
      </c>
      <c r="AI4" s="209"/>
    </row>
    <row r="5" spans="1:35" x14ac:dyDescent="0.2">
      <c r="A5" s="163" t="s">
        <v>467</v>
      </c>
      <c r="B5" s="135"/>
      <c r="C5" s="135"/>
      <c r="D5" s="151">
        <f>ETPT_TPRX_DDG!$D$5</f>
        <v>0</v>
      </c>
      <c r="E5" s="135" t="s">
        <v>354</v>
      </c>
      <c r="F5" s="135" t="s">
        <v>353</v>
      </c>
      <c r="G5" s="139">
        <f>SUMIFS( INDEX( 'ETPT Format DDG'!$A:$EF,,MATCH("Temps ventilés sur la période (contentieux civils et sociaux)",'ETPT Format DDG'!2:2,0)),'ETPT Format DDG'!$C:$C,$D$5,'ETPT Format DDG'!$EA:$EA,"Fonctionnaire CTECH")</f>
        <v>0</v>
      </c>
      <c r="H5" s="164">
        <f t="shared" ref="H5:H15" si="0">SUM(G5)</f>
        <v>0</v>
      </c>
      <c r="I5" s="165"/>
      <c r="J5" s="131" t="e">
        <f>SUMIFS( INDEX( 'ETPT Format DDG'!$A:$EF,,MATCH("3.43. INJONCTIONS DE PAYER",'ETPT Format DDG'!2:2,0)),'ETPT Format DDG'!$C:$C,$D$5,'ETPT Format DDG'!$EA:$EA,"Fonctionnaire A-B-CBUR")+
SUMIFS( INDEX( 'ETPT Format DDG'!$A:$EF,,MATCH("3.44. SAISIE DES RÉMUNÉRATIONS",'ETPT Format DDG'!2:2,0)),'ETPT Format DDG'!$C:$C,$D$5,'ETPT Format DDG'!$EA:$EA,"Fonctionnaire A-B-CBUR")</f>
        <v>#N/A</v>
      </c>
      <c r="K5" s="131" t="e">
        <f>SUMIFS( INDEX( 'ETPT Format DDG'!$A:$EF,,MATCH("3. TOTAL CONTENTIEUX DE LA PROTECTION",'ETPT Format DDG'!2:2,0)),'ETPT Format DDG'!$C:$C,$D$5,'ETPT Format DDG'!$EA:$EA,"Fonctionnaire A-B-CBUR")-
SUMIFS( INDEX( 'ETPT Format DDG'!$A:$EF,,MATCH("3.2. PROTECTION DES MAJEURS",'ETPT Format DDG'!2:2,0)),'ETPT Format DDG'!$C:$C,$D$5,'ETPT Format DDG'!$EA:$EA,"Fonctionnaire A-B-CBUR")-
SUMIFS( INDEX( 'ETPT Format DDG'!$A:$EF,,MATCH("3.43. INJONCTIONS DE PAYER",'ETPT Format DDG'!2:2,0)),'ETPT Format DDG'!$C:$C,$D$5,'ETPT Format DDG'!$EA:$EA,"Fonctionnaire A-B-CBUR")-
SUMIFS( INDEX( 'ETPT Format DDG'!$A:$EF,,MATCH("3.44. SAISIE DES RÉMUNÉRATIONS",'ETPT Format DDG'!2:2,0)),'ETPT Format DDG'!$C:$C,$D$5,'ETPT Format DDG'!$EA:$EA,"Fonctionnaire A-B-CBUR")</f>
        <v>#N/A</v>
      </c>
      <c r="L5" s="131" t="e">
        <f>SUMIFS( INDEX( 'ETPT Format DDG'!$A:$EF,,MATCH("3.2. PROTECTION DES MAJEURS",'ETPT Format DDG'!2:2,0)),'ETPT Format DDG'!$C:$C,$D$5,'ETPT Format DDG'!$EA:$EA,"Fonctionnaire A-B-CBUR")</f>
        <v>#N/A</v>
      </c>
      <c r="M5" s="126" t="e">
        <f>SUMIFS( INDEX( 'ETPT Format DDG'!$A:$EF,,MATCH("2. TOTAL CONTENTIEUX JAF",'ETPT Format DDG'!2:2,0)),'ETPT Format DDG'!$C:$C,$D$5,'ETPT Format DDG'!$EA:$EA,"Fonctionnaire A-B-CBUR")-
SUMIFS( INDEX( 'ETPT Format DDG'!$A:$EF,,MATCH("2.7. TUTELLES MINEURS",'ETPT Format DDG'!2:2,0)),'ETPT Format DDG'!$C:$C,$D$5,'ETPT Format DDG'!$EA:$EA,"Fonctionnaire A-B-CBUR")</f>
        <v>#N/A</v>
      </c>
      <c r="N5" s="126" t="e">
        <f>SUMIFS( INDEX( 'ETPT Format DDG'!$A:$EF,,MATCH("2.7. TUTELLES MINEURS",'ETPT Format DDG'!2:2,0)),'ETPT Format DDG'!$C:$C,$D$5,'ETPT Format DDG'!$EA:$EA,"Fonctionnaire A-B-CBUR")</f>
        <v>#N/A</v>
      </c>
      <c r="O5" s="127"/>
      <c r="P5" s="127"/>
      <c r="Q5" s="136"/>
      <c r="R5" s="126" t="e">
        <f>SUMIFS( INDEX( 'ETPT Format DDG'!$A:$EF,,MATCH("Temps ventilés sur la période (contentieux civils et sociaux)",'ETPT Format DDG'!2:2,0)),'ETPT Format DDG'!$C:$C,$D$5,'ETPT Format DDG'!$EA:$EA,"Fonctionnaire A-B-CBUR")-SUM(I5:Q5)</f>
        <v>#N/A</v>
      </c>
      <c r="S5" s="119" t="e">
        <f t="shared" ref="S5:S15" si="1">SUM(I5:R5)</f>
        <v>#N/A</v>
      </c>
      <c r="T5" s="149">
        <f>SUMIFS( INDEX( 'ETPT Format DDG'!$A:$EF,,MATCH("Temps ventilés sur la période (contentieux civils et sociaux)",'ETPT Format DDG'!2:2,0)),'ETPT Format DDG'!$C:$C,$D$5,'ETPT Format DDG'!$EA:$EA,"JURISTE AS siège Autres")</f>
        <v>0</v>
      </c>
      <c r="U5" s="119">
        <f t="shared" ref="U5:U15" si="2">SUM(T5)</f>
        <v>0</v>
      </c>
      <c r="V5" s="130"/>
      <c r="W5" s="131" t="e">
        <f>SUMIFS( INDEX( 'ETPT Format DDG'!$A:$EF,,MATCH("3.43. INJONCTIONS DE PAYER",'ETPT Format DDG'!2:2,0)),'ETPT Format DDG'!$C:$C,$D$5,'ETPT Format DDG'!$EA:$EA,"Magistrat SIEGE S")+
SUMIFS( INDEX( 'ETPT Format DDG'!$A:$EF,,MATCH("3.44. SAISIE DES RÉMUNÉRATIONS",'ETPT Format DDG'!2:2,0)),'ETPT Format DDG'!$C:$C,$D$5,'ETPT Format DDG'!$EA:$EA,"Magistrat SIEGE S")</f>
        <v>#N/A</v>
      </c>
      <c r="X5" s="131" t="e">
        <f>SUMIFS( INDEX( 'ETPT Format DDG'!$A:$EF,,MATCH("3. TOTAL CONTENTIEUX DE LA PROTECTION",'ETPT Format DDG'!2:2,0)),'ETPT Format DDG'!$C:$C,$D$5,'ETPT Format DDG'!$EA:$EA,"Magistrat SIEGE S")-
SUMIFS( INDEX( 'ETPT Format DDG'!$A:$EF,,MATCH("3.2. PROTECTION DES MAJEURS",'ETPT Format DDG'!2:2,0)),'ETPT Format DDG'!$C:$C,$D$5,'ETPT Format DDG'!$EA:$EA,"Magistrat SIEGE S")-
SUMIFS( INDEX( 'ETPT Format DDG'!$A:$EF,,MATCH("3.43. INJONCTIONS DE PAYER",'ETPT Format DDG'!2:2,0)),'ETPT Format DDG'!$C:$C,$D$5,'ETPT Format DDG'!$EA:$EA,"Magistrat SIEGE S")-
SUMIFS( INDEX( 'ETPT Format DDG'!$A:$EF,,MATCH("3.44. SAISIE DES RÉMUNÉRATIONS",'ETPT Format DDG'!2:2,0)),'ETPT Format DDG'!$C:$C,$D$5,'ETPT Format DDG'!$EA:$EA,"Magistrat SIEGE S")</f>
        <v>#N/A</v>
      </c>
      <c r="Y5" s="131" t="e">
        <f>SUMIFS( INDEX( 'ETPT Format DDG'!$A:$EF,,MATCH("3.2. PROTECTION DES MAJEURS",'ETPT Format DDG'!2:2,0)),'ETPT Format DDG'!$C:$C,$D$5,'ETPT Format DDG'!$EA:$EA,"Magistrat SIEGE S")</f>
        <v>#N/A</v>
      </c>
      <c r="Z5" s="126" t="e">
        <f>SUMIFS( INDEX( 'ETPT Format DDG'!$A:$EF,,MATCH("2. TOTAL CONTENTIEUX JAF",'ETPT Format DDG'!2:2,0)),'ETPT Format DDG'!$C:$C,$D$5,'ETPT Format DDG'!$EA:$EA,"Magistrat SIEGE S")-
SUMIFS( INDEX( 'ETPT Format DDG'!$A:$EF,,MATCH("2.7. TUTELLES MINEURS",'ETPT Format DDG'!2:2,0)),'ETPT Format DDG'!$C:$C,$D$5,'ETPT Format DDG'!$EA:$EA,"Magistrat SIEGE S")</f>
        <v>#N/A</v>
      </c>
      <c r="AA5" s="126" t="e">
        <f>SUMIFS( INDEX( 'ETPT Format DDG'!$A:$EF,,MATCH("2.7. TUTELLES MINEURS",'ETPT Format DDG'!2:2,0)),'ETPT Format DDG'!$C:$C,$D$5,'ETPT Format DDG'!$EA:$EA,"Magistrat SIEGE S")</f>
        <v>#N/A</v>
      </c>
      <c r="AB5" s="127"/>
      <c r="AC5" s="127"/>
      <c r="AD5" s="127"/>
      <c r="AE5" s="164" t="e">
        <f t="shared" ref="AE5:AE15" si="3">SUM(V5:AD5)</f>
        <v>#N/A</v>
      </c>
      <c r="AF5" s="127"/>
      <c r="AG5" s="126" t="e">
        <f>SUMIFS( INDEX( 'ETPT Format DDG'!$A:$EF,,MATCH("1.1. DÉPARTAGE PRUD'HOMAL",'ETPT Format DDG'!2:2,0)),'ETPT Format DDG'!$C:$C,$D$5,'ETPT Format DDG'!$EA:$EA,"Magistrat SIEGE S")</f>
        <v>#N/A</v>
      </c>
      <c r="AH5" s="126" t="e">
        <f>SUMIFS( INDEX( 'ETPT Format DDG'!$A:$EF,,MATCH("Temps ventilés sur la période (contentieux civils et sociaux)",'ETPT Format DDG'!2:2,0)),'ETPT Format DDG'!$C:$C,$D$5,'ETPT Format DDG'!$EA:$EA,"Magistrat SIEGE S")-SUM(V5:AD5)-AF5-AG5</f>
        <v>#N/A</v>
      </c>
      <c r="AI5" s="164" t="e">
        <f t="shared" ref="AI5:AI15" si="4">SUM(AF5:AH5)</f>
        <v>#N/A</v>
      </c>
    </row>
    <row r="6" spans="1:35" x14ac:dyDescent="0.2">
      <c r="A6" s="184" t="s">
        <v>467</v>
      </c>
      <c r="B6" s="185"/>
      <c r="C6" s="185"/>
      <c r="D6" s="185">
        <f t="shared" ref="D6:D15" si="5">$D$5</f>
        <v>0</v>
      </c>
      <c r="E6" s="185" t="s">
        <v>339</v>
      </c>
      <c r="F6" s="185" t="s">
        <v>338</v>
      </c>
      <c r="G6" s="142"/>
      <c r="H6" s="186">
        <f t="shared" si="0"/>
        <v>0</v>
      </c>
      <c r="I6" s="187"/>
      <c r="J6" s="127"/>
      <c r="K6" s="127"/>
      <c r="L6" s="127"/>
      <c r="M6" s="127"/>
      <c r="N6" s="188"/>
      <c r="O6" s="127"/>
      <c r="P6" s="127"/>
      <c r="Q6" s="127"/>
      <c r="R6" s="188"/>
      <c r="S6" s="189">
        <f t="shared" si="1"/>
        <v>0</v>
      </c>
      <c r="T6" s="190"/>
      <c r="U6" s="189">
        <f t="shared" si="2"/>
        <v>0</v>
      </c>
      <c r="V6" s="191"/>
      <c r="W6" s="127"/>
      <c r="X6" s="127"/>
      <c r="Y6" s="127"/>
      <c r="Z6" s="127"/>
      <c r="AA6" s="127"/>
      <c r="AB6" s="127"/>
      <c r="AC6" s="127"/>
      <c r="AD6" s="127"/>
      <c r="AE6" s="186">
        <f t="shared" si="3"/>
        <v>0</v>
      </c>
      <c r="AF6" s="127"/>
      <c r="AG6" s="127"/>
      <c r="AH6" s="127"/>
      <c r="AI6" s="186">
        <f t="shared" si="4"/>
        <v>0</v>
      </c>
    </row>
    <row r="7" spans="1:35" x14ac:dyDescent="0.2">
      <c r="A7" s="163" t="s">
        <v>467</v>
      </c>
      <c r="B7" s="135"/>
      <c r="C7" s="135"/>
      <c r="D7" s="135">
        <f t="shared" si="5"/>
        <v>0</v>
      </c>
      <c r="E7" s="135" t="s">
        <v>312</v>
      </c>
      <c r="F7" s="135" t="s">
        <v>311</v>
      </c>
      <c r="G7" s="142"/>
      <c r="H7" s="164">
        <f t="shared" si="0"/>
        <v>0</v>
      </c>
      <c r="I7" s="165"/>
      <c r="J7" s="136"/>
      <c r="K7" s="136"/>
      <c r="L7" s="136"/>
      <c r="M7" s="136"/>
      <c r="N7" s="140"/>
      <c r="O7" s="127"/>
      <c r="P7" s="127"/>
      <c r="Q7" s="136"/>
      <c r="R7" s="136"/>
      <c r="S7" s="119">
        <f t="shared" si="1"/>
        <v>0</v>
      </c>
      <c r="T7" s="129"/>
      <c r="U7" s="119">
        <f t="shared" si="2"/>
        <v>0</v>
      </c>
      <c r="V7" s="130"/>
      <c r="W7" s="136"/>
      <c r="X7" s="136"/>
      <c r="Y7" s="136"/>
      <c r="Z7" s="136"/>
      <c r="AA7" s="136"/>
      <c r="AB7" s="127"/>
      <c r="AC7" s="127"/>
      <c r="AD7" s="127"/>
      <c r="AE7" s="164">
        <f t="shared" si="3"/>
        <v>0</v>
      </c>
      <c r="AF7" s="136"/>
      <c r="AG7" s="136"/>
      <c r="AH7" s="136"/>
      <c r="AI7" s="164">
        <f t="shared" si="4"/>
        <v>0</v>
      </c>
    </row>
    <row r="8" spans="1:35" x14ac:dyDescent="0.2">
      <c r="A8" s="163" t="s">
        <v>467</v>
      </c>
      <c r="B8" s="135"/>
      <c r="C8" s="135"/>
      <c r="D8" s="135">
        <f t="shared" si="5"/>
        <v>0</v>
      </c>
      <c r="E8" s="135" t="s">
        <v>304</v>
      </c>
      <c r="F8" s="135" t="s">
        <v>303</v>
      </c>
      <c r="G8" s="139" t="e">
        <f>SUMIFS( INDEX( 'ETPT Format DDG'!$A:$EF,,MATCH("11.51. ACCUEIL DU JUSTICIABLE (DONT SAUJ)",'ETPT Format DDG'!2:2,0)),'ETPT Format DDG'!$C:$C,$D$5,'ETPT Format DDG'!$EA:$EA,"Fonctionnaire CTECH")</f>
        <v>#N/A</v>
      </c>
      <c r="H8" s="164" t="e">
        <f t="shared" si="0"/>
        <v>#N/A</v>
      </c>
      <c r="I8" s="165"/>
      <c r="J8" s="136"/>
      <c r="K8" s="136"/>
      <c r="L8" s="136"/>
      <c r="M8" s="136"/>
      <c r="N8" s="140"/>
      <c r="O8" s="127"/>
      <c r="P8" s="127"/>
      <c r="Q8" s="136"/>
      <c r="R8" s="131" t="e">
        <f>SUMIFS( INDEX( 'ETPT Format DDG'!$A:$EF,,MATCH("11.51. ACCUEIL DU JUSTICIABLE (DONT SAUJ)",'ETPT Format DDG'!2:2,0)),'ETPT Format DDG'!$C:$C,$D$5,'ETPT Format DDG'!$EA:$EA,"Fonctionnaire A-B-CBUR")</f>
        <v>#N/A</v>
      </c>
      <c r="S8" s="119" t="e">
        <f t="shared" si="1"/>
        <v>#N/A</v>
      </c>
      <c r="T8" s="138" t="e">
        <f>SUMIFS( INDEX( 'ETPT Format DDG'!$A:$EF,,MATCH("11.51. ACCUEIL DU JUSTICIABLE (DONT SAUJ)",'ETPT Format DDG'!2:2,0)),'ETPT Format DDG'!$C:$C,$D$5,'ETPT Format DDG'!$EA:$EA,"JURISTE AS siège Autres")</f>
        <v>#N/A</v>
      </c>
      <c r="U8" s="119" t="e">
        <f t="shared" si="2"/>
        <v>#N/A</v>
      </c>
      <c r="V8" s="130"/>
      <c r="W8" s="136"/>
      <c r="X8" s="136"/>
      <c r="Y8" s="136"/>
      <c r="Z8" s="136"/>
      <c r="AA8" s="136"/>
      <c r="AB8" s="127"/>
      <c r="AC8" s="127"/>
      <c r="AD8" s="127"/>
      <c r="AE8" s="164">
        <f t="shared" si="3"/>
        <v>0</v>
      </c>
      <c r="AF8" s="136"/>
      <c r="AG8" s="136"/>
      <c r="AH8" s="131" t="e">
        <f>SUMIFS( INDEX( 'ETPT Format DDG'!$A:$EF,,MATCH("11.51. ACCUEIL DU JUSTICIABLE (DONT SAUJ)",'ETPT Format DDG'!2:2,0)),'ETPT Format DDG'!$C:$C,$D$5,'ETPT Format DDG'!$EA:$EA,"Magistrat SIEGE S")</f>
        <v>#N/A</v>
      </c>
      <c r="AI8" s="164" t="e">
        <f t="shared" si="4"/>
        <v>#N/A</v>
      </c>
    </row>
    <row r="9" spans="1:35" x14ac:dyDescent="0.2">
      <c r="A9" s="163" t="s">
        <v>467</v>
      </c>
      <c r="B9" s="135"/>
      <c r="C9" s="135"/>
      <c r="D9" s="135">
        <f t="shared" si="5"/>
        <v>0</v>
      </c>
      <c r="E9" s="135" t="s">
        <v>301</v>
      </c>
      <c r="F9" s="135" t="s">
        <v>300</v>
      </c>
      <c r="G9" s="139" t="e">
        <f>SUMIFS( INDEX( 'ETPT Format DDG'!$A:$EF,,MATCH("11.1. SOUTIEN (HORS FORMATIONS SUIVIES)",'ETPT Format DDG'!2:2,0)),'ETPT Format DDG'!$C:$C,$D$5,'ETPT Format DDG'!$EA:$EA,"Fonctionnaire CTECH")+
SUMIFS( INDEX( 'ETPT Format DDG'!$A:$EF,,MATCH("11.2. FORMATIONS SUIVIES",'ETPT Format DDG'!2:2,0)),'ETPT Format DDG'!$C:$C,$D$5,'ETPT Format DDG'!$EA:$EA,"Fonctionnaire CTECH")+
SUMIFS( INDEX( 'ETPT Format DDG'!$A:$EF,,MATCH("11.6. AUTRES ACTIVITÉS NON JURIDICTIONNELLES",'ETPT Format DDG'!2:2,0)),'ETPT Format DDG'!$C:$C,$D$5,'ETPT Format DDG'!$EA:$EA,"Fonctionnaire CTECH")</f>
        <v>#N/A</v>
      </c>
      <c r="H9" s="164" t="e">
        <f t="shared" si="0"/>
        <v>#N/A</v>
      </c>
      <c r="I9" s="165"/>
      <c r="J9" s="136"/>
      <c r="K9" s="136"/>
      <c r="L9" s="136"/>
      <c r="M9" s="136"/>
      <c r="N9" s="140"/>
      <c r="O9" s="127"/>
      <c r="P9" s="127"/>
      <c r="Q9" s="136"/>
      <c r="R9" s="131" t="e">
        <f>SUMIFS( INDEX( 'ETPT Format DDG'!$A:$EF,,MATCH("11.1. SOUTIEN (HORS FORMATIONS SUIVIES)",'ETPT Format DDG'!2:2,0)),'ETPT Format DDG'!$C:$C,$D$5,'ETPT Format DDG'!$EA:$EA,"Fonctionnaire A-B-CBUR")+
SUMIFS( INDEX( 'ETPT Format DDG'!$A:$EF,,MATCH("11.2. FORMATIONS SUIVIES",'ETPT Format DDG'!2:2,0)),'ETPT Format DDG'!$C:$C,$D$5,'ETPT Format DDG'!$EA:$EA,"Fonctionnaire A-B-CBUR")+
SUMIFS( INDEX( 'ETPT Format DDG'!$A:$EF,,MATCH("11.6. AUTRES ACTIVITÉS NON JURIDICTIONNELLES",'ETPT Format DDG'!2:2,0)),'ETPT Format DDG'!$C:$C,$D$5,'ETPT Format DDG'!$EA:$EA,"Fonctionnaire A-B-CBUR")+
SUMIFS( INDEX( 'ETPT Format DDG'!$A:$EF,,MATCH("Temps ventilé sur la période (y.c. indisponibilité)",'ETPT Format DDG'!2:2,0)),'ETPT Format DDG'!$C:$C,$D$5,'ETPT Format DDG'!$EA:$EA,"CONT A JP Greffe")</f>
        <v>#N/A</v>
      </c>
      <c r="S9" s="119" t="e">
        <f t="shared" si="1"/>
        <v>#N/A</v>
      </c>
      <c r="T9" s="138" t="e">
        <f>SUMIFS( INDEX( 'ETPT Format DDG'!$A:$EF,,MATCH("11.1. SOUTIEN (HORS FORMATIONS SUIVIES)",'ETPT Format DDG'!2:2,0)),'ETPT Format DDG'!$C:$C,$D$5,'ETPT Format DDG'!$EA:$EA,"JURISTE AS siège Autres")+
SUMIFS( INDEX( 'ETPT Format DDG'!$A:$EF,,MATCH("11.2. FORMATIONS SUIVIES",'ETPT Format DDG'!2:2,0)),'ETPT Format DDG'!$C:$C,$D$5,'ETPT Format DDG'!$EA:$EA,"JURISTE AS siège Autres")+
SUMIFS( INDEX( 'ETPT Format DDG'!$A:$EF,,MATCH("11.6. AUTRES ACTIVITÉS NON JURIDICTIONNELLES",'ETPT Format DDG'!2:2,0)),'ETPT Format DDG'!$C:$C,$D$5,'ETPT Format DDG'!$EA:$EA,"JURISTE AS siège Autres")</f>
        <v>#N/A</v>
      </c>
      <c r="U9" s="119" t="e">
        <f t="shared" si="2"/>
        <v>#N/A</v>
      </c>
      <c r="V9" s="130"/>
      <c r="W9" s="136"/>
      <c r="X9" s="136"/>
      <c r="Y9" s="136"/>
      <c r="Z9" s="136"/>
      <c r="AA9" s="136"/>
      <c r="AB9" s="127"/>
      <c r="AC9" s="127"/>
      <c r="AD9" s="127"/>
      <c r="AE9" s="164">
        <f t="shared" si="3"/>
        <v>0</v>
      </c>
      <c r="AF9" s="136"/>
      <c r="AG9" s="136"/>
      <c r="AH9" s="131" t="e">
        <f>SUMIFS( INDEX( 'ETPT Format DDG'!$A:$EF,,MATCH("11.1. SOUTIEN (HORS FORMATIONS SUIVIES)",'ETPT Format DDG'!2:2,0)),'ETPT Format DDG'!$C:$C,$D$5,'ETPT Format DDG'!$EA:$EA,"Magistrat SIEGE S")+
SUMIFS( INDEX( 'ETPT Format DDG'!$A:$EF,,MATCH("11.2. FORMATIONS SUIVIES",'ETPT Format DDG'!2:2,0)),'ETPT Format DDG'!$C:$C,$D$5,'ETPT Format DDG'!$EA:$EA,"Magistrat SIEGE S")+
SUMIFS( INDEX( 'ETPT Format DDG'!$A:$EF,,MATCH("11.6. AUTRES ACTIVITÉS NON JURIDICTIONNELLES",'ETPT Format DDG'!2:2,0)),'ETPT Format DDG'!$C:$C,$D$5,'ETPT Format DDG'!$EA:$EA,"Magistrat SIEGE S")</f>
        <v>#N/A</v>
      </c>
      <c r="AI9" s="164" t="e">
        <f t="shared" si="4"/>
        <v>#N/A</v>
      </c>
    </row>
    <row r="10" spans="1:35" x14ac:dyDescent="0.2">
      <c r="A10" s="163" t="s">
        <v>467</v>
      </c>
      <c r="B10" s="135"/>
      <c r="C10" s="135"/>
      <c r="D10" s="135">
        <f t="shared" si="5"/>
        <v>0</v>
      </c>
      <c r="E10" s="135" t="s">
        <v>291</v>
      </c>
      <c r="F10" s="135" t="s">
        <v>290</v>
      </c>
      <c r="G10" s="139" t="e">
        <f>SUMIFS( INDEX( 'ETPT Format DDG'!$A:$EF,,MATCH("11.3. FORMATIONS DISPENSÉES",'ETPT Format DDG'!2:2,0)),'ETPT Format DDG'!$C:$C,$D$5,'ETPT Format DDG'!$EA:$EA,"Fonctionnaire CTECH")</f>
        <v>#N/A</v>
      </c>
      <c r="H10" s="164" t="e">
        <f t="shared" si="0"/>
        <v>#N/A</v>
      </c>
      <c r="I10" s="165"/>
      <c r="J10" s="136"/>
      <c r="K10" s="136"/>
      <c r="L10" s="136"/>
      <c r="M10" s="136"/>
      <c r="N10" s="140"/>
      <c r="O10" s="127"/>
      <c r="P10" s="127"/>
      <c r="Q10" s="136"/>
      <c r="R10" s="131" t="e">
        <f>SUMIFS( INDEX( 'ETPT Format DDG'!$A:$EF,,MATCH("11.3. FORMATIONS DISPENSÉES",'ETPT Format DDG'!2:2,0)),'ETPT Format DDG'!$C:$C,$D$5,'ETPT Format DDG'!$EA:$EA,"Fonctionnaire A-B-CBUR")</f>
        <v>#N/A</v>
      </c>
      <c r="S10" s="119" t="e">
        <f t="shared" si="1"/>
        <v>#N/A</v>
      </c>
      <c r="T10" s="138" t="e">
        <f>SUMIFS( INDEX( 'ETPT Format DDG'!$A:$EF,,MATCH("11.3. FORMATIONS DISPENSÉES",'ETPT Format DDG'!2:2,0)),'ETPT Format DDG'!$C:$C,$D$5,'ETPT Format DDG'!$EA:$EA,"JURISTE AS siège Autres")</f>
        <v>#N/A</v>
      </c>
      <c r="U10" s="119" t="e">
        <f t="shared" si="2"/>
        <v>#N/A</v>
      </c>
      <c r="V10" s="130"/>
      <c r="W10" s="136"/>
      <c r="X10" s="136"/>
      <c r="Y10" s="136"/>
      <c r="Z10" s="136"/>
      <c r="AA10" s="136"/>
      <c r="AB10" s="127"/>
      <c r="AC10" s="127"/>
      <c r="AD10" s="127"/>
      <c r="AE10" s="164">
        <f t="shared" si="3"/>
        <v>0</v>
      </c>
      <c r="AF10" s="136"/>
      <c r="AG10" s="136"/>
      <c r="AH10" s="131" t="e">
        <f>SUMIFS( INDEX( 'ETPT Format DDG'!$A:$EF,,MATCH("11.3. FORMATIONS DISPENSÉES",'ETPT Format DDG'!2:2,0)),'ETPT Format DDG'!$C:$C,$D$5,'ETPT Format DDG'!$EA:$EA,"Magistrat SIEGE S")</f>
        <v>#N/A</v>
      </c>
      <c r="AI10" s="164" t="e">
        <f t="shared" si="4"/>
        <v>#N/A</v>
      </c>
    </row>
    <row r="11" spans="1:35" x14ac:dyDescent="0.2">
      <c r="A11" s="163" t="s">
        <v>467</v>
      </c>
      <c r="B11" s="135"/>
      <c r="C11" s="135"/>
      <c r="D11" s="135">
        <f t="shared" si="5"/>
        <v>0</v>
      </c>
      <c r="E11" s="135" t="s">
        <v>282</v>
      </c>
      <c r="F11" s="135" t="s">
        <v>281</v>
      </c>
      <c r="G11" s="139" t="e">
        <f>SUMIFS( INDEX( 'ETPT Format DDG'!$A:$EF,,MATCH("11.4. ACCÈS AU DROIT ET À LA JUSTICE",'ETPT Format DDG'!2:2,0)),'ETPT Format DDG'!$C:$C,$D$5,'ETPT Format DDG'!$EA:$EA,"Fonctionnaire CTECH")</f>
        <v>#N/A</v>
      </c>
      <c r="H11" s="164" t="e">
        <f t="shared" si="0"/>
        <v>#N/A</v>
      </c>
      <c r="I11" s="165"/>
      <c r="J11" s="136"/>
      <c r="K11" s="136"/>
      <c r="L11" s="136"/>
      <c r="M11" s="136"/>
      <c r="N11" s="140"/>
      <c r="O11" s="127"/>
      <c r="P11" s="127"/>
      <c r="Q11" s="136"/>
      <c r="R11" s="131" t="e">
        <f>SUMIFS( INDEX( 'ETPT Format DDG'!$A:$EF,,MATCH("11.4. ACCÈS AU DROIT ET À LA JUSTICE",'ETPT Format DDG'!2:2,0)),'ETPT Format DDG'!$C:$C,$D$5,'ETPT Format DDG'!$EA:$EA,"Fonctionnaire A-B-CBUR")</f>
        <v>#N/A</v>
      </c>
      <c r="S11" s="119" t="e">
        <f t="shared" si="1"/>
        <v>#N/A</v>
      </c>
      <c r="T11" s="138" t="e">
        <f>SUMIFS( INDEX( 'ETPT Format DDG'!$A:$EF,,MATCH("11.4. ACCÈS AU DROIT ET À LA JUSTICE",'ETPT Format DDG'!2:2,0)),'ETPT Format DDG'!$C:$C,$D$5,'ETPT Format DDG'!$EA:$EA,"JURISTE AS siège Autres")</f>
        <v>#N/A</v>
      </c>
      <c r="U11" s="119" t="e">
        <f t="shared" si="2"/>
        <v>#N/A</v>
      </c>
      <c r="V11" s="130"/>
      <c r="W11" s="136"/>
      <c r="X11" s="136"/>
      <c r="Y11" s="136"/>
      <c r="Z11" s="136"/>
      <c r="AA11" s="136"/>
      <c r="AB11" s="127"/>
      <c r="AC11" s="127"/>
      <c r="AD11" s="127"/>
      <c r="AE11" s="164">
        <f t="shared" si="3"/>
        <v>0</v>
      </c>
      <c r="AF11" s="136"/>
      <c r="AG11" s="136"/>
      <c r="AH11" s="131" t="e">
        <f>SUMIFS( INDEX( 'ETPT Format DDG'!$A:$EF,,MATCH("11.4. ACCÈS AU DROIT ET À LA JUSTICE",'ETPT Format DDG'!2:2,0)),'ETPT Format DDG'!$C:$C,$D$5,'ETPT Format DDG'!$EA:$EA,"Magistrat SIEGE S")</f>
        <v>#N/A</v>
      </c>
      <c r="AI11" s="164" t="e">
        <f t="shared" si="4"/>
        <v>#N/A</v>
      </c>
    </row>
    <row r="12" spans="1:35" x14ac:dyDescent="0.2">
      <c r="A12" s="163" t="s">
        <v>467</v>
      </c>
      <c r="B12" s="135"/>
      <c r="C12" s="135"/>
      <c r="D12" s="135">
        <f t="shared" si="5"/>
        <v>0</v>
      </c>
      <c r="E12" s="135" t="s">
        <v>273</v>
      </c>
      <c r="F12" s="135" t="s">
        <v>272</v>
      </c>
      <c r="G12" s="139" t="e">
        <f>SUMIFS( INDEX( 'ETPT Format DDG'!$A:$EF,,MATCH("12. TOTAL INDISPONIBILITÉ",'ETPT Format DDG'!2:2,0)),'ETPT Format DDG'!$C:$C,$D$5,'ETPT Format DDG'!$EA:$EA,"Fonctionnaire CTECH")-
SUMIFS( INDEX( 'ETPT Format DDG'!$A:$EF,,MATCH("12.5. MISE À DISPOSITION",'ETPT Format DDG'!2:2,0)),'ETPT Format DDG'!$C:$C,$D$5,'ETPT Format DDG'!$EA:$EA,"Fonctionnaire CTECH")</f>
        <v>#N/A</v>
      </c>
      <c r="H12" s="164" t="e">
        <f t="shared" si="0"/>
        <v>#N/A</v>
      </c>
      <c r="I12" s="165"/>
      <c r="J12" s="136"/>
      <c r="K12" s="136"/>
      <c r="L12" s="136"/>
      <c r="M12" s="136"/>
      <c r="N12" s="140"/>
      <c r="O12" s="127"/>
      <c r="P12" s="127"/>
      <c r="Q12" s="136"/>
      <c r="R12" s="131" t="e">
        <f>SUMIFS( INDEX( 'ETPT Format DDG'!$A:$EF,,MATCH("12. TOTAL INDISPONIBILITÉ",'ETPT Format DDG'!2:2,0)),'ETPT Format DDG'!$C:$C,$D$5,'ETPT Format DDG'!$EA:$EA,"Fonctionnaire A-B-CBUR")-
SUMIFS( INDEX( 'ETPT Format DDG'!$A:$EF,,MATCH("12.5. MISE À DISPOSITION",'ETPT Format DDG'!2:2,0)),'ETPT Format DDG'!$C:$C,$D$5,'ETPT Format DDG'!$EA:$EA,"Fonctionnaire A-B-CBUR")</f>
        <v>#N/A</v>
      </c>
      <c r="S12" s="119" t="e">
        <f t="shared" si="1"/>
        <v>#N/A</v>
      </c>
      <c r="T12" s="138" t="e">
        <f>SUMIFS( INDEX( 'ETPT Format DDG'!$A:$EF,,MATCH("12. TOTAL INDISPONIBILITÉ",'ETPT Format DDG'!2:2,0)),'ETPT Format DDG'!$C:$C,$D$5,'ETPT Format DDG'!$EA:$EA,"JURISTE AS siège Autres")-
SUMIFS( INDEX( 'ETPT Format DDG'!$A:$EF,,MATCH("12.5. MISE À DISPOSITION",'ETPT Format DDG'!2:2,0)),'ETPT Format DDG'!$C:$C,$D$5,'ETPT Format DDG'!$EA:$EA,"JURISTE AS siège Autres")</f>
        <v>#N/A</v>
      </c>
      <c r="U12" s="119" t="e">
        <f t="shared" si="2"/>
        <v>#N/A</v>
      </c>
      <c r="V12" s="130"/>
      <c r="W12" s="136"/>
      <c r="X12" s="136"/>
      <c r="Y12" s="136"/>
      <c r="Z12" s="136"/>
      <c r="AA12" s="136"/>
      <c r="AB12" s="127"/>
      <c r="AC12" s="127"/>
      <c r="AD12" s="127"/>
      <c r="AE12" s="164">
        <f t="shared" si="3"/>
        <v>0</v>
      </c>
      <c r="AF12" s="136"/>
      <c r="AG12" s="136"/>
      <c r="AH12" s="126" t="e">
        <f>SUMIFS( INDEX( 'ETPT Format DDG'!$A:$EF,,MATCH("12. TOTAL INDISPONIBILITÉ",'ETPT Format DDG'!2:2,0)),'ETPT Format DDG'!$C:$C,$D$5,'ETPT Format DDG'!$EA:$EA,"Magistrat SIEGE S")</f>
        <v>#N/A</v>
      </c>
      <c r="AI12" s="164" t="e">
        <f t="shared" si="4"/>
        <v>#N/A</v>
      </c>
    </row>
    <row r="13" spans="1:35" x14ac:dyDescent="0.2">
      <c r="A13" s="163" t="s">
        <v>467</v>
      </c>
      <c r="B13" s="135"/>
      <c r="C13" s="135"/>
      <c r="D13" s="135">
        <f t="shared" si="5"/>
        <v>0</v>
      </c>
      <c r="E13" s="135" t="s">
        <v>264</v>
      </c>
      <c r="F13" s="135" t="s">
        <v>263</v>
      </c>
      <c r="G13" s="133" t="e">
        <f>SUMIFS( INDEX( 'ETPT Format DDG'!$A:$EF,,MATCH("12.5. MISE À DISPOSITION",'ETPT Format DDG'!2:2,0)),'ETPT Format DDG'!$C:$C,$D$5,'ETPT Format DDG'!$EA:$EA,"Fonctionnaire CTECH")</f>
        <v>#N/A</v>
      </c>
      <c r="H13" s="164" t="e">
        <f t="shared" si="0"/>
        <v>#N/A</v>
      </c>
      <c r="I13" s="165"/>
      <c r="J13" s="136"/>
      <c r="K13" s="136"/>
      <c r="L13" s="136"/>
      <c r="M13" s="136"/>
      <c r="N13" s="140"/>
      <c r="O13" s="127"/>
      <c r="P13" s="127"/>
      <c r="Q13" s="136"/>
      <c r="R13" s="126" t="e">
        <f>SUMIFS( INDEX( 'ETPT Format DDG'!$A:$EF,,MATCH("12.5. MISE À DISPOSITION",'ETPT Format DDG'!2:2,0)),'ETPT Format DDG'!$C:$C,$D$5,'ETPT Format DDG'!$EA:$EA,"Fonctionnaire A-B-CBUR")</f>
        <v>#N/A</v>
      </c>
      <c r="S13" s="119" t="e">
        <f t="shared" si="1"/>
        <v>#N/A</v>
      </c>
      <c r="T13" s="137" t="e">
        <f>SUMIFS( INDEX( 'ETPT Format DDG'!$A:$EF,,MATCH("12.5. MISE À DISPOSITION",'ETPT Format DDG'!2:2,0)),'ETPT Format DDG'!$C:$C,$D$5,'ETPT Format DDG'!$EA:$EA,"JURISTE AS siège Autres")</f>
        <v>#N/A</v>
      </c>
      <c r="U13" s="119" t="e">
        <f t="shared" si="2"/>
        <v>#N/A</v>
      </c>
      <c r="V13" s="130"/>
      <c r="W13" s="136"/>
      <c r="X13" s="136"/>
      <c r="Y13" s="136"/>
      <c r="Z13" s="136"/>
      <c r="AA13" s="136"/>
      <c r="AB13" s="127"/>
      <c r="AC13" s="127"/>
      <c r="AD13" s="127"/>
      <c r="AE13" s="164">
        <f t="shared" si="3"/>
        <v>0</v>
      </c>
      <c r="AF13" s="136"/>
      <c r="AG13" s="136"/>
      <c r="AH13" s="136"/>
      <c r="AI13" s="164">
        <f t="shared" si="4"/>
        <v>0</v>
      </c>
    </row>
    <row r="14" spans="1:35" x14ac:dyDescent="0.2">
      <c r="A14" s="163" t="s">
        <v>467</v>
      </c>
      <c r="B14" s="135"/>
      <c r="C14" s="135"/>
      <c r="D14" s="135">
        <f t="shared" si="5"/>
        <v>0</v>
      </c>
      <c r="E14" s="135" t="s">
        <v>261</v>
      </c>
      <c r="F14" s="135" t="s">
        <v>260</v>
      </c>
      <c r="G14" s="133">
        <f>SUMIFS( INDEX( 'ETPT Format DDG'!$A:$EF,,MATCH("Temps ventilé sur la période (y.c. indisponibilité)",'ETPT Format DDG'!2:2,0)),'ETPT Format DDG'!$C:$C,$D$5,'ETPT Format DDG'!$EA:$EA,"Fonctionnaire CTECH placé ADD")</f>
        <v>0</v>
      </c>
      <c r="H14" s="164">
        <f t="shared" si="0"/>
        <v>0</v>
      </c>
      <c r="I14" s="165"/>
      <c r="J14" s="131" t="e">
        <f>SUMIFS( INDEX( 'ETPT Format DDG'!$A:$EF,,MATCH("3.43. INJONCTIONS DE PAYER",'ETPT Format DDG'!2:2,0)),'ETPT Format DDG'!$C:$C,$D$5,'ETPT Format DDG'!$EA:$EA,"Fonctionnaire A-B-CBUR placé ADD")+
SUMIFS( INDEX( 'ETPT Format DDG'!$A:$EF,,MATCH("3.44. SAISIE DES RÉMUNÉRATIONS",'ETPT Format DDG'!2:2,0)),'ETPT Format DDG'!$C:$C,$D$5,'ETPT Format DDG'!$EA:$EA,"Fonctionnaire A-B-CBUR placé ADD")</f>
        <v>#N/A</v>
      </c>
      <c r="K14" s="131" t="e">
        <f>SUMIFS( INDEX( 'ETPT Format DDG'!$A:$EF,,MATCH("3. TOTAL CONTENTIEUX DE LA PROTECTION",'ETPT Format DDG'!2:2,0)),'ETPT Format DDG'!$C:$C,$D$5,'ETPT Format DDG'!$EA:$EA,"Fonctionnaire A-B-CBUR placé ADD")-
SUMIFS( INDEX( 'ETPT Format DDG'!$A:$EF,,MATCH("3.2. PROTECTION DES MAJEURS",'ETPT Format DDG'!2:2,0)),'ETPT Format DDG'!$C:$C,$D$5,'ETPT Format DDG'!$EA:$EA,"Fonctionnaire A-B-CBUR placé ADD")-
SUMIFS( INDEX( 'ETPT Format DDG'!$A:$EF,,MATCH("3.43. INJONCTIONS DE PAYER",'ETPT Format DDG'!2:2,0)),'ETPT Format DDG'!$C:$C,$D$5,'ETPT Format DDG'!$EA:$EA,"Fonctionnaire A-B-CBUR placé ADD")-
SUMIFS( INDEX( 'ETPT Format DDG'!$A:$EF,,MATCH("3.44. SAISIE DES RÉMUNÉRATIONS",'ETPT Format DDG'!2:2,0)),'ETPT Format DDG'!$C:$C,$D$5,'ETPT Format DDG'!$EA:$EA,"Fonctionnaire A-B-CBUR placé ADD")</f>
        <v>#N/A</v>
      </c>
      <c r="L14" s="131" t="e">
        <f>SUMIFS( INDEX( 'ETPT Format DDG'!$A:$EF,,MATCH("3.2. PROTECTION DES MAJEURS",'ETPT Format DDG'!2:2,0)),'ETPT Format DDG'!$C:$C,$D$5,'ETPT Format DDG'!$EA:$EA,"Fonctionnaire A-B-CBUR placé ADD")</f>
        <v>#N/A</v>
      </c>
      <c r="M14" s="126" t="e">
        <f>SUMIFS( INDEX( 'ETPT Format DDG'!$A:$EF,,MATCH("2. TOTAL CONTENTIEUX JAF",'ETPT Format DDG'!2:2,0)),'ETPT Format DDG'!$C:$C,$D$5,'ETPT Format DDG'!$EA:$EA,"Fonctionnaire A-B-CBUR placé ADD")-
SUMIFS( INDEX( 'ETPT Format DDG'!$A:$EF,,MATCH("2.7. TUTELLES MINEURS",'ETPT Format DDG'!2:2,0)),'ETPT Format DDG'!$C:$C,$D$5,'ETPT Format DDG'!$EA:$EA,"Fonctionnaire A-B-CBUR placé ADD")</f>
        <v>#N/A</v>
      </c>
      <c r="N14" s="126" t="e">
        <f>SUMIFS( INDEX( 'ETPT Format DDG'!$A:$EF,,MATCH("2.7. TUTELLES MINEURS",'ETPT Format DDG'!2:2,0)),'ETPT Format DDG'!$C:$C,$D$5,'ETPT Format DDG'!$EA:$EA,"Fonctionnaire A-B-CBUR placé ADD")</f>
        <v>#N/A</v>
      </c>
      <c r="O14" s="127"/>
      <c r="P14" s="127"/>
      <c r="Q14" s="136"/>
      <c r="R14" s="131" t="e">
        <f>SUMIFS( INDEX( 'ETPT Format DDG'!$A:$EF,,MATCH("Temps ventilé sur la période (y.c. indisponibilité)",'ETPT Format DDG'!2:2,0)),'ETPT Format DDG'!$C:$C,$D$5,'ETPT Format DDG'!$EA:$EA,"Fonctionnaire A-B-CBUR placé ADD")-SUM(I14:Q14)</f>
        <v>#N/A</v>
      </c>
      <c r="S14" s="119" t="e">
        <f t="shared" si="1"/>
        <v>#N/A</v>
      </c>
      <c r="T14" s="129"/>
      <c r="U14" s="119">
        <f t="shared" si="2"/>
        <v>0</v>
      </c>
      <c r="V14" s="130"/>
      <c r="W14" s="131" t="e">
        <f>SUMIFS( INDEX( 'ETPT Format DDG'!$A:$EF,,MATCH("3.43. INJONCTIONS DE PAYER",'ETPT Format DDG'!2:2,0)),'ETPT Format DDG'!$C:$C,$D$5,'ETPT Format DDG'!$EA:$EA,"Magistrat placé ADD")+
SUMIFS( INDEX( 'ETPT Format DDG'!$A:$EF,,MATCH("3.44. SAISIE DES RÉMUNÉRATIONS",'ETPT Format DDG'!2:2,0)),'ETPT Format DDG'!$C:$C,$D$5,'ETPT Format DDG'!$EA:$EA,"Magistrat placé ADD")</f>
        <v>#N/A</v>
      </c>
      <c r="X14" s="131" t="e">
        <f>SUMIFS( INDEX( 'ETPT Format DDG'!$A:$EF,,MATCH("3. TOTAL CONTENTIEUX DE LA PROTECTION",'ETPT Format DDG'!2:2,0)),'ETPT Format DDG'!$C:$C,$D$5,'ETPT Format DDG'!$EA:$EA,"Magistrat placé ADD")-
SUMIFS( INDEX( 'ETPT Format DDG'!$A:$EF,,MATCH("3.2. PROTECTION DES MAJEURS",'ETPT Format DDG'!2:2,0)),'ETPT Format DDG'!$C:$C,$D$5,'ETPT Format DDG'!$EA:$EA,"Magistrat placé ADD")-
SUMIFS( INDEX( 'ETPT Format DDG'!$A:$EF,,MATCH("3.43. INJONCTIONS DE PAYER",'ETPT Format DDG'!2:2,0)),'ETPT Format DDG'!$C:$C,$D$5,'ETPT Format DDG'!$EA:$EA,"Magistrat placé ADD")-
SUMIFS( INDEX( 'ETPT Format DDG'!$A:$EF,,MATCH("3.44. SAISIE DES RÉMUNÉRATIONS",'ETPT Format DDG'!2:2,0)),'ETPT Format DDG'!$C:$C,$D$5,'ETPT Format DDG'!$EA:$EA,"Magistrat placé ADD")</f>
        <v>#N/A</v>
      </c>
      <c r="Y14" s="131" t="e">
        <f>SUMIFS( INDEX( 'ETPT Format DDG'!$A:$EF,,MATCH("3.2. PROTECTION DES MAJEURS",'ETPT Format DDG'!2:2,0)),'ETPT Format DDG'!$C:$C,$D$5,'ETPT Format DDG'!$EA:$EA,"Magistrat placé ADD")</f>
        <v>#N/A</v>
      </c>
      <c r="Z14" s="126" t="e">
        <f>SUMIFS( INDEX( 'ETPT Format DDG'!$A:$EF,,MATCH("2. TOTAL CONTENTIEUX JAF",'ETPT Format DDG'!2:2,0)),'ETPT Format DDG'!$C:$C,$D$5,'ETPT Format DDG'!$EA:$EA,"Magistrat placé ADD")-
SUMIFS( INDEX( 'ETPT Format DDG'!$A:$EF,,MATCH("2.7. TUTELLES MINEURS",'ETPT Format DDG'!2:2,0)),'ETPT Format DDG'!$C:$C,$D$5,'ETPT Format DDG'!$EA:$EA,"Magistrat placé ADD")</f>
        <v>#N/A</v>
      </c>
      <c r="AA14" s="126" t="e">
        <f>SUMIFS( INDEX( 'ETPT Format DDG'!$A:$EF,,MATCH("2.7. TUTELLES MINEURS",'ETPT Format DDG'!2:2,0)),'ETPT Format DDG'!$C:$C,$D$5,'ETPT Format DDG'!$EA:$EA,"Magistrat placé ADD")</f>
        <v>#N/A</v>
      </c>
      <c r="AB14" s="127"/>
      <c r="AC14" s="127"/>
      <c r="AD14" s="127"/>
      <c r="AE14" s="164" t="e">
        <f t="shared" si="3"/>
        <v>#N/A</v>
      </c>
      <c r="AF14" s="127"/>
      <c r="AG14" s="126" t="e">
        <f>SUMIFS( INDEX( 'ETPT Format DDG'!$A:$EF,,MATCH("1.1. DÉPARTAGE PRUD'HOMAL",'ETPT Format DDG'!2:2,0)),'ETPT Format DDG'!$C:$C,$D$5,'ETPT Format DDG'!$EA:$EA,"Magistrat placé ADD")</f>
        <v>#N/A</v>
      </c>
      <c r="AH14" s="126" t="e">
        <f>SUMIFS( INDEX( 'ETPT Format DDG'!$A:$EF,,MATCH("Temps ventilé sur la période (y.c. indisponibilité)",'ETPT Format DDG'!2:2,0)),'ETPT Format DDG'!$C:$C,$D$5,'ETPT Format DDG'!$EA:$EA,"Magistrat placé ADD")-SUM(Z14:AG14)</f>
        <v>#N/A</v>
      </c>
      <c r="AI14" s="164" t="e">
        <f t="shared" si="4"/>
        <v>#N/A</v>
      </c>
    </row>
    <row r="15" spans="1:35" x14ac:dyDescent="0.2">
      <c r="A15" s="163" t="s">
        <v>467</v>
      </c>
      <c r="B15" s="135"/>
      <c r="C15" s="135"/>
      <c r="D15" s="135">
        <f t="shared" si="5"/>
        <v>0</v>
      </c>
      <c r="E15" s="135" t="s">
        <v>256</v>
      </c>
      <c r="F15" s="135" t="s">
        <v>255</v>
      </c>
      <c r="G15" s="133">
        <f>SUMIFS( INDEX( 'ETPT Format DDG'!$A:$EF,,MATCH("Temps ventilé sur la période (y.c. indisponibilité)",'ETPT Format DDG'!2:2,0)),'ETPT Format DDG'!$C:$C,$D$5,'ETPT Format DDG'!$EA:$EA,"Fonctionnaire CTECH placé SUB")</f>
        <v>0</v>
      </c>
      <c r="H15" s="164">
        <f t="shared" si="0"/>
        <v>0</v>
      </c>
      <c r="I15" s="165"/>
      <c r="J15" s="131" t="e">
        <f>SUMIFS( INDEX( 'ETPT Format DDG'!$A:$EF,,MATCH("3.43. INJONCTIONS DE PAYER",'ETPT Format DDG'!2:2,0)),'ETPT Format DDG'!$C:$C,$D$5,'ETPT Format DDG'!$EA:$EA,"Fonctionnaire A-B-CBUR placé SUB")+
SUMIFS( INDEX( 'ETPT Format DDG'!$A:$EF,,MATCH("3.44. SAISIE DES RÉMUNÉRATIONS",'ETPT Format DDG'!2:2,0)),'ETPT Format DDG'!$C:$C,$D$5,'ETPT Format DDG'!$EA:$EA,"Fonctionnaire A-B-CBUR placé SUB")</f>
        <v>#N/A</v>
      </c>
      <c r="K15" s="131" t="e">
        <f>SUMIFS( INDEX( 'ETPT Format DDG'!$A:$EF,,MATCH("3. TOTAL CONTENTIEUX DE LA PROTECTION",'ETPT Format DDG'!2:2,0)),'ETPT Format DDG'!$C:$C,$D$5,'ETPT Format DDG'!$EA:$EA,"Fonctionnaire A-B-CBUR placé SUB")-
SUMIFS( INDEX( 'ETPT Format DDG'!$A:$EF,,MATCH("3.2. PROTECTION DES MAJEURS",'ETPT Format DDG'!2:2,0)),'ETPT Format DDG'!$C:$C,$D$5,'ETPT Format DDG'!$EA:$EA,"Fonctionnaire A-B-CBUR placé SUB")-
SUMIFS( INDEX( 'ETPT Format DDG'!$A:$EF,,MATCH("3.43. INJONCTIONS DE PAYER",'ETPT Format DDG'!2:2,0)),'ETPT Format DDG'!$C:$C,$D$5,'ETPT Format DDG'!$EA:$EA,"Fonctionnaire A-B-CBUR placé SUB")-
SUMIFS( INDEX( 'ETPT Format DDG'!$A:$EF,,MATCH("3.44. SAISIE DES RÉMUNÉRATIONS",'ETPT Format DDG'!2:2,0)),'ETPT Format DDG'!$C:$C,$D$5,'ETPT Format DDG'!$EA:$EA,"Fonctionnaire A-B-CBUR placé SUB")</f>
        <v>#N/A</v>
      </c>
      <c r="L15" s="131" t="e">
        <f>SUMIFS( INDEX( 'ETPT Format DDG'!$A:$EF,,MATCH("3.2. PROTECTION DES MAJEURS",'ETPT Format DDG'!2:2,0)),'ETPT Format DDG'!$C:$C,$D$5,'ETPT Format DDG'!$EA:$EA,"Fonctionnaire A-B-CBUR placé SUB")</f>
        <v>#N/A</v>
      </c>
      <c r="M15" s="126" t="e">
        <f>SUMIFS( INDEX( 'ETPT Format DDG'!$A:$EF,,MATCH("2. TOTAL CONTENTIEUX JAF",'ETPT Format DDG'!2:2,0)),'ETPT Format DDG'!$C:$C,$D$5,'ETPT Format DDG'!$EA:$EA,"Fonctionnaire A-B-CBUR placé SUB")-
SUMIFS( INDEX( 'ETPT Format DDG'!$A:$EF,,MATCH("2.7. TUTELLES MINEURS",'ETPT Format DDG'!2:2,0)),'ETPT Format DDG'!$C:$C,$D$5,'ETPT Format DDG'!$EA:$EA,"Fonctionnaire A-B-CBUR placé SUB")</f>
        <v>#N/A</v>
      </c>
      <c r="N15" s="126" t="e">
        <f>SUMIFS( INDEX( 'ETPT Format DDG'!$A:$EF,,MATCH("2.7. TUTELLES MINEURS",'ETPT Format DDG'!2:2,0)),'ETPT Format DDG'!$C:$C,$D$5,'ETPT Format DDG'!$EA:$EA,"Fonctionnaire A-B-CBUR placé SUB")</f>
        <v>#N/A</v>
      </c>
      <c r="O15" s="127"/>
      <c r="P15" s="127"/>
      <c r="Q15" s="136"/>
      <c r="R15" s="131" t="e">
        <f>SUMIFS( INDEX( 'ETPT Format DDG'!$A:$EF,,MATCH("Temps ventilé sur la période (y.c. indisponibilité)",'ETPT Format DDG'!2:2,0)),'ETPT Format DDG'!$C:$C,$D$5,'ETPT Format DDG'!$EA:$EA,"Fonctionnaire A-B-CBUR placé SUB")-SUM(I15:Q15)</f>
        <v>#N/A</v>
      </c>
      <c r="S15" s="119" t="e">
        <f t="shared" si="1"/>
        <v>#N/A</v>
      </c>
      <c r="T15" s="129"/>
      <c r="U15" s="119">
        <f t="shared" si="2"/>
        <v>0</v>
      </c>
      <c r="V15" s="130"/>
      <c r="W15" s="131" t="e">
        <f>SUMIFS( INDEX( 'ETPT Format DDG'!$A:$EF,,MATCH("3.43. INJONCTIONS DE PAYER",'ETPT Format DDG'!2:2,0)),'ETPT Format DDG'!$C:$C,$D$5,'ETPT Format DDG'!$EA:$EA,"Magistrat placé SUB")+
SUMIFS( INDEX( 'ETPT Format DDG'!$A:$EF,,MATCH("3.44. SAISIE DES RÉMUNÉRATIONS",'ETPT Format DDG'!2:2,0)),'ETPT Format DDG'!$C:$C,$D$5,'ETPT Format DDG'!$EA:$EA,"Magistrat placé SUB")</f>
        <v>#N/A</v>
      </c>
      <c r="X15" s="131" t="e">
        <f>SUMIFS( INDEX( 'ETPT Format DDG'!$A:$EF,,MATCH("3. TOTAL CONTENTIEUX DE LA PROTECTION",'ETPT Format DDG'!2:2,0)),'ETPT Format DDG'!$C:$C,$D$5,'ETPT Format DDG'!$EA:$EA,"Magistrat placé SUB")-
SUMIFS( INDEX( 'ETPT Format DDG'!$A:$EF,,MATCH("3.2. PROTECTION DES MAJEURS",'ETPT Format DDG'!2:2,0)),'ETPT Format DDG'!$C:$C,$D$5,'ETPT Format DDG'!$EA:$EA,"Magistrat placé SUB")-
SUMIFS( INDEX( 'ETPT Format DDG'!$A:$EF,,MATCH("3.43. INJONCTIONS DE PAYER",'ETPT Format DDG'!2:2,0)),'ETPT Format DDG'!$C:$C,$D$5,'ETPT Format DDG'!$EA:$EA,"Magistrat placé SUB")-
SUMIFS( INDEX( 'ETPT Format DDG'!$A:$EF,,MATCH("3.44. SAISIE DES RÉMUNÉRATIONS",'ETPT Format DDG'!2:2,0)),'ETPT Format DDG'!$C:$C,$D$5,'ETPT Format DDG'!$EA:$EA,"Magistrat placé SUB")</f>
        <v>#N/A</v>
      </c>
      <c r="Y15" s="131" t="e">
        <f>SUMIFS( INDEX( 'ETPT Format DDG'!$A:$EF,,MATCH("3.2. PROTECTION DES MAJEURS",'ETPT Format DDG'!2:2,0)),'ETPT Format DDG'!$C:$C,$D$5,'ETPT Format DDG'!$EA:$EA,"Magistrat placé SUB")</f>
        <v>#N/A</v>
      </c>
      <c r="Z15" s="126" t="e">
        <f>SUMIFS( INDEX( 'ETPT Format DDG'!$A:$EF,,MATCH("2. TOTAL CONTENTIEUX JAF",'ETPT Format DDG'!2:2,0)),'ETPT Format DDG'!$C:$C,$D$5,'ETPT Format DDG'!$EA:$EA,"Magistrat placé SUB")-
SUMIFS( INDEX( 'ETPT Format DDG'!$A:$EF,,MATCH("2.7. TUTELLES MINEURS",'ETPT Format DDG'!2:2,0)),'ETPT Format DDG'!$C:$C,$D$5,'ETPT Format DDG'!$EA:$EA,"Magistrat placé SUB")</f>
        <v>#N/A</v>
      </c>
      <c r="AA15" s="126" t="e">
        <f>SUMIFS( INDEX( 'ETPT Format DDG'!$A:$EF,,MATCH("2.7. TUTELLES MINEURS",'ETPT Format DDG'!2:2,0)),'ETPT Format DDG'!$C:$C,$D$5,'ETPT Format DDG'!$EA:$EA,"Magistrat placé SUB")</f>
        <v>#N/A</v>
      </c>
      <c r="AB15" s="127"/>
      <c r="AC15" s="127"/>
      <c r="AD15" s="127"/>
      <c r="AE15" s="164" t="e">
        <f t="shared" si="3"/>
        <v>#N/A</v>
      </c>
      <c r="AF15" s="136"/>
      <c r="AG15" s="126" t="e">
        <f>SUMIFS( INDEX( 'ETPT Format DDG'!$A:$EF,,MATCH("1.1. DÉPARTAGE PRUD'HOMAL",'ETPT Format DDG'!2:2,0)),'ETPT Format DDG'!$C:$C,$D$5,'ETPT Format DDG'!$EA:$EA,"Magistrat placé SUB")</f>
        <v>#N/A</v>
      </c>
      <c r="AH15" s="126" t="e">
        <f>SUMIFS( INDEX( 'ETPT Format DDG'!$A:$EF,,MATCH("Temps ventilé sur la période (y.c. indisponibilité)",'ETPT Format DDG'!2:2,0)),'ETPT Format DDG'!$C:$C,$D$5,'ETPT Format DDG'!$EA:$EA,"Magistrat placé SUB")-SUM(Z15:AG15)</f>
        <v>#N/A</v>
      </c>
      <c r="AI15" s="164" t="e">
        <f t="shared" si="4"/>
        <v>#N/A</v>
      </c>
    </row>
    <row r="16" spans="1:35" x14ac:dyDescent="0.2">
      <c r="A16" s="163"/>
      <c r="B16" s="162"/>
      <c r="C16" s="162"/>
      <c r="D16" s="162"/>
      <c r="E16" s="162"/>
      <c r="F16" s="161" t="s">
        <v>231</v>
      </c>
      <c r="G16" s="119" t="e">
        <f t="shared" ref="G16:AI16" si="6">SUM(G5:G15)</f>
        <v>#N/A</v>
      </c>
      <c r="H16" s="119" t="e">
        <f t="shared" si="6"/>
        <v>#N/A</v>
      </c>
      <c r="I16" s="119">
        <f t="shared" si="6"/>
        <v>0</v>
      </c>
      <c r="J16" s="119" t="e">
        <f t="shared" si="6"/>
        <v>#N/A</v>
      </c>
      <c r="K16" s="119" t="e">
        <f t="shared" si="6"/>
        <v>#N/A</v>
      </c>
      <c r="L16" s="119" t="e">
        <f t="shared" si="6"/>
        <v>#N/A</v>
      </c>
      <c r="M16" s="119" t="e">
        <f t="shared" si="6"/>
        <v>#N/A</v>
      </c>
      <c r="N16" s="119" t="e">
        <f t="shared" si="6"/>
        <v>#N/A</v>
      </c>
      <c r="O16" s="189">
        <f t="shared" si="6"/>
        <v>0</v>
      </c>
      <c r="P16" s="189">
        <f t="shared" si="6"/>
        <v>0</v>
      </c>
      <c r="Q16" s="119">
        <f t="shared" si="6"/>
        <v>0</v>
      </c>
      <c r="R16" s="119" t="e">
        <f>SUM(R5:R15)</f>
        <v>#N/A</v>
      </c>
      <c r="S16" s="119" t="e">
        <f t="shared" si="6"/>
        <v>#N/A</v>
      </c>
      <c r="T16" s="119" t="e">
        <f t="shared" si="6"/>
        <v>#N/A</v>
      </c>
      <c r="U16" s="119" t="e">
        <f t="shared" si="6"/>
        <v>#N/A</v>
      </c>
      <c r="V16" s="119">
        <f t="shared" si="6"/>
        <v>0</v>
      </c>
      <c r="W16" s="119" t="e">
        <f t="shared" si="6"/>
        <v>#N/A</v>
      </c>
      <c r="X16" s="119" t="e">
        <f t="shared" si="6"/>
        <v>#N/A</v>
      </c>
      <c r="Y16" s="119" t="e">
        <f t="shared" si="6"/>
        <v>#N/A</v>
      </c>
      <c r="Z16" s="119" t="e">
        <f t="shared" si="6"/>
        <v>#N/A</v>
      </c>
      <c r="AA16" s="119" t="e">
        <f t="shared" si="6"/>
        <v>#N/A</v>
      </c>
      <c r="AB16" s="189">
        <f t="shared" si="6"/>
        <v>0</v>
      </c>
      <c r="AC16" s="189">
        <f t="shared" si="6"/>
        <v>0</v>
      </c>
      <c r="AD16" s="119">
        <f t="shared" si="6"/>
        <v>0</v>
      </c>
      <c r="AE16" s="119" t="e">
        <f t="shared" si="6"/>
        <v>#N/A</v>
      </c>
      <c r="AF16" s="119">
        <f t="shared" si="6"/>
        <v>0</v>
      </c>
      <c r="AG16" s="119" t="e">
        <f t="shared" si="6"/>
        <v>#N/A</v>
      </c>
      <c r="AH16" s="119" t="e">
        <f t="shared" si="6"/>
        <v>#N/A</v>
      </c>
      <c r="AI16" s="119" t="e">
        <f t="shared" si="6"/>
        <v>#N/A</v>
      </c>
    </row>
    <row r="17" spans="4:19" x14ac:dyDescent="0.2">
      <c r="S17" s="113" t="e">
        <f>S16+H16-S14-H14-H15-S15+ETPT_CPH!G5</f>
        <v>#N/A</v>
      </c>
    </row>
    <row r="18" spans="4:19" x14ac:dyDescent="0.2">
      <c r="S18" s="111"/>
    </row>
    <row r="19" spans="4:19" x14ac:dyDescent="0.2">
      <c r="D19" s="112" t="s">
        <v>466</v>
      </c>
    </row>
  </sheetData>
  <mergeCells count="6">
    <mergeCell ref="AI2:AI4"/>
    <mergeCell ref="A1:H1"/>
    <mergeCell ref="H2:H4"/>
    <mergeCell ref="S2:S4"/>
    <mergeCell ref="U2:U4"/>
    <mergeCell ref="AE2:AE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60F59-85DE-F04F-B545-970F6F7A26FE}">
  <sheetPr codeName="Feuil11">
    <tabColor rgb="FF92D050"/>
  </sheetPr>
  <dimension ref="A1:J17"/>
  <sheetViews>
    <sheetView topLeftCell="D1" zoomScale="88" workbookViewId="0">
      <selection activeCell="G7" sqref="G7"/>
    </sheetView>
  </sheetViews>
  <sheetFormatPr baseColWidth="10" defaultColWidth="11" defaultRowHeight="16" x14ac:dyDescent="0.2"/>
  <cols>
    <col min="1" max="3" width="0" style="110" hidden="1" customWidth="1"/>
    <col min="4" max="4" width="15.1640625" style="110" customWidth="1"/>
    <col min="5" max="5" width="11" style="110"/>
    <col min="6" max="6" width="46.33203125" style="110" bestFit="1" customWidth="1"/>
    <col min="7" max="16384" width="11" style="110"/>
  </cols>
  <sheetData>
    <row r="1" spans="1:10" x14ac:dyDescent="0.2">
      <c r="A1" s="114"/>
      <c r="C1" s="182"/>
      <c r="D1" s="182" t="s">
        <v>511</v>
      </c>
      <c r="E1" s="182"/>
      <c r="F1" s="182"/>
      <c r="G1" s="114"/>
      <c r="H1" s="114"/>
      <c r="I1" s="114"/>
      <c r="J1" s="114"/>
    </row>
    <row r="2" spans="1:10" x14ac:dyDescent="0.2">
      <c r="A2" s="181"/>
      <c r="B2" s="180"/>
      <c r="C2" s="180"/>
      <c r="D2" s="180"/>
      <c r="E2" s="180"/>
      <c r="F2" s="180"/>
      <c r="G2" s="157" t="s">
        <v>462</v>
      </c>
      <c r="H2" s="209" t="s">
        <v>461</v>
      </c>
      <c r="I2" s="157" t="s">
        <v>178</v>
      </c>
      <c r="J2" s="209" t="s">
        <v>460</v>
      </c>
    </row>
    <row r="3" spans="1:10" ht="36" x14ac:dyDescent="0.2">
      <c r="A3" s="181"/>
      <c r="B3" s="180"/>
      <c r="C3" s="180"/>
      <c r="D3" s="180"/>
      <c r="E3" s="180"/>
      <c r="F3" s="180"/>
      <c r="G3" s="157" t="s">
        <v>440</v>
      </c>
      <c r="H3" s="209"/>
      <c r="I3" s="157" t="s">
        <v>437</v>
      </c>
      <c r="J3" s="209"/>
    </row>
    <row r="4" spans="1:10" ht="36" x14ac:dyDescent="0.2">
      <c r="A4" s="179"/>
      <c r="B4" s="178" t="s">
        <v>407</v>
      </c>
      <c r="C4" s="178" t="s">
        <v>406</v>
      </c>
      <c r="D4" s="178" t="s">
        <v>59</v>
      </c>
      <c r="E4" s="178" t="s">
        <v>405</v>
      </c>
      <c r="F4" s="178" t="s">
        <v>404</v>
      </c>
      <c r="G4" s="157" t="s">
        <v>389</v>
      </c>
      <c r="H4" s="209"/>
      <c r="I4" s="157" t="s">
        <v>385</v>
      </c>
      <c r="J4" s="209"/>
    </row>
    <row r="5" spans="1:10" x14ac:dyDescent="0.2">
      <c r="A5" s="173" t="s">
        <v>510</v>
      </c>
      <c r="B5" s="172"/>
      <c r="C5" s="172"/>
      <c r="D5" s="177">
        <f>ETPT_CPH_DDG!$D$5</f>
        <v>0</v>
      </c>
      <c r="E5" s="172" t="s">
        <v>354</v>
      </c>
      <c r="F5" s="172" t="s">
        <v>353</v>
      </c>
      <c r="G5" s="171" t="e">
        <f>SUMIFS( INDEX( 'ETPT Format DDG'!$A:$EF,,MATCH("11.7. FONCTIONNAIRES AFFECTÉS AU CPH",'ETPT Format DDG'!2:2,0)),'ETPT Format DDG'!$C:$C,$D$5,'ETPT Format DDG'!$EA:$EA,"Fonctionnaire A-B-CBUR")</f>
        <v>#N/A</v>
      </c>
      <c r="H5" s="166" t="e">
        <f t="shared" ref="H5:H13" si="0">SUM(G5)</f>
        <v>#N/A</v>
      </c>
      <c r="I5" s="171" t="e">
        <f>SUMIFS( INDEX( 'ETPT Format DDG'!$A:$EF,,MATCH("11.7. FONCTIONNAIRES AFFECTÉS AU CPH",'ETPT Format DDG'!2:2,0)),'ETPT Format DDG'!$C:$C,$D$5,'ETPT Format DDG'!$EA:$EA,"JURISTE AS siège Autres")</f>
        <v>#N/A</v>
      </c>
      <c r="J5" s="166" t="e">
        <f t="shared" ref="J5:J13" si="1">SUM(I5)</f>
        <v>#N/A</v>
      </c>
    </row>
    <row r="6" spans="1:10" x14ac:dyDescent="0.2">
      <c r="A6" s="173" t="s">
        <v>510</v>
      </c>
      <c r="B6" s="172"/>
      <c r="C6" s="172"/>
      <c r="D6" s="135">
        <f t="shared" ref="D6:D13" si="2">$D$5</f>
        <v>0</v>
      </c>
      <c r="E6" s="172" t="s">
        <v>304</v>
      </c>
      <c r="F6" s="172" t="s">
        <v>303</v>
      </c>
      <c r="G6" s="175"/>
      <c r="H6" s="166">
        <f t="shared" si="0"/>
        <v>0</v>
      </c>
      <c r="I6" s="176"/>
      <c r="J6" s="166">
        <f t="shared" si="1"/>
        <v>0</v>
      </c>
    </row>
    <row r="7" spans="1:10" x14ac:dyDescent="0.2">
      <c r="A7" s="173" t="s">
        <v>510</v>
      </c>
      <c r="B7" s="172"/>
      <c r="C7" s="172"/>
      <c r="D7" s="135">
        <f t="shared" si="2"/>
        <v>0</v>
      </c>
      <c r="E7" s="172" t="s">
        <v>301</v>
      </c>
      <c r="F7" s="172" t="s">
        <v>300</v>
      </c>
      <c r="G7" s="175"/>
      <c r="H7" s="166">
        <f t="shared" si="0"/>
        <v>0</v>
      </c>
      <c r="I7" s="174"/>
      <c r="J7" s="166">
        <f t="shared" si="1"/>
        <v>0</v>
      </c>
    </row>
    <row r="8" spans="1:10" x14ac:dyDescent="0.2">
      <c r="A8" s="173" t="s">
        <v>510</v>
      </c>
      <c r="B8" s="172"/>
      <c r="C8" s="172"/>
      <c r="D8" s="135">
        <f t="shared" si="2"/>
        <v>0</v>
      </c>
      <c r="E8" s="172" t="s">
        <v>291</v>
      </c>
      <c r="F8" s="172" t="s">
        <v>290</v>
      </c>
      <c r="G8" s="175"/>
      <c r="H8" s="166">
        <f t="shared" si="0"/>
        <v>0</v>
      </c>
      <c r="I8" s="176"/>
      <c r="J8" s="166">
        <f t="shared" si="1"/>
        <v>0</v>
      </c>
    </row>
    <row r="9" spans="1:10" x14ac:dyDescent="0.2">
      <c r="A9" s="173" t="s">
        <v>510</v>
      </c>
      <c r="B9" s="172"/>
      <c r="C9" s="172"/>
      <c r="D9" s="135">
        <f t="shared" si="2"/>
        <v>0</v>
      </c>
      <c r="E9" s="172" t="s">
        <v>282</v>
      </c>
      <c r="F9" s="172" t="s">
        <v>281</v>
      </c>
      <c r="G9" s="175"/>
      <c r="H9" s="166">
        <f t="shared" si="0"/>
        <v>0</v>
      </c>
      <c r="I9" s="174"/>
      <c r="J9" s="166">
        <f t="shared" si="1"/>
        <v>0</v>
      </c>
    </row>
    <row r="10" spans="1:10" x14ac:dyDescent="0.2">
      <c r="A10" s="173" t="s">
        <v>510</v>
      </c>
      <c r="B10" s="172"/>
      <c r="C10" s="172"/>
      <c r="D10" s="135">
        <f t="shared" si="2"/>
        <v>0</v>
      </c>
      <c r="E10" s="172" t="s">
        <v>273</v>
      </c>
      <c r="F10" s="172" t="s">
        <v>272</v>
      </c>
      <c r="G10" s="175"/>
      <c r="H10" s="166">
        <f t="shared" si="0"/>
        <v>0</v>
      </c>
      <c r="I10" s="176"/>
      <c r="J10" s="166">
        <f t="shared" si="1"/>
        <v>0</v>
      </c>
    </row>
    <row r="11" spans="1:10" x14ac:dyDescent="0.2">
      <c r="A11" s="173" t="s">
        <v>510</v>
      </c>
      <c r="B11" s="172"/>
      <c r="C11" s="172"/>
      <c r="D11" s="135">
        <f t="shared" si="2"/>
        <v>0</v>
      </c>
      <c r="E11" s="172" t="s">
        <v>264</v>
      </c>
      <c r="F11" s="172" t="s">
        <v>263</v>
      </c>
      <c r="G11" s="175"/>
      <c r="H11" s="166">
        <f t="shared" si="0"/>
        <v>0</v>
      </c>
      <c r="I11" s="174"/>
      <c r="J11" s="166">
        <f t="shared" si="1"/>
        <v>0</v>
      </c>
    </row>
    <row r="12" spans="1:10" x14ac:dyDescent="0.2">
      <c r="A12" s="173" t="s">
        <v>510</v>
      </c>
      <c r="B12" s="172"/>
      <c r="C12" s="172"/>
      <c r="D12" s="135">
        <f t="shared" si="2"/>
        <v>0</v>
      </c>
      <c r="E12" s="172" t="s">
        <v>261</v>
      </c>
      <c r="F12" s="172" t="s">
        <v>260</v>
      </c>
      <c r="G12" s="171" t="e">
        <f>SUMIFS( INDEX( 'ETPT Format DDG'!$A:$EF,,MATCH("11.7. FONCTIONNAIRES AFFECTÉS AU CPH",'ETPT Format DDG'!2:2,0)),'ETPT Format DDG'!$C:$C,$D$5,'ETPT Format DDG'!$EA:$EA,"Fonctionnaire CTECH placé ADD")</f>
        <v>#N/A</v>
      </c>
      <c r="H12" s="166" t="e">
        <f t="shared" si="0"/>
        <v>#N/A</v>
      </c>
      <c r="I12" s="129"/>
      <c r="J12" s="166">
        <f t="shared" si="1"/>
        <v>0</v>
      </c>
    </row>
    <row r="13" spans="1:10" x14ac:dyDescent="0.2">
      <c r="A13" s="173" t="s">
        <v>510</v>
      </c>
      <c r="B13" s="172"/>
      <c r="C13" s="172"/>
      <c r="D13" s="135">
        <f t="shared" si="2"/>
        <v>0</v>
      </c>
      <c r="E13" s="172" t="s">
        <v>256</v>
      </c>
      <c r="F13" s="172" t="s">
        <v>255</v>
      </c>
      <c r="G13" s="171" t="e">
        <f>SUMIFS( INDEX( 'ETPT Format DDG'!$A:$EF,,MATCH("11.7. FONCTIONNAIRES AFFECTÉS AU CPH",'ETPT Format DDG'!2:2,0)),'ETPT Format DDG'!$C:$C,$D$5,'ETPT Format DDG'!$EA:$EA,"Fonctionnaire CTECH placé SUB")</f>
        <v>#N/A</v>
      </c>
      <c r="H13" s="166" t="e">
        <f t="shared" si="0"/>
        <v>#N/A</v>
      </c>
      <c r="I13" s="129"/>
      <c r="J13" s="166">
        <f t="shared" si="1"/>
        <v>0</v>
      </c>
    </row>
    <row r="14" spans="1:10" x14ac:dyDescent="0.2">
      <c r="A14" s="170"/>
      <c r="B14" s="169"/>
      <c r="C14" s="169"/>
      <c r="D14" s="169"/>
      <c r="E14" s="168"/>
      <c r="F14" s="167" t="s">
        <v>231</v>
      </c>
      <c r="G14" s="166" t="e">
        <f>SUM(G5:G13)</f>
        <v>#N/A</v>
      </c>
      <c r="H14" s="166" t="e">
        <f>SUM(H5:H13)</f>
        <v>#N/A</v>
      </c>
      <c r="I14" s="166" t="e">
        <f>SUM(I5:I13)</f>
        <v>#N/A</v>
      </c>
      <c r="J14" s="166" t="e">
        <f>SUM(J5:J13)</f>
        <v>#N/A</v>
      </c>
    </row>
    <row r="17" spans="4:4" x14ac:dyDescent="0.2">
      <c r="D17" s="112"/>
    </row>
  </sheetData>
  <mergeCells count="2">
    <mergeCell ref="H2:H4"/>
    <mergeCell ref="J2:J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925AE-B1C3-2143-BED8-865F5DD872E0}">
  <sheetPr codeName="Feuil9">
    <tabColor rgb="FFC00000"/>
  </sheetPr>
  <dimension ref="A1:BK23"/>
  <sheetViews>
    <sheetView topLeftCell="D1" workbookViewId="0">
      <selection activeCell="D5" sqref="D5"/>
    </sheetView>
  </sheetViews>
  <sheetFormatPr baseColWidth="10" defaultColWidth="11" defaultRowHeight="16" x14ac:dyDescent="0.2"/>
  <cols>
    <col min="1" max="1" width="6" style="110" hidden="1" customWidth="1"/>
    <col min="2" max="2" width="17.1640625" style="110" hidden="1" customWidth="1"/>
    <col min="3" max="3" width="6.33203125" style="110" hidden="1" customWidth="1"/>
    <col min="4" max="4" width="14.6640625" style="110" customWidth="1"/>
    <col min="5" max="5" width="6.5" style="110" customWidth="1"/>
    <col min="6" max="6" width="46.33203125" style="110" bestFit="1" customWidth="1"/>
    <col min="7" max="8" width="9.33203125" style="110" customWidth="1"/>
    <col min="9" max="9" width="9.5" style="110" customWidth="1"/>
    <col min="10" max="10" width="9" style="110" customWidth="1"/>
    <col min="11" max="38" width="9.33203125" style="110" customWidth="1"/>
    <col min="39" max="39" width="8.5" style="110" bestFit="1" customWidth="1"/>
    <col min="40" max="40" width="7.33203125" style="110" bestFit="1" customWidth="1"/>
    <col min="41" max="62" width="9.33203125" style="110" customWidth="1"/>
    <col min="63" max="63" width="4" style="110" customWidth="1"/>
    <col min="64" max="16384" width="11" style="110"/>
  </cols>
  <sheetData>
    <row r="1" spans="1:63" s="4" customFormat="1" ht="80" customHeight="1" x14ac:dyDescent="0.25">
      <c r="A1" s="3" t="s">
        <v>512</v>
      </c>
      <c r="B1" s="5"/>
      <c r="C1" s="5"/>
      <c r="D1" s="3" t="s">
        <v>515</v>
      </c>
      <c r="E1" s="7"/>
      <c r="F1" s="6"/>
      <c r="G1" s="6"/>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row>
    <row r="2" spans="1:63" s="114" customFormat="1" ht="12.75" customHeight="1" x14ac:dyDescent="0.2">
      <c r="A2" s="160"/>
      <c r="B2" s="160"/>
      <c r="C2" s="160"/>
      <c r="D2" s="160"/>
      <c r="E2" s="160"/>
      <c r="F2" s="160"/>
      <c r="G2" s="157" t="s">
        <v>464</v>
      </c>
      <c r="H2" s="209" t="s">
        <v>463</v>
      </c>
      <c r="I2" s="156" t="s">
        <v>462</v>
      </c>
      <c r="J2" s="156" t="s">
        <v>462</v>
      </c>
      <c r="K2" s="156" t="s">
        <v>462</v>
      </c>
      <c r="L2" s="156" t="s">
        <v>462</v>
      </c>
      <c r="M2" s="156" t="s">
        <v>462</v>
      </c>
      <c r="N2" s="156" t="s">
        <v>462</v>
      </c>
      <c r="O2" s="156" t="s">
        <v>462</v>
      </c>
      <c r="P2" s="156" t="s">
        <v>462</v>
      </c>
      <c r="Q2" s="156" t="s">
        <v>462</v>
      </c>
      <c r="R2" s="156" t="s">
        <v>462</v>
      </c>
      <c r="S2" s="156" t="s">
        <v>462</v>
      </c>
      <c r="T2" s="156" t="s">
        <v>462</v>
      </c>
      <c r="U2" s="156" t="s">
        <v>462</v>
      </c>
      <c r="V2" s="156" t="s">
        <v>462</v>
      </c>
      <c r="W2" s="209" t="s">
        <v>461</v>
      </c>
      <c r="X2" s="157" t="s">
        <v>178</v>
      </c>
      <c r="Y2" s="157" t="s">
        <v>178</v>
      </c>
      <c r="Z2" s="157" t="s">
        <v>178</v>
      </c>
      <c r="AA2" s="157" t="s">
        <v>178</v>
      </c>
      <c r="AB2" s="209" t="s">
        <v>460</v>
      </c>
      <c r="AC2" s="154" t="s">
        <v>459</v>
      </c>
      <c r="AD2" s="154" t="s">
        <v>459</v>
      </c>
      <c r="AE2" s="154" t="s">
        <v>459</v>
      </c>
      <c r="AF2" s="154" t="s">
        <v>459</v>
      </c>
      <c r="AG2" s="154" t="s">
        <v>459</v>
      </c>
      <c r="AH2" s="154" t="s">
        <v>459</v>
      </c>
      <c r="AI2" s="154" t="s">
        <v>459</v>
      </c>
      <c r="AJ2" s="154" t="s">
        <v>459</v>
      </c>
      <c r="AK2" s="154" t="s">
        <v>459</v>
      </c>
      <c r="AL2" s="209" t="s">
        <v>458</v>
      </c>
      <c r="AM2" s="154" t="s">
        <v>457</v>
      </c>
      <c r="AN2" s="154" t="s">
        <v>457</v>
      </c>
      <c r="AO2" s="154" t="s">
        <v>457</v>
      </c>
      <c r="AP2" s="154" t="s">
        <v>457</v>
      </c>
      <c r="AQ2" s="154" t="s">
        <v>457</v>
      </c>
      <c r="AR2" s="154" t="s">
        <v>457</v>
      </c>
      <c r="AS2" s="154" t="s">
        <v>457</v>
      </c>
      <c r="AT2" s="154" t="s">
        <v>457</v>
      </c>
      <c r="AU2" s="154" t="s">
        <v>457</v>
      </c>
      <c r="AV2" s="154" t="s">
        <v>457</v>
      </c>
      <c r="AW2" s="154" t="s">
        <v>457</v>
      </c>
      <c r="AX2" s="154" t="s">
        <v>457</v>
      </c>
      <c r="AY2" s="154" t="s">
        <v>457</v>
      </c>
      <c r="AZ2" s="209" t="s">
        <v>456</v>
      </c>
      <c r="BA2" s="153" t="s">
        <v>455</v>
      </c>
      <c r="BB2" s="153" t="s">
        <v>455</v>
      </c>
      <c r="BC2" s="153" t="s">
        <v>455</v>
      </c>
      <c r="BD2" s="153" t="s">
        <v>455</v>
      </c>
      <c r="BE2" s="153" t="s">
        <v>455</v>
      </c>
      <c r="BF2" s="153" t="s">
        <v>455</v>
      </c>
      <c r="BG2" s="153" t="s">
        <v>455</v>
      </c>
      <c r="BH2" s="153" t="s">
        <v>455</v>
      </c>
      <c r="BI2" s="153" t="s">
        <v>455</v>
      </c>
      <c r="BJ2" s="209" t="s">
        <v>454</v>
      </c>
      <c r="BK2"/>
    </row>
    <row r="3" spans="1:63" s="114" customFormat="1" ht="26" hidden="1" customHeight="1" x14ac:dyDescent="0.15">
      <c r="A3" s="160"/>
      <c r="B3" s="160"/>
      <c r="C3" s="160"/>
      <c r="D3" s="160"/>
      <c r="E3" s="160"/>
      <c r="F3" s="160"/>
      <c r="G3" s="157" t="s">
        <v>453</v>
      </c>
      <c r="H3" s="209"/>
      <c r="I3" s="156" t="s">
        <v>452</v>
      </c>
      <c r="J3" s="156" t="s">
        <v>451</v>
      </c>
      <c r="K3" s="156" t="s">
        <v>450</v>
      </c>
      <c r="L3" s="156" t="s">
        <v>449</v>
      </c>
      <c r="M3" s="156" t="s">
        <v>448</v>
      </c>
      <c r="N3" s="156" t="s">
        <v>447</v>
      </c>
      <c r="O3" s="156" t="s">
        <v>446</v>
      </c>
      <c r="P3" s="156" t="s">
        <v>445</v>
      </c>
      <c r="Q3" s="156" t="s">
        <v>444</v>
      </c>
      <c r="R3" s="156"/>
      <c r="S3" s="156" t="s">
        <v>443</v>
      </c>
      <c r="T3" s="156" t="s">
        <v>442</v>
      </c>
      <c r="U3" s="156" t="s">
        <v>441</v>
      </c>
      <c r="V3" s="156" t="s">
        <v>440</v>
      </c>
      <c r="W3" s="209"/>
      <c r="X3" s="152"/>
      <c r="Y3" s="157" t="s">
        <v>439</v>
      </c>
      <c r="Z3" s="157" t="s">
        <v>438</v>
      </c>
      <c r="AA3" s="157" t="s">
        <v>437</v>
      </c>
      <c r="AB3" s="209"/>
      <c r="AC3" s="154" t="s">
        <v>436</v>
      </c>
      <c r="AD3" s="154" t="s">
        <v>435</v>
      </c>
      <c r="AE3" s="154" t="s">
        <v>434</v>
      </c>
      <c r="AF3" s="154" t="s">
        <v>433</v>
      </c>
      <c r="AG3" s="154" t="s">
        <v>432</v>
      </c>
      <c r="AH3" s="154" t="s">
        <v>431</v>
      </c>
      <c r="AI3" s="154" t="s">
        <v>94</v>
      </c>
      <c r="AJ3" s="154" t="s">
        <v>92</v>
      </c>
      <c r="AK3" s="154" t="s">
        <v>430</v>
      </c>
      <c r="AL3" s="209"/>
      <c r="AM3" s="154" t="s">
        <v>429</v>
      </c>
      <c r="AN3" s="154" t="s">
        <v>428</v>
      </c>
      <c r="AO3" s="154" t="s">
        <v>427</v>
      </c>
      <c r="AP3" s="154" t="s">
        <v>426</v>
      </c>
      <c r="AQ3" s="154" t="s">
        <v>425</v>
      </c>
      <c r="AR3" s="154" t="s">
        <v>424</v>
      </c>
      <c r="AS3" s="154" t="s">
        <v>423</v>
      </c>
      <c r="AT3" s="154" t="s">
        <v>422</v>
      </c>
      <c r="AU3" s="154" t="s">
        <v>421</v>
      </c>
      <c r="AV3" s="154" t="s">
        <v>420</v>
      </c>
      <c r="AW3" s="154" t="s">
        <v>419</v>
      </c>
      <c r="AX3" s="154" t="s">
        <v>418</v>
      </c>
      <c r="AY3" s="154" t="s">
        <v>417</v>
      </c>
      <c r="AZ3" s="209"/>
      <c r="BA3" s="153" t="s">
        <v>416</v>
      </c>
      <c r="BB3" s="153" t="s">
        <v>415</v>
      </c>
      <c r="BC3" s="153" t="s">
        <v>414</v>
      </c>
      <c r="BD3" s="153" t="s">
        <v>413</v>
      </c>
      <c r="BE3" s="153" t="s">
        <v>412</v>
      </c>
      <c r="BF3" s="153" t="s">
        <v>411</v>
      </c>
      <c r="BG3" s="153" t="s">
        <v>410</v>
      </c>
      <c r="BH3" s="153" t="s">
        <v>409</v>
      </c>
      <c r="BI3" s="153" t="s">
        <v>408</v>
      </c>
      <c r="BJ3" s="209"/>
    </row>
    <row r="4" spans="1:63" s="114" customFormat="1" ht="60" x14ac:dyDescent="0.2">
      <c r="A4" s="159"/>
      <c r="B4" s="158" t="s">
        <v>407</v>
      </c>
      <c r="C4" s="158" t="s">
        <v>406</v>
      </c>
      <c r="D4" s="158" t="s">
        <v>59</v>
      </c>
      <c r="E4" s="158" t="s">
        <v>405</v>
      </c>
      <c r="F4" s="158" t="s">
        <v>404</v>
      </c>
      <c r="G4" s="157" t="s">
        <v>403</v>
      </c>
      <c r="H4" s="209"/>
      <c r="I4" s="156" t="s">
        <v>402</v>
      </c>
      <c r="J4" s="156" t="s">
        <v>401</v>
      </c>
      <c r="K4" s="156" t="s">
        <v>400</v>
      </c>
      <c r="L4" s="156" t="s">
        <v>399</v>
      </c>
      <c r="M4" s="156" t="s">
        <v>398</v>
      </c>
      <c r="N4" s="156" t="s">
        <v>397</v>
      </c>
      <c r="O4" s="156" t="s">
        <v>396</v>
      </c>
      <c r="P4" s="156" t="s">
        <v>395</v>
      </c>
      <c r="Q4" s="156" t="s">
        <v>394</v>
      </c>
      <c r="R4" s="156" t="s">
        <v>393</v>
      </c>
      <c r="S4" s="156" t="s">
        <v>392</v>
      </c>
      <c r="T4" s="156" t="s">
        <v>391</v>
      </c>
      <c r="U4" s="156" t="s">
        <v>390</v>
      </c>
      <c r="V4" s="156" t="s">
        <v>389</v>
      </c>
      <c r="W4" s="209"/>
      <c r="X4" s="155" t="s">
        <v>388</v>
      </c>
      <c r="Y4" s="155" t="s">
        <v>387</v>
      </c>
      <c r="Z4" s="155" t="s">
        <v>386</v>
      </c>
      <c r="AA4" s="155" t="s">
        <v>385</v>
      </c>
      <c r="AB4" s="209"/>
      <c r="AC4" s="154" t="s">
        <v>384</v>
      </c>
      <c r="AD4" s="154" t="s">
        <v>383</v>
      </c>
      <c r="AE4" s="154" t="s">
        <v>382</v>
      </c>
      <c r="AF4" s="154" t="s">
        <v>381</v>
      </c>
      <c r="AG4" s="154" t="s">
        <v>380</v>
      </c>
      <c r="AH4" s="154" t="s">
        <v>379</v>
      </c>
      <c r="AI4" s="154" t="s">
        <v>94</v>
      </c>
      <c r="AJ4" s="154" t="s">
        <v>378</v>
      </c>
      <c r="AK4" s="154" t="s">
        <v>377</v>
      </c>
      <c r="AL4" s="209"/>
      <c r="AM4" s="154" t="s">
        <v>376</v>
      </c>
      <c r="AN4" s="154" t="s">
        <v>375</v>
      </c>
      <c r="AO4" s="154" t="s">
        <v>374</v>
      </c>
      <c r="AP4" s="154" t="s">
        <v>373</v>
      </c>
      <c r="AQ4" s="154" t="s">
        <v>372</v>
      </c>
      <c r="AR4" s="154" t="s">
        <v>371</v>
      </c>
      <c r="AS4" s="154" t="s">
        <v>370</v>
      </c>
      <c r="AT4" s="154" t="s">
        <v>369</v>
      </c>
      <c r="AU4" s="154" t="s">
        <v>368</v>
      </c>
      <c r="AV4" s="154" t="s">
        <v>367</v>
      </c>
      <c r="AW4" s="154" t="s">
        <v>366</v>
      </c>
      <c r="AX4" s="154" t="s">
        <v>365</v>
      </c>
      <c r="AY4" s="154" t="s">
        <v>364</v>
      </c>
      <c r="AZ4" s="209"/>
      <c r="BA4" s="153" t="s">
        <v>363</v>
      </c>
      <c r="BB4" s="153" t="s">
        <v>362</v>
      </c>
      <c r="BC4" s="153" t="s">
        <v>361</v>
      </c>
      <c r="BD4" s="153" t="s">
        <v>360</v>
      </c>
      <c r="BE4" s="153" t="s">
        <v>359</v>
      </c>
      <c r="BF4" s="153" t="s">
        <v>358</v>
      </c>
      <c r="BG4" s="153" t="s">
        <v>357</v>
      </c>
      <c r="BH4" s="153" t="s">
        <v>356</v>
      </c>
      <c r="BI4" s="153" t="s">
        <v>355</v>
      </c>
      <c r="BJ4" s="209"/>
      <c r="BK4"/>
    </row>
    <row r="5" spans="1:63" s="114" customFormat="1" ht="15" x14ac:dyDescent="0.2">
      <c r="A5" s="124" t="s">
        <v>259</v>
      </c>
      <c r="B5" s="134"/>
      <c r="C5" s="134"/>
      <c r="D5" s="194"/>
      <c r="E5" s="134" t="s">
        <v>354</v>
      </c>
      <c r="F5" s="134" t="s">
        <v>353</v>
      </c>
      <c r="G5" s="129" t="str">
        <f>IF(ISBLANK(ETPT_TJ_DDG!$D$5),"",IF(ISERROR(ETPT_TJ!G5),"",IF(ETPT_TJ!G5=0,"",ETPT_TJ!G5)))</f>
        <v/>
      </c>
      <c r="H5" s="119">
        <f t="shared" ref="H5:H15" si="0">SUM(G5)</f>
        <v>0</v>
      </c>
      <c r="I5" s="129" t="str">
        <f>IF(ISBLANK(ETPT_TJ_DDG!$D$5),"",IF(ISERROR(ETPT_TJ!I5),"",IF(ETPT_TJ!I5=0,"",ETPT_TJ!I5)))</f>
        <v/>
      </c>
      <c r="J5" s="129" t="str">
        <f>IF(ISBLANK(ETPT_TJ_DDG!$D$5),"",IF(ISERROR(ETPT_TJ!J5),"",IF(ETPT_TJ!J5=0,"",ETPT_TJ!J5)))</f>
        <v/>
      </c>
      <c r="K5" s="129" t="str">
        <f>IF(ISBLANK(ETPT_TJ_DDG!$D$5),"",IF(ISERROR(ETPT_TJ!K5),"",IF(ETPT_TJ!K5=0,"",ETPT_TJ!K5)))</f>
        <v/>
      </c>
      <c r="L5" s="129" t="str">
        <f>IF(ISBLANK(ETPT_TJ_DDG!$D$5),"",IF(ISERROR(ETPT_TJ!L5),"",IF(ETPT_TJ!L5=0,"",ETPT_TJ!L5)))</f>
        <v/>
      </c>
      <c r="M5" s="129" t="str">
        <f>IF(ISBLANK(ETPT_TJ_DDG!$D$5),"",IF(ISERROR(ETPT_TJ!M5),"",IF(ETPT_TJ!M5=0,"",ETPT_TJ!M5)))</f>
        <v/>
      </c>
      <c r="N5" s="129" t="str">
        <f>IF(ISBLANK(ETPT_TJ_DDG!$D$5),"",IF(ISERROR(ETPT_TJ!N5),"",IF(ETPT_TJ!N5=0,"",ETPT_TJ!N5)))</f>
        <v/>
      </c>
      <c r="O5" s="129" t="str">
        <f>IF(ISBLANK(ETPT_TJ_DDG!$D$5),"",IF(ISERROR(ETPT_TJ!O5),"",IF(ETPT_TJ!O5=0,"",ETPT_TJ!O5)))</f>
        <v/>
      </c>
      <c r="P5" s="129" t="str">
        <f>IF(ISBLANK(ETPT_TJ_DDG!$D$5),"",IF(ISERROR(ETPT_TJ!P5),"",IF(ETPT_TJ!P5=0,"",ETPT_TJ!P5)))</f>
        <v/>
      </c>
      <c r="Q5" s="129" t="str">
        <f>IF(ISBLANK(ETPT_TJ_DDG!$D$5),"",IF(ISERROR(ETPT_TJ!Q5),"",IF(ETPT_TJ!Q5=0,"",ETPT_TJ!Q5)))</f>
        <v/>
      </c>
      <c r="R5" s="129" t="str">
        <f>IF(ISBLANK(ETPT_TJ_DDG!$D$5),"",IF(ISERROR(ETPT_TJ!R5),"",IF(ETPT_TJ!R5=0,"",ETPT_TJ!R5)))</f>
        <v/>
      </c>
      <c r="S5" s="129" t="str">
        <f>IF(ISBLANK(ETPT_TJ_DDG!$D$5),"",IF(ISERROR(ETPT_TJ!S5),"",IF(ETPT_TJ!S5=0,"",ETPT_TJ!S5)))</f>
        <v/>
      </c>
      <c r="T5" s="129" t="str">
        <f>IF(ISBLANK(ETPT_TJ_DDG!$D$5),"",IF(ISERROR(ETPT_TJ!T5),"",IF(ETPT_TJ!T5=0,"",ETPT_TJ!T5)))</f>
        <v/>
      </c>
      <c r="U5" s="129" t="str">
        <f>IF(ISBLANK(ETPT_TJ_DDG!$D$5),"",IF(ISERROR(ETPT_TJ!U5),"",IF(ETPT_TJ!U5=0,"",ETPT_TJ!U5)))</f>
        <v/>
      </c>
      <c r="V5" s="129" t="str">
        <f>IF(ISBLANK(ETPT_TJ_DDG!$D$5),"",IF(ISERROR(ETPT_TJ!V5),"",IF(ETPT_TJ!V5=0,"",ETPT_TJ!V5)))</f>
        <v/>
      </c>
      <c r="W5" s="119">
        <f t="shared" ref="W5:W15" si="1">SUM(I5:V5)</f>
        <v>0</v>
      </c>
      <c r="X5" s="129" t="str">
        <f>IF(ISBLANK(ETPT_TJ_DDG!$D$5),"",IF(ISERROR(ETPT_TJ!X5),"",IF(ETPT_TJ!X5=0,"",ETPT_TJ!X5)))</f>
        <v/>
      </c>
      <c r="Y5" s="129" t="str">
        <f>IF(ISBLANK(ETPT_TJ_DDG!$D$5),"",IF(ISERROR(ETPT_TJ!Y5),"",IF(ETPT_TJ!Y5=0,"",ETPT_TJ!Y5)))</f>
        <v/>
      </c>
      <c r="Z5" s="129" t="str">
        <f>IF(ISBLANK(ETPT_TJ_DDG!$D$5),"",IF(ISERROR(ETPT_TJ!Z5),"",IF(ETPT_TJ!Z5=0,"",ETPT_TJ!Z5)))</f>
        <v/>
      </c>
      <c r="AA5" s="129" t="str">
        <f>IF(ISBLANK(ETPT_TJ_DDG!$D$5),"",IF(ISERROR(ETPT_TJ!AA5),"",IF(ETPT_TJ!AA5=0,"",ETPT_TJ!AA5)))</f>
        <v/>
      </c>
      <c r="AB5" s="119">
        <f t="shared" ref="AB5:AB15" si="2">SUM(X5:AA5)</f>
        <v>0</v>
      </c>
      <c r="AC5" s="129" t="str">
        <f>IF(ISBLANK(ETPT_TJ_DDG!$D$5),"",IF(ISERROR(ETPT_TJ!AC5),"",IF(ETPT_TJ!AC5=0,"",ETPT_TJ!AC5)))</f>
        <v/>
      </c>
      <c r="AD5" s="129" t="str">
        <f>IF(ISBLANK(ETPT_TJ_DDG!$D$5),"",IF(ISERROR(ETPT_TJ!AD5),"",IF(ETPT_TJ!AD5=0,"",ETPT_TJ!AD5)))</f>
        <v/>
      </c>
      <c r="AE5" s="129" t="str">
        <f>IF(ISBLANK(ETPT_TJ_DDG!$D$5),"",IF(ISERROR(ETPT_TJ!AE5),"",IF(ETPT_TJ!AE5=0,"",ETPT_TJ!AE5)))</f>
        <v/>
      </c>
      <c r="AF5" s="129" t="str">
        <f>IF(ISBLANK(ETPT_TJ_DDG!$D$5),"",IF(ISERROR(ETPT_TJ!AF5),"",IF(ETPT_TJ!AF5=0,"",ETPT_TJ!AF5)))</f>
        <v/>
      </c>
      <c r="AG5" s="129" t="str">
        <f>IF(ISBLANK(ETPT_TJ_DDG!$D$5),"",IF(ISERROR(ETPT_TJ!AG5),"",IF(ETPT_TJ!AG5=0,"",ETPT_TJ!AG5)))</f>
        <v/>
      </c>
      <c r="AH5" s="129" t="str">
        <f>IF(ISBLANK(ETPT_TJ_DDG!$D$5),"",IF(ISERROR(ETPT_TJ!AH5),"",IF(ETPT_TJ!AH5=0,"",ETPT_TJ!AH5)))</f>
        <v/>
      </c>
      <c r="AI5" s="129" t="str">
        <f>IF(ISBLANK(ETPT_TJ_DDG!$D$5),"",IF(ISERROR(ETPT_TJ!AI5),"",IF(ETPT_TJ!AI5=0,"",ETPT_TJ!AI5)))</f>
        <v/>
      </c>
      <c r="AJ5" s="129" t="str">
        <f>IF(ISBLANK(ETPT_TJ_DDG!$D$5),"",IF(ISERROR(ETPT_TJ!AJ5),"",IF(ETPT_TJ!AJ5=0,"",ETPT_TJ!AJ5)))</f>
        <v/>
      </c>
      <c r="AK5" s="129" t="str">
        <f>IF(ISBLANK(ETPT_TJ_DDG!$D$5),"",IF(ISERROR(ETPT_TJ!AK5),"",IF(ETPT_TJ!AK5=0,"",ETPT_TJ!AK5)))</f>
        <v/>
      </c>
      <c r="AL5" s="119">
        <f t="shared" ref="AL5:AL15" si="3">SUM(AC5:AK5)</f>
        <v>0</v>
      </c>
      <c r="AM5" s="129" t="str">
        <f>IF(ISBLANK(ETPT_TJ_DDG!$D$5),"",IF(ISERROR(ETPT_TJ!AM5),"",IF(ETPT_TJ!AM5=0,"",ETPT_TJ!AM5)))</f>
        <v/>
      </c>
      <c r="AN5" s="129" t="str">
        <f>IF(ISBLANK(ETPT_TJ_DDG!$D$5),"",IF(ISERROR(ETPT_TJ!AN5),"",IF(ETPT_TJ!AN5=0,"",ETPT_TJ!AN5)))</f>
        <v/>
      </c>
      <c r="AO5" s="129" t="str">
        <f>IF(ISBLANK(ETPT_TJ_DDG!$D$5),"",IF(ISERROR(ETPT_TJ!AO5),"",IF(ETPT_TJ!AO5=0,"",ETPT_TJ!AO5)))</f>
        <v/>
      </c>
      <c r="AP5" s="129" t="str">
        <f>IF(ISBLANK(ETPT_TJ_DDG!$D$5),"",IF(ISERROR(ETPT_TJ!AP5),"",IF(ETPT_TJ!AP5=0,"",ETPT_TJ!AP5)))</f>
        <v/>
      </c>
      <c r="AQ5" s="129" t="str">
        <f>IF(ISBLANK(ETPT_TJ_DDG!$D$5),"",IF(ISERROR(ETPT_TJ!AQ5),"",IF(ETPT_TJ!AQ5=0,"",ETPT_TJ!AQ5)))</f>
        <v/>
      </c>
      <c r="AR5" s="129" t="str">
        <f>IF(ISBLANK(ETPT_TJ_DDG!$D$5),"",IF(ISERROR(ETPT_TJ!AR5),"",IF(ETPT_TJ!AR5=0,"",ETPT_TJ!AR5)))</f>
        <v/>
      </c>
      <c r="AS5" s="129" t="str">
        <f>IF(ISBLANK(ETPT_TJ_DDG!$D$5),"",IF(ISERROR(ETPT_TJ!AS5),"",IF(ETPT_TJ!AS5=0,"",ETPT_TJ!AS5)))</f>
        <v/>
      </c>
      <c r="AT5" s="129" t="str">
        <f>IF(ISBLANK(ETPT_TJ_DDG!$D$5),"",IF(ISERROR(ETPT_TJ!AT5),"",IF(ETPT_TJ!AT5=0,"",ETPT_TJ!AT5)))</f>
        <v/>
      </c>
      <c r="AU5" s="129" t="str">
        <f>IF(ISBLANK(ETPT_TJ_DDG!$D$5),"",IF(ISERROR(ETPT_TJ!AU5),"",IF(ETPT_TJ!AU5=0,"",ETPT_TJ!AU5)))</f>
        <v/>
      </c>
      <c r="AV5" s="129" t="str">
        <f>IF(ISBLANK(ETPT_TJ_DDG!$D$5),"",IF(ISERROR(ETPT_TJ!AV5),"",IF(ETPT_TJ!AV5=0,"",ETPT_TJ!AV5)))</f>
        <v/>
      </c>
      <c r="AW5" s="129" t="str">
        <f>IF(ISBLANK(ETPT_TJ_DDG!$D$5),"",IF(ISERROR(ETPT_TJ!AW5),"",IF(ETPT_TJ!AW5=0,"",ETPT_TJ!AW5)))</f>
        <v/>
      </c>
      <c r="AX5" s="129" t="str">
        <f>IF(ISBLANK(ETPT_TJ_DDG!$D$5),"",IF(ISERROR(ETPT_TJ!AX5),"",IF(ETPT_TJ!AX5=0,"",ETPT_TJ!AX5)))</f>
        <v/>
      </c>
      <c r="AY5" s="129" t="str">
        <f>IF(ISBLANK(ETPT_TJ_DDG!$D$5),"",IF(ISERROR(ETPT_TJ!AY5),"",IF(ETPT_TJ!AY5=0,"",ETPT_TJ!AY5)))</f>
        <v/>
      </c>
      <c r="AZ5" s="119">
        <f t="shared" ref="AZ5:AZ15" si="4">SUM(AM5:AY5)</f>
        <v>0</v>
      </c>
      <c r="BA5" s="125"/>
      <c r="BB5" s="125"/>
      <c r="BC5" s="143"/>
      <c r="BD5" s="143"/>
      <c r="BE5" s="143"/>
      <c r="BF5" s="143"/>
      <c r="BG5" s="143"/>
      <c r="BH5" s="143"/>
      <c r="BI5" s="125"/>
      <c r="BJ5" s="119">
        <f t="shared" ref="BJ5:BJ15" si="5">SUM(BA5:BI5)</f>
        <v>0</v>
      </c>
      <c r="BK5"/>
    </row>
    <row r="6" spans="1:63" s="114" customFormat="1" ht="12" x14ac:dyDescent="0.15">
      <c r="A6" s="124" t="s">
        <v>259</v>
      </c>
      <c r="B6" s="134"/>
      <c r="C6" s="134"/>
      <c r="D6" s="135" t="str">
        <f t="shared" ref="D6:D15" si="6">IF(ISBLANK($D$5),"",$D$5)</f>
        <v/>
      </c>
      <c r="E6" s="134" t="s">
        <v>339</v>
      </c>
      <c r="F6" s="134" t="s">
        <v>338</v>
      </c>
      <c r="G6" s="129" t="str">
        <f>IF(ISBLANK(ETPT_TJ_DDG!$D$5),"",IF(ISERROR(ETPT_TJ!G6),"",IF(ETPT_TJ!G6=0,"",ETPT_TJ!G6)))</f>
        <v/>
      </c>
      <c r="H6" s="119">
        <f t="shared" si="0"/>
        <v>0</v>
      </c>
      <c r="I6" s="129" t="str">
        <f>IF(ISBLANK(ETPT_TJ_DDG!$D$5),"",IF(ISERROR(ETPT_TJ!I6),"",IF(ETPT_TJ!I6=0,"",ETPT_TJ!I6)))</f>
        <v/>
      </c>
      <c r="J6" s="129" t="str">
        <f>IF(ISBLANK(ETPT_TJ_DDG!$D$5),"",IF(ISERROR(ETPT_TJ!J6),"",IF(ETPT_TJ!J6=0,"",ETPT_TJ!J6)))</f>
        <v/>
      </c>
      <c r="K6" s="129" t="str">
        <f>IF(ISBLANK(ETPT_TJ_DDG!$D$5),"",IF(ISERROR(ETPT_TJ!K6),"",IF(ETPT_TJ!K6=0,"",ETPT_TJ!K6)))</f>
        <v/>
      </c>
      <c r="L6" s="129" t="str">
        <f>IF(ISBLANK(ETPT_TJ_DDG!$D$5),"",IF(ISERROR(ETPT_TJ!L6),"",IF(ETPT_TJ!L6=0,"",ETPT_TJ!L6)))</f>
        <v/>
      </c>
      <c r="M6" s="129" t="str">
        <f>IF(ISBLANK(ETPT_TJ_DDG!$D$5),"",IF(ISERROR(ETPT_TJ!M6),"",IF(ETPT_TJ!M6=0,"",ETPT_TJ!M6)))</f>
        <v/>
      </c>
      <c r="N6" s="129" t="str">
        <f>IF(ISBLANK(ETPT_TJ_DDG!$D$5),"",IF(ISERROR(ETPT_TJ!N6),"",IF(ETPT_TJ!N6=0,"",ETPT_TJ!N6)))</f>
        <v/>
      </c>
      <c r="O6" s="129" t="str">
        <f>IF(ISBLANK(ETPT_TJ_DDG!$D$5),"",IF(ISERROR(ETPT_TJ!O6),"",IF(ETPT_TJ!O6=0,"",ETPT_TJ!O6)))</f>
        <v/>
      </c>
      <c r="P6" s="129" t="str">
        <f>IF(ISBLANK(ETPT_TJ_DDG!$D$5),"",IF(ISERROR(ETPT_TJ!P6),"",IF(ETPT_TJ!P6=0,"",ETPT_TJ!P6)))</f>
        <v/>
      </c>
      <c r="Q6" s="129" t="str">
        <f>IF(ISBLANK(ETPT_TJ_DDG!$D$5),"",IF(ISERROR(ETPT_TJ!Q6),"",IF(ETPT_TJ!Q6=0,"",ETPT_TJ!Q6)))</f>
        <v/>
      </c>
      <c r="R6" s="129" t="str">
        <f>IF(ISBLANK(ETPT_TJ_DDG!$D$5),"",IF(ISERROR(ETPT_TJ!R6),"",IF(ETPT_TJ!R6=0,"",ETPT_TJ!R6)))</f>
        <v/>
      </c>
      <c r="S6" s="129" t="str">
        <f>IF(ISBLANK(ETPT_TJ_DDG!$D$5),"",IF(ISERROR(ETPT_TJ!S6),"",IF(ETPT_TJ!S6=0,"",ETPT_TJ!S6)))</f>
        <v/>
      </c>
      <c r="T6" s="129" t="str">
        <f>IF(ISBLANK(ETPT_TJ_DDG!$D$5),"",IF(ISERROR(ETPT_TJ!T6),"",IF(ETPT_TJ!T6=0,"",ETPT_TJ!T6)))</f>
        <v/>
      </c>
      <c r="U6" s="129" t="str">
        <f>IF(ISBLANK(ETPT_TJ_DDG!$D$5),"",IF(ISERROR(ETPT_TJ!U6),"",IF(ETPT_TJ!U6=0,"",ETPT_TJ!U6)))</f>
        <v/>
      </c>
      <c r="V6" s="129" t="str">
        <f>IF(ISBLANK(ETPT_TJ_DDG!$D$5),"",IF(ISERROR(ETPT_TJ!V6),"",IF(ETPT_TJ!V6=0,"",ETPT_TJ!V6)))</f>
        <v/>
      </c>
      <c r="W6" s="119">
        <f t="shared" si="1"/>
        <v>0</v>
      </c>
      <c r="X6" s="129" t="str">
        <f>IF(ISBLANK(ETPT_TJ_DDG!$D$5),"",IF(ISERROR(ETPT_TJ!X6),"",IF(ETPT_TJ!X6=0,"",ETPT_TJ!X6)))</f>
        <v/>
      </c>
      <c r="Y6" s="129" t="str">
        <f>IF(ISBLANK(ETPT_TJ_DDG!$D$5),"",IF(ISERROR(ETPT_TJ!Y6),"",IF(ETPT_TJ!Y6=0,"",ETPT_TJ!Y6)))</f>
        <v/>
      </c>
      <c r="Z6" s="129" t="str">
        <f>IF(ISBLANK(ETPT_TJ_DDG!$D$5),"",IF(ISERROR(ETPT_TJ!Z6),"",IF(ETPT_TJ!Z6=0,"",ETPT_TJ!Z6)))</f>
        <v/>
      </c>
      <c r="AA6" s="129" t="str">
        <f>IF(ISBLANK(ETPT_TJ_DDG!$D$5),"",IF(ISERROR(ETPT_TJ!AA6),"",IF(ETPT_TJ!AA6=0,"",ETPT_TJ!AA6)))</f>
        <v/>
      </c>
      <c r="AB6" s="119">
        <f t="shared" si="2"/>
        <v>0</v>
      </c>
      <c r="AC6" s="129" t="str">
        <f>IF(ISBLANK(ETPT_TJ_DDG!$D$5),"",IF(ISERROR(ETPT_TJ!AC6),"",IF(ETPT_TJ!AC6=0,"",ETPT_TJ!AC6)))</f>
        <v/>
      </c>
      <c r="AD6" s="129" t="str">
        <f>IF(ISBLANK(ETPT_TJ_DDG!$D$5),"",IF(ISERROR(ETPT_TJ!AD6),"",IF(ETPT_TJ!AD6=0,"",ETPT_TJ!AD6)))</f>
        <v/>
      </c>
      <c r="AE6" s="129" t="str">
        <f>IF(ISBLANK(ETPT_TJ_DDG!$D$5),"",IF(ISERROR(ETPT_TJ!AE6),"",IF(ETPT_TJ!AE6=0,"",ETPT_TJ!AE6)))</f>
        <v/>
      </c>
      <c r="AF6" s="129" t="str">
        <f>IF(ISBLANK(ETPT_TJ_DDG!$D$5),"",IF(ISERROR(ETPT_TJ!AF6),"",IF(ETPT_TJ!AF6=0,"",ETPT_TJ!AF6)))</f>
        <v/>
      </c>
      <c r="AG6" s="129" t="str">
        <f>IF(ISBLANK(ETPT_TJ_DDG!$D$5),"",IF(ISERROR(ETPT_TJ!AG6),"",IF(ETPT_TJ!AG6=0,"",ETPT_TJ!AG6)))</f>
        <v/>
      </c>
      <c r="AH6" s="129" t="str">
        <f>IF(ISBLANK(ETPT_TJ_DDG!$D$5),"",IF(ISERROR(ETPT_TJ!AH6),"",IF(ETPT_TJ!AH6=0,"",ETPT_TJ!AH6)))</f>
        <v/>
      </c>
      <c r="AI6" s="129" t="str">
        <f>IF(ISBLANK(ETPT_TJ_DDG!$D$5),"",IF(ISERROR(ETPT_TJ!AI6),"",IF(ETPT_TJ!AI6=0,"",ETPT_TJ!AI6)))</f>
        <v/>
      </c>
      <c r="AJ6" s="129" t="str">
        <f>IF(ISBLANK(ETPT_TJ_DDG!$D$5),"",IF(ISERROR(ETPT_TJ!AJ6),"",IF(ETPT_TJ!AJ6=0,"",ETPT_TJ!AJ6)))</f>
        <v/>
      </c>
      <c r="AK6" s="129" t="str">
        <f>IF(ISBLANK(ETPT_TJ_DDG!$D$5),"",IF(ISERROR(ETPT_TJ!AK6),"",IF(ETPT_TJ!AK6=0,"",ETPT_TJ!AK6)))</f>
        <v/>
      </c>
      <c r="AL6" s="119">
        <f t="shared" si="3"/>
        <v>0</v>
      </c>
      <c r="AM6" s="129" t="str">
        <f>IF(ISBLANK(ETPT_TJ_DDG!$D$5),"",IF(ISERROR(ETPT_TJ!AM6),"",IF(ETPT_TJ!AM6=0,"",ETPT_TJ!AM6)))</f>
        <v/>
      </c>
      <c r="AN6" s="129" t="str">
        <f>IF(ISBLANK(ETPT_TJ_DDG!$D$5),"",IF(ISERROR(ETPT_TJ!AN6),"",IF(ETPT_TJ!AN6=0,"",ETPT_TJ!AN6)))</f>
        <v/>
      </c>
      <c r="AO6" s="129" t="str">
        <f>IF(ISBLANK(ETPT_TJ_DDG!$D$5),"",IF(ISERROR(ETPT_TJ!AO6),"",IF(ETPT_TJ!AO6=0,"",ETPT_TJ!AO6)))</f>
        <v/>
      </c>
      <c r="AP6" s="129" t="str">
        <f>IF(ISBLANK(ETPT_TJ_DDG!$D$5),"",IF(ISERROR(ETPT_TJ!AP6),"",IF(ETPT_TJ!AP6=0,"",ETPT_TJ!AP6)))</f>
        <v/>
      </c>
      <c r="AQ6" s="129" t="str">
        <f>IF(ISBLANK(ETPT_TJ_DDG!$D$5),"",IF(ISERROR(ETPT_TJ!AQ6),"",IF(ETPT_TJ!AQ6=0,"",ETPT_TJ!AQ6)))</f>
        <v/>
      </c>
      <c r="AR6" s="129" t="str">
        <f>IF(ISBLANK(ETPT_TJ_DDG!$D$5),"",IF(ISERROR(ETPT_TJ!AR6),"",IF(ETPT_TJ!AR6=0,"",ETPT_TJ!AR6)))</f>
        <v/>
      </c>
      <c r="AS6" s="129" t="str">
        <f>IF(ISBLANK(ETPT_TJ_DDG!$D$5),"",IF(ISERROR(ETPT_TJ!AS6),"",IF(ETPT_TJ!AS6=0,"",ETPT_TJ!AS6)))</f>
        <v/>
      </c>
      <c r="AT6" s="129" t="str">
        <f>IF(ISBLANK(ETPT_TJ_DDG!$D$5),"",IF(ISERROR(ETPT_TJ!AT6),"",IF(ETPT_TJ!AT6=0,"",ETPT_TJ!AT6)))</f>
        <v/>
      </c>
      <c r="AU6" s="129" t="str">
        <f>IF(ISBLANK(ETPT_TJ_DDG!$D$5),"",IF(ISERROR(ETPT_TJ!AU6),"",IF(ETPT_TJ!AU6=0,"",ETPT_TJ!AU6)))</f>
        <v/>
      </c>
      <c r="AV6" s="129" t="str">
        <f>IF(ISBLANK(ETPT_TJ_DDG!$D$5),"",IF(ISERROR(ETPT_TJ!AV6),"",IF(ETPT_TJ!AV6=0,"",ETPT_TJ!AV6)))</f>
        <v/>
      </c>
      <c r="AW6" s="129" t="str">
        <f>IF(ISBLANK(ETPT_TJ_DDG!$D$5),"",IF(ISERROR(ETPT_TJ!AW6),"",IF(ETPT_TJ!AW6=0,"",ETPT_TJ!AW6)))</f>
        <v/>
      </c>
      <c r="AX6" s="129" t="str">
        <f>IF(ISBLANK(ETPT_TJ_DDG!$D$5),"",IF(ISERROR(ETPT_TJ!AX6),"",IF(ETPT_TJ!AX6=0,"",ETPT_TJ!AX6)))</f>
        <v/>
      </c>
      <c r="AY6" s="129" t="str">
        <f>IF(ISBLANK(ETPT_TJ_DDG!$D$5),"",IF(ISERROR(ETPT_TJ!AY6),"",IF(ETPT_TJ!AY6=0,"",ETPT_TJ!AY6)))</f>
        <v/>
      </c>
      <c r="AZ6" s="119">
        <f t="shared" si="4"/>
        <v>0</v>
      </c>
      <c r="BA6" s="125"/>
      <c r="BB6" s="125"/>
      <c r="BC6" s="125"/>
      <c r="BD6" s="125"/>
      <c r="BE6" s="125"/>
      <c r="BF6" s="125"/>
      <c r="BG6" s="125"/>
      <c r="BH6" s="143"/>
      <c r="BI6" s="125"/>
      <c r="BJ6" s="119">
        <f t="shared" si="5"/>
        <v>0</v>
      </c>
    </row>
    <row r="7" spans="1:63" s="114" customFormat="1" ht="14.25" customHeight="1" x14ac:dyDescent="0.15">
      <c r="A7" s="124" t="s">
        <v>259</v>
      </c>
      <c r="B7" s="134"/>
      <c r="C7" s="134"/>
      <c r="D7" s="135" t="str">
        <f t="shared" si="6"/>
        <v/>
      </c>
      <c r="E7" s="134" t="s">
        <v>312</v>
      </c>
      <c r="F7" s="134" t="s">
        <v>311</v>
      </c>
      <c r="G7" s="129" t="str">
        <f>IF(ISBLANK(ETPT_TJ_DDG!$D$5),"",IF(ISERROR(ETPT_TJ!G7),"",IF(ETPT_TJ!G7=0,"",ETPT_TJ!G7)))</f>
        <v/>
      </c>
      <c r="H7" s="119">
        <f t="shared" si="0"/>
        <v>0</v>
      </c>
      <c r="I7" s="129" t="str">
        <f>IF(ISBLANK(ETPT_TJ_DDG!$D$5),"",IF(ISERROR(ETPT_TJ!I7),"",IF(ETPT_TJ!I7=0,"",ETPT_TJ!I7)))</f>
        <v/>
      </c>
      <c r="J7" s="129" t="str">
        <f>IF(ISBLANK(ETPT_TJ_DDG!$D$5),"",IF(ISERROR(ETPT_TJ!J7),"",IF(ETPT_TJ!J7=0,"",ETPT_TJ!J7)))</f>
        <v/>
      </c>
      <c r="K7" s="129" t="str">
        <f>IF(ISBLANK(ETPT_TJ_DDG!$D$5),"",IF(ISERROR(ETPT_TJ!K7),"",IF(ETPT_TJ!K7=0,"",ETPT_TJ!K7)))</f>
        <v/>
      </c>
      <c r="L7" s="129" t="str">
        <f>IF(ISBLANK(ETPT_TJ_DDG!$D$5),"",IF(ISERROR(ETPT_TJ!L7),"",IF(ETPT_TJ!L7=0,"",ETPT_TJ!L7)))</f>
        <v/>
      </c>
      <c r="M7" s="129" t="str">
        <f>IF(ISBLANK(ETPT_TJ_DDG!$D$5),"",IF(ISERROR(ETPT_TJ!M7),"",IF(ETPT_TJ!M7=0,"",ETPT_TJ!M7)))</f>
        <v/>
      </c>
      <c r="N7" s="129" t="str">
        <f>IF(ISBLANK(ETPT_TJ_DDG!$D$5),"",IF(ISERROR(ETPT_TJ!N7),"",IF(ETPT_TJ!N7=0,"",ETPT_TJ!N7)))</f>
        <v/>
      </c>
      <c r="O7" s="129" t="str">
        <f>IF(ISBLANK(ETPT_TJ_DDG!$D$5),"",IF(ISERROR(ETPT_TJ!O7),"",IF(ETPT_TJ!O7=0,"",ETPT_TJ!O7)))</f>
        <v/>
      </c>
      <c r="P7" s="129" t="str">
        <f>IF(ISBLANK(ETPT_TJ_DDG!$D$5),"",IF(ISERROR(ETPT_TJ!P7),"",IF(ETPT_TJ!P7=0,"",ETPT_TJ!P7)))</f>
        <v/>
      </c>
      <c r="Q7" s="129" t="str">
        <f>IF(ISBLANK(ETPT_TJ_DDG!$D$5),"",IF(ISERROR(ETPT_TJ!Q7),"",IF(ETPT_TJ!Q7=0,"",ETPT_TJ!Q7)))</f>
        <v/>
      </c>
      <c r="R7" s="129" t="str">
        <f>IF(ISBLANK(ETPT_TJ_DDG!$D$5),"",IF(ISERROR(ETPT_TJ!R7),"",IF(ETPT_TJ!R7=0,"",ETPT_TJ!R7)))</f>
        <v/>
      </c>
      <c r="S7" s="129" t="str">
        <f>IF(ISBLANK(ETPT_TJ_DDG!$D$5),"",IF(ISERROR(ETPT_TJ!S7),"",IF(ETPT_TJ!S7=0,"",ETPT_TJ!S7)))</f>
        <v/>
      </c>
      <c r="T7" s="129" t="str">
        <f>IF(ISBLANK(ETPT_TJ_DDG!$D$5),"",IF(ISERROR(ETPT_TJ!T7),"",IF(ETPT_TJ!T7=0,"",ETPT_TJ!T7)))</f>
        <v/>
      </c>
      <c r="U7" s="129" t="str">
        <f>IF(ISBLANK(ETPT_TJ_DDG!$D$5),"",IF(ISERROR(ETPT_TJ!U7),"",IF(ETPT_TJ!U7=0,"",ETPT_TJ!U7)))</f>
        <v/>
      </c>
      <c r="V7" s="129" t="str">
        <f>IF(ISBLANK(ETPT_TJ_DDG!$D$5),"",IF(ISERROR(ETPT_TJ!V7),"",IF(ETPT_TJ!V7=0,"",ETPT_TJ!V7)))</f>
        <v/>
      </c>
      <c r="W7" s="119">
        <f t="shared" si="1"/>
        <v>0</v>
      </c>
      <c r="X7" s="129" t="str">
        <f>IF(ISBLANK(ETPT_TJ_DDG!$D$5),"",IF(ISERROR(ETPT_TJ!X7),"",IF(ETPT_TJ!X7=0,"",ETPT_TJ!X7)))</f>
        <v/>
      </c>
      <c r="Y7" s="129" t="str">
        <f>IF(ISBLANK(ETPT_TJ_DDG!$D$5),"",IF(ISERROR(ETPT_TJ!Y7),"",IF(ETPT_TJ!Y7=0,"",ETPT_TJ!Y7)))</f>
        <v/>
      </c>
      <c r="Z7" s="129" t="str">
        <f>IF(ISBLANK(ETPT_TJ_DDG!$D$5),"",IF(ISERROR(ETPT_TJ!Z7),"",IF(ETPT_TJ!Z7=0,"",ETPT_TJ!Z7)))</f>
        <v/>
      </c>
      <c r="AA7" s="129" t="str">
        <f>IF(ISBLANK(ETPT_TJ_DDG!$D$5),"",IF(ISERROR(ETPT_TJ!AA7),"",IF(ETPT_TJ!AA7=0,"",ETPT_TJ!AA7)))</f>
        <v/>
      </c>
      <c r="AB7" s="119">
        <f t="shared" si="2"/>
        <v>0</v>
      </c>
      <c r="AC7" s="129" t="str">
        <f>IF(ISBLANK(ETPT_TJ_DDG!$D$5),"",IF(ISERROR(ETPT_TJ!AC7),"",IF(ETPT_TJ!AC7=0,"",ETPT_TJ!AC7)))</f>
        <v/>
      </c>
      <c r="AD7" s="129" t="str">
        <f>IF(ISBLANK(ETPT_TJ_DDG!$D$5),"",IF(ISERROR(ETPT_TJ!AD7),"",IF(ETPT_TJ!AD7=0,"",ETPT_TJ!AD7)))</f>
        <v/>
      </c>
      <c r="AE7" s="129" t="str">
        <f>IF(ISBLANK(ETPT_TJ_DDG!$D$5),"",IF(ISERROR(ETPT_TJ!AE7),"",IF(ETPT_TJ!AE7=0,"",ETPT_TJ!AE7)))</f>
        <v/>
      </c>
      <c r="AF7" s="129" t="str">
        <f>IF(ISBLANK(ETPT_TJ_DDG!$D$5),"",IF(ISERROR(ETPT_TJ!AF7),"",IF(ETPT_TJ!AF7=0,"",ETPT_TJ!AF7)))</f>
        <v/>
      </c>
      <c r="AG7" s="129" t="str">
        <f>IF(ISBLANK(ETPT_TJ_DDG!$D$5),"",IF(ISERROR(ETPT_TJ!AG7),"",IF(ETPT_TJ!AG7=0,"",ETPT_TJ!AG7)))</f>
        <v/>
      </c>
      <c r="AH7" s="129" t="str">
        <f>IF(ISBLANK(ETPT_TJ_DDG!$D$5),"",IF(ISERROR(ETPT_TJ!AH7),"",IF(ETPT_TJ!AH7=0,"",ETPT_TJ!AH7)))</f>
        <v/>
      </c>
      <c r="AI7" s="129" t="str">
        <f>IF(ISBLANK(ETPT_TJ_DDG!$D$5),"",IF(ISERROR(ETPT_TJ!AI7),"",IF(ETPT_TJ!AI7=0,"",ETPT_TJ!AI7)))</f>
        <v/>
      </c>
      <c r="AJ7" s="129" t="str">
        <f>IF(ISBLANK(ETPT_TJ_DDG!$D$5),"",IF(ISERROR(ETPT_TJ!AJ7),"",IF(ETPT_TJ!AJ7=0,"",ETPT_TJ!AJ7)))</f>
        <v/>
      </c>
      <c r="AK7" s="129" t="str">
        <f>IF(ISBLANK(ETPT_TJ_DDG!$D$5),"",IF(ISERROR(ETPT_TJ!AK7),"",IF(ETPT_TJ!AK7=0,"",ETPT_TJ!AK7)))</f>
        <v/>
      </c>
      <c r="AL7" s="119">
        <f t="shared" si="3"/>
        <v>0</v>
      </c>
      <c r="AM7" s="129" t="str">
        <f>IF(ISBLANK(ETPT_TJ_DDG!$D$5),"",IF(ISERROR(ETPT_TJ!AM7),"",IF(ETPT_TJ!AM7=0,"",ETPT_TJ!AM7)))</f>
        <v/>
      </c>
      <c r="AN7" s="129" t="str">
        <f>IF(ISBLANK(ETPT_TJ_DDG!$D$5),"",IF(ISERROR(ETPT_TJ!AN7),"",IF(ETPT_TJ!AN7=0,"",ETPT_TJ!AN7)))</f>
        <v/>
      </c>
      <c r="AO7" s="129" t="str">
        <f>IF(ISBLANK(ETPT_TJ_DDG!$D$5),"",IF(ISERROR(ETPT_TJ!AO7),"",IF(ETPT_TJ!AO7=0,"",ETPT_TJ!AO7)))</f>
        <v/>
      </c>
      <c r="AP7" s="129" t="str">
        <f>IF(ISBLANK(ETPT_TJ_DDG!$D$5),"",IF(ISERROR(ETPT_TJ!AP7),"",IF(ETPT_TJ!AP7=0,"",ETPT_TJ!AP7)))</f>
        <v/>
      </c>
      <c r="AQ7" s="129" t="str">
        <f>IF(ISBLANK(ETPT_TJ_DDG!$D$5),"",IF(ISERROR(ETPT_TJ!AQ7),"",IF(ETPT_TJ!AQ7=0,"",ETPT_TJ!AQ7)))</f>
        <v/>
      </c>
      <c r="AR7" s="129" t="str">
        <f>IF(ISBLANK(ETPT_TJ_DDG!$D$5),"",IF(ISERROR(ETPT_TJ!AR7),"",IF(ETPT_TJ!AR7=0,"",ETPT_TJ!AR7)))</f>
        <v/>
      </c>
      <c r="AS7" s="129" t="str">
        <f>IF(ISBLANK(ETPT_TJ_DDG!$D$5),"",IF(ISERROR(ETPT_TJ!AS7),"",IF(ETPT_TJ!AS7=0,"",ETPT_TJ!AS7)))</f>
        <v/>
      </c>
      <c r="AT7" s="129" t="str">
        <f>IF(ISBLANK(ETPT_TJ_DDG!$D$5),"",IF(ISERROR(ETPT_TJ!AT7),"",IF(ETPT_TJ!AT7=0,"",ETPT_TJ!AT7)))</f>
        <v/>
      </c>
      <c r="AU7" s="129" t="str">
        <f>IF(ISBLANK(ETPT_TJ_DDG!$D$5),"",IF(ISERROR(ETPT_TJ!AU7),"",IF(ETPT_TJ!AU7=0,"",ETPT_TJ!AU7)))</f>
        <v/>
      </c>
      <c r="AV7" s="129" t="str">
        <f>IF(ISBLANK(ETPT_TJ_DDG!$D$5),"",IF(ISERROR(ETPT_TJ!AV7),"",IF(ETPT_TJ!AV7=0,"",ETPT_TJ!AV7)))</f>
        <v/>
      </c>
      <c r="AW7" s="129" t="str">
        <f>IF(ISBLANK(ETPT_TJ_DDG!$D$5),"",IF(ISERROR(ETPT_TJ!AW7),"",IF(ETPT_TJ!AW7=0,"",ETPT_TJ!AW7)))</f>
        <v/>
      </c>
      <c r="AX7" s="129" t="str">
        <f>IF(ISBLANK(ETPT_TJ_DDG!$D$5),"",IF(ISERROR(ETPT_TJ!AX7),"",IF(ETPT_TJ!AX7=0,"",ETPT_TJ!AX7)))</f>
        <v/>
      </c>
      <c r="AY7" s="129" t="str">
        <f>IF(ISBLANK(ETPT_TJ_DDG!$D$5),"",IF(ISERROR(ETPT_TJ!AY7),"",IF(ETPT_TJ!AY7=0,"",ETPT_TJ!AY7)))</f>
        <v/>
      </c>
      <c r="AZ7" s="119">
        <f t="shared" si="4"/>
        <v>0</v>
      </c>
      <c r="BA7" s="125"/>
      <c r="BB7" s="125"/>
      <c r="BC7" s="125"/>
      <c r="BD7" s="125"/>
      <c r="BE7" s="125"/>
      <c r="BF7" s="125"/>
      <c r="BG7" s="125"/>
      <c r="BH7" s="125"/>
      <c r="BI7" s="125"/>
      <c r="BJ7" s="119">
        <f t="shared" si="5"/>
        <v>0</v>
      </c>
    </row>
    <row r="8" spans="1:63" s="114" customFormat="1" ht="14.25" customHeight="1" x14ac:dyDescent="0.15">
      <c r="A8" s="124" t="s">
        <v>259</v>
      </c>
      <c r="B8" s="134"/>
      <c r="C8" s="134"/>
      <c r="D8" s="135" t="str">
        <f t="shared" si="6"/>
        <v/>
      </c>
      <c r="E8" s="134" t="s">
        <v>304</v>
      </c>
      <c r="F8" s="134" t="s">
        <v>303</v>
      </c>
      <c r="G8" s="129" t="str">
        <f>IF(ISBLANK(ETPT_TJ_DDG!$D$5),"",IF(ISERROR(ETPT_TJ!G8),"",IF(ETPT_TJ!G8=0,"",ETPT_TJ!G8)))</f>
        <v/>
      </c>
      <c r="H8" s="119">
        <f t="shared" si="0"/>
        <v>0</v>
      </c>
      <c r="I8" s="129" t="str">
        <f>IF(ISBLANK(ETPT_TJ_DDG!$D$5),"",IF(ISERROR(ETPT_TJ!I8),"",IF(ETPT_TJ!I8=0,"",ETPT_TJ!I8)))</f>
        <v/>
      </c>
      <c r="J8" s="129" t="str">
        <f>IF(ISBLANK(ETPT_TJ_DDG!$D$5),"",IF(ISERROR(ETPT_TJ!J8),"",IF(ETPT_TJ!J8=0,"",ETPT_TJ!J8)))</f>
        <v/>
      </c>
      <c r="K8" s="129" t="str">
        <f>IF(ISBLANK(ETPT_TJ_DDG!$D$5),"",IF(ISERROR(ETPT_TJ!K8),"",IF(ETPT_TJ!K8=0,"",ETPT_TJ!K8)))</f>
        <v/>
      </c>
      <c r="L8" s="129" t="str">
        <f>IF(ISBLANK(ETPT_TJ_DDG!$D$5),"",IF(ISERROR(ETPT_TJ!L8),"",IF(ETPT_TJ!L8=0,"",ETPT_TJ!L8)))</f>
        <v/>
      </c>
      <c r="M8" s="129" t="str">
        <f>IF(ISBLANK(ETPT_TJ_DDG!$D$5),"",IF(ISERROR(ETPT_TJ!M8),"",IF(ETPT_TJ!M8=0,"",ETPT_TJ!M8)))</f>
        <v/>
      </c>
      <c r="N8" s="129" t="str">
        <f>IF(ISBLANK(ETPT_TJ_DDG!$D$5),"",IF(ISERROR(ETPT_TJ!N8),"",IF(ETPT_TJ!N8=0,"",ETPT_TJ!N8)))</f>
        <v/>
      </c>
      <c r="O8" s="129" t="str">
        <f>IF(ISBLANK(ETPT_TJ_DDG!$D$5),"",IF(ISERROR(ETPT_TJ!O8),"",IF(ETPT_TJ!O8=0,"",ETPT_TJ!O8)))</f>
        <v/>
      </c>
      <c r="P8" s="129" t="str">
        <f>IF(ISBLANK(ETPT_TJ_DDG!$D$5),"",IF(ISERROR(ETPT_TJ!P8),"",IF(ETPT_TJ!P8=0,"",ETPT_TJ!P8)))</f>
        <v/>
      </c>
      <c r="Q8" s="129" t="str">
        <f>IF(ISBLANK(ETPT_TJ_DDG!$D$5),"",IF(ISERROR(ETPT_TJ!Q8),"",IF(ETPT_TJ!Q8=0,"",ETPT_TJ!Q8)))</f>
        <v/>
      </c>
      <c r="R8" s="129" t="str">
        <f>IF(ISBLANK(ETPT_TJ_DDG!$D$5),"",IF(ISERROR(ETPT_TJ!R8),"",IF(ETPT_TJ!R8=0,"",ETPT_TJ!R8)))</f>
        <v/>
      </c>
      <c r="S8" s="129" t="str">
        <f>IF(ISBLANK(ETPT_TJ_DDG!$D$5),"",IF(ISERROR(ETPT_TJ!S8),"",IF(ETPT_TJ!S8=0,"",ETPT_TJ!S8)))</f>
        <v/>
      </c>
      <c r="T8" s="129" t="str">
        <f>IF(ISBLANK(ETPT_TJ_DDG!$D$5),"",IF(ISERROR(ETPT_TJ!T8),"",IF(ETPT_TJ!T8=0,"",ETPT_TJ!T8)))</f>
        <v/>
      </c>
      <c r="U8" s="129" t="str">
        <f>IF(ISBLANK(ETPT_TJ_DDG!$D$5),"",IF(ISERROR(ETPT_TJ!U8),"",IF(ETPT_TJ!U8=0,"",ETPT_TJ!U8)))</f>
        <v/>
      </c>
      <c r="V8" s="129" t="str">
        <f>IF(ISBLANK(ETPT_TJ_DDG!$D$5),"",IF(ISERROR(ETPT_TJ!V8),"",IF(ETPT_TJ!V8=0,"",ETPT_TJ!V8)))</f>
        <v/>
      </c>
      <c r="W8" s="119">
        <f t="shared" si="1"/>
        <v>0</v>
      </c>
      <c r="X8" s="129" t="str">
        <f>IF(ISBLANK(ETPT_TJ_DDG!$D$5),"",IF(ISERROR(ETPT_TJ!X8),"",IF(ETPT_TJ!X8=0,"",ETPT_TJ!X8)))</f>
        <v/>
      </c>
      <c r="Y8" s="129" t="str">
        <f>IF(ISBLANK(ETPT_TJ_DDG!$D$5),"",IF(ISERROR(ETPT_TJ!Y8),"",IF(ETPT_TJ!Y8=0,"",ETPT_TJ!Y8)))</f>
        <v/>
      </c>
      <c r="Z8" s="129" t="str">
        <f>IF(ISBLANK(ETPT_TJ_DDG!$D$5),"",IF(ISERROR(ETPT_TJ!Z8),"",IF(ETPT_TJ!Z8=0,"",ETPT_TJ!Z8)))</f>
        <v/>
      </c>
      <c r="AA8" s="129" t="str">
        <f>IF(ISBLANK(ETPT_TJ_DDG!$D$5),"",IF(ISERROR(ETPT_TJ!AA8),"",IF(ETPT_TJ!AA8=0,"",ETPT_TJ!AA8)))</f>
        <v/>
      </c>
      <c r="AB8" s="119">
        <f t="shared" si="2"/>
        <v>0</v>
      </c>
      <c r="AC8" s="129" t="str">
        <f>IF(ISBLANK(ETPT_TJ_DDG!$D$5),"",IF(ISERROR(ETPT_TJ!AC8),"",IF(ETPT_TJ!AC8=0,"",ETPT_TJ!AC8)))</f>
        <v/>
      </c>
      <c r="AD8" s="129" t="str">
        <f>IF(ISBLANK(ETPT_TJ_DDG!$D$5),"",IF(ISERROR(ETPT_TJ!AD8),"",IF(ETPT_TJ!AD8=0,"",ETPT_TJ!AD8)))</f>
        <v/>
      </c>
      <c r="AE8" s="129" t="str">
        <f>IF(ISBLANK(ETPT_TJ_DDG!$D$5),"",IF(ISERROR(ETPT_TJ!AE8),"",IF(ETPT_TJ!AE8=0,"",ETPT_TJ!AE8)))</f>
        <v/>
      </c>
      <c r="AF8" s="129" t="str">
        <f>IF(ISBLANK(ETPT_TJ_DDG!$D$5),"",IF(ISERROR(ETPT_TJ!AF8),"",IF(ETPT_TJ!AF8=0,"",ETPT_TJ!AF8)))</f>
        <v/>
      </c>
      <c r="AG8" s="129" t="str">
        <f>IF(ISBLANK(ETPT_TJ_DDG!$D$5),"",IF(ISERROR(ETPT_TJ!AG8),"",IF(ETPT_TJ!AG8=0,"",ETPT_TJ!AG8)))</f>
        <v/>
      </c>
      <c r="AH8" s="129" t="str">
        <f>IF(ISBLANK(ETPT_TJ_DDG!$D$5),"",IF(ISERROR(ETPT_TJ!AH8),"",IF(ETPT_TJ!AH8=0,"",ETPT_TJ!AH8)))</f>
        <v/>
      </c>
      <c r="AI8" s="129" t="str">
        <f>IF(ISBLANK(ETPT_TJ_DDG!$D$5),"",IF(ISERROR(ETPT_TJ!AI8),"",IF(ETPT_TJ!AI8=0,"",ETPT_TJ!AI8)))</f>
        <v/>
      </c>
      <c r="AJ8" s="129" t="str">
        <f>IF(ISBLANK(ETPT_TJ_DDG!$D$5),"",IF(ISERROR(ETPT_TJ!AJ8),"",IF(ETPT_TJ!AJ8=0,"",ETPT_TJ!AJ8)))</f>
        <v/>
      </c>
      <c r="AK8" s="129" t="str">
        <f>IF(ISBLANK(ETPT_TJ_DDG!$D$5),"",IF(ISERROR(ETPT_TJ!AK8),"",IF(ETPT_TJ!AK8=0,"",ETPT_TJ!AK8)))</f>
        <v/>
      </c>
      <c r="AL8" s="119">
        <f t="shared" si="3"/>
        <v>0</v>
      </c>
      <c r="AM8" s="129" t="str">
        <f>IF(ISBLANK(ETPT_TJ_DDG!$D$5),"",IF(ISERROR(ETPT_TJ!AM8),"",IF(ETPT_TJ!AM8=0,"",ETPT_TJ!AM8)))</f>
        <v/>
      </c>
      <c r="AN8" s="129" t="str">
        <f>IF(ISBLANK(ETPT_TJ_DDG!$D$5),"",IF(ISERROR(ETPT_TJ!AN8),"",IF(ETPT_TJ!AN8=0,"",ETPT_TJ!AN8)))</f>
        <v/>
      </c>
      <c r="AO8" s="129" t="str">
        <f>IF(ISBLANK(ETPT_TJ_DDG!$D$5),"",IF(ISERROR(ETPT_TJ!AO8),"",IF(ETPT_TJ!AO8=0,"",ETPT_TJ!AO8)))</f>
        <v/>
      </c>
      <c r="AP8" s="129" t="str">
        <f>IF(ISBLANK(ETPT_TJ_DDG!$D$5),"",IF(ISERROR(ETPT_TJ!AP8),"",IF(ETPT_TJ!AP8=0,"",ETPT_TJ!AP8)))</f>
        <v/>
      </c>
      <c r="AQ8" s="129" t="str">
        <f>IF(ISBLANK(ETPT_TJ_DDG!$D$5),"",IF(ISERROR(ETPT_TJ!AQ8),"",IF(ETPT_TJ!AQ8=0,"",ETPT_TJ!AQ8)))</f>
        <v/>
      </c>
      <c r="AR8" s="129" t="str">
        <f>IF(ISBLANK(ETPT_TJ_DDG!$D$5),"",IF(ISERROR(ETPT_TJ!AR8),"",IF(ETPT_TJ!AR8=0,"",ETPT_TJ!AR8)))</f>
        <v/>
      </c>
      <c r="AS8" s="129" t="str">
        <f>IF(ISBLANK(ETPT_TJ_DDG!$D$5),"",IF(ISERROR(ETPT_TJ!AS8),"",IF(ETPT_TJ!AS8=0,"",ETPT_TJ!AS8)))</f>
        <v/>
      </c>
      <c r="AT8" s="129" t="str">
        <f>IF(ISBLANK(ETPT_TJ_DDG!$D$5),"",IF(ISERROR(ETPT_TJ!AT8),"",IF(ETPT_TJ!AT8=0,"",ETPT_TJ!AT8)))</f>
        <v/>
      </c>
      <c r="AU8" s="129" t="str">
        <f>IF(ISBLANK(ETPT_TJ_DDG!$D$5),"",IF(ISERROR(ETPT_TJ!AU8),"",IF(ETPT_TJ!AU8=0,"",ETPT_TJ!AU8)))</f>
        <v/>
      </c>
      <c r="AV8" s="129" t="str">
        <f>IF(ISBLANK(ETPT_TJ_DDG!$D$5),"",IF(ISERROR(ETPT_TJ!AV8),"",IF(ETPT_TJ!AV8=0,"",ETPT_TJ!AV8)))</f>
        <v/>
      </c>
      <c r="AW8" s="129" t="str">
        <f>IF(ISBLANK(ETPT_TJ_DDG!$D$5),"",IF(ISERROR(ETPT_TJ!AW8),"",IF(ETPT_TJ!AW8=0,"",ETPT_TJ!AW8)))</f>
        <v/>
      </c>
      <c r="AX8" s="129" t="str">
        <f>IF(ISBLANK(ETPT_TJ_DDG!$D$5),"",IF(ISERROR(ETPT_TJ!AX8),"",IF(ETPT_TJ!AX8=0,"",ETPT_TJ!AX8)))</f>
        <v/>
      </c>
      <c r="AY8" s="129" t="str">
        <f>IF(ISBLANK(ETPT_TJ_DDG!$D$5),"",IF(ISERROR(ETPT_TJ!AY8),"",IF(ETPT_TJ!AY8=0,"",ETPT_TJ!AY8)))</f>
        <v/>
      </c>
      <c r="AZ8" s="119">
        <f t="shared" si="4"/>
        <v>0</v>
      </c>
      <c r="BA8" s="125"/>
      <c r="BB8" s="125"/>
      <c r="BC8" s="125"/>
      <c r="BD8" s="125"/>
      <c r="BE8" s="125"/>
      <c r="BF8" s="125"/>
      <c r="BG8" s="125"/>
      <c r="BH8" s="125"/>
      <c r="BI8" s="125"/>
      <c r="BJ8" s="119">
        <f t="shared" si="5"/>
        <v>0</v>
      </c>
    </row>
    <row r="9" spans="1:63" s="114" customFormat="1" ht="14.25" customHeight="1" x14ac:dyDescent="0.15">
      <c r="A9" s="124" t="s">
        <v>259</v>
      </c>
      <c r="B9" s="134"/>
      <c r="C9" s="134"/>
      <c r="D9" s="135" t="str">
        <f t="shared" si="6"/>
        <v/>
      </c>
      <c r="E9" s="134" t="s">
        <v>301</v>
      </c>
      <c r="F9" s="134" t="s">
        <v>300</v>
      </c>
      <c r="G9" s="129" t="str">
        <f>IF(ISBLANK(ETPT_TJ_DDG!$D$5),"",IF(ISERROR(ETPT_TJ!G9),"",IF(ETPT_TJ!G9=0,"",ETPT_TJ!G9)))</f>
        <v/>
      </c>
      <c r="H9" s="119">
        <f t="shared" si="0"/>
        <v>0</v>
      </c>
      <c r="I9" s="129" t="str">
        <f>IF(ISBLANK(ETPT_TJ_DDG!$D$5),"",IF(ISERROR(ETPT_TJ!I9),"",IF(ETPT_TJ!I9=0,"",ETPT_TJ!I9)))</f>
        <v/>
      </c>
      <c r="J9" s="129" t="str">
        <f>IF(ISBLANK(ETPT_TJ_DDG!$D$5),"",IF(ISERROR(ETPT_TJ!J9),"",IF(ETPT_TJ!J9=0,"",ETPT_TJ!J9)))</f>
        <v/>
      </c>
      <c r="K9" s="129" t="str">
        <f>IF(ISBLANK(ETPT_TJ_DDG!$D$5),"",IF(ISERROR(ETPT_TJ!K9),"",IF(ETPT_TJ!K9=0,"",ETPT_TJ!K9)))</f>
        <v/>
      </c>
      <c r="L9" s="129" t="str">
        <f>IF(ISBLANK(ETPT_TJ_DDG!$D$5),"",IF(ISERROR(ETPT_TJ!L9),"",IF(ETPT_TJ!L9=0,"",ETPT_TJ!L9)))</f>
        <v/>
      </c>
      <c r="M9" s="129" t="str">
        <f>IF(ISBLANK(ETPT_TJ_DDG!$D$5),"",IF(ISERROR(ETPT_TJ!M9),"",IF(ETPT_TJ!M9=0,"",ETPT_TJ!M9)))</f>
        <v/>
      </c>
      <c r="N9" s="129" t="str">
        <f>IF(ISBLANK(ETPT_TJ_DDG!$D$5),"",IF(ISERROR(ETPT_TJ!N9),"",IF(ETPT_TJ!N9=0,"",ETPT_TJ!N9)))</f>
        <v/>
      </c>
      <c r="O9" s="129" t="str">
        <f>IF(ISBLANK(ETPT_TJ_DDG!$D$5),"",IF(ISERROR(ETPT_TJ!O9),"",IF(ETPT_TJ!O9=0,"",ETPT_TJ!O9)))</f>
        <v/>
      </c>
      <c r="P9" s="129" t="str">
        <f>IF(ISBLANK(ETPT_TJ_DDG!$D$5),"",IF(ISERROR(ETPT_TJ!P9),"",IF(ETPT_TJ!P9=0,"",ETPT_TJ!P9)))</f>
        <v/>
      </c>
      <c r="Q9" s="129" t="str">
        <f>IF(ISBLANK(ETPT_TJ_DDG!$D$5),"",IF(ISERROR(ETPT_TJ!Q9),"",IF(ETPT_TJ!Q9=0,"",ETPT_TJ!Q9)))</f>
        <v/>
      </c>
      <c r="R9" s="129" t="str">
        <f>IF(ISBLANK(ETPT_TJ_DDG!$D$5),"",IF(ISERROR(ETPT_TJ!R9),"",IF(ETPT_TJ!R9=0,"",ETPT_TJ!R9)))</f>
        <v/>
      </c>
      <c r="S9" s="129" t="str">
        <f>IF(ISBLANK(ETPT_TJ_DDG!$D$5),"",IF(ISERROR(ETPT_TJ!S9),"",IF(ETPT_TJ!S9=0,"",ETPT_TJ!S9)))</f>
        <v/>
      </c>
      <c r="T9" s="129" t="str">
        <f>IF(ISBLANK(ETPT_TJ_DDG!$D$5),"",IF(ISERROR(ETPT_TJ!T9),"",IF(ETPT_TJ!T9=0,"",ETPT_TJ!T9)))</f>
        <v/>
      </c>
      <c r="U9" s="129" t="str">
        <f>IF(ISBLANK(ETPT_TJ_DDG!$D$5),"",IF(ISERROR(ETPT_TJ!U9),"",IF(ETPT_TJ!U9=0,"",ETPT_TJ!U9)))</f>
        <v/>
      </c>
      <c r="V9" s="129" t="str">
        <f>IF(ISBLANK(ETPT_TJ_DDG!$D$5),"",IF(ISERROR(ETPT_TJ!V9),"",IF(ETPT_TJ!V9=0,"",ETPT_TJ!V9)))</f>
        <v/>
      </c>
      <c r="W9" s="119">
        <f t="shared" si="1"/>
        <v>0</v>
      </c>
      <c r="X9" s="129" t="str">
        <f>IF(ISBLANK(ETPT_TJ_DDG!$D$5),"",IF(ISERROR(ETPT_TJ!X9),"",IF(ETPT_TJ!X9=0,"",ETPT_TJ!X9)))</f>
        <v/>
      </c>
      <c r="Y9" s="129" t="str">
        <f>IF(ISBLANK(ETPT_TJ_DDG!$D$5),"",IF(ISERROR(ETPT_TJ!Y9),"",IF(ETPT_TJ!Y9=0,"",ETPT_TJ!Y9)))</f>
        <v/>
      </c>
      <c r="Z9" s="129" t="str">
        <f>IF(ISBLANK(ETPT_TJ_DDG!$D$5),"",IF(ISERROR(ETPT_TJ!Z9),"",IF(ETPT_TJ!Z9=0,"",ETPT_TJ!Z9)))</f>
        <v/>
      </c>
      <c r="AA9" s="129" t="str">
        <f>IF(ISBLANK(ETPT_TJ_DDG!$D$5),"",IF(ISERROR(ETPT_TJ!AA9),"",IF(ETPT_TJ!AA9=0,"",ETPT_TJ!AA9)))</f>
        <v/>
      </c>
      <c r="AB9" s="119">
        <f t="shared" si="2"/>
        <v>0</v>
      </c>
      <c r="AC9" s="129" t="str">
        <f>IF(ISBLANK(ETPT_TJ_DDG!$D$5),"",IF(ISERROR(ETPT_TJ!AC9),"",IF(ETPT_TJ!AC9=0,"",ETPT_TJ!AC9)))</f>
        <v/>
      </c>
      <c r="AD9" s="129" t="str">
        <f>IF(ISBLANK(ETPT_TJ_DDG!$D$5),"",IF(ISERROR(ETPT_TJ!AD9),"",IF(ETPT_TJ!AD9=0,"",ETPT_TJ!AD9)))</f>
        <v/>
      </c>
      <c r="AE9" s="129" t="str">
        <f>IF(ISBLANK(ETPT_TJ_DDG!$D$5),"",IF(ISERROR(ETPT_TJ!AE9),"",IF(ETPT_TJ!AE9=0,"",ETPT_TJ!AE9)))</f>
        <v/>
      </c>
      <c r="AF9" s="129" t="str">
        <f>IF(ISBLANK(ETPT_TJ_DDG!$D$5),"",IF(ISERROR(ETPT_TJ!AF9),"",IF(ETPT_TJ!AF9=0,"",ETPT_TJ!AF9)))</f>
        <v/>
      </c>
      <c r="AG9" s="129" t="str">
        <f>IF(ISBLANK(ETPT_TJ_DDG!$D$5),"",IF(ISERROR(ETPT_TJ!AG9),"",IF(ETPT_TJ!AG9=0,"",ETPT_TJ!AG9)))</f>
        <v/>
      </c>
      <c r="AH9" s="129" t="str">
        <f>IF(ISBLANK(ETPT_TJ_DDG!$D$5),"",IF(ISERROR(ETPT_TJ!AH9),"",IF(ETPT_TJ!AH9=0,"",ETPT_TJ!AH9)))</f>
        <v/>
      </c>
      <c r="AI9" s="129" t="str">
        <f>IF(ISBLANK(ETPT_TJ_DDG!$D$5),"",IF(ISERROR(ETPT_TJ!AI9),"",IF(ETPT_TJ!AI9=0,"",ETPT_TJ!AI9)))</f>
        <v/>
      </c>
      <c r="AJ9" s="129" t="str">
        <f>IF(ISBLANK(ETPT_TJ_DDG!$D$5),"",IF(ISERROR(ETPT_TJ!AJ9),"",IF(ETPT_TJ!AJ9=0,"",ETPT_TJ!AJ9)))</f>
        <v/>
      </c>
      <c r="AK9" s="129" t="str">
        <f>IF(ISBLANK(ETPT_TJ_DDG!$D$5),"",IF(ISERROR(ETPT_TJ!AK9),"",IF(ETPT_TJ!AK9=0,"",ETPT_TJ!AK9)))</f>
        <v/>
      </c>
      <c r="AL9" s="119">
        <f t="shared" si="3"/>
        <v>0</v>
      </c>
      <c r="AM9" s="129" t="str">
        <f>IF(ISBLANK(ETPT_TJ_DDG!$D$5),"",IF(ISERROR(ETPT_TJ!AM9),"",IF(ETPT_TJ!AM9=0,"",ETPT_TJ!AM9)))</f>
        <v/>
      </c>
      <c r="AN9" s="129" t="str">
        <f>IF(ISBLANK(ETPT_TJ_DDG!$D$5),"",IF(ISERROR(ETPT_TJ!AN9),"",IF(ETPT_TJ!AN9=0,"",ETPT_TJ!AN9)))</f>
        <v/>
      </c>
      <c r="AO9" s="129" t="str">
        <f>IF(ISBLANK(ETPT_TJ_DDG!$D$5),"",IF(ISERROR(ETPT_TJ!AO9),"",IF(ETPT_TJ!AO9=0,"",ETPT_TJ!AO9)))</f>
        <v/>
      </c>
      <c r="AP9" s="129" t="str">
        <f>IF(ISBLANK(ETPT_TJ_DDG!$D$5),"",IF(ISERROR(ETPT_TJ!AP9),"",IF(ETPT_TJ!AP9=0,"",ETPT_TJ!AP9)))</f>
        <v/>
      </c>
      <c r="AQ9" s="129" t="str">
        <f>IF(ISBLANK(ETPT_TJ_DDG!$D$5),"",IF(ISERROR(ETPT_TJ!AQ9),"",IF(ETPT_TJ!AQ9=0,"",ETPT_TJ!AQ9)))</f>
        <v/>
      </c>
      <c r="AR9" s="129" t="str">
        <f>IF(ISBLANK(ETPT_TJ_DDG!$D$5),"",IF(ISERROR(ETPT_TJ!AR9),"",IF(ETPT_TJ!AR9=0,"",ETPT_TJ!AR9)))</f>
        <v/>
      </c>
      <c r="AS9" s="129" t="str">
        <f>IF(ISBLANK(ETPT_TJ_DDG!$D$5),"",IF(ISERROR(ETPT_TJ!AS9),"",IF(ETPT_TJ!AS9=0,"",ETPT_TJ!AS9)))</f>
        <v/>
      </c>
      <c r="AT9" s="129" t="str">
        <f>IF(ISBLANK(ETPT_TJ_DDG!$D$5),"",IF(ISERROR(ETPT_TJ!AT9),"",IF(ETPT_TJ!AT9=0,"",ETPT_TJ!AT9)))</f>
        <v/>
      </c>
      <c r="AU9" s="129" t="str">
        <f>IF(ISBLANK(ETPT_TJ_DDG!$D$5),"",IF(ISERROR(ETPT_TJ!AU9),"",IF(ETPT_TJ!AU9=0,"",ETPT_TJ!AU9)))</f>
        <v/>
      </c>
      <c r="AV9" s="129" t="str">
        <f>IF(ISBLANK(ETPT_TJ_DDG!$D$5),"",IF(ISERROR(ETPT_TJ!AV9),"",IF(ETPT_TJ!AV9=0,"",ETPT_TJ!AV9)))</f>
        <v/>
      </c>
      <c r="AW9" s="129" t="str">
        <f>IF(ISBLANK(ETPT_TJ_DDG!$D$5),"",IF(ISERROR(ETPT_TJ!AW9),"",IF(ETPT_TJ!AW9=0,"",ETPT_TJ!AW9)))</f>
        <v/>
      </c>
      <c r="AX9" s="129" t="str">
        <f>IF(ISBLANK(ETPT_TJ_DDG!$D$5),"",IF(ISERROR(ETPT_TJ!AX9),"",IF(ETPT_TJ!AX9=0,"",ETPT_TJ!AX9)))</f>
        <v/>
      </c>
      <c r="AY9" s="129" t="str">
        <f>IF(ISBLANK(ETPT_TJ_DDG!$D$5),"",IF(ISERROR(ETPT_TJ!AY9),"",IF(ETPT_TJ!AY9=0,"",ETPT_TJ!AY9)))</f>
        <v/>
      </c>
      <c r="AZ9" s="119">
        <f t="shared" si="4"/>
        <v>0</v>
      </c>
      <c r="BA9" s="125"/>
      <c r="BB9" s="125"/>
      <c r="BC9" s="125"/>
      <c r="BD9" s="125"/>
      <c r="BE9" s="125"/>
      <c r="BF9" s="125"/>
      <c r="BG9" s="125"/>
      <c r="BH9" s="125"/>
      <c r="BI9" s="125"/>
      <c r="BJ9" s="119">
        <f t="shared" si="5"/>
        <v>0</v>
      </c>
    </row>
    <row r="10" spans="1:63" s="114" customFormat="1" ht="14.25" customHeight="1" x14ac:dyDescent="0.15">
      <c r="A10" s="124" t="s">
        <v>259</v>
      </c>
      <c r="B10" s="134"/>
      <c r="C10" s="134"/>
      <c r="D10" s="135" t="str">
        <f t="shared" si="6"/>
        <v/>
      </c>
      <c r="E10" s="134" t="s">
        <v>291</v>
      </c>
      <c r="F10" s="134" t="s">
        <v>290</v>
      </c>
      <c r="G10" s="129" t="str">
        <f>IF(ISBLANK(ETPT_TJ_DDG!$D$5),"",IF(ISERROR(ETPT_TJ!G10),"",IF(ETPT_TJ!G10=0,"",ETPT_TJ!G10)))</f>
        <v/>
      </c>
      <c r="H10" s="119">
        <f t="shared" si="0"/>
        <v>0</v>
      </c>
      <c r="I10" s="129" t="str">
        <f>IF(ISBLANK(ETPT_TJ_DDG!$D$5),"",IF(ISERROR(ETPT_TJ!I10),"",IF(ETPT_TJ!I10=0,"",ETPT_TJ!I10)))</f>
        <v/>
      </c>
      <c r="J10" s="129" t="str">
        <f>IF(ISBLANK(ETPT_TJ_DDG!$D$5),"",IF(ISERROR(ETPT_TJ!J10),"",IF(ETPT_TJ!J10=0,"",ETPT_TJ!J10)))</f>
        <v/>
      </c>
      <c r="K10" s="129" t="str">
        <f>IF(ISBLANK(ETPT_TJ_DDG!$D$5),"",IF(ISERROR(ETPT_TJ!K10),"",IF(ETPT_TJ!K10=0,"",ETPT_TJ!K10)))</f>
        <v/>
      </c>
      <c r="L10" s="129" t="str">
        <f>IF(ISBLANK(ETPT_TJ_DDG!$D$5),"",IF(ISERROR(ETPT_TJ!L10),"",IF(ETPT_TJ!L10=0,"",ETPT_TJ!L10)))</f>
        <v/>
      </c>
      <c r="M10" s="129" t="str">
        <f>IF(ISBLANK(ETPT_TJ_DDG!$D$5),"",IF(ISERROR(ETPT_TJ!M10),"",IF(ETPT_TJ!M10=0,"",ETPT_TJ!M10)))</f>
        <v/>
      </c>
      <c r="N10" s="129" t="str">
        <f>IF(ISBLANK(ETPT_TJ_DDG!$D$5),"",IF(ISERROR(ETPT_TJ!N10),"",IF(ETPT_TJ!N10=0,"",ETPT_TJ!N10)))</f>
        <v/>
      </c>
      <c r="O10" s="129" t="str">
        <f>IF(ISBLANK(ETPT_TJ_DDG!$D$5),"",IF(ISERROR(ETPT_TJ!O10),"",IF(ETPT_TJ!O10=0,"",ETPT_TJ!O10)))</f>
        <v/>
      </c>
      <c r="P10" s="129" t="str">
        <f>IF(ISBLANK(ETPT_TJ_DDG!$D$5),"",IF(ISERROR(ETPT_TJ!P10),"",IF(ETPT_TJ!P10=0,"",ETPT_TJ!P10)))</f>
        <v/>
      </c>
      <c r="Q10" s="129" t="str">
        <f>IF(ISBLANK(ETPT_TJ_DDG!$D$5),"",IF(ISERROR(ETPT_TJ!Q10),"",IF(ETPT_TJ!Q10=0,"",ETPT_TJ!Q10)))</f>
        <v/>
      </c>
      <c r="R10" s="129" t="str">
        <f>IF(ISBLANK(ETPT_TJ_DDG!$D$5),"",IF(ISERROR(ETPT_TJ!R10),"",IF(ETPT_TJ!R10=0,"",ETPT_TJ!R10)))</f>
        <v/>
      </c>
      <c r="S10" s="129" t="str">
        <f>IF(ISBLANK(ETPT_TJ_DDG!$D$5),"",IF(ISERROR(ETPT_TJ!S10),"",IF(ETPT_TJ!S10=0,"",ETPT_TJ!S10)))</f>
        <v/>
      </c>
      <c r="T10" s="129" t="str">
        <f>IF(ISBLANK(ETPT_TJ_DDG!$D$5),"",IF(ISERROR(ETPT_TJ!T10),"",IF(ETPT_TJ!T10=0,"",ETPT_TJ!T10)))</f>
        <v/>
      </c>
      <c r="U10" s="129" t="str">
        <f>IF(ISBLANK(ETPT_TJ_DDG!$D$5),"",IF(ISERROR(ETPT_TJ!U10),"",IF(ETPT_TJ!U10=0,"",ETPT_TJ!U10)))</f>
        <v/>
      </c>
      <c r="V10" s="129" t="str">
        <f>IF(ISBLANK(ETPT_TJ_DDG!$D$5),"",IF(ISERROR(ETPT_TJ!V10),"",IF(ETPT_TJ!V10=0,"",ETPT_TJ!V10)))</f>
        <v/>
      </c>
      <c r="W10" s="119">
        <f t="shared" si="1"/>
        <v>0</v>
      </c>
      <c r="X10" s="129" t="str">
        <f>IF(ISBLANK(ETPT_TJ_DDG!$D$5),"",IF(ISERROR(ETPT_TJ!X10),"",IF(ETPT_TJ!X10=0,"",ETPT_TJ!X10)))</f>
        <v/>
      </c>
      <c r="Y10" s="129" t="str">
        <f>IF(ISBLANK(ETPT_TJ_DDG!$D$5),"",IF(ISERROR(ETPT_TJ!Y10),"",IF(ETPT_TJ!Y10=0,"",ETPT_TJ!Y10)))</f>
        <v/>
      </c>
      <c r="Z10" s="129" t="str">
        <f>IF(ISBLANK(ETPT_TJ_DDG!$D$5),"",IF(ISERROR(ETPT_TJ!Z10),"",IF(ETPT_TJ!Z10=0,"",ETPT_TJ!Z10)))</f>
        <v/>
      </c>
      <c r="AA10" s="129" t="str">
        <f>IF(ISBLANK(ETPT_TJ_DDG!$D$5),"",IF(ISERROR(ETPT_TJ!AA10),"",IF(ETPT_TJ!AA10=0,"",ETPT_TJ!AA10)))</f>
        <v/>
      </c>
      <c r="AB10" s="119">
        <f t="shared" si="2"/>
        <v>0</v>
      </c>
      <c r="AC10" s="129" t="str">
        <f>IF(ISBLANK(ETPT_TJ_DDG!$D$5),"",IF(ISERROR(ETPT_TJ!AC10),"",IF(ETPT_TJ!AC10=0,"",ETPT_TJ!AC10)))</f>
        <v/>
      </c>
      <c r="AD10" s="129" t="str">
        <f>IF(ISBLANK(ETPT_TJ_DDG!$D$5),"",IF(ISERROR(ETPT_TJ!AD10),"",IF(ETPT_TJ!AD10=0,"",ETPT_TJ!AD10)))</f>
        <v/>
      </c>
      <c r="AE10" s="129" t="str">
        <f>IF(ISBLANK(ETPT_TJ_DDG!$D$5),"",IF(ISERROR(ETPT_TJ!AE10),"",IF(ETPT_TJ!AE10=0,"",ETPT_TJ!AE10)))</f>
        <v/>
      </c>
      <c r="AF10" s="129" t="str">
        <f>IF(ISBLANK(ETPT_TJ_DDG!$D$5),"",IF(ISERROR(ETPT_TJ!AF10),"",IF(ETPT_TJ!AF10=0,"",ETPT_TJ!AF10)))</f>
        <v/>
      </c>
      <c r="AG10" s="129" t="str">
        <f>IF(ISBLANK(ETPT_TJ_DDG!$D$5),"",IF(ISERROR(ETPT_TJ!AG10),"",IF(ETPT_TJ!AG10=0,"",ETPT_TJ!AG10)))</f>
        <v/>
      </c>
      <c r="AH10" s="129" t="str">
        <f>IF(ISBLANK(ETPT_TJ_DDG!$D$5),"",IF(ISERROR(ETPT_TJ!AH10),"",IF(ETPT_TJ!AH10=0,"",ETPT_TJ!AH10)))</f>
        <v/>
      </c>
      <c r="AI10" s="129" t="str">
        <f>IF(ISBLANK(ETPT_TJ_DDG!$D$5),"",IF(ISERROR(ETPT_TJ!AI10),"",IF(ETPT_TJ!AI10=0,"",ETPT_TJ!AI10)))</f>
        <v/>
      </c>
      <c r="AJ10" s="129" t="str">
        <f>IF(ISBLANK(ETPT_TJ_DDG!$D$5),"",IF(ISERROR(ETPT_TJ!AJ10),"",IF(ETPT_TJ!AJ10=0,"",ETPT_TJ!AJ10)))</f>
        <v/>
      </c>
      <c r="AK10" s="129" t="str">
        <f>IF(ISBLANK(ETPT_TJ_DDG!$D$5),"",IF(ISERROR(ETPT_TJ!AK10),"",IF(ETPT_TJ!AK10=0,"",ETPT_TJ!AK10)))</f>
        <v/>
      </c>
      <c r="AL10" s="119">
        <f t="shared" si="3"/>
        <v>0</v>
      </c>
      <c r="AM10" s="129" t="str">
        <f>IF(ISBLANK(ETPT_TJ_DDG!$D$5),"",IF(ISERROR(ETPT_TJ!AM10),"",IF(ETPT_TJ!AM10=0,"",ETPT_TJ!AM10)))</f>
        <v/>
      </c>
      <c r="AN10" s="129" t="str">
        <f>IF(ISBLANK(ETPT_TJ_DDG!$D$5),"",IF(ISERROR(ETPT_TJ!AN10),"",IF(ETPT_TJ!AN10=0,"",ETPT_TJ!AN10)))</f>
        <v/>
      </c>
      <c r="AO10" s="129" t="str">
        <f>IF(ISBLANK(ETPT_TJ_DDG!$D$5),"",IF(ISERROR(ETPT_TJ!AO10),"",IF(ETPT_TJ!AO10=0,"",ETPT_TJ!AO10)))</f>
        <v/>
      </c>
      <c r="AP10" s="129" t="str">
        <f>IF(ISBLANK(ETPT_TJ_DDG!$D$5),"",IF(ISERROR(ETPT_TJ!AP10),"",IF(ETPT_TJ!AP10=0,"",ETPT_TJ!AP10)))</f>
        <v/>
      </c>
      <c r="AQ10" s="129" t="str">
        <f>IF(ISBLANK(ETPT_TJ_DDG!$D$5),"",IF(ISERROR(ETPT_TJ!AQ10),"",IF(ETPT_TJ!AQ10=0,"",ETPT_TJ!AQ10)))</f>
        <v/>
      </c>
      <c r="AR10" s="129" t="str">
        <f>IF(ISBLANK(ETPT_TJ_DDG!$D$5),"",IF(ISERROR(ETPT_TJ!AR10),"",IF(ETPT_TJ!AR10=0,"",ETPT_TJ!AR10)))</f>
        <v/>
      </c>
      <c r="AS10" s="129" t="str">
        <f>IF(ISBLANK(ETPT_TJ_DDG!$D$5),"",IF(ISERROR(ETPT_TJ!AS10),"",IF(ETPT_TJ!AS10=0,"",ETPT_TJ!AS10)))</f>
        <v/>
      </c>
      <c r="AT10" s="129" t="str">
        <f>IF(ISBLANK(ETPT_TJ_DDG!$D$5),"",IF(ISERROR(ETPT_TJ!AT10),"",IF(ETPT_TJ!AT10=0,"",ETPT_TJ!AT10)))</f>
        <v/>
      </c>
      <c r="AU10" s="129" t="str">
        <f>IF(ISBLANK(ETPT_TJ_DDG!$D$5),"",IF(ISERROR(ETPT_TJ!AU10),"",IF(ETPT_TJ!AU10=0,"",ETPT_TJ!AU10)))</f>
        <v/>
      </c>
      <c r="AV10" s="129" t="str">
        <f>IF(ISBLANK(ETPT_TJ_DDG!$D$5),"",IF(ISERROR(ETPT_TJ!AV10),"",IF(ETPT_TJ!AV10=0,"",ETPT_TJ!AV10)))</f>
        <v/>
      </c>
      <c r="AW10" s="129" t="str">
        <f>IF(ISBLANK(ETPT_TJ_DDG!$D$5),"",IF(ISERROR(ETPT_TJ!AW10),"",IF(ETPT_TJ!AW10=0,"",ETPT_TJ!AW10)))</f>
        <v/>
      </c>
      <c r="AX10" s="129" t="str">
        <f>IF(ISBLANK(ETPT_TJ_DDG!$D$5),"",IF(ISERROR(ETPT_TJ!AX10),"",IF(ETPT_TJ!AX10=0,"",ETPT_TJ!AX10)))</f>
        <v/>
      </c>
      <c r="AY10" s="129" t="str">
        <f>IF(ISBLANK(ETPT_TJ_DDG!$D$5),"",IF(ISERROR(ETPT_TJ!AY10),"",IF(ETPT_TJ!AY10=0,"",ETPT_TJ!AY10)))</f>
        <v/>
      </c>
      <c r="AZ10" s="119">
        <f t="shared" si="4"/>
        <v>0</v>
      </c>
      <c r="BA10" s="125"/>
      <c r="BB10" s="125"/>
      <c r="BC10" s="125"/>
      <c r="BD10" s="125"/>
      <c r="BE10" s="125"/>
      <c r="BF10" s="125"/>
      <c r="BG10" s="125"/>
      <c r="BH10" s="125"/>
      <c r="BI10" s="125"/>
      <c r="BJ10" s="119">
        <f t="shared" si="5"/>
        <v>0</v>
      </c>
    </row>
    <row r="11" spans="1:63" s="114" customFormat="1" ht="14.25" customHeight="1" x14ac:dyDescent="0.15">
      <c r="A11" s="124" t="s">
        <v>259</v>
      </c>
      <c r="B11" s="134"/>
      <c r="C11" s="134"/>
      <c r="D11" s="135" t="str">
        <f t="shared" si="6"/>
        <v/>
      </c>
      <c r="E11" s="134" t="s">
        <v>282</v>
      </c>
      <c r="F11" s="134" t="s">
        <v>281</v>
      </c>
      <c r="G11" s="129" t="str">
        <f>IF(ISBLANK(ETPT_TJ_DDG!$D$5),"",IF(ISERROR(ETPT_TJ!G11),"",IF(ETPT_TJ!G11=0,"",ETPT_TJ!G11)))</f>
        <v/>
      </c>
      <c r="H11" s="119">
        <f t="shared" si="0"/>
        <v>0</v>
      </c>
      <c r="I11" s="129" t="str">
        <f>IF(ISBLANK(ETPT_TJ_DDG!$D$5),"",IF(ISERROR(ETPT_TJ!I11),"",IF(ETPT_TJ!I11=0,"",ETPT_TJ!I11)))</f>
        <v/>
      </c>
      <c r="J11" s="129" t="str">
        <f>IF(ISBLANK(ETPT_TJ_DDG!$D$5),"",IF(ISERROR(ETPT_TJ!J11),"",IF(ETPT_TJ!J11=0,"",ETPT_TJ!J11)))</f>
        <v/>
      </c>
      <c r="K11" s="129" t="str">
        <f>IF(ISBLANK(ETPT_TJ_DDG!$D$5),"",IF(ISERROR(ETPT_TJ!K11),"",IF(ETPT_TJ!K11=0,"",ETPT_TJ!K11)))</f>
        <v/>
      </c>
      <c r="L11" s="129" t="str">
        <f>IF(ISBLANK(ETPT_TJ_DDG!$D$5),"",IF(ISERROR(ETPT_TJ!L11),"",IF(ETPT_TJ!L11=0,"",ETPT_TJ!L11)))</f>
        <v/>
      </c>
      <c r="M11" s="129" t="str">
        <f>IF(ISBLANK(ETPT_TJ_DDG!$D$5),"",IF(ISERROR(ETPT_TJ!M11),"",IF(ETPT_TJ!M11=0,"",ETPT_TJ!M11)))</f>
        <v/>
      </c>
      <c r="N11" s="129" t="str">
        <f>IF(ISBLANK(ETPT_TJ_DDG!$D$5),"",IF(ISERROR(ETPT_TJ!N11),"",IF(ETPT_TJ!N11=0,"",ETPT_TJ!N11)))</f>
        <v/>
      </c>
      <c r="O11" s="129" t="str">
        <f>IF(ISBLANK(ETPT_TJ_DDG!$D$5),"",IF(ISERROR(ETPT_TJ!O11),"",IF(ETPT_TJ!O11=0,"",ETPT_TJ!O11)))</f>
        <v/>
      </c>
      <c r="P11" s="129" t="str">
        <f>IF(ISBLANK(ETPT_TJ_DDG!$D$5),"",IF(ISERROR(ETPT_TJ!P11),"",IF(ETPT_TJ!P11=0,"",ETPT_TJ!P11)))</f>
        <v/>
      </c>
      <c r="Q11" s="129" t="str">
        <f>IF(ISBLANK(ETPT_TJ_DDG!$D$5),"",IF(ISERROR(ETPT_TJ!Q11),"",IF(ETPT_TJ!Q11=0,"",ETPT_TJ!Q11)))</f>
        <v/>
      </c>
      <c r="R11" s="129" t="str">
        <f>IF(ISBLANK(ETPT_TJ_DDG!$D$5),"",IF(ISERROR(ETPT_TJ!R11),"",IF(ETPT_TJ!R11=0,"",ETPT_TJ!R11)))</f>
        <v/>
      </c>
      <c r="S11" s="129" t="str">
        <f>IF(ISBLANK(ETPT_TJ_DDG!$D$5),"",IF(ISERROR(ETPT_TJ!S11),"",IF(ETPT_TJ!S11=0,"",ETPT_TJ!S11)))</f>
        <v/>
      </c>
      <c r="T11" s="129" t="str">
        <f>IF(ISBLANK(ETPT_TJ_DDG!$D$5),"",IF(ISERROR(ETPT_TJ!T11),"",IF(ETPT_TJ!T11=0,"",ETPT_TJ!T11)))</f>
        <v/>
      </c>
      <c r="U11" s="129" t="str">
        <f>IF(ISBLANK(ETPT_TJ_DDG!$D$5),"",IF(ISERROR(ETPT_TJ!U11),"",IF(ETPT_TJ!U11=0,"",ETPT_TJ!U11)))</f>
        <v/>
      </c>
      <c r="V11" s="129" t="str">
        <f>IF(ISBLANK(ETPT_TJ_DDG!$D$5),"",IF(ISERROR(ETPT_TJ!V11),"",IF(ETPT_TJ!V11=0,"",ETPT_TJ!V11)))</f>
        <v/>
      </c>
      <c r="W11" s="119">
        <f t="shared" si="1"/>
        <v>0</v>
      </c>
      <c r="X11" s="129" t="str">
        <f>IF(ISBLANK(ETPT_TJ_DDG!$D$5),"",IF(ISERROR(ETPT_TJ!X11),"",IF(ETPT_TJ!X11=0,"",ETPT_TJ!X11)))</f>
        <v/>
      </c>
      <c r="Y11" s="129" t="str">
        <f>IF(ISBLANK(ETPT_TJ_DDG!$D$5),"",IF(ISERROR(ETPT_TJ!Y11),"",IF(ETPT_TJ!Y11=0,"",ETPT_TJ!Y11)))</f>
        <v/>
      </c>
      <c r="Z11" s="129" t="str">
        <f>IF(ISBLANK(ETPT_TJ_DDG!$D$5),"",IF(ISERROR(ETPT_TJ!Z11),"",IF(ETPT_TJ!Z11=0,"",ETPT_TJ!Z11)))</f>
        <v/>
      </c>
      <c r="AA11" s="129" t="str">
        <f>IF(ISBLANK(ETPT_TJ_DDG!$D$5),"",IF(ISERROR(ETPT_TJ!AA11),"",IF(ETPT_TJ!AA11=0,"",ETPT_TJ!AA11)))</f>
        <v/>
      </c>
      <c r="AB11" s="119">
        <f t="shared" si="2"/>
        <v>0</v>
      </c>
      <c r="AC11" s="129" t="str">
        <f>IF(ISBLANK(ETPT_TJ_DDG!$D$5),"",IF(ISERROR(ETPT_TJ!AC11),"",IF(ETPT_TJ!AC11=0,"",ETPT_TJ!AC11)))</f>
        <v/>
      </c>
      <c r="AD11" s="129" t="str">
        <f>IF(ISBLANK(ETPT_TJ_DDG!$D$5),"",IF(ISERROR(ETPT_TJ!AD11),"",IF(ETPT_TJ!AD11=0,"",ETPT_TJ!AD11)))</f>
        <v/>
      </c>
      <c r="AE11" s="129" t="str">
        <f>IF(ISBLANK(ETPT_TJ_DDG!$D$5),"",IF(ISERROR(ETPT_TJ!AE11),"",IF(ETPT_TJ!AE11=0,"",ETPT_TJ!AE11)))</f>
        <v/>
      </c>
      <c r="AF11" s="129" t="str">
        <f>IF(ISBLANK(ETPT_TJ_DDG!$D$5),"",IF(ISERROR(ETPT_TJ!AF11),"",IF(ETPT_TJ!AF11=0,"",ETPT_TJ!AF11)))</f>
        <v/>
      </c>
      <c r="AG11" s="129" t="str">
        <f>IF(ISBLANK(ETPT_TJ_DDG!$D$5),"",IF(ISERROR(ETPT_TJ!AG11),"",IF(ETPT_TJ!AG11=0,"",ETPT_TJ!AG11)))</f>
        <v/>
      </c>
      <c r="AH11" s="129" t="str">
        <f>IF(ISBLANK(ETPT_TJ_DDG!$D$5),"",IF(ISERROR(ETPT_TJ!AH11),"",IF(ETPT_TJ!AH11=0,"",ETPT_TJ!AH11)))</f>
        <v/>
      </c>
      <c r="AI11" s="129" t="str">
        <f>IF(ISBLANK(ETPT_TJ_DDG!$D$5),"",IF(ISERROR(ETPT_TJ!AI11),"",IF(ETPT_TJ!AI11=0,"",ETPT_TJ!AI11)))</f>
        <v/>
      </c>
      <c r="AJ11" s="129" t="str">
        <f>IF(ISBLANK(ETPT_TJ_DDG!$D$5),"",IF(ISERROR(ETPT_TJ!AJ11),"",IF(ETPT_TJ!AJ11=0,"",ETPT_TJ!AJ11)))</f>
        <v/>
      </c>
      <c r="AK11" s="129" t="str">
        <f>IF(ISBLANK(ETPT_TJ_DDG!$D$5),"",IF(ISERROR(ETPT_TJ!AK11),"",IF(ETPT_TJ!AK11=0,"",ETPT_TJ!AK11)))</f>
        <v/>
      </c>
      <c r="AL11" s="119">
        <f t="shared" si="3"/>
        <v>0</v>
      </c>
      <c r="AM11" s="129" t="str">
        <f>IF(ISBLANK(ETPT_TJ_DDG!$D$5),"",IF(ISERROR(ETPT_TJ!AM11),"",IF(ETPT_TJ!AM11=0,"",ETPT_TJ!AM11)))</f>
        <v/>
      </c>
      <c r="AN11" s="129" t="str">
        <f>IF(ISBLANK(ETPT_TJ_DDG!$D$5),"",IF(ISERROR(ETPT_TJ!AN11),"",IF(ETPT_TJ!AN11=0,"",ETPT_TJ!AN11)))</f>
        <v/>
      </c>
      <c r="AO11" s="129" t="str">
        <f>IF(ISBLANK(ETPT_TJ_DDG!$D$5),"",IF(ISERROR(ETPT_TJ!AO11),"",IF(ETPT_TJ!AO11=0,"",ETPT_TJ!AO11)))</f>
        <v/>
      </c>
      <c r="AP11" s="129" t="str">
        <f>IF(ISBLANK(ETPT_TJ_DDG!$D$5),"",IF(ISERROR(ETPT_TJ!AP11),"",IF(ETPT_TJ!AP11=0,"",ETPT_TJ!AP11)))</f>
        <v/>
      </c>
      <c r="AQ11" s="129" t="str">
        <f>IF(ISBLANK(ETPT_TJ_DDG!$D$5),"",IF(ISERROR(ETPT_TJ!AQ11),"",IF(ETPT_TJ!AQ11=0,"",ETPT_TJ!AQ11)))</f>
        <v/>
      </c>
      <c r="AR11" s="129" t="str">
        <f>IF(ISBLANK(ETPT_TJ_DDG!$D$5),"",IF(ISERROR(ETPT_TJ!AR11),"",IF(ETPT_TJ!AR11=0,"",ETPT_TJ!AR11)))</f>
        <v/>
      </c>
      <c r="AS11" s="129" t="str">
        <f>IF(ISBLANK(ETPT_TJ_DDG!$D$5),"",IF(ISERROR(ETPT_TJ!AS11),"",IF(ETPT_TJ!AS11=0,"",ETPT_TJ!AS11)))</f>
        <v/>
      </c>
      <c r="AT11" s="129" t="str">
        <f>IF(ISBLANK(ETPT_TJ_DDG!$D$5),"",IF(ISERROR(ETPT_TJ!AT11),"",IF(ETPT_TJ!AT11=0,"",ETPT_TJ!AT11)))</f>
        <v/>
      </c>
      <c r="AU11" s="129" t="str">
        <f>IF(ISBLANK(ETPT_TJ_DDG!$D$5),"",IF(ISERROR(ETPT_TJ!AU11),"",IF(ETPT_TJ!AU11=0,"",ETPT_TJ!AU11)))</f>
        <v/>
      </c>
      <c r="AV11" s="129" t="str">
        <f>IF(ISBLANK(ETPT_TJ_DDG!$D$5),"",IF(ISERROR(ETPT_TJ!AV11),"",IF(ETPT_TJ!AV11=0,"",ETPT_TJ!AV11)))</f>
        <v/>
      </c>
      <c r="AW11" s="129" t="str">
        <f>IF(ISBLANK(ETPT_TJ_DDG!$D$5),"",IF(ISERROR(ETPT_TJ!AW11),"",IF(ETPT_TJ!AW11=0,"",ETPT_TJ!AW11)))</f>
        <v/>
      </c>
      <c r="AX11" s="129" t="str">
        <f>IF(ISBLANK(ETPT_TJ_DDG!$D$5),"",IF(ISERROR(ETPT_TJ!AX11),"",IF(ETPT_TJ!AX11=0,"",ETPT_TJ!AX11)))</f>
        <v/>
      </c>
      <c r="AY11" s="129" t="str">
        <f>IF(ISBLANK(ETPT_TJ_DDG!$D$5),"",IF(ISERROR(ETPT_TJ!AY11),"",IF(ETPT_TJ!AY11=0,"",ETPT_TJ!AY11)))</f>
        <v/>
      </c>
      <c r="AZ11" s="119">
        <f t="shared" si="4"/>
        <v>0</v>
      </c>
      <c r="BA11" s="125"/>
      <c r="BB11" s="125"/>
      <c r="BC11" s="125"/>
      <c r="BD11" s="125"/>
      <c r="BE11" s="125"/>
      <c r="BF11" s="125"/>
      <c r="BG11" s="125"/>
      <c r="BH11" s="125"/>
      <c r="BI11" s="125"/>
      <c r="BJ11" s="119">
        <f t="shared" si="5"/>
        <v>0</v>
      </c>
    </row>
    <row r="12" spans="1:63" s="114" customFormat="1" ht="14.25" customHeight="1" x14ac:dyDescent="0.15">
      <c r="A12" s="124" t="s">
        <v>259</v>
      </c>
      <c r="B12" s="134"/>
      <c r="C12" s="134"/>
      <c r="D12" s="135" t="str">
        <f t="shared" si="6"/>
        <v/>
      </c>
      <c r="E12" s="134" t="s">
        <v>273</v>
      </c>
      <c r="F12" s="134" t="s">
        <v>272</v>
      </c>
      <c r="G12" s="129" t="str">
        <f>IF(ISBLANK(ETPT_TJ_DDG!$D$5),"",IF(ISERROR(ETPT_TJ!G12),"",IF(ETPT_TJ!G12=0,"",ETPT_TJ!G12)))</f>
        <v/>
      </c>
      <c r="H12" s="119">
        <f t="shared" si="0"/>
        <v>0</v>
      </c>
      <c r="I12" s="129" t="str">
        <f>IF(ISBLANK(ETPT_TJ_DDG!$D$5),"",IF(ISERROR(ETPT_TJ!I12),"",IF(ETPT_TJ!I12=0,"",ETPT_TJ!I12)))</f>
        <v/>
      </c>
      <c r="J12" s="129" t="str">
        <f>IF(ISBLANK(ETPT_TJ_DDG!$D$5),"",IF(ISERROR(ETPT_TJ!J12),"",IF(ETPT_TJ!J12=0,"",ETPT_TJ!J12)))</f>
        <v/>
      </c>
      <c r="K12" s="129" t="str">
        <f>IF(ISBLANK(ETPT_TJ_DDG!$D$5),"",IF(ISERROR(ETPT_TJ!K12),"",IF(ETPT_TJ!K12=0,"",ETPT_TJ!K12)))</f>
        <v/>
      </c>
      <c r="L12" s="129" t="str">
        <f>IF(ISBLANK(ETPT_TJ_DDG!$D$5),"",IF(ISERROR(ETPT_TJ!L12),"",IF(ETPT_TJ!L12=0,"",ETPT_TJ!L12)))</f>
        <v/>
      </c>
      <c r="M12" s="129" t="str">
        <f>IF(ISBLANK(ETPT_TJ_DDG!$D$5),"",IF(ISERROR(ETPT_TJ!M12),"",IF(ETPT_TJ!M12=0,"",ETPT_TJ!M12)))</f>
        <v/>
      </c>
      <c r="N12" s="129" t="str">
        <f>IF(ISBLANK(ETPT_TJ_DDG!$D$5),"",IF(ISERROR(ETPT_TJ!N12),"",IF(ETPT_TJ!N12=0,"",ETPT_TJ!N12)))</f>
        <v/>
      </c>
      <c r="O12" s="129" t="str">
        <f>IF(ISBLANK(ETPT_TJ_DDG!$D$5),"",IF(ISERROR(ETPT_TJ!O12),"",IF(ETPT_TJ!O12=0,"",ETPT_TJ!O12)))</f>
        <v/>
      </c>
      <c r="P12" s="129" t="str">
        <f>IF(ISBLANK(ETPT_TJ_DDG!$D$5),"",IF(ISERROR(ETPT_TJ!P12),"",IF(ETPT_TJ!P12=0,"",ETPT_TJ!P12)))</f>
        <v/>
      </c>
      <c r="Q12" s="129" t="str">
        <f>IF(ISBLANK(ETPT_TJ_DDG!$D$5),"",IF(ISERROR(ETPT_TJ!Q12),"",IF(ETPT_TJ!Q12=0,"",ETPT_TJ!Q12)))</f>
        <v/>
      </c>
      <c r="R12" s="129" t="str">
        <f>IF(ISBLANK(ETPT_TJ_DDG!$D$5),"",IF(ISERROR(ETPT_TJ!R12),"",IF(ETPT_TJ!R12=0,"",ETPT_TJ!R12)))</f>
        <v/>
      </c>
      <c r="S12" s="129" t="str">
        <f>IF(ISBLANK(ETPT_TJ_DDG!$D$5),"",IF(ISERROR(ETPT_TJ!S12),"",IF(ETPT_TJ!S12=0,"",ETPT_TJ!S12)))</f>
        <v/>
      </c>
      <c r="T12" s="129" t="str">
        <f>IF(ISBLANK(ETPT_TJ_DDG!$D$5),"",IF(ISERROR(ETPT_TJ!T12),"",IF(ETPT_TJ!T12=0,"",ETPT_TJ!T12)))</f>
        <v/>
      </c>
      <c r="U12" s="129" t="str">
        <f>IF(ISBLANK(ETPT_TJ_DDG!$D$5),"",IF(ISERROR(ETPT_TJ!U12),"",IF(ETPT_TJ!U12=0,"",ETPT_TJ!U12)))</f>
        <v/>
      </c>
      <c r="V12" s="129" t="str">
        <f>IF(ISBLANK(ETPT_TJ_DDG!$D$5),"",IF(ISERROR(ETPT_TJ!V12),"",IF(ETPT_TJ!V12=0,"",ETPT_TJ!V12)))</f>
        <v/>
      </c>
      <c r="W12" s="119">
        <f t="shared" si="1"/>
        <v>0</v>
      </c>
      <c r="X12" s="129" t="str">
        <f>IF(ISBLANK(ETPT_TJ_DDG!$D$5),"",IF(ISERROR(ETPT_TJ!X12),"",IF(ETPT_TJ!X12=0,"",ETPT_TJ!X12)))</f>
        <v/>
      </c>
      <c r="Y12" s="129" t="str">
        <f>IF(ISBLANK(ETPT_TJ_DDG!$D$5),"",IF(ISERROR(ETPT_TJ!Y12),"",IF(ETPT_TJ!Y12=0,"",ETPT_TJ!Y12)))</f>
        <v/>
      </c>
      <c r="Z12" s="129" t="str">
        <f>IF(ISBLANK(ETPT_TJ_DDG!$D$5),"",IF(ISERROR(ETPT_TJ!Z12),"",IF(ETPT_TJ!Z12=0,"",ETPT_TJ!Z12)))</f>
        <v/>
      </c>
      <c r="AA12" s="129" t="str">
        <f>IF(ISBLANK(ETPT_TJ_DDG!$D$5),"",IF(ISERROR(ETPT_TJ!AA12),"",IF(ETPT_TJ!AA12=0,"",ETPT_TJ!AA12)))</f>
        <v/>
      </c>
      <c r="AB12" s="119">
        <f t="shared" si="2"/>
        <v>0</v>
      </c>
      <c r="AC12" s="129" t="str">
        <f>IF(ISBLANK(ETPT_TJ_DDG!$D$5),"",IF(ISERROR(ETPT_TJ!AC12),"",IF(ETPT_TJ!AC12=0,"",ETPT_TJ!AC12)))</f>
        <v/>
      </c>
      <c r="AD12" s="129" t="str">
        <f>IF(ISBLANK(ETPT_TJ_DDG!$D$5),"",IF(ISERROR(ETPT_TJ!AD12),"",IF(ETPT_TJ!AD12=0,"",ETPT_TJ!AD12)))</f>
        <v/>
      </c>
      <c r="AE12" s="129" t="str">
        <f>IF(ISBLANK(ETPT_TJ_DDG!$D$5),"",IF(ISERROR(ETPT_TJ!AE12),"",IF(ETPT_TJ!AE12=0,"",ETPT_TJ!AE12)))</f>
        <v/>
      </c>
      <c r="AF12" s="129" t="str">
        <f>IF(ISBLANK(ETPT_TJ_DDG!$D$5),"",IF(ISERROR(ETPT_TJ!AF12),"",IF(ETPT_TJ!AF12=0,"",ETPT_TJ!AF12)))</f>
        <v/>
      </c>
      <c r="AG12" s="129" t="str">
        <f>IF(ISBLANK(ETPT_TJ_DDG!$D$5),"",IF(ISERROR(ETPT_TJ!AG12),"",IF(ETPT_TJ!AG12=0,"",ETPT_TJ!AG12)))</f>
        <v/>
      </c>
      <c r="AH12" s="129" t="str">
        <f>IF(ISBLANK(ETPT_TJ_DDG!$D$5),"",IF(ISERROR(ETPT_TJ!AH12),"",IF(ETPT_TJ!AH12=0,"",ETPT_TJ!AH12)))</f>
        <v/>
      </c>
      <c r="AI12" s="129" t="str">
        <f>IF(ISBLANK(ETPT_TJ_DDG!$D$5),"",IF(ISERROR(ETPT_TJ!AI12),"",IF(ETPT_TJ!AI12=0,"",ETPT_TJ!AI12)))</f>
        <v/>
      </c>
      <c r="AJ12" s="129" t="str">
        <f>IF(ISBLANK(ETPT_TJ_DDG!$D$5),"",IF(ISERROR(ETPT_TJ!AJ12),"",IF(ETPT_TJ!AJ12=0,"",ETPT_TJ!AJ12)))</f>
        <v/>
      </c>
      <c r="AK12" s="129" t="str">
        <f>IF(ISBLANK(ETPT_TJ_DDG!$D$5),"",IF(ISERROR(ETPT_TJ!AK12),"",IF(ETPT_TJ!AK12=0,"",ETPT_TJ!AK12)))</f>
        <v/>
      </c>
      <c r="AL12" s="119">
        <f t="shared" si="3"/>
        <v>0</v>
      </c>
      <c r="AM12" s="129" t="str">
        <f>IF(ISBLANK(ETPT_TJ_DDG!$D$5),"",IF(ISERROR(ETPT_TJ!AM12),"",IF(ETPT_TJ!AM12=0,"",ETPT_TJ!AM12)))</f>
        <v/>
      </c>
      <c r="AN12" s="129" t="str">
        <f>IF(ISBLANK(ETPT_TJ_DDG!$D$5),"",IF(ISERROR(ETPT_TJ!AN12),"",IF(ETPT_TJ!AN12=0,"",ETPT_TJ!AN12)))</f>
        <v/>
      </c>
      <c r="AO12" s="129" t="str">
        <f>IF(ISBLANK(ETPT_TJ_DDG!$D$5),"",IF(ISERROR(ETPT_TJ!AO12),"",IF(ETPT_TJ!AO12=0,"",ETPT_TJ!AO12)))</f>
        <v/>
      </c>
      <c r="AP12" s="129" t="str">
        <f>IF(ISBLANK(ETPT_TJ_DDG!$D$5),"",IF(ISERROR(ETPT_TJ!AP12),"",IF(ETPT_TJ!AP12=0,"",ETPT_TJ!AP12)))</f>
        <v/>
      </c>
      <c r="AQ12" s="129" t="str">
        <f>IF(ISBLANK(ETPT_TJ_DDG!$D$5),"",IF(ISERROR(ETPT_TJ!AQ12),"",IF(ETPT_TJ!AQ12=0,"",ETPT_TJ!AQ12)))</f>
        <v/>
      </c>
      <c r="AR12" s="129" t="str">
        <f>IF(ISBLANK(ETPT_TJ_DDG!$D$5),"",IF(ISERROR(ETPT_TJ!AR12),"",IF(ETPT_TJ!AR12=0,"",ETPT_TJ!AR12)))</f>
        <v/>
      </c>
      <c r="AS12" s="129" t="str">
        <f>IF(ISBLANK(ETPT_TJ_DDG!$D$5),"",IF(ISERROR(ETPT_TJ!AS12),"",IF(ETPT_TJ!AS12=0,"",ETPT_TJ!AS12)))</f>
        <v/>
      </c>
      <c r="AT12" s="129" t="str">
        <f>IF(ISBLANK(ETPT_TJ_DDG!$D$5),"",IF(ISERROR(ETPT_TJ!AT12),"",IF(ETPT_TJ!AT12=0,"",ETPT_TJ!AT12)))</f>
        <v/>
      </c>
      <c r="AU12" s="129" t="str">
        <f>IF(ISBLANK(ETPT_TJ_DDG!$D$5),"",IF(ISERROR(ETPT_TJ!AU12),"",IF(ETPT_TJ!AU12=0,"",ETPT_TJ!AU12)))</f>
        <v/>
      </c>
      <c r="AV12" s="129" t="str">
        <f>IF(ISBLANK(ETPT_TJ_DDG!$D$5),"",IF(ISERROR(ETPT_TJ!AV12),"",IF(ETPT_TJ!AV12=0,"",ETPT_TJ!AV12)))</f>
        <v/>
      </c>
      <c r="AW12" s="129" t="str">
        <f>IF(ISBLANK(ETPT_TJ_DDG!$D$5),"",IF(ISERROR(ETPT_TJ!AW12),"",IF(ETPT_TJ!AW12=0,"",ETPT_TJ!AW12)))</f>
        <v/>
      </c>
      <c r="AX12" s="129" t="str">
        <f>IF(ISBLANK(ETPT_TJ_DDG!$D$5),"",IF(ISERROR(ETPT_TJ!AX12),"",IF(ETPT_TJ!AX12=0,"",ETPT_TJ!AX12)))</f>
        <v/>
      </c>
      <c r="AY12" s="129" t="str">
        <f>IF(ISBLANK(ETPT_TJ_DDG!$D$5),"",IF(ISERROR(ETPT_TJ!AY12),"",IF(ETPT_TJ!AY12=0,"",ETPT_TJ!AY12)))</f>
        <v/>
      </c>
      <c r="AZ12" s="119">
        <f t="shared" si="4"/>
        <v>0</v>
      </c>
      <c r="BA12" s="125"/>
      <c r="BB12" s="125"/>
      <c r="BC12" s="125"/>
      <c r="BD12" s="125"/>
      <c r="BE12" s="125"/>
      <c r="BF12" s="125"/>
      <c r="BG12" s="125"/>
      <c r="BH12" s="125"/>
      <c r="BI12" s="125"/>
      <c r="BJ12" s="119">
        <f t="shared" si="5"/>
        <v>0</v>
      </c>
    </row>
    <row r="13" spans="1:63" s="114" customFormat="1" ht="14.25" customHeight="1" x14ac:dyDescent="0.15">
      <c r="A13" s="124" t="s">
        <v>259</v>
      </c>
      <c r="B13" s="134"/>
      <c r="C13" s="134"/>
      <c r="D13" s="135" t="str">
        <f t="shared" si="6"/>
        <v/>
      </c>
      <c r="E13" s="134" t="s">
        <v>264</v>
      </c>
      <c r="F13" s="134" t="s">
        <v>263</v>
      </c>
      <c r="G13" s="129" t="str">
        <f>IF(ISBLANK(ETPT_TJ_DDG!$D$5),"",IF(ISERROR(ETPT_TJ!G13),"",IF(ETPT_TJ!G13=0,"",ETPT_TJ!G13)))</f>
        <v/>
      </c>
      <c r="H13" s="119">
        <f t="shared" si="0"/>
        <v>0</v>
      </c>
      <c r="I13" s="129" t="str">
        <f>IF(ISBLANK(ETPT_TJ_DDG!$D$5),"",IF(ISERROR(ETPT_TJ!I13),"",IF(ETPT_TJ!I13=0,"",ETPT_TJ!I13)))</f>
        <v/>
      </c>
      <c r="J13" s="129" t="str">
        <f>IF(ISBLANK(ETPT_TJ_DDG!$D$5),"",IF(ISERROR(ETPT_TJ!J13),"",IF(ETPT_TJ!J13=0,"",ETPT_TJ!J13)))</f>
        <v/>
      </c>
      <c r="K13" s="129" t="str">
        <f>IF(ISBLANK(ETPT_TJ_DDG!$D$5),"",IF(ISERROR(ETPT_TJ!K13),"",IF(ETPT_TJ!K13=0,"",ETPT_TJ!K13)))</f>
        <v/>
      </c>
      <c r="L13" s="129" t="str">
        <f>IF(ISBLANK(ETPT_TJ_DDG!$D$5),"",IF(ISERROR(ETPT_TJ!L13),"",IF(ETPT_TJ!L13=0,"",ETPT_TJ!L13)))</f>
        <v/>
      </c>
      <c r="M13" s="129" t="str">
        <f>IF(ISBLANK(ETPT_TJ_DDG!$D$5),"",IF(ISERROR(ETPT_TJ!M13),"",IF(ETPT_TJ!M13=0,"",ETPT_TJ!M13)))</f>
        <v/>
      </c>
      <c r="N13" s="129" t="str">
        <f>IF(ISBLANK(ETPT_TJ_DDG!$D$5),"",IF(ISERROR(ETPT_TJ!N13),"",IF(ETPT_TJ!N13=0,"",ETPT_TJ!N13)))</f>
        <v/>
      </c>
      <c r="O13" s="129" t="str">
        <f>IF(ISBLANK(ETPT_TJ_DDG!$D$5),"",IF(ISERROR(ETPT_TJ!O13),"",IF(ETPT_TJ!O13=0,"",ETPT_TJ!O13)))</f>
        <v/>
      </c>
      <c r="P13" s="129" t="str">
        <f>IF(ISBLANK(ETPT_TJ_DDG!$D$5),"",IF(ISERROR(ETPT_TJ!P13),"",IF(ETPT_TJ!P13=0,"",ETPT_TJ!P13)))</f>
        <v/>
      </c>
      <c r="Q13" s="129" t="str">
        <f>IF(ISBLANK(ETPT_TJ_DDG!$D$5),"",IF(ISERROR(ETPT_TJ!Q13),"",IF(ETPT_TJ!Q13=0,"",ETPT_TJ!Q13)))</f>
        <v/>
      </c>
      <c r="R13" s="129" t="str">
        <f>IF(ISBLANK(ETPT_TJ_DDG!$D$5),"",IF(ISERROR(ETPT_TJ!R13),"",IF(ETPT_TJ!R13=0,"",ETPT_TJ!R13)))</f>
        <v/>
      </c>
      <c r="S13" s="129" t="str">
        <f>IF(ISBLANK(ETPT_TJ_DDG!$D$5),"",IF(ISERROR(ETPT_TJ!S13),"",IF(ETPT_TJ!S13=0,"",ETPT_TJ!S13)))</f>
        <v/>
      </c>
      <c r="T13" s="129" t="str">
        <f>IF(ISBLANK(ETPT_TJ_DDG!$D$5),"",IF(ISERROR(ETPT_TJ!T13),"",IF(ETPT_TJ!T13=0,"",ETPT_TJ!T13)))</f>
        <v/>
      </c>
      <c r="U13" s="129" t="str">
        <f>IF(ISBLANK(ETPT_TJ_DDG!$D$5),"",IF(ISERROR(ETPT_TJ!U13),"",IF(ETPT_TJ!U13=0,"",ETPT_TJ!U13)))</f>
        <v/>
      </c>
      <c r="V13" s="129" t="str">
        <f>IF(ISBLANK(ETPT_TJ_DDG!$D$5),"",IF(ISERROR(ETPT_TJ!V13),"",IF(ETPT_TJ!V13=0,"",ETPT_TJ!V13)))</f>
        <v/>
      </c>
      <c r="W13" s="119">
        <f t="shared" si="1"/>
        <v>0</v>
      </c>
      <c r="X13" s="129" t="str">
        <f>IF(ISBLANK(ETPT_TJ_DDG!$D$5),"",IF(ISERROR(ETPT_TJ!X13),"",IF(ETPT_TJ!X13=0,"",ETPT_TJ!X13)))</f>
        <v/>
      </c>
      <c r="Y13" s="129" t="str">
        <f>IF(ISBLANK(ETPT_TJ_DDG!$D$5),"",IF(ISERROR(ETPT_TJ!Y13),"",IF(ETPT_TJ!Y13=0,"",ETPT_TJ!Y13)))</f>
        <v/>
      </c>
      <c r="Z13" s="129" t="str">
        <f>IF(ISBLANK(ETPT_TJ_DDG!$D$5),"",IF(ISERROR(ETPT_TJ!Z13),"",IF(ETPT_TJ!Z13=0,"",ETPT_TJ!Z13)))</f>
        <v/>
      </c>
      <c r="AA13" s="129" t="str">
        <f>IF(ISBLANK(ETPT_TJ_DDG!$D$5),"",IF(ISERROR(ETPT_TJ!AA13),"",IF(ETPT_TJ!AA13=0,"",ETPT_TJ!AA13)))</f>
        <v/>
      </c>
      <c r="AB13" s="119">
        <f t="shared" si="2"/>
        <v>0</v>
      </c>
      <c r="AC13" s="129" t="str">
        <f>IF(ISBLANK(ETPT_TJ_DDG!$D$5),"",IF(ISERROR(ETPT_TJ!AC13),"",IF(ETPT_TJ!AC13=0,"",ETPT_TJ!AC13)))</f>
        <v/>
      </c>
      <c r="AD13" s="129" t="str">
        <f>IF(ISBLANK(ETPT_TJ_DDG!$D$5),"",IF(ISERROR(ETPT_TJ!AD13),"",IF(ETPT_TJ!AD13=0,"",ETPT_TJ!AD13)))</f>
        <v/>
      </c>
      <c r="AE13" s="129" t="str">
        <f>IF(ISBLANK(ETPT_TJ_DDG!$D$5),"",IF(ISERROR(ETPT_TJ!AE13),"",IF(ETPT_TJ!AE13=0,"",ETPT_TJ!AE13)))</f>
        <v/>
      </c>
      <c r="AF13" s="129" t="str">
        <f>IF(ISBLANK(ETPT_TJ_DDG!$D$5),"",IF(ISERROR(ETPT_TJ!AF13),"",IF(ETPT_TJ!AF13=0,"",ETPT_TJ!AF13)))</f>
        <v/>
      </c>
      <c r="AG13" s="129" t="str">
        <f>IF(ISBLANK(ETPT_TJ_DDG!$D$5),"",IF(ISERROR(ETPT_TJ!AG13),"",IF(ETPT_TJ!AG13=0,"",ETPT_TJ!AG13)))</f>
        <v/>
      </c>
      <c r="AH13" s="129" t="str">
        <f>IF(ISBLANK(ETPT_TJ_DDG!$D$5),"",IF(ISERROR(ETPT_TJ!AH13),"",IF(ETPT_TJ!AH13=0,"",ETPT_TJ!AH13)))</f>
        <v/>
      </c>
      <c r="AI13" s="129" t="str">
        <f>IF(ISBLANK(ETPT_TJ_DDG!$D$5),"",IF(ISERROR(ETPT_TJ!AI13),"",IF(ETPT_TJ!AI13=0,"",ETPT_TJ!AI13)))</f>
        <v/>
      </c>
      <c r="AJ13" s="129" t="str">
        <f>IF(ISBLANK(ETPT_TJ_DDG!$D$5),"",IF(ISERROR(ETPT_TJ!AJ13),"",IF(ETPT_TJ!AJ13=0,"",ETPT_TJ!AJ13)))</f>
        <v/>
      </c>
      <c r="AK13" s="129" t="str">
        <f>IF(ISBLANK(ETPT_TJ_DDG!$D$5),"",IF(ISERROR(ETPT_TJ!AK13),"",IF(ETPT_TJ!AK13=0,"",ETPT_TJ!AK13)))</f>
        <v/>
      </c>
      <c r="AL13" s="119">
        <f t="shared" si="3"/>
        <v>0</v>
      </c>
      <c r="AM13" s="129" t="str">
        <f>IF(ISBLANK(ETPT_TJ_DDG!$D$5),"",IF(ISERROR(ETPT_TJ!AM13),"",IF(ETPT_TJ!AM13=0,"",ETPT_TJ!AM13)))</f>
        <v/>
      </c>
      <c r="AN13" s="129" t="str">
        <f>IF(ISBLANK(ETPT_TJ_DDG!$D$5),"",IF(ISERROR(ETPT_TJ!AN13),"",IF(ETPT_TJ!AN13=0,"",ETPT_TJ!AN13)))</f>
        <v/>
      </c>
      <c r="AO13" s="129" t="str">
        <f>IF(ISBLANK(ETPT_TJ_DDG!$D$5),"",IF(ISERROR(ETPT_TJ!AO13),"",IF(ETPT_TJ!AO13=0,"",ETPT_TJ!AO13)))</f>
        <v/>
      </c>
      <c r="AP13" s="129" t="str">
        <f>IF(ISBLANK(ETPT_TJ_DDG!$D$5),"",IF(ISERROR(ETPT_TJ!AP13),"",IF(ETPT_TJ!AP13=0,"",ETPT_TJ!AP13)))</f>
        <v/>
      </c>
      <c r="AQ13" s="129" t="str">
        <f>IF(ISBLANK(ETPT_TJ_DDG!$D$5),"",IF(ISERROR(ETPT_TJ!AQ13),"",IF(ETPT_TJ!AQ13=0,"",ETPT_TJ!AQ13)))</f>
        <v/>
      </c>
      <c r="AR13" s="129" t="str">
        <f>IF(ISBLANK(ETPT_TJ_DDG!$D$5),"",IF(ISERROR(ETPT_TJ!AR13),"",IF(ETPT_TJ!AR13=0,"",ETPT_TJ!AR13)))</f>
        <v/>
      </c>
      <c r="AS13" s="129" t="str">
        <f>IF(ISBLANK(ETPT_TJ_DDG!$D$5),"",IF(ISERROR(ETPT_TJ!AS13),"",IF(ETPT_TJ!AS13=0,"",ETPT_TJ!AS13)))</f>
        <v/>
      </c>
      <c r="AT13" s="129" t="str">
        <f>IF(ISBLANK(ETPT_TJ_DDG!$D$5),"",IF(ISERROR(ETPT_TJ!AT13),"",IF(ETPT_TJ!AT13=0,"",ETPT_TJ!AT13)))</f>
        <v/>
      </c>
      <c r="AU13" s="129" t="str">
        <f>IF(ISBLANK(ETPT_TJ_DDG!$D$5),"",IF(ISERROR(ETPT_TJ!AU13),"",IF(ETPT_TJ!AU13=0,"",ETPT_TJ!AU13)))</f>
        <v/>
      </c>
      <c r="AV13" s="129" t="str">
        <f>IF(ISBLANK(ETPT_TJ_DDG!$D$5),"",IF(ISERROR(ETPT_TJ!AV13),"",IF(ETPT_TJ!AV13=0,"",ETPT_TJ!AV13)))</f>
        <v/>
      </c>
      <c r="AW13" s="129" t="str">
        <f>IF(ISBLANK(ETPT_TJ_DDG!$D$5),"",IF(ISERROR(ETPT_TJ!AW13),"",IF(ETPT_TJ!AW13=0,"",ETPT_TJ!AW13)))</f>
        <v/>
      </c>
      <c r="AX13" s="129" t="str">
        <f>IF(ISBLANK(ETPT_TJ_DDG!$D$5),"",IF(ISERROR(ETPT_TJ!AX13),"",IF(ETPT_TJ!AX13=0,"",ETPT_TJ!AX13)))</f>
        <v/>
      </c>
      <c r="AY13" s="129" t="str">
        <f>IF(ISBLANK(ETPT_TJ_DDG!$D$5),"",IF(ISERROR(ETPT_TJ!AY13),"",IF(ETPT_TJ!AY13=0,"",ETPT_TJ!AY13)))</f>
        <v/>
      </c>
      <c r="AZ13" s="119">
        <f t="shared" si="4"/>
        <v>0</v>
      </c>
      <c r="BA13" s="125"/>
      <c r="BB13" s="125"/>
      <c r="BC13" s="125"/>
      <c r="BD13" s="125"/>
      <c r="BE13" s="125"/>
      <c r="BF13" s="125"/>
      <c r="BG13" s="125"/>
      <c r="BH13" s="125"/>
      <c r="BI13" s="125"/>
      <c r="BJ13" s="119">
        <f t="shared" si="5"/>
        <v>0</v>
      </c>
    </row>
    <row r="14" spans="1:63" s="114" customFormat="1" ht="14.25" customHeight="1" x14ac:dyDescent="0.15">
      <c r="A14" s="124" t="s">
        <v>259</v>
      </c>
      <c r="B14" s="134"/>
      <c r="C14" s="134"/>
      <c r="D14" s="135" t="str">
        <f t="shared" si="6"/>
        <v/>
      </c>
      <c r="E14" s="134" t="s">
        <v>261</v>
      </c>
      <c r="F14" s="134" t="s">
        <v>260</v>
      </c>
      <c r="G14" s="129" t="str">
        <f>IF(ISBLANK(ETPT_TJ_DDG!$D$5),"",IF(ISERROR(ETPT_TJ!G14),"",IF(ETPT_TJ!G14=0,"",ETPT_TJ!G14)))</f>
        <v/>
      </c>
      <c r="H14" s="119">
        <f t="shared" si="0"/>
        <v>0</v>
      </c>
      <c r="I14" s="129" t="str">
        <f>IF(ISBLANK(ETPT_TJ_DDG!$D$5),"",IF(ISERROR(ETPT_TJ!I14),"",IF(ETPT_TJ!I14=0,"",ETPT_TJ!I14)))</f>
        <v/>
      </c>
      <c r="J14" s="129" t="str">
        <f>IF(ISBLANK(ETPT_TJ_DDG!$D$5),"",IF(ISERROR(ETPT_TJ!J14),"",IF(ETPT_TJ!J14=0,"",ETPT_TJ!J14)))</f>
        <v/>
      </c>
      <c r="K14" s="129" t="str">
        <f>IF(ISBLANK(ETPT_TJ_DDG!$D$5),"",IF(ISERROR(ETPT_TJ!K14),"",IF(ETPT_TJ!K14=0,"",ETPT_TJ!K14)))</f>
        <v/>
      </c>
      <c r="L14" s="129" t="str">
        <f>IF(ISBLANK(ETPT_TJ_DDG!$D$5),"",IF(ISERROR(ETPT_TJ!L14),"",IF(ETPT_TJ!L14=0,"",ETPT_TJ!L14)))</f>
        <v/>
      </c>
      <c r="M14" s="129" t="str">
        <f>IF(ISBLANK(ETPT_TJ_DDG!$D$5),"",IF(ISERROR(ETPT_TJ!M14),"",IF(ETPT_TJ!M14=0,"",ETPT_TJ!M14)))</f>
        <v/>
      </c>
      <c r="N14" s="129" t="str">
        <f>IF(ISBLANK(ETPT_TJ_DDG!$D$5),"",IF(ISERROR(ETPT_TJ!N14),"",IF(ETPT_TJ!N14=0,"",ETPT_TJ!N14)))</f>
        <v/>
      </c>
      <c r="O14" s="129" t="str">
        <f>IF(ISBLANK(ETPT_TJ_DDG!$D$5),"",IF(ISERROR(ETPT_TJ!O14),"",IF(ETPT_TJ!O14=0,"",ETPT_TJ!O14)))</f>
        <v/>
      </c>
      <c r="P14" s="129" t="str">
        <f>IF(ISBLANK(ETPT_TJ_DDG!$D$5),"",IF(ISERROR(ETPT_TJ!P14),"",IF(ETPT_TJ!P14=0,"",ETPT_TJ!P14)))</f>
        <v/>
      </c>
      <c r="Q14" s="129" t="str">
        <f>IF(ISBLANK(ETPT_TJ_DDG!$D$5),"",IF(ISERROR(ETPT_TJ!Q14),"",IF(ETPT_TJ!Q14=0,"",ETPT_TJ!Q14)))</f>
        <v/>
      </c>
      <c r="R14" s="129" t="str">
        <f>IF(ISBLANK(ETPT_TJ_DDG!$D$5),"",IF(ISERROR(ETPT_TJ!R14),"",IF(ETPT_TJ!R14=0,"",ETPT_TJ!R14)))</f>
        <v/>
      </c>
      <c r="S14" s="129" t="str">
        <f>IF(ISBLANK(ETPT_TJ_DDG!$D$5),"",IF(ISERROR(ETPT_TJ!S14),"",IF(ETPT_TJ!S14=0,"",ETPT_TJ!S14)))</f>
        <v/>
      </c>
      <c r="T14" s="129" t="str">
        <f>IF(ISBLANK(ETPT_TJ_DDG!$D$5),"",IF(ISERROR(ETPT_TJ!T14),"",IF(ETPT_TJ!T14=0,"",ETPT_TJ!T14)))</f>
        <v/>
      </c>
      <c r="U14" s="129" t="str">
        <f>IF(ISBLANK(ETPT_TJ_DDG!$D$5),"",IF(ISERROR(ETPT_TJ!U14),"",IF(ETPT_TJ!U14=0,"",ETPT_TJ!U14)))</f>
        <v/>
      </c>
      <c r="V14" s="129" t="str">
        <f>IF(ISBLANK(ETPT_TJ_DDG!$D$5),"",IF(ISERROR(ETPT_TJ!V14),"",IF(ETPT_TJ!V14=0,"",ETPT_TJ!V14)))</f>
        <v/>
      </c>
      <c r="W14" s="119">
        <f t="shared" si="1"/>
        <v>0</v>
      </c>
      <c r="X14" s="129" t="str">
        <f>IF(ISBLANK(ETPT_TJ_DDG!$D$5),"",IF(ISERROR(ETPT_TJ!X14),"",IF(ETPT_TJ!X14=0,"",ETPT_TJ!X14)))</f>
        <v/>
      </c>
      <c r="Y14" s="129" t="str">
        <f>IF(ISBLANK(ETPT_TJ_DDG!$D$5),"",IF(ISERROR(ETPT_TJ!Y14),"",IF(ETPT_TJ!Y14=0,"",ETPT_TJ!Y14)))</f>
        <v/>
      </c>
      <c r="Z14" s="129" t="str">
        <f>IF(ISBLANK(ETPT_TJ_DDG!$D$5),"",IF(ISERROR(ETPT_TJ!Z14),"",IF(ETPT_TJ!Z14=0,"",ETPT_TJ!Z14)))</f>
        <v/>
      </c>
      <c r="AA14" s="129" t="str">
        <f>IF(ISBLANK(ETPT_TJ_DDG!$D$5),"",IF(ISERROR(ETPT_TJ!AA14),"",IF(ETPT_TJ!AA14=0,"",ETPT_TJ!AA14)))</f>
        <v/>
      </c>
      <c r="AB14" s="119">
        <f t="shared" si="2"/>
        <v>0</v>
      </c>
      <c r="AC14" s="129" t="str">
        <f>IF(ISBLANK(ETPT_TJ_DDG!$D$5),"",IF(ISERROR(ETPT_TJ!AC14),"",IF(ETPT_TJ!AC14=0,"",ETPT_TJ!AC14)))</f>
        <v/>
      </c>
      <c r="AD14" s="129" t="str">
        <f>IF(ISBLANK(ETPT_TJ_DDG!$D$5),"",IF(ISERROR(ETPT_TJ!AD14),"",IF(ETPT_TJ!AD14=0,"",ETPT_TJ!AD14)))</f>
        <v/>
      </c>
      <c r="AE14" s="129" t="str">
        <f>IF(ISBLANK(ETPT_TJ_DDG!$D$5),"",IF(ISERROR(ETPT_TJ!AE14),"",IF(ETPT_TJ!AE14=0,"",ETPT_TJ!AE14)))</f>
        <v/>
      </c>
      <c r="AF14" s="129" t="str">
        <f>IF(ISBLANK(ETPT_TJ_DDG!$D$5),"",IF(ISERROR(ETPT_TJ!AF14),"",IF(ETPT_TJ!AF14=0,"",ETPT_TJ!AF14)))</f>
        <v/>
      </c>
      <c r="AG14" s="129" t="str">
        <f>IF(ISBLANK(ETPT_TJ_DDG!$D$5),"",IF(ISERROR(ETPT_TJ!AG14),"",IF(ETPT_TJ!AG14=0,"",ETPT_TJ!AG14)))</f>
        <v/>
      </c>
      <c r="AH14" s="129" t="str">
        <f>IF(ISBLANK(ETPT_TJ_DDG!$D$5),"",IF(ISERROR(ETPT_TJ!AH14),"",IF(ETPT_TJ!AH14=0,"",ETPT_TJ!AH14)))</f>
        <v/>
      </c>
      <c r="AI14" s="129" t="str">
        <f>IF(ISBLANK(ETPT_TJ_DDG!$D$5),"",IF(ISERROR(ETPT_TJ!AI14),"",IF(ETPT_TJ!AI14=0,"",ETPT_TJ!AI14)))</f>
        <v/>
      </c>
      <c r="AJ14" s="129" t="str">
        <f>IF(ISBLANK(ETPT_TJ_DDG!$D$5),"",IF(ISERROR(ETPT_TJ!AJ14),"",IF(ETPT_TJ!AJ14=0,"",ETPT_TJ!AJ14)))</f>
        <v/>
      </c>
      <c r="AK14" s="129" t="str">
        <f>IF(ISBLANK(ETPT_TJ_DDG!$D$5),"",IF(ISERROR(ETPT_TJ!AK14),"",IF(ETPT_TJ!AK14=0,"",ETPT_TJ!AK14)))</f>
        <v/>
      </c>
      <c r="AL14" s="119">
        <f t="shared" si="3"/>
        <v>0</v>
      </c>
      <c r="AM14" s="129" t="str">
        <f>IF(ISBLANK(ETPT_TJ_DDG!$D$5),"",IF(ISERROR(ETPT_TJ!AM14),"",IF(ETPT_TJ!AM14=0,"",ETPT_TJ!AM14)))</f>
        <v/>
      </c>
      <c r="AN14" s="129" t="str">
        <f>IF(ISBLANK(ETPT_TJ_DDG!$D$5),"",IF(ISERROR(ETPT_TJ!AN14),"",IF(ETPT_TJ!AN14=0,"",ETPT_TJ!AN14)))</f>
        <v/>
      </c>
      <c r="AO14" s="129" t="str">
        <f>IF(ISBLANK(ETPT_TJ_DDG!$D$5),"",IF(ISERROR(ETPT_TJ!AO14),"",IF(ETPT_TJ!AO14=0,"",ETPT_TJ!AO14)))</f>
        <v/>
      </c>
      <c r="AP14" s="129" t="str">
        <f>IF(ISBLANK(ETPT_TJ_DDG!$D$5),"",IF(ISERROR(ETPT_TJ!AP14),"",IF(ETPT_TJ!AP14=0,"",ETPT_TJ!AP14)))</f>
        <v/>
      </c>
      <c r="AQ14" s="129" t="str">
        <f>IF(ISBLANK(ETPT_TJ_DDG!$D$5),"",IF(ISERROR(ETPT_TJ!AQ14),"",IF(ETPT_TJ!AQ14=0,"",ETPT_TJ!AQ14)))</f>
        <v/>
      </c>
      <c r="AR14" s="129" t="str">
        <f>IF(ISBLANK(ETPT_TJ_DDG!$D$5),"",IF(ISERROR(ETPT_TJ!AR14),"",IF(ETPT_TJ!AR14=0,"",ETPT_TJ!AR14)))</f>
        <v/>
      </c>
      <c r="AS14" s="129" t="str">
        <f>IF(ISBLANK(ETPT_TJ_DDG!$D$5),"",IF(ISERROR(ETPT_TJ!AS14),"",IF(ETPT_TJ!AS14=0,"",ETPT_TJ!AS14)))</f>
        <v/>
      </c>
      <c r="AT14" s="129" t="str">
        <f>IF(ISBLANK(ETPT_TJ_DDG!$D$5),"",IF(ISERROR(ETPT_TJ!AT14),"",IF(ETPT_TJ!AT14=0,"",ETPT_TJ!AT14)))</f>
        <v/>
      </c>
      <c r="AU14" s="129" t="str">
        <f>IF(ISBLANK(ETPT_TJ_DDG!$D$5),"",IF(ISERROR(ETPT_TJ!AU14),"",IF(ETPT_TJ!AU14=0,"",ETPT_TJ!AU14)))</f>
        <v/>
      </c>
      <c r="AV14" s="129" t="str">
        <f>IF(ISBLANK(ETPT_TJ_DDG!$D$5),"",IF(ISERROR(ETPT_TJ!AV14),"",IF(ETPT_TJ!AV14=0,"",ETPT_TJ!AV14)))</f>
        <v/>
      </c>
      <c r="AW14" s="129" t="str">
        <f>IF(ISBLANK(ETPT_TJ_DDG!$D$5),"",IF(ISERROR(ETPT_TJ!AW14),"",IF(ETPT_TJ!AW14=0,"",ETPT_TJ!AW14)))</f>
        <v/>
      </c>
      <c r="AX14" s="129" t="str">
        <f>IF(ISBLANK(ETPT_TJ_DDG!$D$5),"",IF(ISERROR(ETPT_TJ!AX14),"",IF(ETPT_TJ!AX14=0,"",ETPT_TJ!AX14)))</f>
        <v/>
      </c>
      <c r="AY14" s="129" t="str">
        <f>IF(ISBLANK(ETPT_TJ_DDG!$D$5),"",IF(ISERROR(ETPT_TJ!AY14),"",IF(ETPT_TJ!AY14=0,"",ETPT_TJ!AY14)))</f>
        <v/>
      </c>
      <c r="AZ14" s="119">
        <f t="shared" si="4"/>
        <v>0</v>
      </c>
      <c r="BA14" s="125"/>
      <c r="BB14" s="125"/>
      <c r="BC14" s="125"/>
      <c r="BD14" s="125"/>
      <c r="BE14" s="125"/>
      <c r="BF14" s="125"/>
      <c r="BG14" s="125"/>
      <c r="BH14" s="125"/>
      <c r="BI14" s="125"/>
      <c r="BJ14" s="119">
        <f t="shared" si="5"/>
        <v>0</v>
      </c>
    </row>
    <row r="15" spans="1:63" s="114" customFormat="1" ht="14.25" customHeight="1" x14ac:dyDescent="0.15">
      <c r="A15" s="124" t="s">
        <v>259</v>
      </c>
      <c r="B15" s="134"/>
      <c r="C15" s="134"/>
      <c r="D15" s="135" t="str">
        <f t="shared" si="6"/>
        <v/>
      </c>
      <c r="E15" s="134" t="s">
        <v>256</v>
      </c>
      <c r="F15" s="134" t="s">
        <v>255</v>
      </c>
      <c r="G15" s="129" t="str">
        <f>IF(ISBLANK(ETPT_TJ_DDG!$D$5),"",IF(ISERROR(ETPT_TJ!G15),"",IF(ETPT_TJ!G15=0,"",ETPT_TJ!G15)))</f>
        <v/>
      </c>
      <c r="H15" s="119">
        <f t="shared" si="0"/>
        <v>0</v>
      </c>
      <c r="I15" s="129" t="str">
        <f>IF(ISBLANK(ETPT_TJ_DDG!$D$5),"",IF(ISERROR(ETPT_TJ!I15),"",IF(ETPT_TJ!I15=0,"",ETPT_TJ!I15)))</f>
        <v/>
      </c>
      <c r="J15" s="129" t="str">
        <f>IF(ISBLANK(ETPT_TJ_DDG!$D$5),"",IF(ISERROR(ETPT_TJ!J15),"",IF(ETPT_TJ!J15=0,"",ETPT_TJ!J15)))</f>
        <v/>
      </c>
      <c r="K15" s="129" t="str">
        <f>IF(ISBLANK(ETPT_TJ_DDG!$D$5),"",IF(ISERROR(ETPT_TJ!K15),"",IF(ETPT_TJ!K15=0,"",ETPT_TJ!K15)))</f>
        <v/>
      </c>
      <c r="L15" s="129" t="str">
        <f>IF(ISBLANK(ETPT_TJ_DDG!$D$5),"",IF(ISERROR(ETPT_TJ!L15),"",IF(ETPT_TJ!L15=0,"",ETPT_TJ!L15)))</f>
        <v/>
      </c>
      <c r="M15" s="129" t="str">
        <f>IF(ISBLANK(ETPT_TJ_DDG!$D$5),"",IF(ISERROR(ETPT_TJ!M15),"",IF(ETPT_TJ!M15=0,"",ETPT_TJ!M15)))</f>
        <v/>
      </c>
      <c r="N15" s="129" t="str">
        <f>IF(ISBLANK(ETPT_TJ_DDG!$D$5),"",IF(ISERROR(ETPT_TJ!N15),"",IF(ETPT_TJ!N15=0,"",ETPT_TJ!N15)))</f>
        <v/>
      </c>
      <c r="O15" s="129" t="str">
        <f>IF(ISBLANK(ETPT_TJ_DDG!$D$5),"",IF(ISERROR(ETPT_TJ!O15),"",IF(ETPT_TJ!O15=0,"",ETPT_TJ!O15)))</f>
        <v/>
      </c>
      <c r="P15" s="129" t="str">
        <f>IF(ISBLANK(ETPT_TJ_DDG!$D$5),"",IF(ISERROR(ETPT_TJ!P15),"",IF(ETPT_TJ!P15=0,"",ETPT_TJ!P15)))</f>
        <v/>
      </c>
      <c r="Q15" s="129" t="str">
        <f>IF(ISBLANK(ETPT_TJ_DDG!$D$5),"",IF(ISERROR(ETPT_TJ!Q15),"",IF(ETPT_TJ!Q15=0,"",ETPT_TJ!Q15)))</f>
        <v/>
      </c>
      <c r="R15" s="129" t="str">
        <f>IF(ISBLANK(ETPT_TJ_DDG!$D$5),"",IF(ISERROR(ETPT_TJ!R15),"",IF(ETPT_TJ!R15=0,"",ETPT_TJ!R15)))</f>
        <v/>
      </c>
      <c r="S15" s="129" t="str">
        <f>IF(ISBLANK(ETPT_TJ_DDG!$D$5),"",IF(ISERROR(ETPT_TJ!S15),"",IF(ETPT_TJ!S15=0,"",ETPT_TJ!S15)))</f>
        <v/>
      </c>
      <c r="T15" s="129" t="str">
        <f>IF(ISBLANK(ETPT_TJ_DDG!$D$5),"",IF(ISERROR(ETPT_TJ!T15),"",IF(ETPT_TJ!T15=0,"",ETPT_TJ!T15)))</f>
        <v/>
      </c>
      <c r="U15" s="129" t="str">
        <f>IF(ISBLANK(ETPT_TJ_DDG!$D$5),"",IF(ISERROR(ETPT_TJ!U15),"",IF(ETPT_TJ!U15=0,"",ETPT_TJ!U15)))</f>
        <v/>
      </c>
      <c r="V15" s="129" t="str">
        <f>IF(ISBLANK(ETPT_TJ_DDG!$D$5),"",IF(ISERROR(ETPT_TJ!V15),"",IF(ETPT_TJ!V15=0,"",ETPT_TJ!V15)))</f>
        <v/>
      </c>
      <c r="W15" s="119">
        <f t="shared" si="1"/>
        <v>0</v>
      </c>
      <c r="X15" s="129" t="str">
        <f>IF(ISBLANK(ETPT_TJ_DDG!$D$5),"",IF(ISERROR(ETPT_TJ!X15),"",IF(ETPT_TJ!X15=0,"",ETPT_TJ!X15)))</f>
        <v/>
      </c>
      <c r="Y15" s="129" t="str">
        <f>IF(ISBLANK(ETPT_TJ_DDG!$D$5),"",IF(ISERROR(ETPT_TJ!Y15),"",IF(ETPT_TJ!Y15=0,"",ETPT_TJ!Y15)))</f>
        <v/>
      </c>
      <c r="Z15" s="129" t="str">
        <f>IF(ISBLANK(ETPT_TJ_DDG!$D$5),"",IF(ISERROR(ETPT_TJ!Z15),"",IF(ETPT_TJ!Z15=0,"",ETPT_TJ!Z15)))</f>
        <v/>
      </c>
      <c r="AA15" s="129" t="str">
        <f>IF(ISBLANK(ETPT_TJ_DDG!$D$5),"",IF(ISERROR(ETPT_TJ!AA15),"",IF(ETPT_TJ!AA15=0,"",ETPT_TJ!AA15)))</f>
        <v/>
      </c>
      <c r="AB15" s="119">
        <f t="shared" si="2"/>
        <v>0</v>
      </c>
      <c r="AC15" s="129" t="str">
        <f>IF(ISBLANK(ETPT_TJ_DDG!$D$5),"",IF(ISERROR(ETPT_TJ!AC15),"",IF(ETPT_TJ!AC15=0,"",ETPT_TJ!AC15)))</f>
        <v/>
      </c>
      <c r="AD15" s="129" t="str">
        <f>IF(ISBLANK(ETPT_TJ_DDG!$D$5),"",IF(ISERROR(ETPT_TJ!AD15),"",IF(ETPT_TJ!AD15=0,"",ETPT_TJ!AD15)))</f>
        <v/>
      </c>
      <c r="AE15" s="129" t="str">
        <f>IF(ISBLANK(ETPT_TJ_DDG!$D$5),"",IF(ISERROR(ETPT_TJ!AE15),"",IF(ETPT_TJ!AE15=0,"",ETPT_TJ!AE15)))</f>
        <v/>
      </c>
      <c r="AF15" s="129" t="str">
        <f>IF(ISBLANK(ETPT_TJ_DDG!$D$5),"",IF(ISERROR(ETPT_TJ!AF15),"",IF(ETPT_TJ!AF15=0,"",ETPT_TJ!AF15)))</f>
        <v/>
      </c>
      <c r="AG15" s="129" t="str">
        <f>IF(ISBLANK(ETPT_TJ_DDG!$D$5),"",IF(ISERROR(ETPT_TJ!AG15),"",IF(ETPT_TJ!AG15=0,"",ETPT_TJ!AG15)))</f>
        <v/>
      </c>
      <c r="AH15" s="129" t="str">
        <f>IF(ISBLANK(ETPT_TJ_DDG!$D$5),"",IF(ISERROR(ETPT_TJ!AH15),"",IF(ETPT_TJ!AH15=0,"",ETPT_TJ!AH15)))</f>
        <v/>
      </c>
      <c r="AI15" s="129" t="str">
        <f>IF(ISBLANK(ETPT_TJ_DDG!$D$5),"",IF(ISERROR(ETPT_TJ!AI15),"",IF(ETPT_TJ!AI15=0,"",ETPT_TJ!AI15)))</f>
        <v/>
      </c>
      <c r="AJ15" s="129" t="str">
        <f>IF(ISBLANK(ETPT_TJ_DDG!$D$5),"",IF(ISERROR(ETPT_TJ!AJ15),"",IF(ETPT_TJ!AJ15=0,"",ETPT_TJ!AJ15)))</f>
        <v/>
      </c>
      <c r="AK15" s="129" t="str">
        <f>IF(ISBLANK(ETPT_TJ_DDG!$D$5),"",IF(ISERROR(ETPT_TJ!AK15),"",IF(ETPT_TJ!AK15=0,"",ETPT_TJ!AK15)))</f>
        <v/>
      </c>
      <c r="AL15" s="119">
        <f t="shared" si="3"/>
        <v>0</v>
      </c>
      <c r="AM15" s="129" t="str">
        <f>IF(ISBLANK(ETPT_TJ_DDG!$D$5),"",IF(ISERROR(ETPT_TJ!AM15),"",IF(ETPT_TJ!AM15=0,"",ETPT_TJ!AM15)))</f>
        <v/>
      </c>
      <c r="AN15" s="129" t="str">
        <f>IF(ISBLANK(ETPT_TJ_DDG!$D$5),"",IF(ISERROR(ETPT_TJ!AN15),"",IF(ETPT_TJ!AN15=0,"",ETPT_TJ!AN15)))</f>
        <v/>
      </c>
      <c r="AO15" s="129" t="str">
        <f>IF(ISBLANK(ETPT_TJ_DDG!$D$5),"",IF(ISERROR(ETPT_TJ!AO15),"",IF(ETPT_TJ!AO15=0,"",ETPT_TJ!AO15)))</f>
        <v/>
      </c>
      <c r="AP15" s="129" t="str">
        <f>IF(ISBLANK(ETPT_TJ_DDG!$D$5),"",IF(ISERROR(ETPT_TJ!AP15),"",IF(ETPT_TJ!AP15=0,"",ETPT_TJ!AP15)))</f>
        <v/>
      </c>
      <c r="AQ15" s="129" t="str">
        <f>IF(ISBLANK(ETPT_TJ_DDG!$D$5),"",IF(ISERROR(ETPT_TJ!AQ15),"",IF(ETPT_TJ!AQ15=0,"",ETPT_TJ!AQ15)))</f>
        <v/>
      </c>
      <c r="AR15" s="129" t="str">
        <f>IF(ISBLANK(ETPT_TJ_DDG!$D$5),"",IF(ISERROR(ETPT_TJ!AR15),"",IF(ETPT_TJ!AR15=0,"",ETPT_TJ!AR15)))</f>
        <v/>
      </c>
      <c r="AS15" s="129" t="str">
        <f>IF(ISBLANK(ETPT_TJ_DDG!$D$5),"",IF(ISERROR(ETPT_TJ!AS15),"",IF(ETPT_TJ!AS15=0,"",ETPT_TJ!AS15)))</f>
        <v/>
      </c>
      <c r="AT15" s="129" t="str">
        <f>IF(ISBLANK(ETPT_TJ_DDG!$D$5),"",IF(ISERROR(ETPT_TJ!AT15),"",IF(ETPT_TJ!AT15=0,"",ETPT_TJ!AT15)))</f>
        <v/>
      </c>
      <c r="AU15" s="129" t="str">
        <f>IF(ISBLANK(ETPT_TJ_DDG!$D$5),"",IF(ISERROR(ETPT_TJ!AU15),"",IF(ETPT_TJ!AU15=0,"",ETPT_TJ!AU15)))</f>
        <v/>
      </c>
      <c r="AV15" s="129" t="str">
        <f>IF(ISBLANK(ETPT_TJ_DDG!$D$5),"",IF(ISERROR(ETPT_TJ!AV15),"",IF(ETPT_TJ!AV15=0,"",ETPT_TJ!AV15)))</f>
        <v/>
      </c>
      <c r="AW15" s="129" t="str">
        <f>IF(ISBLANK(ETPT_TJ_DDG!$D$5),"",IF(ISERROR(ETPT_TJ!AW15),"",IF(ETPT_TJ!AW15=0,"",ETPT_TJ!AW15)))</f>
        <v/>
      </c>
      <c r="AX15" s="129" t="str">
        <f>IF(ISBLANK(ETPT_TJ_DDG!$D$5),"",IF(ISERROR(ETPT_TJ!AX15),"",IF(ETPT_TJ!AX15=0,"",ETPT_TJ!AX15)))</f>
        <v/>
      </c>
      <c r="AY15" s="129" t="str">
        <f>IF(ISBLANK(ETPT_TJ_DDG!$D$5),"",IF(ISERROR(ETPT_TJ!AY15),"",IF(ETPT_TJ!AY15=0,"",ETPT_TJ!AY15)))</f>
        <v/>
      </c>
      <c r="AZ15" s="119">
        <f t="shared" si="4"/>
        <v>0</v>
      </c>
      <c r="BA15" s="125"/>
      <c r="BB15" s="125"/>
      <c r="BC15" s="125"/>
      <c r="BD15" s="125"/>
      <c r="BE15" s="125"/>
      <c r="BF15" s="125"/>
      <c r="BG15" s="125"/>
      <c r="BH15" s="125"/>
      <c r="BI15" s="125"/>
      <c r="BJ15" s="119">
        <f t="shared" si="5"/>
        <v>0</v>
      </c>
    </row>
    <row r="16" spans="1:63" s="114" customFormat="1" ht="14.25" customHeight="1" x14ac:dyDescent="0.15">
      <c r="A16" s="124"/>
      <c r="B16" s="123"/>
      <c r="C16" s="123"/>
      <c r="D16" s="123"/>
      <c r="E16" s="123"/>
      <c r="F16" s="122" t="s">
        <v>231</v>
      </c>
      <c r="G16" s="120">
        <f t="shared" ref="G16:AL16" si="7">SUM(G5:G15)</f>
        <v>0</v>
      </c>
      <c r="H16" s="119">
        <f t="shared" si="7"/>
        <v>0</v>
      </c>
      <c r="I16" s="120">
        <f t="shared" si="7"/>
        <v>0</v>
      </c>
      <c r="J16" s="120">
        <f t="shared" si="7"/>
        <v>0</v>
      </c>
      <c r="K16" s="120">
        <f t="shared" si="7"/>
        <v>0</v>
      </c>
      <c r="L16" s="120">
        <f t="shared" si="7"/>
        <v>0</v>
      </c>
      <c r="M16" s="120">
        <f t="shared" si="7"/>
        <v>0</v>
      </c>
      <c r="N16" s="120">
        <f t="shared" si="7"/>
        <v>0</v>
      </c>
      <c r="O16" s="120">
        <f t="shared" si="7"/>
        <v>0</v>
      </c>
      <c r="P16" s="120">
        <f t="shared" si="7"/>
        <v>0</v>
      </c>
      <c r="Q16" s="120">
        <f t="shared" si="7"/>
        <v>0</v>
      </c>
      <c r="R16" s="120">
        <f t="shared" si="7"/>
        <v>0</v>
      </c>
      <c r="S16" s="120">
        <f t="shared" si="7"/>
        <v>0</v>
      </c>
      <c r="T16" s="120">
        <f t="shared" si="7"/>
        <v>0</v>
      </c>
      <c r="U16" s="120">
        <f t="shared" si="7"/>
        <v>0</v>
      </c>
      <c r="V16" s="120">
        <f t="shared" si="7"/>
        <v>0</v>
      </c>
      <c r="W16" s="119">
        <f t="shared" si="7"/>
        <v>0</v>
      </c>
      <c r="X16" s="120">
        <f t="shared" si="7"/>
        <v>0</v>
      </c>
      <c r="Y16" s="120">
        <f t="shared" si="7"/>
        <v>0</v>
      </c>
      <c r="Z16" s="120">
        <f t="shared" si="7"/>
        <v>0</v>
      </c>
      <c r="AA16" s="120">
        <f t="shared" si="7"/>
        <v>0</v>
      </c>
      <c r="AB16" s="119">
        <f t="shared" si="7"/>
        <v>0</v>
      </c>
      <c r="AC16" s="120">
        <f t="shared" si="7"/>
        <v>0</v>
      </c>
      <c r="AD16" s="120">
        <f t="shared" si="7"/>
        <v>0</v>
      </c>
      <c r="AE16" s="120">
        <f t="shared" si="7"/>
        <v>0</v>
      </c>
      <c r="AF16" s="120">
        <f t="shared" si="7"/>
        <v>0</v>
      </c>
      <c r="AG16" s="120">
        <f t="shared" si="7"/>
        <v>0</v>
      </c>
      <c r="AH16" s="120">
        <f t="shared" si="7"/>
        <v>0</v>
      </c>
      <c r="AI16" s="120">
        <f t="shared" si="7"/>
        <v>0</v>
      </c>
      <c r="AJ16" s="120">
        <f t="shared" si="7"/>
        <v>0</v>
      </c>
      <c r="AK16" s="120">
        <f t="shared" si="7"/>
        <v>0</v>
      </c>
      <c r="AL16" s="119">
        <f t="shared" si="7"/>
        <v>0</v>
      </c>
      <c r="AM16" s="120">
        <f t="shared" ref="AM16:BJ16" si="8">SUM(AM5:AM15)</f>
        <v>0</v>
      </c>
      <c r="AN16" s="120">
        <f t="shared" si="8"/>
        <v>0</v>
      </c>
      <c r="AO16" s="120">
        <f t="shared" si="8"/>
        <v>0</v>
      </c>
      <c r="AP16" s="120">
        <f t="shared" si="8"/>
        <v>0</v>
      </c>
      <c r="AQ16" s="120">
        <f t="shared" si="8"/>
        <v>0</v>
      </c>
      <c r="AR16" s="120">
        <f t="shared" si="8"/>
        <v>0</v>
      </c>
      <c r="AS16" s="120">
        <f t="shared" si="8"/>
        <v>0</v>
      </c>
      <c r="AT16" s="120">
        <f t="shared" si="8"/>
        <v>0</v>
      </c>
      <c r="AU16" s="120">
        <f t="shared" si="8"/>
        <v>0</v>
      </c>
      <c r="AV16" s="120">
        <f t="shared" si="8"/>
        <v>0</v>
      </c>
      <c r="AW16" s="120">
        <f t="shared" si="8"/>
        <v>0</v>
      </c>
      <c r="AX16" s="120">
        <f t="shared" si="8"/>
        <v>0</v>
      </c>
      <c r="AY16" s="120">
        <f t="shared" si="8"/>
        <v>0</v>
      </c>
      <c r="AZ16" s="119">
        <f t="shared" si="8"/>
        <v>0</v>
      </c>
      <c r="BA16" s="120">
        <f t="shared" si="8"/>
        <v>0</v>
      </c>
      <c r="BB16" s="120">
        <f t="shared" si="8"/>
        <v>0</v>
      </c>
      <c r="BC16" s="120">
        <f t="shared" si="8"/>
        <v>0</v>
      </c>
      <c r="BD16" s="120">
        <f t="shared" si="8"/>
        <v>0</v>
      </c>
      <c r="BE16" s="120">
        <f t="shared" si="8"/>
        <v>0</v>
      </c>
      <c r="BF16" s="120">
        <f t="shared" si="8"/>
        <v>0</v>
      </c>
      <c r="BG16" s="120">
        <f t="shared" si="8"/>
        <v>0</v>
      </c>
      <c r="BH16" s="120">
        <f t="shared" si="8"/>
        <v>0</v>
      </c>
      <c r="BI16" s="120">
        <f t="shared" si="8"/>
        <v>0</v>
      </c>
      <c r="BJ16" s="119">
        <f t="shared" si="8"/>
        <v>0</v>
      </c>
    </row>
    <row r="17" spans="1:62" s="114" customFormat="1" ht="9" customHeight="1" x14ac:dyDescent="0.15">
      <c r="A17" s="118"/>
      <c r="B17" s="117"/>
      <c r="C17" s="117"/>
      <c r="D17" s="117"/>
      <c r="E17" s="117"/>
      <c r="F17" s="116"/>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c r="BG17" s="115"/>
      <c r="BH17" s="115"/>
      <c r="BI17" s="115"/>
      <c r="BJ17" s="115"/>
    </row>
    <row r="18" spans="1:62" x14ac:dyDescent="0.2">
      <c r="W18" s="113"/>
      <c r="AZ18" s="113"/>
    </row>
    <row r="22" spans="1:62" x14ac:dyDescent="0.2">
      <c r="AH22" s="111"/>
    </row>
    <row r="23" spans="1:62" x14ac:dyDescent="0.2">
      <c r="E23" s="112" t="s">
        <v>466</v>
      </c>
    </row>
  </sheetData>
  <mergeCells count="6">
    <mergeCell ref="BJ2:BJ4"/>
    <mergeCell ref="H2:H4"/>
    <mergeCell ref="W2:W4"/>
    <mergeCell ref="AB2:AB4"/>
    <mergeCell ref="AL2:AL4"/>
    <mergeCell ref="AZ2:AZ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5F461-4586-D34F-8E14-1071CB20CB72}">
  <sheetPr codeName="Feuil15">
    <tabColor rgb="FFFFC000"/>
  </sheetPr>
  <dimension ref="A1:BJ23"/>
  <sheetViews>
    <sheetView topLeftCell="D1" zoomScale="90" zoomScaleNormal="90" workbookViewId="0">
      <selection activeCell="D5" sqref="D5"/>
    </sheetView>
  </sheetViews>
  <sheetFormatPr baseColWidth="10" defaultColWidth="11" defaultRowHeight="16" x14ac:dyDescent="0.2"/>
  <cols>
    <col min="1" max="3" width="11" style="110" hidden="1" customWidth="1"/>
    <col min="4" max="5" width="11" style="110"/>
    <col min="6" max="6" width="46.33203125" style="110" bestFit="1" customWidth="1"/>
    <col min="7" max="16384" width="11" style="110"/>
  </cols>
  <sheetData>
    <row r="1" spans="1:62" s="4" customFormat="1" ht="80" customHeight="1" x14ac:dyDescent="0.25">
      <c r="A1" s="3" t="s">
        <v>512</v>
      </c>
      <c r="B1" s="5"/>
      <c r="C1" s="5"/>
      <c r="D1" s="3" t="s">
        <v>516</v>
      </c>
      <c r="E1" s="7"/>
      <c r="F1" s="6"/>
      <c r="G1" s="6"/>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row>
    <row r="2" spans="1:62" x14ac:dyDescent="0.2">
      <c r="A2" s="160"/>
      <c r="B2" s="160"/>
      <c r="C2" s="160"/>
      <c r="D2" s="160"/>
      <c r="E2" s="160"/>
      <c r="F2" s="160"/>
      <c r="G2" s="157" t="s">
        <v>464</v>
      </c>
      <c r="H2" s="209" t="s">
        <v>463</v>
      </c>
      <c r="I2" s="157" t="s">
        <v>462</v>
      </c>
      <c r="J2" s="157" t="s">
        <v>462</v>
      </c>
      <c r="K2" s="157" t="s">
        <v>462</v>
      </c>
      <c r="L2" s="157" t="s">
        <v>462</v>
      </c>
      <c r="M2" s="157" t="s">
        <v>462</v>
      </c>
      <c r="N2" s="157" t="s">
        <v>462</v>
      </c>
      <c r="O2" s="157" t="s">
        <v>462</v>
      </c>
      <c r="P2" s="157" t="s">
        <v>462</v>
      </c>
      <c r="Q2" s="157" t="s">
        <v>462</v>
      </c>
      <c r="R2" s="157" t="s">
        <v>462</v>
      </c>
      <c r="S2" s="209" t="s">
        <v>461</v>
      </c>
      <c r="T2" s="157" t="s">
        <v>178</v>
      </c>
      <c r="U2" s="209" t="s">
        <v>460</v>
      </c>
      <c r="V2" s="157" t="s">
        <v>459</v>
      </c>
      <c r="W2" s="157" t="s">
        <v>459</v>
      </c>
      <c r="X2" s="157" t="s">
        <v>459</v>
      </c>
      <c r="Y2" s="157" t="s">
        <v>459</v>
      </c>
      <c r="Z2" s="157" t="s">
        <v>459</v>
      </c>
      <c r="AA2" s="157" t="s">
        <v>459</v>
      </c>
      <c r="AB2" s="157" t="s">
        <v>459</v>
      </c>
      <c r="AC2" s="157" t="s">
        <v>459</v>
      </c>
      <c r="AD2" s="157" t="s">
        <v>459</v>
      </c>
      <c r="AE2" s="209" t="s">
        <v>508</v>
      </c>
      <c r="AF2" s="157" t="s">
        <v>507</v>
      </c>
      <c r="AG2" s="157" t="s">
        <v>507</v>
      </c>
      <c r="AH2" s="157" t="s">
        <v>507</v>
      </c>
      <c r="AI2" s="209" t="s">
        <v>506</v>
      </c>
    </row>
    <row r="3" spans="1:62" ht="36" x14ac:dyDescent="0.2">
      <c r="A3" s="160"/>
      <c r="B3" s="160"/>
      <c r="C3" s="160"/>
      <c r="D3" s="160"/>
      <c r="E3" s="160"/>
      <c r="F3" s="160"/>
      <c r="G3" s="157" t="s">
        <v>453</v>
      </c>
      <c r="H3" s="209"/>
      <c r="I3" s="157" t="s">
        <v>505</v>
      </c>
      <c r="J3" s="157" t="s">
        <v>504</v>
      </c>
      <c r="K3" s="157" t="s">
        <v>503</v>
      </c>
      <c r="L3" s="157" t="s">
        <v>502</v>
      </c>
      <c r="M3" s="157" t="s">
        <v>501</v>
      </c>
      <c r="N3" s="157" t="s">
        <v>500</v>
      </c>
      <c r="O3" s="157" t="s">
        <v>499</v>
      </c>
      <c r="P3" s="157" t="s">
        <v>498</v>
      </c>
      <c r="Q3" s="157" t="s">
        <v>497</v>
      </c>
      <c r="R3" s="157" t="s">
        <v>440</v>
      </c>
      <c r="S3" s="209"/>
      <c r="T3" s="157" t="s">
        <v>437</v>
      </c>
      <c r="U3" s="209"/>
      <c r="V3" s="157" t="s">
        <v>496</v>
      </c>
      <c r="W3" s="157" t="s">
        <v>495</v>
      </c>
      <c r="X3" s="157" t="s">
        <v>494</v>
      </c>
      <c r="Y3" s="157" t="s">
        <v>493</v>
      </c>
      <c r="Z3" s="157" t="s">
        <v>492</v>
      </c>
      <c r="AA3" s="157" t="s">
        <v>491</v>
      </c>
      <c r="AB3" s="157" t="s">
        <v>490</v>
      </c>
      <c r="AC3" s="157" t="s">
        <v>489</v>
      </c>
      <c r="AD3" s="157" t="s">
        <v>488</v>
      </c>
      <c r="AE3" s="209"/>
      <c r="AF3" s="157" t="s">
        <v>487</v>
      </c>
      <c r="AG3" s="157" t="s">
        <v>423</v>
      </c>
      <c r="AH3" s="157" t="s">
        <v>417</v>
      </c>
      <c r="AI3" s="209"/>
    </row>
    <row r="4" spans="1:62" ht="60" x14ac:dyDescent="0.2">
      <c r="A4" s="160"/>
      <c r="B4" s="158" t="s">
        <v>407</v>
      </c>
      <c r="C4" s="158" t="s">
        <v>406</v>
      </c>
      <c r="D4" s="158" t="s">
        <v>59</v>
      </c>
      <c r="E4" s="158" t="s">
        <v>405</v>
      </c>
      <c r="F4" s="158" t="s">
        <v>404</v>
      </c>
      <c r="G4" s="157" t="s">
        <v>403</v>
      </c>
      <c r="H4" s="209"/>
      <c r="I4" s="157" t="s">
        <v>486</v>
      </c>
      <c r="J4" s="157" t="s">
        <v>485</v>
      </c>
      <c r="K4" s="157" t="s">
        <v>484</v>
      </c>
      <c r="L4" s="157" t="s">
        <v>483</v>
      </c>
      <c r="M4" s="157" t="s">
        <v>482</v>
      </c>
      <c r="N4" s="157" t="s">
        <v>481</v>
      </c>
      <c r="O4" s="157" t="s">
        <v>480</v>
      </c>
      <c r="P4" s="157" t="s">
        <v>479</v>
      </c>
      <c r="Q4" s="157" t="s">
        <v>478</v>
      </c>
      <c r="R4" s="157" t="s">
        <v>389</v>
      </c>
      <c r="S4" s="209"/>
      <c r="T4" s="157" t="s">
        <v>385</v>
      </c>
      <c r="U4" s="209"/>
      <c r="V4" s="157" t="s">
        <v>477</v>
      </c>
      <c r="W4" s="157" t="s">
        <v>476</v>
      </c>
      <c r="X4" s="157" t="s">
        <v>475</v>
      </c>
      <c r="Y4" s="157" t="s">
        <v>474</v>
      </c>
      <c r="Z4" s="157" t="s">
        <v>473</v>
      </c>
      <c r="AA4" s="157" t="s">
        <v>472</v>
      </c>
      <c r="AB4" s="157" t="s">
        <v>471</v>
      </c>
      <c r="AC4" s="157" t="s">
        <v>470</v>
      </c>
      <c r="AD4" s="157" t="s">
        <v>469</v>
      </c>
      <c r="AE4" s="209"/>
      <c r="AF4" s="157" t="s">
        <v>468</v>
      </c>
      <c r="AG4" s="157" t="s">
        <v>370</v>
      </c>
      <c r="AH4" s="157" t="s">
        <v>364</v>
      </c>
      <c r="AI4" s="209"/>
    </row>
    <row r="5" spans="1:62" x14ac:dyDescent="0.2">
      <c r="A5" s="163" t="s">
        <v>467</v>
      </c>
      <c r="B5" s="135"/>
      <c r="C5" s="135"/>
      <c r="D5" s="194"/>
      <c r="E5" s="135" t="s">
        <v>354</v>
      </c>
      <c r="F5" s="135" t="s">
        <v>353</v>
      </c>
      <c r="G5" s="142" t="str">
        <f>IF(ISBLANK(ETPT_TPRX_DDG!$D$5),"",IF(ISERROR(ETPT_TPRX!G5),"",IF(ETPT_TPRX!G5=0,"",ETPT_TPRX!G5)))</f>
        <v/>
      </c>
      <c r="H5" s="119">
        <f t="shared" ref="H5:H15" si="0">SUM(G5)</f>
        <v>0</v>
      </c>
      <c r="I5" s="142" t="str">
        <f>IF(ISBLANK(ETPT_TPRX_DDG!$D$5),"",IF(ISERROR(ETPT_TPRX!I5),"",IF(ETPT_TPRX!I5=0,"",ETPT_TPRX!I5)))</f>
        <v/>
      </c>
      <c r="J5" s="142" t="str">
        <f>IF(ISBLANK(ETPT_TPRX_DDG!$D$5),"",IF(ISERROR(ETPT_TPRX!J5),"",IF(ETPT_TPRX!J5=0,"",ETPT_TPRX!J5)))</f>
        <v/>
      </c>
      <c r="K5" s="142" t="str">
        <f>IF(ISBLANK(ETPT_TPRX_DDG!$D$5),"",IF(ISERROR(ETPT_TPRX!K5),"",IF(ETPT_TPRX!K5=0,"",ETPT_TPRX!K5)))</f>
        <v/>
      </c>
      <c r="L5" s="142" t="str">
        <f>IF(ISBLANK(ETPT_TPRX_DDG!$D$5),"",IF(ISERROR(ETPT_TPRX!L5),"",IF(ETPT_TPRX!L5=0,"",ETPT_TPRX!L5)))</f>
        <v/>
      </c>
      <c r="M5" s="142" t="str">
        <f>IF(ISBLANK(ETPT_TPRX_DDG!$D$5),"",IF(ISERROR(ETPT_TPRX!M5),"",IF(ETPT_TPRX!M5=0,"",ETPT_TPRX!M5)))</f>
        <v/>
      </c>
      <c r="N5" s="142" t="str">
        <f>IF(ISBLANK(ETPT_TPRX_DDG!$D$5),"",IF(ISERROR(ETPT_TPRX!N5),"",IF(ETPT_TPRX!N5=0,"",ETPT_TPRX!N5)))</f>
        <v/>
      </c>
      <c r="O5" s="142" t="str">
        <f>IF(ISBLANK(ETPT_TPRX_DDG!$D$5),"",IF(ISERROR(ETPT_TPRX!O5),"",IF(ETPT_TPRX!O5=0,"",ETPT_TPRX!O5)))</f>
        <v/>
      </c>
      <c r="P5" s="142" t="str">
        <f>IF(ISBLANK(ETPT_TPRX_DDG!$D$5),"",IF(ISERROR(ETPT_TPRX!P5),"",IF(ETPT_TPRX!P5=0,"",ETPT_TPRX!P5)))</f>
        <v/>
      </c>
      <c r="Q5" s="142" t="str">
        <f>IF(ISBLANK(ETPT_TPRX_DDG!$D$5),"",IF(ISERROR(ETPT_TPRX!Q5),"",IF(ETPT_TPRX!Q5=0,"",ETPT_TPRX!Q5)))</f>
        <v/>
      </c>
      <c r="R5" s="142" t="str">
        <f>IF(ISBLANK(ETPT_TPRX_DDG!$D$5),"",IF(ISERROR(ETPT_TPRX!R5),"",IF(ETPT_TPRX!R5=0,"",ETPT_TPRX!R5)))</f>
        <v/>
      </c>
      <c r="S5" s="119">
        <f t="shared" ref="S5:S15" si="1">SUM(I5:R5)</f>
        <v>0</v>
      </c>
      <c r="T5" s="142" t="str">
        <f>IF(ISBLANK(ETPT_TPRX_DDG!$D$5),"",IF(ISERROR(ETPT_TPRX!T5),"",IF(ETPT_TPRX!T5=0,"",ETPT_TPRX!T5)))</f>
        <v/>
      </c>
      <c r="U5" s="119">
        <f t="shared" ref="U5:U15" si="2">SUM(T5)</f>
        <v>0</v>
      </c>
      <c r="V5" s="142" t="str">
        <f>IF(ISBLANK(ETPT_TPRX_DDG!$D$5),"",IF(ISERROR(ETPT_TPRX!V5),"",IF(ETPT_TPRX!V5=0,"",ETPT_TPRX!V5)))</f>
        <v/>
      </c>
      <c r="W5" s="142" t="str">
        <f>IF(ISBLANK(ETPT_TPRX_DDG!$D$5),"",IF(ISERROR(ETPT_TPRX!W5),"",IF(ETPT_TPRX!W5=0,"",ETPT_TPRX!W5)))</f>
        <v/>
      </c>
      <c r="X5" s="142" t="str">
        <f>IF(ISBLANK(ETPT_TPRX_DDG!$D$5),"",IF(ISERROR(ETPT_TPRX!X5),"",IF(ETPT_TPRX!X5=0,"",ETPT_TPRX!X5)))</f>
        <v/>
      </c>
      <c r="Y5" s="142" t="str">
        <f>IF(ISBLANK(ETPT_TPRX_DDG!$D$5),"",IF(ISERROR(ETPT_TPRX!Y5),"",IF(ETPT_TPRX!Y5=0,"",ETPT_TPRX!Y5)))</f>
        <v/>
      </c>
      <c r="Z5" s="142" t="str">
        <f>IF(ISBLANK(ETPT_TPRX_DDG!$D$5),"",IF(ISERROR(ETPT_TPRX!Z5),"",IF(ETPT_TPRX!Z5=0,"",ETPT_TPRX!Z5)))</f>
        <v/>
      </c>
      <c r="AA5" s="142" t="str">
        <f>IF(ISBLANK(ETPT_TPRX_DDG!$D$5),"",IF(ISERROR(ETPT_TPRX!AA5),"",IF(ETPT_TPRX!AA5=0,"",ETPT_TPRX!AA5)))</f>
        <v/>
      </c>
      <c r="AB5" s="142" t="str">
        <f>IF(ISBLANK(ETPT_TPRX_DDG!$D$5),"",IF(ISERROR(ETPT_TPRX!AB5),"",IF(ETPT_TPRX!AB5=0,"",ETPT_TPRX!AB5)))</f>
        <v/>
      </c>
      <c r="AC5" s="142" t="str">
        <f>IF(ISBLANK(ETPT_TPRX_DDG!$D$5),"",IF(ISERROR(ETPT_TPRX!AC5),"",IF(ETPT_TPRX!AC5=0,"",ETPT_TPRX!AC5)))</f>
        <v/>
      </c>
      <c r="AD5" s="142" t="str">
        <f>IF(ISBLANK(ETPT_TPRX_DDG!$D$5),"",IF(ISERROR(ETPT_TPRX!AD5),"",IF(ETPT_TPRX!AD5=0,"",ETPT_TPRX!AD5)))</f>
        <v/>
      </c>
      <c r="AE5" s="119">
        <f t="shared" ref="AE5:AE15" si="3">SUM(V5:AD5)</f>
        <v>0</v>
      </c>
      <c r="AF5" s="142" t="str">
        <f>IF(ISBLANK(ETPT_TPRX_DDG!$D$5),"",IF(ISERROR(ETPT_TPRX!AF5),"",IF(ETPT_TPRX!AF5=0,"",ETPT_TPRX!AF5)))</f>
        <v/>
      </c>
      <c r="AG5" s="142" t="str">
        <f>IF(ISBLANK(ETPT_TPRX_DDG!$D$5),"",IF(ISERROR(ETPT_TPRX!AG5),"",IF(ETPT_TPRX!AG5=0,"",ETPT_TPRX!AG5)))</f>
        <v/>
      </c>
      <c r="AH5" s="142" t="str">
        <f>IF(ISBLANK(ETPT_TPRX_DDG!$D$5),"",IF(ISERROR(ETPT_TPRX!AH5),"",IF(ETPT_TPRX!AH5=0,"",ETPT_TPRX!AH5)))</f>
        <v/>
      </c>
      <c r="AI5" s="119">
        <f t="shared" ref="AI5:AI15" si="4">SUM(AF5:AH5)</f>
        <v>0</v>
      </c>
    </row>
    <row r="6" spans="1:62" x14ac:dyDescent="0.2">
      <c r="A6" s="163" t="s">
        <v>467</v>
      </c>
      <c r="B6" s="135"/>
      <c r="C6" s="135"/>
      <c r="D6" s="135" t="str">
        <f t="shared" ref="D6:D15" si="5">IF(ISBLANK($D$5),"",$D$5)</f>
        <v/>
      </c>
      <c r="E6" s="135" t="s">
        <v>339</v>
      </c>
      <c r="F6" s="135" t="s">
        <v>338</v>
      </c>
      <c r="G6" s="142" t="str">
        <f>IF(ISBLANK(ETPT_TPRX_DDG!$D$5),"",IF(ISERROR(ETPT_TPRX!G6),"",IF(ETPT_TPRX!G6=0,"",ETPT_TPRX!G6)))</f>
        <v/>
      </c>
      <c r="H6" s="119">
        <f t="shared" si="0"/>
        <v>0</v>
      </c>
      <c r="I6" s="142" t="str">
        <f>IF(ISBLANK(ETPT_TPRX_DDG!$D$5),"",IF(ISERROR(ETPT_TPRX!I6),"",IF(ETPT_TPRX!I6=0,"",ETPT_TPRX!I6)))</f>
        <v/>
      </c>
      <c r="J6" s="142" t="str">
        <f>IF(ISBLANK(ETPT_TPRX_DDG!$D$5),"",IF(ISERROR(ETPT_TPRX!J6),"",IF(ETPT_TPRX!J6=0,"",ETPT_TPRX!J6)))</f>
        <v/>
      </c>
      <c r="K6" s="142" t="str">
        <f>IF(ISBLANK(ETPT_TPRX_DDG!$D$5),"",IF(ISERROR(ETPT_TPRX!K6),"",IF(ETPT_TPRX!K6=0,"",ETPT_TPRX!K6)))</f>
        <v/>
      </c>
      <c r="L6" s="142" t="str">
        <f>IF(ISBLANK(ETPT_TPRX_DDG!$D$5),"",IF(ISERROR(ETPT_TPRX!L6),"",IF(ETPT_TPRX!L6=0,"",ETPT_TPRX!L6)))</f>
        <v/>
      </c>
      <c r="M6" s="142" t="str">
        <f>IF(ISBLANK(ETPT_TPRX_DDG!$D$5),"",IF(ISERROR(ETPT_TPRX!M6),"",IF(ETPT_TPRX!M6=0,"",ETPT_TPRX!M6)))</f>
        <v/>
      </c>
      <c r="N6" s="142" t="str">
        <f>IF(ISBLANK(ETPT_TPRX_DDG!$D$5),"",IF(ISERROR(ETPT_TPRX!N6),"",IF(ETPT_TPRX!N6=0,"",ETPT_TPRX!N6)))</f>
        <v/>
      </c>
      <c r="O6" s="142" t="str">
        <f>IF(ISBLANK(ETPT_TPRX_DDG!$D$5),"",IF(ISERROR(ETPT_TPRX!O6),"",IF(ETPT_TPRX!O6=0,"",ETPT_TPRX!O6)))</f>
        <v/>
      </c>
      <c r="P6" s="142" t="str">
        <f>IF(ISBLANK(ETPT_TPRX_DDG!$D$5),"",IF(ISERROR(ETPT_TPRX!P6),"",IF(ETPT_TPRX!P6=0,"",ETPT_TPRX!P6)))</f>
        <v/>
      </c>
      <c r="Q6" s="142" t="str">
        <f>IF(ISBLANK(ETPT_TPRX_DDG!$D$5),"",IF(ISERROR(ETPT_TPRX!Q6),"",IF(ETPT_TPRX!Q6=0,"",ETPT_TPRX!Q6)))</f>
        <v/>
      </c>
      <c r="R6" s="142" t="str">
        <f>IF(ISBLANK(ETPT_TPRX_DDG!$D$5),"",IF(ISERROR(ETPT_TPRX!R6),"",IF(ETPT_TPRX!R6=0,"",ETPT_TPRX!R6)))</f>
        <v/>
      </c>
      <c r="S6" s="119">
        <f t="shared" si="1"/>
        <v>0</v>
      </c>
      <c r="T6" s="142" t="str">
        <f>IF(ISBLANK(ETPT_TPRX_DDG!$D$5),"",IF(ISERROR(ETPT_TPRX!T6),"",IF(ETPT_TPRX!T6=0,"",ETPT_TPRX!T6)))</f>
        <v/>
      </c>
      <c r="U6" s="119">
        <f t="shared" si="2"/>
        <v>0</v>
      </c>
      <c r="V6" s="142" t="str">
        <f>IF(ISBLANK(ETPT_TPRX_DDG!$D$5),"",IF(ISERROR(ETPT_TPRX!V6),"",IF(ETPT_TPRX!V6=0,"",ETPT_TPRX!V6)))</f>
        <v/>
      </c>
      <c r="W6" s="142" t="str">
        <f>IF(ISBLANK(ETPT_TPRX_DDG!$D$5),"",IF(ISERROR(ETPT_TPRX!W6),"",IF(ETPT_TPRX!W6=0,"",ETPT_TPRX!W6)))</f>
        <v/>
      </c>
      <c r="X6" s="142" t="str">
        <f>IF(ISBLANK(ETPT_TPRX_DDG!$D$5),"",IF(ISERROR(ETPT_TPRX!X6),"",IF(ETPT_TPRX!X6=0,"",ETPT_TPRX!X6)))</f>
        <v/>
      </c>
      <c r="Y6" s="142" t="str">
        <f>IF(ISBLANK(ETPT_TPRX_DDG!$D$5),"",IF(ISERROR(ETPT_TPRX!Y6),"",IF(ETPT_TPRX!Y6=0,"",ETPT_TPRX!Y6)))</f>
        <v/>
      </c>
      <c r="Z6" s="142" t="str">
        <f>IF(ISBLANK(ETPT_TPRX_DDG!$D$5),"",IF(ISERROR(ETPT_TPRX!Z6),"",IF(ETPT_TPRX!Z6=0,"",ETPT_TPRX!Z6)))</f>
        <v/>
      </c>
      <c r="AA6" s="142" t="str">
        <f>IF(ISBLANK(ETPT_TPRX_DDG!$D$5),"",IF(ISERROR(ETPT_TPRX!AA6),"",IF(ETPT_TPRX!AA6=0,"",ETPT_TPRX!AA6)))</f>
        <v/>
      </c>
      <c r="AB6" s="142" t="str">
        <f>IF(ISBLANK(ETPT_TPRX_DDG!$D$5),"",IF(ISERROR(ETPT_TPRX!AB6),"",IF(ETPT_TPRX!AB6=0,"",ETPT_TPRX!AB6)))</f>
        <v/>
      </c>
      <c r="AC6" s="142" t="str">
        <f>IF(ISBLANK(ETPT_TPRX_DDG!$D$5),"",IF(ISERROR(ETPT_TPRX!AC6),"",IF(ETPT_TPRX!AC6=0,"",ETPT_TPRX!AC6)))</f>
        <v/>
      </c>
      <c r="AD6" s="142" t="str">
        <f>IF(ISBLANK(ETPT_TPRX_DDG!$D$5),"",IF(ISERROR(ETPT_TPRX!AD6),"",IF(ETPT_TPRX!AD6=0,"",ETPT_TPRX!AD6)))</f>
        <v/>
      </c>
      <c r="AE6" s="119">
        <f t="shared" si="3"/>
        <v>0</v>
      </c>
      <c r="AF6" s="142" t="str">
        <f>IF(ISBLANK(ETPT_TPRX_DDG!$D$5),"",IF(ISERROR(ETPT_TPRX!AF6),"",IF(ETPT_TPRX!AF6=0,"",ETPT_TPRX!AF6)))</f>
        <v/>
      </c>
      <c r="AG6" s="142" t="str">
        <f>IF(ISBLANK(ETPT_TPRX_DDG!$D$5),"",IF(ISERROR(ETPT_TPRX!AG6),"",IF(ETPT_TPRX!AG6=0,"",ETPT_TPRX!AG6)))</f>
        <v/>
      </c>
      <c r="AH6" s="142" t="str">
        <f>IF(ISBLANK(ETPT_TPRX_DDG!$D$5),"",IF(ISERROR(ETPT_TPRX!AH6),"",IF(ETPT_TPRX!AH6=0,"",ETPT_TPRX!AH6)))</f>
        <v/>
      </c>
      <c r="AI6" s="119">
        <f t="shared" si="4"/>
        <v>0</v>
      </c>
    </row>
    <row r="7" spans="1:62" x14ac:dyDescent="0.2">
      <c r="A7" s="163" t="s">
        <v>467</v>
      </c>
      <c r="B7" s="135"/>
      <c r="C7" s="135"/>
      <c r="D7" s="135" t="str">
        <f t="shared" si="5"/>
        <v/>
      </c>
      <c r="E7" s="135" t="s">
        <v>312</v>
      </c>
      <c r="F7" s="135" t="s">
        <v>311</v>
      </c>
      <c r="G7" s="142" t="str">
        <f>IF(ISBLANK(ETPT_TPRX_DDG!$D$5),"",IF(ISERROR(ETPT_TPRX!G7),"",IF(ETPT_TPRX!G7=0,"",ETPT_TPRX!G7)))</f>
        <v/>
      </c>
      <c r="H7" s="119">
        <f t="shared" si="0"/>
        <v>0</v>
      </c>
      <c r="I7" s="142" t="str">
        <f>IF(ISBLANK(ETPT_TPRX_DDG!$D$5),"",IF(ISERROR(ETPT_TPRX!I7),"",IF(ETPT_TPRX!I7=0,"",ETPT_TPRX!I7)))</f>
        <v/>
      </c>
      <c r="J7" s="142" t="str">
        <f>IF(ISBLANK(ETPT_TPRX_DDG!$D$5),"",IF(ISERROR(ETPT_TPRX!J7),"",IF(ETPT_TPRX!J7=0,"",ETPT_TPRX!J7)))</f>
        <v/>
      </c>
      <c r="K7" s="142" t="str">
        <f>IF(ISBLANK(ETPT_TPRX_DDG!$D$5),"",IF(ISERROR(ETPT_TPRX!K7),"",IF(ETPT_TPRX!K7=0,"",ETPT_TPRX!K7)))</f>
        <v/>
      </c>
      <c r="L7" s="142" t="str">
        <f>IF(ISBLANK(ETPT_TPRX_DDG!$D$5),"",IF(ISERROR(ETPT_TPRX!L7),"",IF(ETPT_TPRX!L7=0,"",ETPT_TPRX!L7)))</f>
        <v/>
      </c>
      <c r="M7" s="142" t="str">
        <f>IF(ISBLANK(ETPT_TPRX_DDG!$D$5),"",IF(ISERROR(ETPT_TPRX!M7),"",IF(ETPT_TPRX!M7=0,"",ETPT_TPRX!M7)))</f>
        <v/>
      </c>
      <c r="N7" s="142" t="str">
        <f>IF(ISBLANK(ETPT_TPRX_DDG!$D$5),"",IF(ISERROR(ETPT_TPRX!N7),"",IF(ETPT_TPRX!N7=0,"",ETPT_TPRX!N7)))</f>
        <v/>
      </c>
      <c r="O7" s="142" t="str">
        <f>IF(ISBLANK(ETPT_TPRX_DDG!$D$5),"",IF(ISERROR(ETPT_TPRX!O7),"",IF(ETPT_TPRX!O7=0,"",ETPT_TPRX!O7)))</f>
        <v/>
      </c>
      <c r="P7" s="142" t="str">
        <f>IF(ISBLANK(ETPT_TPRX_DDG!$D$5),"",IF(ISERROR(ETPT_TPRX!P7),"",IF(ETPT_TPRX!P7=0,"",ETPT_TPRX!P7)))</f>
        <v/>
      </c>
      <c r="Q7" s="142" t="str">
        <f>IF(ISBLANK(ETPT_TPRX_DDG!$D$5),"",IF(ISERROR(ETPT_TPRX!Q7),"",IF(ETPT_TPRX!Q7=0,"",ETPT_TPRX!Q7)))</f>
        <v/>
      </c>
      <c r="R7" s="142" t="str">
        <f>IF(ISBLANK(ETPT_TPRX_DDG!$D$5),"",IF(ISERROR(ETPT_TPRX!R7),"",IF(ETPT_TPRX!R7=0,"",ETPT_TPRX!R7)))</f>
        <v/>
      </c>
      <c r="S7" s="119">
        <f t="shared" si="1"/>
        <v>0</v>
      </c>
      <c r="T7" s="142" t="str">
        <f>IF(ISBLANK(ETPT_TPRX_DDG!$D$5),"",IF(ISERROR(ETPT_TPRX!T7),"",IF(ETPT_TPRX!T7=0,"",ETPT_TPRX!T7)))</f>
        <v/>
      </c>
      <c r="U7" s="119">
        <f t="shared" si="2"/>
        <v>0</v>
      </c>
      <c r="V7" s="142" t="str">
        <f>IF(ISBLANK(ETPT_TPRX_DDG!$D$5),"",IF(ISERROR(ETPT_TPRX!V7),"",IF(ETPT_TPRX!V7=0,"",ETPT_TPRX!V7)))</f>
        <v/>
      </c>
      <c r="W7" s="142" t="str">
        <f>IF(ISBLANK(ETPT_TPRX_DDG!$D$5),"",IF(ISERROR(ETPT_TPRX!W7),"",IF(ETPT_TPRX!W7=0,"",ETPT_TPRX!W7)))</f>
        <v/>
      </c>
      <c r="X7" s="142" t="str">
        <f>IF(ISBLANK(ETPT_TPRX_DDG!$D$5),"",IF(ISERROR(ETPT_TPRX!X7),"",IF(ETPT_TPRX!X7=0,"",ETPT_TPRX!X7)))</f>
        <v/>
      </c>
      <c r="Y7" s="142" t="str">
        <f>IF(ISBLANK(ETPT_TPRX_DDG!$D$5),"",IF(ISERROR(ETPT_TPRX!Y7),"",IF(ETPT_TPRX!Y7=0,"",ETPT_TPRX!Y7)))</f>
        <v/>
      </c>
      <c r="Z7" s="142" t="str">
        <f>IF(ISBLANK(ETPT_TPRX_DDG!$D$5),"",IF(ISERROR(ETPT_TPRX!Z7),"",IF(ETPT_TPRX!Z7=0,"",ETPT_TPRX!Z7)))</f>
        <v/>
      </c>
      <c r="AA7" s="142" t="str">
        <f>IF(ISBLANK(ETPT_TPRX_DDG!$D$5),"",IF(ISERROR(ETPT_TPRX!AA7),"",IF(ETPT_TPRX!AA7=0,"",ETPT_TPRX!AA7)))</f>
        <v/>
      </c>
      <c r="AB7" s="142" t="str">
        <f>IF(ISBLANK(ETPT_TPRX_DDG!$D$5),"",IF(ISERROR(ETPT_TPRX!AB7),"",IF(ETPT_TPRX!AB7=0,"",ETPT_TPRX!AB7)))</f>
        <v/>
      </c>
      <c r="AC7" s="142" t="str">
        <f>IF(ISBLANK(ETPT_TPRX_DDG!$D$5),"",IF(ISERROR(ETPT_TPRX!AC7),"",IF(ETPT_TPRX!AC7=0,"",ETPT_TPRX!AC7)))</f>
        <v/>
      </c>
      <c r="AD7" s="142" t="str">
        <f>IF(ISBLANK(ETPT_TPRX_DDG!$D$5),"",IF(ISERROR(ETPT_TPRX!AD7),"",IF(ETPT_TPRX!AD7=0,"",ETPT_TPRX!AD7)))</f>
        <v/>
      </c>
      <c r="AE7" s="119">
        <f t="shared" si="3"/>
        <v>0</v>
      </c>
      <c r="AF7" s="142" t="str">
        <f>IF(ISBLANK(ETPT_TPRX_DDG!$D$5),"",IF(ISERROR(ETPT_TPRX!AF7),"",IF(ETPT_TPRX!AF7=0,"",ETPT_TPRX!AF7)))</f>
        <v/>
      </c>
      <c r="AG7" s="142" t="str">
        <f>IF(ISBLANK(ETPT_TPRX_DDG!$D$5),"",IF(ISERROR(ETPT_TPRX!AG7),"",IF(ETPT_TPRX!AG7=0,"",ETPT_TPRX!AG7)))</f>
        <v/>
      </c>
      <c r="AH7" s="142" t="str">
        <f>IF(ISBLANK(ETPT_TPRX_DDG!$D$5),"",IF(ISERROR(ETPT_TPRX!AH7),"",IF(ETPT_TPRX!AH7=0,"",ETPT_TPRX!AH7)))</f>
        <v/>
      </c>
      <c r="AI7" s="119">
        <f t="shared" si="4"/>
        <v>0</v>
      </c>
    </row>
    <row r="8" spans="1:62" x14ac:dyDescent="0.2">
      <c r="A8" s="163" t="s">
        <v>467</v>
      </c>
      <c r="B8" s="135"/>
      <c r="C8" s="135"/>
      <c r="D8" s="135" t="str">
        <f t="shared" si="5"/>
        <v/>
      </c>
      <c r="E8" s="135" t="s">
        <v>304</v>
      </c>
      <c r="F8" s="135" t="s">
        <v>303</v>
      </c>
      <c r="G8" s="142" t="str">
        <f>IF(ISBLANK(ETPT_TPRX_DDG!$D$5),"",IF(ISERROR(ETPT_TPRX!G8),"",IF(ETPT_TPRX!G8=0,"",ETPT_TPRX!G8)))</f>
        <v/>
      </c>
      <c r="H8" s="119">
        <f t="shared" si="0"/>
        <v>0</v>
      </c>
      <c r="I8" s="142" t="str">
        <f>IF(ISBLANK(ETPT_TPRX_DDG!$D$5),"",IF(ISERROR(ETPT_TPRX!I8),"",IF(ETPT_TPRX!I8=0,"",ETPT_TPRX!I8)))</f>
        <v/>
      </c>
      <c r="J8" s="142" t="str">
        <f>IF(ISBLANK(ETPT_TPRX_DDG!$D$5),"",IF(ISERROR(ETPT_TPRX!J8),"",IF(ETPT_TPRX!J8=0,"",ETPT_TPRX!J8)))</f>
        <v/>
      </c>
      <c r="K8" s="142" t="str">
        <f>IF(ISBLANK(ETPT_TPRX_DDG!$D$5),"",IF(ISERROR(ETPT_TPRX!K8),"",IF(ETPT_TPRX!K8=0,"",ETPT_TPRX!K8)))</f>
        <v/>
      </c>
      <c r="L8" s="142" t="str">
        <f>IF(ISBLANK(ETPT_TPRX_DDG!$D$5),"",IF(ISERROR(ETPT_TPRX!L8),"",IF(ETPT_TPRX!L8=0,"",ETPT_TPRX!L8)))</f>
        <v/>
      </c>
      <c r="M8" s="142" t="str">
        <f>IF(ISBLANK(ETPT_TPRX_DDG!$D$5),"",IF(ISERROR(ETPT_TPRX!M8),"",IF(ETPT_TPRX!M8=0,"",ETPT_TPRX!M8)))</f>
        <v/>
      </c>
      <c r="N8" s="142" t="str">
        <f>IF(ISBLANK(ETPT_TPRX_DDG!$D$5),"",IF(ISERROR(ETPT_TPRX!N8),"",IF(ETPT_TPRX!N8=0,"",ETPT_TPRX!N8)))</f>
        <v/>
      </c>
      <c r="O8" s="142" t="str">
        <f>IF(ISBLANK(ETPT_TPRX_DDG!$D$5),"",IF(ISERROR(ETPT_TPRX!O8),"",IF(ETPT_TPRX!O8=0,"",ETPT_TPRX!O8)))</f>
        <v/>
      </c>
      <c r="P8" s="142" t="str">
        <f>IF(ISBLANK(ETPT_TPRX_DDG!$D$5),"",IF(ISERROR(ETPT_TPRX!P8),"",IF(ETPT_TPRX!P8=0,"",ETPT_TPRX!P8)))</f>
        <v/>
      </c>
      <c r="Q8" s="142" t="str">
        <f>IF(ISBLANK(ETPT_TPRX_DDG!$D$5),"",IF(ISERROR(ETPT_TPRX!Q8),"",IF(ETPT_TPRX!Q8=0,"",ETPT_TPRX!Q8)))</f>
        <v/>
      </c>
      <c r="R8" s="142" t="str">
        <f>IF(ISBLANK(ETPT_TPRX_DDG!$D$5),"",IF(ISERROR(ETPT_TPRX!R8),"",IF(ETPT_TPRX!R8=0,"",ETPT_TPRX!R8)))</f>
        <v/>
      </c>
      <c r="S8" s="119">
        <f t="shared" si="1"/>
        <v>0</v>
      </c>
      <c r="T8" s="142" t="str">
        <f>IF(ISBLANK(ETPT_TPRX_DDG!$D$5),"",IF(ISERROR(ETPT_TPRX!T8),"",IF(ETPT_TPRX!T8=0,"",ETPT_TPRX!T8)))</f>
        <v/>
      </c>
      <c r="U8" s="119">
        <f t="shared" si="2"/>
        <v>0</v>
      </c>
      <c r="V8" s="142" t="str">
        <f>IF(ISBLANK(ETPT_TPRX_DDG!$D$5),"",IF(ISERROR(ETPT_TPRX!V8),"",IF(ETPT_TPRX!V8=0,"",ETPT_TPRX!V8)))</f>
        <v/>
      </c>
      <c r="W8" s="142" t="str">
        <f>IF(ISBLANK(ETPT_TPRX_DDG!$D$5),"",IF(ISERROR(ETPT_TPRX!W8),"",IF(ETPT_TPRX!W8=0,"",ETPT_TPRX!W8)))</f>
        <v/>
      </c>
      <c r="X8" s="142" t="str">
        <f>IF(ISBLANK(ETPT_TPRX_DDG!$D$5),"",IF(ISERROR(ETPT_TPRX!X8),"",IF(ETPT_TPRX!X8=0,"",ETPT_TPRX!X8)))</f>
        <v/>
      </c>
      <c r="Y8" s="142" t="str">
        <f>IF(ISBLANK(ETPT_TPRX_DDG!$D$5),"",IF(ISERROR(ETPT_TPRX!Y8),"",IF(ETPT_TPRX!Y8=0,"",ETPT_TPRX!Y8)))</f>
        <v/>
      </c>
      <c r="Z8" s="142" t="str">
        <f>IF(ISBLANK(ETPT_TPRX_DDG!$D$5),"",IF(ISERROR(ETPT_TPRX!Z8),"",IF(ETPT_TPRX!Z8=0,"",ETPT_TPRX!Z8)))</f>
        <v/>
      </c>
      <c r="AA8" s="142" t="str">
        <f>IF(ISBLANK(ETPT_TPRX_DDG!$D$5),"",IF(ISERROR(ETPT_TPRX!AA8),"",IF(ETPT_TPRX!AA8=0,"",ETPT_TPRX!AA8)))</f>
        <v/>
      </c>
      <c r="AB8" s="142" t="str">
        <f>IF(ISBLANK(ETPT_TPRX_DDG!$D$5),"",IF(ISERROR(ETPT_TPRX!AB8),"",IF(ETPT_TPRX!AB8=0,"",ETPT_TPRX!AB8)))</f>
        <v/>
      </c>
      <c r="AC8" s="142" t="str">
        <f>IF(ISBLANK(ETPT_TPRX_DDG!$D$5),"",IF(ISERROR(ETPT_TPRX!AC8),"",IF(ETPT_TPRX!AC8=0,"",ETPT_TPRX!AC8)))</f>
        <v/>
      </c>
      <c r="AD8" s="142" t="str">
        <f>IF(ISBLANK(ETPT_TPRX_DDG!$D$5),"",IF(ISERROR(ETPT_TPRX!AD8),"",IF(ETPT_TPRX!AD8=0,"",ETPT_TPRX!AD8)))</f>
        <v/>
      </c>
      <c r="AE8" s="119">
        <f t="shared" si="3"/>
        <v>0</v>
      </c>
      <c r="AF8" s="142" t="str">
        <f>IF(ISBLANK(ETPT_TPRX_DDG!$D$5),"",IF(ISERROR(ETPT_TPRX!AF8),"",IF(ETPT_TPRX!AF8=0,"",ETPT_TPRX!AF8)))</f>
        <v/>
      </c>
      <c r="AG8" s="142" t="str">
        <f>IF(ISBLANK(ETPT_TPRX_DDG!$D$5),"",IF(ISERROR(ETPT_TPRX!AG8),"",IF(ETPT_TPRX!AG8=0,"",ETPT_TPRX!AG8)))</f>
        <v/>
      </c>
      <c r="AH8" s="142" t="str">
        <f>IF(ISBLANK(ETPT_TPRX_DDG!$D$5),"",IF(ISERROR(ETPT_TPRX!AH8),"",IF(ETPT_TPRX!AH8=0,"",ETPT_TPRX!AH8)))</f>
        <v/>
      </c>
      <c r="AI8" s="119">
        <f t="shared" si="4"/>
        <v>0</v>
      </c>
    </row>
    <row r="9" spans="1:62" x14ac:dyDescent="0.2">
      <c r="A9" s="163" t="s">
        <v>467</v>
      </c>
      <c r="B9" s="135"/>
      <c r="C9" s="135"/>
      <c r="D9" s="135" t="str">
        <f t="shared" si="5"/>
        <v/>
      </c>
      <c r="E9" s="135" t="s">
        <v>301</v>
      </c>
      <c r="F9" s="135" t="s">
        <v>300</v>
      </c>
      <c r="G9" s="142" t="str">
        <f>IF(ISBLANK(ETPT_TPRX_DDG!$D$5),"",IF(ISERROR(ETPT_TPRX!G9),"",IF(ETPT_TPRX!G9=0,"",ETPT_TPRX!G9)))</f>
        <v/>
      </c>
      <c r="H9" s="119">
        <f t="shared" si="0"/>
        <v>0</v>
      </c>
      <c r="I9" s="142" t="str">
        <f>IF(ISBLANK(ETPT_TPRX_DDG!$D$5),"",IF(ISERROR(ETPT_TPRX!I9),"",IF(ETPT_TPRX!I9=0,"",ETPT_TPRX!I9)))</f>
        <v/>
      </c>
      <c r="J9" s="142" t="str">
        <f>IF(ISBLANK(ETPT_TPRX_DDG!$D$5),"",IF(ISERROR(ETPT_TPRX!J9),"",IF(ETPT_TPRX!J9=0,"",ETPT_TPRX!J9)))</f>
        <v/>
      </c>
      <c r="K9" s="142" t="str">
        <f>IF(ISBLANK(ETPT_TPRX_DDG!$D$5),"",IF(ISERROR(ETPT_TPRX!K9),"",IF(ETPT_TPRX!K9=0,"",ETPT_TPRX!K9)))</f>
        <v/>
      </c>
      <c r="L9" s="142" t="str">
        <f>IF(ISBLANK(ETPT_TPRX_DDG!$D$5),"",IF(ISERROR(ETPT_TPRX!L9),"",IF(ETPT_TPRX!L9=0,"",ETPT_TPRX!L9)))</f>
        <v/>
      </c>
      <c r="M9" s="142" t="str">
        <f>IF(ISBLANK(ETPT_TPRX_DDG!$D$5),"",IF(ISERROR(ETPT_TPRX!M9),"",IF(ETPT_TPRX!M9=0,"",ETPT_TPRX!M9)))</f>
        <v/>
      </c>
      <c r="N9" s="142" t="str">
        <f>IF(ISBLANK(ETPT_TPRX_DDG!$D$5),"",IF(ISERROR(ETPT_TPRX!N9),"",IF(ETPT_TPRX!N9=0,"",ETPT_TPRX!N9)))</f>
        <v/>
      </c>
      <c r="O9" s="142" t="str">
        <f>IF(ISBLANK(ETPT_TPRX_DDG!$D$5),"",IF(ISERROR(ETPT_TPRX!O9),"",IF(ETPT_TPRX!O9=0,"",ETPT_TPRX!O9)))</f>
        <v/>
      </c>
      <c r="P9" s="142" t="str">
        <f>IF(ISBLANK(ETPT_TPRX_DDG!$D$5),"",IF(ISERROR(ETPT_TPRX!P9),"",IF(ETPT_TPRX!P9=0,"",ETPT_TPRX!P9)))</f>
        <v/>
      </c>
      <c r="Q9" s="142" t="str">
        <f>IF(ISBLANK(ETPT_TPRX_DDG!$D$5),"",IF(ISERROR(ETPT_TPRX!Q9),"",IF(ETPT_TPRX!Q9=0,"",ETPT_TPRX!Q9)))</f>
        <v/>
      </c>
      <c r="R9" s="142" t="str">
        <f>IF(ISBLANK(ETPT_TPRX_DDG!$D$5),"",IF(ISERROR(ETPT_TPRX!R9),"",IF(ETPT_TPRX!R9=0,"",ETPT_TPRX!R9)))</f>
        <v/>
      </c>
      <c r="S9" s="119">
        <f t="shared" si="1"/>
        <v>0</v>
      </c>
      <c r="T9" s="142" t="str">
        <f>IF(ISBLANK(ETPT_TPRX_DDG!$D$5),"",IF(ISERROR(ETPT_TPRX!T9),"",IF(ETPT_TPRX!T9=0,"",ETPT_TPRX!T9)))</f>
        <v/>
      </c>
      <c r="U9" s="119">
        <f t="shared" si="2"/>
        <v>0</v>
      </c>
      <c r="V9" s="142" t="str">
        <f>IF(ISBLANK(ETPT_TPRX_DDG!$D$5),"",IF(ISERROR(ETPT_TPRX!V9),"",IF(ETPT_TPRX!V9=0,"",ETPT_TPRX!V9)))</f>
        <v/>
      </c>
      <c r="W9" s="142" t="str">
        <f>IF(ISBLANK(ETPT_TPRX_DDG!$D$5),"",IF(ISERROR(ETPT_TPRX!W9),"",IF(ETPT_TPRX!W9=0,"",ETPT_TPRX!W9)))</f>
        <v/>
      </c>
      <c r="X9" s="142" t="str">
        <f>IF(ISBLANK(ETPT_TPRX_DDG!$D$5),"",IF(ISERROR(ETPT_TPRX!X9),"",IF(ETPT_TPRX!X9=0,"",ETPT_TPRX!X9)))</f>
        <v/>
      </c>
      <c r="Y9" s="142" t="str">
        <f>IF(ISBLANK(ETPT_TPRX_DDG!$D$5),"",IF(ISERROR(ETPT_TPRX!Y9),"",IF(ETPT_TPRX!Y9=0,"",ETPT_TPRX!Y9)))</f>
        <v/>
      </c>
      <c r="Z9" s="142" t="str">
        <f>IF(ISBLANK(ETPT_TPRX_DDG!$D$5),"",IF(ISERROR(ETPT_TPRX!Z9),"",IF(ETPT_TPRX!Z9=0,"",ETPT_TPRX!Z9)))</f>
        <v/>
      </c>
      <c r="AA9" s="142" t="str">
        <f>IF(ISBLANK(ETPT_TPRX_DDG!$D$5),"",IF(ISERROR(ETPT_TPRX!AA9),"",IF(ETPT_TPRX!AA9=0,"",ETPT_TPRX!AA9)))</f>
        <v/>
      </c>
      <c r="AB9" s="142" t="str">
        <f>IF(ISBLANK(ETPT_TPRX_DDG!$D$5),"",IF(ISERROR(ETPT_TPRX!AB9),"",IF(ETPT_TPRX!AB9=0,"",ETPT_TPRX!AB9)))</f>
        <v/>
      </c>
      <c r="AC9" s="142" t="str">
        <f>IF(ISBLANK(ETPT_TPRX_DDG!$D$5),"",IF(ISERROR(ETPT_TPRX!AC9),"",IF(ETPT_TPRX!AC9=0,"",ETPT_TPRX!AC9)))</f>
        <v/>
      </c>
      <c r="AD9" s="142" t="str">
        <f>IF(ISBLANK(ETPT_TPRX_DDG!$D$5),"",IF(ISERROR(ETPT_TPRX!AD9),"",IF(ETPT_TPRX!AD9=0,"",ETPT_TPRX!AD9)))</f>
        <v/>
      </c>
      <c r="AE9" s="119">
        <f t="shared" si="3"/>
        <v>0</v>
      </c>
      <c r="AF9" s="142" t="str">
        <f>IF(ISBLANK(ETPT_TPRX_DDG!$D$5),"",IF(ISERROR(ETPT_TPRX!AF9),"",IF(ETPT_TPRX!AF9=0,"",ETPT_TPRX!AF9)))</f>
        <v/>
      </c>
      <c r="AG9" s="142" t="str">
        <f>IF(ISBLANK(ETPT_TPRX_DDG!$D$5),"",IF(ISERROR(ETPT_TPRX!AG9),"",IF(ETPT_TPRX!AG9=0,"",ETPT_TPRX!AG9)))</f>
        <v/>
      </c>
      <c r="AH9" s="142" t="str">
        <f>IF(ISBLANK(ETPT_TPRX_DDG!$D$5),"",IF(ISERROR(ETPT_TPRX!AH9),"",IF(ETPT_TPRX!AH9=0,"",ETPT_TPRX!AH9)))</f>
        <v/>
      </c>
      <c r="AI9" s="119">
        <f t="shared" si="4"/>
        <v>0</v>
      </c>
    </row>
    <row r="10" spans="1:62" x14ac:dyDescent="0.2">
      <c r="A10" s="163" t="s">
        <v>467</v>
      </c>
      <c r="B10" s="135"/>
      <c r="C10" s="135"/>
      <c r="D10" s="135" t="str">
        <f t="shared" si="5"/>
        <v/>
      </c>
      <c r="E10" s="135" t="s">
        <v>291</v>
      </c>
      <c r="F10" s="135" t="s">
        <v>290</v>
      </c>
      <c r="G10" s="142" t="str">
        <f>IF(ISBLANK(ETPT_TPRX_DDG!$D$5),"",IF(ISERROR(ETPT_TPRX!G10),"",IF(ETPT_TPRX!G10=0,"",ETPT_TPRX!G10)))</f>
        <v/>
      </c>
      <c r="H10" s="119">
        <f t="shared" si="0"/>
        <v>0</v>
      </c>
      <c r="I10" s="142" t="str">
        <f>IF(ISBLANK(ETPT_TPRX_DDG!$D$5),"",IF(ISERROR(ETPT_TPRX!I10),"",IF(ETPT_TPRX!I10=0,"",ETPT_TPRX!I10)))</f>
        <v/>
      </c>
      <c r="J10" s="142" t="str">
        <f>IF(ISBLANK(ETPT_TPRX_DDG!$D$5),"",IF(ISERROR(ETPT_TPRX!J10),"",IF(ETPT_TPRX!J10=0,"",ETPT_TPRX!J10)))</f>
        <v/>
      </c>
      <c r="K10" s="142" t="str">
        <f>IF(ISBLANK(ETPT_TPRX_DDG!$D$5),"",IF(ISERROR(ETPT_TPRX!K10),"",IF(ETPT_TPRX!K10=0,"",ETPT_TPRX!K10)))</f>
        <v/>
      </c>
      <c r="L10" s="142" t="str">
        <f>IF(ISBLANK(ETPT_TPRX_DDG!$D$5),"",IF(ISERROR(ETPT_TPRX!L10),"",IF(ETPT_TPRX!L10=0,"",ETPT_TPRX!L10)))</f>
        <v/>
      </c>
      <c r="M10" s="142" t="str">
        <f>IF(ISBLANK(ETPT_TPRX_DDG!$D$5),"",IF(ISERROR(ETPT_TPRX!M10),"",IF(ETPT_TPRX!M10=0,"",ETPT_TPRX!M10)))</f>
        <v/>
      </c>
      <c r="N10" s="142" t="str">
        <f>IF(ISBLANK(ETPT_TPRX_DDG!$D$5),"",IF(ISERROR(ETPT_TPRX!N10),"",IF(ETPT_TPRX!N10=0,"",ETPT_TPRX!N10)))</f>
        <v/>
      </c>
      <c r="O10" s="142" t="str">
        <f>IF(ISBLANK(ETPT_TPRX_DDG!$D$5),"",IF(ISERROR(ETPT_TPRX!O10),"",IF(ETPT_TPRX!O10=0,"",ETPT_TPRX!O10)))</f>
        <v/>
      </c>
      <c r="P10" s="142" t="str">
        <f>IF(ISBLANK(ETPT_TPRX_DDG!$D$5),"",IF(ISERROR(ETPT_TPRX!P10),"",IF(ETPT_TPRX!P10=0,"",ETPT_TPRX!P10)))</f>
        <v/>
      </c>
      <c r="Q10" s="142" t="str">
        <f>IF(ISBLANK(ETPT_TPRX_DDG!$D$5),"",IF(ISERROR(ETPT_TPRX!Q10),"",IF(ETPT_TPRX!Q10=0,"",ETPT_TPRX!Q10)))</f>
        <v/>
      </c>
      <c r="R10" s="142" t="str">
        <f>IF(ISBLANK(ETPT_TPRX_DDG!$D$5),"",IF(ISERROR(ETPT_TPRX!R10),"",IF(ETPT_TPRX!R10=0,"",ETPT_TPRX!R10)))</f>
        <v/>
      </c>
      <c r="S10" s="119">
        <f t="shared" si="1"/>
        <v>0</v>
      </c>
      <c r="T10" s="142" t="str">
        <f>IF(ISBLANK(ETPT_TPRX_DDG!$D$5),"",IF(ISERROR(ETPT_TPRX!T10),"",IF(ETPT_TPRX!T10=0,"",ETPT_TPRX!T10)))</f>
        <v/>
      </c>
      <c r="U10" s="119">
        <f t="shared" si="2"/>
        <v>0</v>
      </c>
      <c r="V10" s="142" t="str">
        <f>IF(ISBLANK(ETPT_TPRX_DDG!$D$5),"",IF(ISERROR(ETPT_TPRX!V10),"",IF(ETPT_TPRX!V10=0,"",ETPT_TPRX!V10)))</f>
        <v/>
      </c>
      <c r="W10" s="142" t="str">
        <f>IF(ISBLANK(ETPT_TPRX_DDG!$D$5),"",IF(ISERROR(ETPT_TPRX!W10),"",IF(ETPT_TPRX!W10=0,"",ETPT_TPRX!W10)))</f>
        <v/>
      </c>
      <c r="X10" s="142" t="str">
        <f>IF(ISBLANK(ETPT_TPRX_DDG!$D$5),"",IF(ISERROR(ETPT_TPRX!X10),"",IF(ETPT_TPRX!X10=0,"",ETPT_TPRX!X10)))</f>
        <v/>
      </c>
      <c r="Y10" s="142" t="str">
        <f>IF(ISBLANK(ETPT_TPRX_DDG!$D$5),"",IF(ISERROR(ETPT_TPRX!Y10),"",IF(ETPT_TPRX!Y10=0,"",ETPT_TPRX!Y10)))</f>
        <v/>
      </c>
      <c r="Z10" s="142" t="str">
        <f>IF(ISBLANK(ETPT_TPRX_DDG!$D$5),"",IF(ISERROR(ETPT_TPRX!Z10),"",IF(ETPT_TPRX!Z10=0,"",ETPT_TPRX!Z10)))</f>
        <v/>
      </c>
      <c r="AA10" s="142" t="str">
        <f>IF(ISBLANK(ETPT_TPRX_DDG!$D$5),"",IF(ISERROR(ETPT_TPRX!AA10),"",IF(ETPT_TPRX!AA10=0,"",ETPT_TPRX!AA10)))</f>
        <v/>
      </c>
      <c r="AB10" s="142" t="str">
        <f>IF(ISBLANK(ETPT_TPRX_DDG!$D$5),"",IF(ISERROR(ETPT_TPRX!AB10),"",IF(ETPT_TPRX!AB10=0,"",ETPT_TPRX!AB10)))</f>
        <v/>
      </c>
      <c r="AC10" s="142" t="str">
        <f>IF(ISBLANK(ETPT_TPRX_DDG!$D$5),"",IF(ISERROR(ETPT_TPRX!AC10),"",IF(ETPT_TPRX!AC10=0,"",ETPT_TPRX!AC10)))</f>
        <v/>
      </c>
      <c r="AD10" s="142" t="str">
        <f>IF(ISBLANK(ETPT_TPRX_DDG!$D$5),"",IF(ISERROR(ETPT_TPRX!AD10),"",IF(ETPT_TPRX!AD10=0,"",ETPT_TPRX!AD10)))</f>
        <v/>
      </c>
      <c r="AE10" s="119">
        <f t="shared" si="3"/>
        <v>0</v>
      </c>
      <c r="AF10" s="142" t="str">
        <f>IF(ISBLANK(ETPT_TPRX_DDG!$D$5),"",IF(ISERROR(ETPT_TPRX!AF10),"",IF(ETPT_TPRX!AF10=0,"",ETPT_TPRX!AF10)))</f>
        <v/>
      </c>
      <c r="AG10" s="142" t="str">
        <f>IF(ISBLANK(ETPT_TPRX_DDG!$D$5),"",IF(ISERROR(ETPT_TPRX!AG10),"",IF(ETPT_TPRX!AG10=0,"",ETPT_TPRX!AG10)))</f>
        <v/>
      </c>
      <c r="AH10" s="142" t="str">
        <f>IF(ISBLANK(ETPT_TPRX_DDG!$D$5),"",IF(ISERROR(ETPT_TPRX!AH10),"",IF(ETPT_TPRX!AH10=0,"",ETPT_TPRX!AH10)))</f>
        <v/>
      </c>
      <c r="AI10" s="119">
        <f t="shared" si="4"/>
        <v>0</v>
      </c>
    </row>
    <row r="11" spans="1:62" x14ac:dyDescent="0.2">
      <c r="A11" s="163" t="s">
        <v>467</v>
      </c>
      <c r="B11" s="135"/>
      <c r="C11" s="135"/>
      <c r="D11" s="135" t="str">
        <f t="shared" si="5"/>
        <v/>
      </c>
      <c r="E11" s="135" t="s">
        <v>282</v>
      </c>
      <c r="F11" s="135" t="s">
        <v>281</v>
      </c>
      <c r="G11" s="142" t="str">
        <f>IF(ISBLANK(ETPT_TPRX_DDG!$D$5),"",IF(ISERROR(ETPT_TPRX!G11),"",IF(ETPT_TPRX!G11=0,"",ETPT_TPRX!G11)))</f>
        <v/>
      </c>
      <c r="H11" s="119">
        <f t="shared" si="0"/>
        <v>0</v>
      </c>
      <c r="I11" s="142" t="str">
        <f>IF(ISBLANK(ETPT_TPRX_DDG!$D$5),"",IF(ISERROR(ETPT_TPRX!I11),"",IF(ETPT_TPRX!I11=0,"",ETPT_TPRX!I11)))</f>
        <v/>
      </c>
      <c r="J11" s="142" t="str">
        <f>IF(ISBLANK(ETPT_TPRX_DDG!$D$5),"",IF(ISERROR(ETPT_TPRX!J11),"",IF(ETPT_TPRX!J11=0,"",ETPT_TPRX!J11)))</f>
        <v/>
      </c>
      <c r="K11" s="142" t="str">
        <f>IF(ISBLANK(ETPT_TPRX_DDG!$D$5),"",IF(ISERROR(ETPT_TPRX!K11),"",IF(ETPT_TPRX!K11=0,"",ETPT_TPRX!K11)))</f>
        <v/>
      </c>
      <c r="L11" s="142" t="str">
        <f>IF(ISBLANK(ETPT_TPRX_DDG!$D$5),"",IF(ISERROR(ETPT_TPRX!L11),"",IF(ETPT_TPRX!L11=0,"",ETPT_TPRX!L11)))</f>
        <v/>
      </c>
      <c r="M11" s="142" t="str">
        <f>IF(ISBLANK(ETPT_TPRX_DDG!$D$5),"",IF(ISERROR(ETPT_TPRX!M11),"",IF(ETPT_TPRX!M11=0,"",ETPT_TPRX!M11)))</f>
        <v/>
      </c>
      <c r="N11" s="142" t="str">
        <f>IF(ISBLANK(ETPT_TPRX_DDG!$D$5),"",IF(ISERROR(ETPT_TPRX!N11),"",IF(ETPT_TPRX!N11=0,"",ETPT_TPRX!N11)))</f>
        <v/>
      </c>
      <c r="O11" s="142" t="str">
        <f>IF(ISBLANK(ETPT_TPRX_DDG!$D$5),"",IF(ISERROR(ETPT_TPRX!O11),"",IF(ETPT_TPRX!O11=0,"",ETPT_TPRX!O11)))</f>
        <v/>
      </c>
      <c r="P11" s="142" t="str">
        <f>IF(ISBLANK(ETPT_TPRX_DDG!$D$5),"",IF(ISERROR(ETPT_TPRX!P11),"",IF(ETPT_TPRX!P11=0,"",ETPT_TPRX!P11)))</f>
        <v/>
      </c>
      <c r="Q11" s="142" t="str">
        <f>IF(ISBLANK(ETPT_TPRX_DDG!$D$5),"",IF(ISERROR(ETPT_TPRX!Q11),"",IF(ETPT_TPRX!Q11=0,"",ETPT_TPRX!Q11)))</f>
        <v/>
      </c>
      <c r="R11" s="142" t="str">
        <f>IF(ISBLANK(ETPT_TPRX_DDG!$D$5),"",IF(ISERROR(ETPT_TPRX!R11),"",IF(ETPT_TPRX!R11=0,"",ETPT_TPRX!R11)))</f>
        <v/>
      </c>
      <c r="S11" s="119">
        <f t="shared" si="1"/>
        <v>0</v>
      </c>
      <c r="T11" s="142" t="str">
        <f>IF(ISBLANK(ETPT_TPRX_DDG!$D$5),"",IF(ISERROR(ETPT_TPRX!T11),"",IF(ETPT_TPRX!T11=0,"",ETPT_TPRX!T11)))</f>
        <v/>
      </c>
      <c r="U11" s="119">
        <f t="shared" si="2"/>
        <v>0</v>
      </c>
      <c r="V11" s="142" t="str">
        <f>IF(ISBLANK(ETPT_TPRX_DDG!$D$5),"",IF(ISERROR(ETPT_TPRX!V11),"",IF(ETPT_TPRX!V11=0,"",ETPT_TPRX!V11)))</f>
        <v/>
      </c>
      <c r="W11" s="142" t="str">
        <f>IF(ISBLANK(ETPT_TPRX_DDG!$D$5),"",IF(ISERROR(ETPT_TPRX!W11),"",IF(ETPT_TPRX!W11=0,"",ETPT_TPRX!W11)))</f>
        <v/>
      </c>
      <c r="X11" s="142" t="str">
        <f>IF(ISBLANK(ETPT_TPRX_DDG!$D$5),"",IF(ISERROR(ETPT_TPRX!X11),"",IF(ETPT_TPRX!X11=0,"",ETPT_TPRX!X11)))</f>
        <v/>
      </c>
      <c r="Y11" s="142" t="str">
        <f>IF(ISBLANK(ETPT_TPRX_DDG!$D$5),"",IF(ISERROR(ETPT_TPRX!Y11),"",IF(ETPT_TPRX!Y11=0,"",ETPT_TPRX!Y11)))</f>
        <v/>
      </c>
      <c r="Z11" s="142" t="str">
        <f>IF(ISBLANK(ETPT_TPRX_DDG!$D$5),"",IF(ISERROR(ETPT_TPRX!Z11),"",IF(ETPT_TPRX!Z11=0,"",ETPT_TPRX!Z11)))</f>
        <v/>
      </c>
      <c r="AA11" s="142" t="str">
        <f>IF(ISBLANK(ETPT_TPRX_DDG!$D$5),"",IF(ISERROR(ETPT_TPRX!AA11),"",IF(ETPT_TPRX!AA11=0,"",ETPT_TPRX!AA11)))</f>
        <v/>
      </c>
      <c r="AB11" s="142" t="str">
        <f>IF(ISBLANK(ETPT_TPRX_DDG!$D$5),"",IF(ISERROR(ETPT_TPRX!AB11),"",IF(ETPT_TPRX!AB11=0,"",ETPT_TPRX!AB11)))</f>
        <v/>
      </c>
      <c r="AC11" s="142" t="str">
        <f>IF(ISBLANK(ETPT_TPRX_DDG!$D$5),"",IF(ISERROR(ETPT_TPRX!AC11),"",IF(ETPT_TPRX!AC11=0,"",ETPT_TPRX!AC11)))</f>
        <v/>
      </c>
      <c r="AD11" s="142" t="str">
        <f>IF(ISBLANK(ETPT_TPRX_DDG!$D$5),"",IF(ISERROR(ETPT_TPRX!AD11),"",IF(ETPT_TPRX!AD11=0,"",ETPT_TPRX!AD11)))</f>
        <v/>
      </c>
      <c r="AE11" s="119">
        <f t="shared" si="3"/>
        <v>0</v>
      </c>
      <c r="AF11" s="142" t="str">
        <f>IF(ISBLANK(ETPT_TPRX_DDG!$D$5),"",IF(ISERROR(ETPT_TPRX!AF11),"",IF(ETPT_TPRX!AF11=0,"",ETPT_TPRX!AF11)))</f>
        <v/>
      </c>
      <c r="AG11" s="142" t="str">
        <f>IF(ISBLANK(ETPT_TPRX_DDG!$D$5),"",IF(ISERROR(ETPT_TPRX!AG11),"",IF(ETPT_TPRX!AG11=0,"",ETPT_TPRX!AG11)))</f>
        <v/>
      </c>
      <c r="AH11" s="142" t="str">
        <f>IF(ISBLANK(ETPT_TPRX_DDG!$D$5),"",IF(ISERROR(ETPT_TPRX!AH11),"",IF(ETPT_TPRX!AH11=0,"",ETPT_TPRX!AH11)))</f>
        <v/>
      </c>
      <c r="AI11" s="119">
        <f t="shared" si="4"/>
        <v>0</v>
      </c>
    </row>
    <row r="12" spans="1:62" x14ac:dyDescent="0.2">
      <c r="A12" s="163" t="s">
        <v>467</v>
      </c>
      <c r="B12" s="135"/>
      <c r="C12" s="135"/>
      <c r="D12" s="135" t="str">
        <f t="shared" si="5"/>
        <v/>
      </c>
      <c r="E12" s="135" t="s">
        <v>273</v>
      </c>
      <c r="F12" s="135" t="s">
        <v>272</v>
      </c>
      <c r="G12" s="142" t="str">
        <f>IF(ISBLANK(ETPT_TPRX_DDG!$D$5),"",IF(ISERROR(ETPT_TPRX!G12),"",IF(ETPT_TPRX!G12=0,"",ETPT_TPRX!G12)))</f>
        <v/>
      </c>
      <c r="H12" s="119">
        <f t="shared" si="0"/>
        <v>0</v>
      </c>
      <c r="I12" s="142" t="str">
        <f>IF(ISBLANK(ETPT_TPRX_DDG!$D$5),"",IF(ISERROR(ETPT_TPRX!I12),"",IF(ETPT_TPRX!I12=0,"",ETPT_TPRX!I12)))</f>
        <v/>
      </c>
      <c r="J12" s="142" t="str">
        <f>IF(ISBLANK(ETPT_TPRX_DDG!$D$5),"",IF(ISERROR(ETPT_TPRX!J12),"",IF(ETPT_TPRX!J12=0,"",ETPT_TPRX!J12)))</f>
        <v/>
      </c>
      <c r="K12" s="142" t="str">
        <f>IF(ISBLANK(ETPT_TPRX_DDG!$D$5),"",IF(ISERROR(ETPT_TPRX!K12),"",IF(ETPT_TPRX!K12=0,"",ETPT_TPRX!K12)))</f>
        <v/>
      </c>
      <c r="L12" s="142" t="str">
        <f>IF(ISBLANK(ETPT_TPRX_DDG!$D$5),"",IF(ISERROR(ETPT_TPRX!L12),"",IF(ETPT_TPRX!L12=0,"",ETPT_TPRX!L12)))</f>
        <v/>
      </c>
      <c r="M12" s="142" t="str">
        <f>IF(ISBLANK(ETPT_TPRX_DDG!$D$5),"",IF(ISERROR(ETPT_TPRX!M12),"",IF(ETPT_TPRX!M12=0,"",ETPT_TPRX!M12)))</f>
        <v/>
      </c>
      <c r="N12" s="142" t="str">
        <f>IF(ISBLANK(ETPT_TPRX_DDG!$D$5),"",IF(ISERROR(ETPT_TPRX!N12),"",IF(ETPT_TPRX!N12=0,"",ETPT_TPRX!N12)))</f>
        <v/>
      </c>
      <c r="O12" s="142" t="str">
        <f>IF(ISBLANK(ETPT_TPRX_DDG!$D$5),"",IF(ISERROR(ETPT_TPRX!O12),"",IF(ETPT_TPRX!O12=0,"",ETPT_TPRX!O12)))</f>
        <v/>
      </c>
      <c r="P12" s="142" t="str">
        <f>IF(ISBLANK(ETPT_TPRX_DDG!$D$5),"",IF(ISERROR(ETPT_TPRX!P12),"",IF(ETPT_TPRX!P12=0,"",ETPT_TPRX!P12)))</f>
        <v/>
      </c>
      <c r="Q12" s="142" t="str">
        <f>IF(ISBLANK(ETPT_TPRX_DDG!$D$5),"",IF(ISERROR(ETPT_TPRX!Q12),"",IF(ETPT_TPRX!Q12=0,"",ETPT_TPRX!Q12)))</f>
        <v/>
      </c>
      <c r="R12" s="142" t="str">
        <f>IF(ISBLANK(ETPT_TPRX_DDG!$D$5),"",IF(ISERROR(ETPT_TPRX!R12),"",IF(ETPT_TPRX!R12=0,"",ETPT_TPRX!R12)))</f>
        <v/>
      </c>
      <c r="S12" s="119">
        <f t="shared" si="1"/>
        <v>0</v>
      </c>
      <c r="T12" s="142" t="str">
        <f>IF(ISBLANK(ETPT_TPRX_DDG!$D$5),"",IF(ISERROR(ETPT_TPRX!T12),"",IF(ETPT_TPRX!T12=0,"",ETPT_TPRX!T12)))</f>
        <v/>
      </c>
      <c r="U12" s="119">
        <f t="shared" si="2"/>
        <v>0</v>
      </c>
      <c r="V12" s="142" t="str">
        <f>IF(ISBLANK(ETPT_TPRX_DDG!$D$5),"",IF(ISERROR(ETPT_TPRX!V12),"",IF(ETPT_TPRX!V12=0,"",ETPT_TPRX!V12)))</f>
        <v/>
      </c>
      <c r="W12" s="142" t="str">
        <f>IF(ISBLANK(ETPT_TPRX_DDG!$D$5),"",IF(ISERROR(ETPT_TPRX!W12),"",IF(ETPT_TPRX!W12=0,"",ETPT_TPRX!W12)))</f>
        <v/>
      </c>
      <c r="X12" s="142" t="str">
        <f>IF(ISBLANK(ETPT_TPRX_DDG!$D$5),"",IF(ISERROR(ETPT_TPRX!X12),"",IF(ETPT_TPRX!X12=0,"",ETPT_TPRX!X12)))</f>
        <v/>
      </c>
      <c r="Y12" s="142" t="str">
        <f>IF(ISBLANK(ETPT_TPRX_DDG!$D$5),"",IF(ISERROR(ETPT_TPRX!Y12),"",IF(ETPT_TPRX!Y12=0,"",ETPT_TPRX!Y12)))</f>
        <v/>
      </c>
      <c r="Z12" s="142" t="str">
        <f>IF(ISBLANK(ETPT_TPRX_DDG!$D$5),"",IF(ISERROR(ETPT_TPRX!Z12),"",IF(ETPT_TPRX!Z12=0,"",ETPT_TPRX!Z12)))</f>
        <v/>
      </c>
      <c r="AA12" s="142" t="str">
        <f>IF(ISBLANK(ETPT_TPRX_DDG!$D$5),"",IF(ISERROR(ETPT_TPRX!AA12),"",IF(ETPT_TPRX!AA12=0,"",ETPT_TPRX!AA12)))</f>
        <v/>
      </c>
      <c r="AB12" s="142" t="str">
        <f>IF(ISBLANK(ETPT_TPRX_DDG!$D$5),"",IF(ISERROR(ETPT_TPRX!AB12),"",IF(ETPT_TPRX!AB12=0,"",ETPT_TPRX!AB12)))</f>
        <v/>
      </c>
      <c r="AC12" s="142" t="str">
        <f>IF(ISBLANK(ETPT_TPRX_DDG!$D$5),"",IF(ISERROR(ETPT_TPRX!AC12),"",IF(ETPT_TPRX!AC12=0,"",ETPT_TPRX!AC12)))</f>
        <v/>
      </c>
      <c r="AD12" s="142" t="str">
        <f>IF(ISBLANK(ETPT_TPRX_DDG!$D$5),"",IF(ISERROR(ETPT_TPRX!AD12),"",IF(ETPT_TPRX!AD12=0,"",ETPT_TPRX!AD12)))</f>
        <v/>
      </c>
      <c r="AE12" s="119">
        <f t="shared" si="3"/>
        <v>0</v>
      </c>
      <c r="AF12" s="142" t="str">
        <f>IF(ISBLANK(ETPT_TPRX_DDG!$D$5),"",IF(ISERROR(ETPT_TPRX!AF12),"",IF(ETPT_TPRX!AF12=0,"",ETPT_TPRX!AF12)))</f>
        <v/>
      </c>
      <c r="AG12" s="142" t="str">
        <f>IF(ISBLANK(ETPT_TPRX_DDG!$D$5),"",IF(ISERROR(ETPT_TPRX!AG12),"",IF(ETPT_TPRX!AG12=0,"",ETPT_TPRX!AG12)))</f>
        <v/>
      </c>
      <c r="AH12" s="142" t="str">
        <f>IF(ISBLANK(ETPT_TPRX_DDG!$D$5),"",IF(ISERROR(ETPT_TPRX!AH12),"",IF(ETPT_TPRX!AH12=0,"",ETPT_TPRX!AH12)))</f>
        <v/>
      </c>
      <c r="AI12" s="119">
        <f t="shared" si="4"/>
        <v>0</v>
      </c>
    </row>
    <row r="13" spans="1:62" x14ac:dyDescent="0.2">
      <c r="A13" s="163" t="s">
        <v>467</v>
      </c>
      <c r="B13" s="135"/>
      <c r="C13" s="135"/>
      <c r="D13" s="135" t="str">
        <f t="shared" si="5"/>
        <v/>
      </c>
      <c r="E13" s="135" t="s">
        <v>264</v>
      </c>
      <c r="F13" s="135" t="s">
        <v>263</v>
      </c>
      <c r="G13" s="142" t="str">
        <f>IF(ISBLANK(ETPT_TPRX_DDG!$D$5),"",IF(ISERROR(ETPT_TPRX!G13),"",IF(ETPT_TPRX!G13=0,"",ETPT_TPRX!G13)))</f>
        <v/>
      </c>
      <c r="H13" s="119">
        <f t="shared" si="0"/>
        <v>0</v>
      </c>
      <c r="I13" s="142" t="str">
        <f>IF(ISBLANK(ETPT_TPRX_DDG!$D$5),"",IF(ISERROR(ETPT_TPRX!I13),"",IF(ETPT_TPRX!I13=0,"",ETPT_TPRX!I13)))</f>
        <v/>
      </c>
      <c r="J13" s="142" t="str">
        <f>IF(ISBLANK(ETPT_TPRX_DDG!$D$5),"",IF(ISERROR(ETPT_TPRX!J13),"",IF(ETPT_TPRX!J13=0,"",ETPT_TPRX!J13)))</f>
        <v/>
      </c>
      <c r="K13" s="142" t="str">
        <f>IF(ISBLANK(ETPT_TPRX_DDG!$D$5),"",IF(ISERROR(ETPT_TPRX!K13),"",IF(ETPT_TPRX!K13=0,"",ETPT_TPRX!K13)))</f>
        <v/>
      </c>
      <c r="L13" s="142" t="str">
        <f>IF(ISBLANK(ETPT_TPRX_DDG!$D$5),"",IF(ISERROR(ETPT_TPRX!L13),"",IF(ETPT_TPRX!L13=0,"",ETPT_TPRX!L13)))</f>
        <v/>
      </c>
      <c r="M13" s="142" t="str">
        <f>IF(ISBLANK(ETPT_TPRX_DDG!$D$5),"",IF(ISERROR(ETPT_TPRX!M13),"",IF(ETPT_TPRX!M13=0,"",ETPT_TPRX!M13)))</f>
        <v/>
      </c>
      <c r="N13" s="142" t="str">
        <f>IF(ISBLANK(ETPT_TPRX_DDG!$D$5),"",IF(ISERROR(ETPT_TPRX!N13),"",IF(ETPT_TPRX!N13=0,"",ETPT_TPRX!N13)))</f>
        <v/>
      </c>
      <c r="O13" s="142" t="str">
        <f>IF(ISBLANK(ETPT_TPRX_DDG!$D$5),"",IF(ISERROR(ETPT_TPRX!O13),"",IF(ETPT_TPRX!O13=0,"",ETPT_TPRX!O13)))</f>
        <v/>
      </c>
      <c r="P13" s="142" t="str">
        <f>IF(ISBLANK(ETPT_TPRX_DDG!$D$5),"",IF(ISERROR(ETPT_TPRX!P13),"",IF(ETPT_TPRX!P13=0,"",ETPT_TPRX!P13)))</f>
        <v/>
      </c>
      <c r="Q13" s="142" t="str">
        <f>IF(ISBLANK(ETPT_TPRX_DDG!$D$5),"",IF(ISERROR(ETPT_TPRX!Q13),"",IF(ETPT_TPRX!Q13=0,"",ETPT_TPRX!Q13)))</f>
        <v/>
      </c>
      <c r="R13" s="142" t="str">
        <f>IF(ISBLANK(ETPT_TPRX_DDG!$D$5),"",IF(ISERROR(ETPT_TPRX!R13),"",IF(ETPT_TPRX!R13=0,"",ETPT_TPRX!R13)))</f>
        <v/>
      </c>
      <c r="S13" s="119">
        <f t="shared" si="1"/>
        <v>0</v>
      </c>
      <c r="T13" s="142" t="str">
        <f>IF(ISBLANK(ETPT_TPRX_DDG!$D$5),"",IF(ISERROR(ETPT_TPRX!T13),"",IF(ETPT_TPRX!T13=0,"",ETPT_TPRX!T13)))</f>
        <v/>
      </c>
      <c r="U13" s="119">
        <f t="shared" si="2"/>
        <v>0</v>
      </c>
      <c r="V13" s="142" t="str">
        <f>IF(ISBLANK(ETPT_TPRX_DDG!$D$5),"",IF(ISERROR(ETPT_TPRX!V13),"",IF(ETPT_TPRX!V13=0,"",ETPT_TPRX!V13)))</f>
        <v/>
      </c>
      <c r="W13" s="142" t="str">
        <f>IF(ISBLANK(ETPT_TPRX_DDG!$D$5),"",IF(ISERROR(ETPT_TPRX!W13),"",IF(ETPT_TPRX!W13=0,"",ETPT_TPRX!W13)))</f>
        <v/>
      </c>
      <c r="X13" s="142" t="str">
        <f>IF(ISBLANK(ETPT_TPRX_DDG!$D$5),"",IF(ISERROR(ETPT_TPRX!X13),"",IF(ETPT_TPRX!X13=0,"",ETPT_TPRX!X13)))</f>
        <v/>
      </c>
      <c r="Y13" s="142" t="str">
        <f>IF(ISBLANK(ETPT_TPRX_DDG!$D$5),"",IF(ISERROR(ETPT_TPRX!Y13),"",IF(ETPT_TPRX!Y13=0,"",ETPT_TPRX!Y13)))</f>
        <v/>
      </c>
      <c r="Z13" s="142" t="str">
        <f>IF(ISBLANK(ETPT_TPRX_DDG!$D$5),"",IF(ISERROR(ETPT_TPRX!Z13),"",IF(ETPT_TPRX!Z13=0,"",ETPT_TPRX!Z13)))</f>
        <v/>
      </c>
      <c r="AA13" s="142" t="str">
        <f>IF(ISBLANK(ETPT_TPRX_DDG!$D$5),"",IF(ISERROR(ETPT_TPRX!AA13),"",IF(ETPT_TPRX!AA13=0,"",ETPT_TPRX!AA13)))</f>
        <v/>
      </c>
      <c r="AB13" s="142" t="str">
        <f>IF(ISBLANK(ETPT_TPRX_DDG!$D$5),"",IF(ISERROR(ETPT_TPRX!AB13),"",IF(ETPT_TPRX!AB13=0,"",ETPT_TPRX!AB13)))</f>
        <v/>
      </c>
      <c r="AC13" s="142" t="str">
        <f>IF(ISBLANK(ETPT_TPRX_DDG!$D$5),"",IF(ISERROR(ETPT_TPRX!AC13),"",IF(ETPT_TPRX!AC13=0,"",ETPT_TPRX!AC13)))</f>
        <v/>
      </c>
      <c r="AD13" s="142" t="str">
        <f>IF(ISBLANK(ETPT_TPRX_DDG!$D$5),"",IF(ISERROR(ETPT_TPRX!AD13),"",IF(ETPT_TPRX!AD13=0,"",ETPT_TPRX!AD13)))</f>
        <v/>
      </c>
      <c r="AE13" s="119">
        <f t="shared" si="3"/>
        <v>0</v>
      </c>
      <c r="AF13" s="142" t="str">
        <f>IF(ISBLANK(ETPT_TPRX_DDG!$D$5),"",IF(ISERROR(ETPT_TPRX!AF13),"",IF(ETPT_TPRX!AF13=0,"",ETPT_TPRX!AF13)))</f>
        <v/>
      </c>
      <c r="AG13" s="142" t="str">
        <f>IF(ISBLANK(ETPT_TPRX_DDG!$D$5),"",IF(ISERROR(ETPT_TPRX!AG13),"",IF(ETPT_TPRX!AG13=0,"",ETPT_TPRX!AG13)))</f>
        <v/>
      </c>
      <c r="AH13" s="142" t="str">
        <f>IF(ISBLANK(ETPT_TPRX_DDG!$D$5),"",IF(ISERROR(ETPT_TPRX!AH13),"",IF(ETPT_TPRX!AH13=0,"",ETPT_TPRX!AH13)))</f>
        <v/>
      </c>
      <c r="AI13" s="119">
        <f t="shared" si="4"/>
        <v>0</v>
      </c>
    </row>
    <row r="14" spans="1:62" x14ac:dyDescent="0.2">
      <c r="A14" s="163" t="s">
        <v>467</v>
      </c>
      <c r="B14" s="135"/>
      <c r="C14" s="135"/>
      <c r="D14" s="135" t="str">
        <f t="shared" si="5"/>
        <v/>
      </c>
      <c r="E14" s="135" t="s">
        <v>261</v>
      </c>
      <c r="F14" s="135" t="s">
        <v>260</v>
      </c>
      <c r="G14" s="142" t="str">
        <f>IF(ISBLANK(ETPT_TPRX_DDG!$D$5),"",IF(ISERROR(ETPT_TPRX!G14),"",IF(ETPT_TPRX!G14=0,"",ETPT_TPRX!G14)))</f>
        <v/>
      </c>
      <c r="H14" s="119">
        <f t="shared" si="0"/>
        <v>0</v>
      </c>
      <c r="I14" s="142" t="str">
        <f>IF(ISBLANK(ETPT_TPRX_DDG!$D$5),"",IF(ISERROR(ETPT_TPRX!I14),"",IF(ETPT_TPRX!I14=0,"",ETPT_TPRX!I14)))</f>
        <v/>
      </c>
      <c r="J14" s="142" t="str">
        <f>IF(ISBLANK(ETPT_TPRX_DDG!$D$5),"",IF(ISERROR(ETPT_TPRX!J14),"",IF(ETPT_TPRX!J14=0,"",ETPT_TPRX!J14)))</f>
        <v/>
      </c>
      <c r="K14" s="142" t="str">
        <f>IF(ISBLANK(ETPT_TPRX_DDG!$D$5),"",IF(ISERROR(ETPT_TPRX!K14),"",IF(ETPT_TPRX!K14=0,"",ETPT_TPRX!K14)))</f>
        <v/>
      </c>
      <c r="L14" s="142" t="str">
        <f>IF(ISBLANK(ETPT_TPRX_DDG!$D$5),"",IF(ISERROR(ETPT_TPRX!L14),"",IF(ETPT_TPRX!L14=0,"",ETPT_TPRX!L14)))</f>
        <v/>
      </c>
      <c r="M14" s="142" t="str">
        <f>IF(ISBLANK(ETPT_TPRX_DDG!$D$5),"",IF(ISERROR(ETPT_TPRX!M14),"",IF(ETPT_TPRX!M14=0,"",ETPT_TPRX!M14)))</f>
        <v/>
      </c>
      <c r="N14" s="142" t="str">
        <f>IF(ISBLANK(ETPT_TPRX_DDG!$D$5),"",IF(ISERROR(ETPT_TPRX!N14),"",IF(ETPT_TPRX!N14=0,"",ETPT_TPRX!N14)))</f>
        <v/>
      </c>
      <c r="O14" s="142" t="str">
        <f>IF(ISBLANK(ETPT_TPRX_DDG!$D$5),"",IF(ISERROR(ETPT_TPRX!O14),"",IF(ETPT_TPRX!O14=0,"",ETPT_TPRX!O14)))</f>
        <v/>
      </c>
      <c r="P14" s="142" t="str">
        <f>IF(ISBLANK(ETPT_TPRX_DDG!$D$5),"",IF(ISERROR(ETPT_TPRX!P14),"",IF(ETPT_TPRX!P14=0,"",ETPT_TPRX!P14)))</f>
        <v/>
      </c>
      <c r="Q14" s="142" t="str">
        <f>IF(ISBLANK(ETPT_TPRX_DDG!$D$5),"",IF(ISERROR(ETPT_TPRX!Q14),"",IF(ETPT_TPRX!Q14=0,"",ETPT_TPRX!Q14)))</f>
        <v/>
      </c>
      <c r="R14" s="142" t="str">
        <f>IF(ISBLANK(ETPT_TPRX_DDG!$D$5),"",IF(ISERROR(ETPT_TPRX!R14),"",IF(ETPT_TPRX!R14=0,"",ETPT_TPRX!R14)))</f>
        <v/>
      </c>
      <c r="S14" s="119">
        <f t="shared" si="1"/>
        <v>0</v>
      </c>
      <c r="T14" s="142" t="str">
        <f>IF(ISBLANK(ETPT_TPRX_DDG!$D$5),"",IF(ISERROR(ETPT_TPRX!T14),"",IF(ETPT_TPRX!T14=0,"",ETPT_TPRX!T14)))</f>
        <v/>
      </c>
      <c r="U14" s="119">
        <f t="shared" si="2"/>
        <v>0</v>
      </c>
      <c r="V14" s="142" t="str">
        <f>IF(ISBLANK(ETPT_TPRX_DDG!$D$5),"",IF(ISERROR(ETPT_TPRX!V14),"",IF(ETPT_TPRX!V14=0,"",ETPT_TPRX!V14)))</f>
        <v/>
      </c>
      <c r="W14" s="142" t="str">
        <f>IF(ISBLANK(ETPT_TPRX_DDG!$D$5),"",IF(ISERROR(ETPT_TPRX!W14),"",IF(ETPT_TPRX!W14=0,"",ETPT_TPRX!W14)))</f>
        <v/>
      </c>
      <c r="X14" s="142" t="str">
        <f>IF(ISBLANK(ETPT_TPRX_DDG!$D$5),"",IF(ISERROR(ETPT_TPRX!X14),"",IF(ETPT_TPRX!X14=0,"",ETPT_TPRX!X14)))</f>
        <v/>
      </c>
      <c r="Y14" s="142" t="str">
        <f>IF(ISBLANK(ETPT_TPRX_DDG!$D$5),"",IF(ISERROR(ETPT_TPRX!Y14),"",IF(ETPT_TPRX!Y14=0,"",ETPT_TPRX!Y14)))</f>
        <v/>
      </c>
      <c r="Z14" s="142" t="str">
        <f>IF(ISBLANK(ETPT_TPRX_DDG!$D$5),"",IF(ISERROR(ETPT_TPRX!Z14),"",IF(ETPT_TPRX!Z14=0,"",ETPT_TPRX!Z14)))</f>
        <v/>
      </c>
      <c r="AA14" s="142" t="str">
        <f>IF(ISBLANK(ETPT_TPRX_DDG!$D$5),"",IF(ISERROR(ETPT_TPRX!AA14),"",IF(ETPT_TPRX!AA14=0,"",ETPT_TPRX!AA14)))</f>
        <v/>
      </c>
      <c r="AB14" s="142" t="str">
        <f>IF(ISBLANK(ETPT_TPRX_DDG!$D$5),"",IF(ISERROR(ETPT_TPRX!AB14),"",IF(ETPT_TPRX!AB14=0,"",ETPT_TPRX!AB14)))</f>
        <v/>
      </c>
      <c r="AC14" s="142" t="str">
        <f>IF(ISBLANK(ETPT_TPRX_DDG!$D$5),"",IF(ISERROR(ETPT_TPRX!AC14),"",IF(ETPT_TPRX!AC14=0,"",ETPT_TPRX!AC14)))</f>
        <v/>
      </c>
      <c r="AD14" s="142" t="str">
        <f>IF(ISBLANK(ETPT_TPRX_DDG!$D$5),"",IF(ISERROR(ETPT_TPRX!AD14),"",IF(ETPT_TPRX!AD14=0,"",ETPT_TPRX!AD14)))</f>
        <v/>
      </c>
      <c r="AE14" s="119">
        <f t="shared" si="3"/>
        <v>0</v>
      </c>
      <c r="AF14" s="142" t="str">
        <f>IF(ISBLANK(ETPT_TPRX_DDG!$D$5),"",IF(ISERROR(ETPT_TPRX!AF14),"",IF(ETPT_TPRX!AF14=0,"",ETPT_TPRX!AF14)))</f>
        <v/>
      </c>
      <c r="AG14" s="142" t="str">
        <f>IF(ISBLANK(ETPT_TPRX_DDG!$D$5),"",IF(ISERROR(ETPT_TPRX!AG14),"",IF(ETPT_TPRX!AG14=0,"",ETPT_TPRX!AG14)))</f>
        <v/>
      </c>
      <c r="AH14" s="142" t="str">
        <f>IF(ISBLANK(ETPT_TPRX_DDG!$D$5),"",IF(ISERROR(ETPT_TPRX!AH14),"",IF(ETPT_TPRX!AH14=0,"",ETPT_TPRX!AH14)))</f>
        <v/>
      </c>
      <c r="AI14" s="119">
        <f t="shared" si="4"/>
        <v>0</v>
      </c>
    </row>
    <row r="15" spans="1:62" x14ac:dyDescent="0.2">
      <c r="A15" s="163" t="s">
        <v>467</v>
      </c>
      <c r="B15" s="135"/>
      <c r="C15" s="135"/>
      <c r="D15" s="135" t="str">
        <f t="shared" si="5"/>
        <v/>
      </c>
      <c r="E15" s="135" t="s">
        <v>256</v>
      </c>
      <c r="F15" s="135" t="s">
        <v>255</v>
      </c>
      <c r="G15" s="142" t="str">
        <f>IF(ISBLANK(ETPT_TPRX_DDG!$D$5),"",IF(ISERROR(ETPT_TPRX!G15),"",IF(ETPT_TPRX!G15=0,"",ETPT_TPRX!G15)))</f>
        <v/>
      </c>
      <c r="H15" s="119">
        <f t="shared" si="0"/>
        <v>0</v>
      </c>
      <c r="I15" s="142" t="str">
        <f>IF(ISBLANK(ETPT_TPRX_DDG!$D$5),"",IF(ISERROR(ETPT_TPRX!I15),"",IF(ETPT_TPRX!I15=0,"",ETPT_TPRX!I15)))</f>
        <v/>
      </c>
      <c r="J15" s="142" t="str">
        <f>IF(ISBLANK(ETPT_TPRX_DDG!$D$5),"",IF(ISERROR(ETPT_TPRX!J15),"",IF(ETPT_TPRX!J15=0,"",ETPT_TPRX!J15)))</f>
        <v/>
      </c>
      <c r="K15" s="142" t="str">
        <f>IF(ISBLANK(ETPT_TPRX_DDG!$D$5),"",IF(ISERROR(ETPT_TPRX!K15),"",IF(ETPT_TPRX!K15=0,"",ETPT_TPRX!K15)))</f>
        <v/>
      </c>
      <c r="L15" s="142" t="str">
        <f>IF(ISBLANK(ETPT_TPRX_DDG!$D$5),"",IF(ISERROR(ETPT_TPRX!L15),"",IF(ETPT_TPRX!L15=0,"",ETPT_TPRX!L15)))</f>
        <v/>
      </c>
      <c r="M15" s="142" t="str">
        <f>IF(ISBLANK(ETPT_TPRX_DDG!$D$5),"",IF(ISERROR(ETPT_TPRX!M15),"",IF(ETPT_TPRX!M15=0,"",ETPT_TPRX!M15)))</f>
        <v/>
      </c>
      <c r="N15" s="142" t="str">
        <f>IF(ISBLANK(ETPT_TPRX_DDG!$D$5),"",IF(ISERROR(ETPT_TPRX!N15),"",IF(ETPT_TPRX!N15=0,"",ETPT_TPRX!N15)))</f>
        <v/>
      </c>
      <c r="O15" s="142" t="str">
        <f>IF(ISBLANK(ETPT_TPRX_DDG!$D$5),"",IF(ISERROR(ETPT_TPRX!O15),"",IF(ETPT_TPRX!O15=0,"",ETPT_TPRX!O15)))</f>
        <v/>
      </c>
      <c r="P15" s="142" t="str">
        <f>IF(ISBLANK(ETPT_TPRX_DDG!$D$5),"",IF(ISERROR(ETPT_TPRX!P15),"",IF(ETPT_TPRX!P15=0,"",ETPT_TPRX!P15)))</f>
        <v/>
      </c>
      <c r="Q15" s="142" t="str">
        <f>IF(ISBLANK(ETPT_TPRX_DDG!$D$5),"",IF(ISERROR(ETPT_TPRX!Q15),"",IF(ETPT_TPRX!Q15=0,"",ETPT_TPRX!Q15)))</f>
        <v/>
      </c>
      <c r="R15" s="142" t="str">
        <f>IF(ISBLANK(ETPT_TPRX_DDG!$D$5),"",IF(ISERROR(ETPT_TPRX!R15),"",IF(ETPT_TPRX!R15=0,"",ETPT_TPRX!R15)))</f>
        <v/>
      </c>
      <c r="S15" s="119">
        <f t="shared" si="1"/>
        <v>0</v>
      </c>
      <c r="T15" s="142" t="str">
        <f>IF(ISBLANK(ETPT_TPRX_DDG!$D$5),"",IF(ISERROR(ETPT_TPRX!T15),"",IF(ETPT_TPRX!T15=0,"",ETPT_TPRX!T15)))</f>
        <v/>
      </c>
      <c r="U15" s="119">
        <f t="shared" si="2"/>
        <v>0</v>
      </c>
      <c r="V15" s="142" t="str">
        <f>IF(ISBLANK(ETPT_TPRX_DDG!$D$5),"",IF(ISERROR(ETPT_TPRX!V15),"",IF(ETPT_TPRX!V15=0,"",ETPT_TPRX!V15)))</f>
        <v/>
      </c>
      <c r="W15" s="142" t="str">
        <f>IF(ISBLANK(ETPT_TPRX_DDG!$D$5),"",IF(ISERROR(ETPT_TPRX!W15),"",IF(ETPT_TPRX!W15=0,"",ETPT_TPRX!W15)))</f>
        <v/>
      </c>
      <c r="X15" s="142" t="str">
        <f>IF(ISBLANK(ETPT_TPRX_DDG!$D$5),"",IF(ISERROR(ETPT_TPRX!X15),"",IF(ETPT_TPRX!X15=0,"",ETPT_TPRX!X15)))</f>
        <v/>
      </c>
      <c r="Y15" s="142" t="str">
        <f>IF(ISBLANK(ETPT_TPRX_DDG!$D$5),"",IF(ISERROR(ETPT_TPRX!Y15),"",IF(ETPT_TPRX!Y15=0,"",ETPT_TPRX!Y15)))</f>
        <v/>
      </c>
      <c r="Z15" s="142" t="str">
        <f>IF(ISBLANK(ETPT_TPRX_DDG!$D$5),"",IF(ISERROR(ETPT_TPRX!Z15),"",IF(ETPT_TPRX!Z15=0,"",ETPT_TPRX!Z15)))</f>
        <v/>
      </c>
      <c r="AA15" s="142" t="str">
        <f>IF(ISBLANK(ETPT_TPRX_DDG!$D$5),"",IF(ISERROR(ETPT_TPRX!AA15),"",IF(ETPT_TPRX!AA15=0,"",ETPT_TPRX!AA15)))</f>
        <v/>
      </c>
      <c r="AB15" s="142" t="str">
        <f>IF(ISBLANK(ETPT_TPRX_DDG!$D$5),"",IF(ISERROR(ETPT_TPRX!AB15),"",IF(ETPT_TPRX!AB15=0,"",ETPT_TPRX!AB15)))</f>
        <v/>
      </c>
      <c r="AC15" s="142" t="str">
        <f>IF(ISBLANK(ETPT_TPRX_DDG!$D$5),"",IF(ISERROR(ETPT_TPRX!AC15),"",IF(ETPT_TPRX!AC15=0,"",ETPT_TPRX!AC15)))</f>
        <v/>
      </c>
      <c r="AD15" s="142" t="str">
        <f>IF(ISBLANK(ETPT_TPRX_DDG!$D$5),"",IF(ISERROR(ETPT_TPRX!AD15),"",IF(ETPT_TPRX!AD15=0,"",ETPT_TPRX!AD15)))</f>
        <v/>
      </c>
      <c r="AE15" s="119">
        <f t="shared" si="3"/>
        <v>0</v>
      </c>
      <c r="AF15" s="142" t="str">
        <f>IF(ISBLANK(ETPT_TPRX_DDG!$D$5),"",IF(ISERROR(ETPT_TPRX!AF15),"",IF(ETPT_TPRX!AF15=0,"",ETPT_TPRX!AF15)))</f>
        <v/>
      </c>
      <c r="AG15" s="142" t="str">
        <f>IF(ISBLANK(ETPT_TPRX_DDG!$D$5),"",IF(ISERROR(ETPT_TPRX!AG15),"",IF(ETPT_TPRX!AG15=0,"",ETPT_TPRX!AG15)))</f>
        <v/>
      </c>
      <c r="AH15" s="142" t="str">
        <f>IF(ISBLANK(ETPT_TPRX_DDG!$D$5),"",IF(ISERROR(ETPT_TPRX!AH15),"",IF(ETPT_TPRX!AH15=0,"",ETPT_TPRX!AH15)))</f>
        <v/>
      </c>
      <c r="AI15" s="119">
        <f t="shared" si="4"/>
        <v>0</v>
      </c>
    </row>
    <row r="16" spans="1:62" x14ac:dyDescent="0.2">
      <c r="A16" s="163"/>
      <c r="B16" s="162"/>
      <c r="C16" s="162"/>
      <c r="D16" s="162"/>
      <c r="E16" s="162"/>
      <c r="F16" s="161" t="s">
        <v>231</v>
      </c>
      <c r="G16" s="119">
        <f t="shared" ref="G16:AI16" si="6">SUM(G5:G15)</f>
        <v>0</v>
      </c>
      <c r="H16" s="119">
        <f t="shared" si="6"/>
        <v>0</v>
      </c>
      <c r="I16" s="119">
        <f t="shared" si="6"/>
        <v>0</v>
      </c>
      <c r="J16" s="119">
        <f t="shared" si="6"/>
        <v>0</v>
      </c>
      <c r="K16" s="119">
        <f t="shared" si="6"/>
        <v>0</v>
      </c>
      <c r="L16" s="119">
        <f t="shared" si="6"/>
        <v>0</v>
      </c>
      <c r="M16" s="119">
        <f t="shared" si="6"/>
        <v>0</v>
      </c>
      <c r="N16" s="119">
        <f t="shared" si="6"/>
        <v>0</v>
      </c>
      <c r="O16" s="119">
        <f t="shared" si="6"/>
        <v>0</v>
      </c>
      <c r="P16" s="119">
        <f t="shared" si="6"/>
        <v>0</v>
      </c>
      <c r="Q16" s="119">
        <f t="shared" si="6"/>
        <v>0</v>
      </c>
      <c r="R16" s="119">
        <f t="shared" si="6"/>
        <v>0</v>
      </c>
      <c r="S16" s="119">
        <f t="shared" si="6"/>
        <v>0</v>
      </c>
      <c r="T16" s="119">
        <f t="shared" si="6"/>
        <v>0</v>
      </c>
      <c r="U16" s="119">
        <f t="shared" si="6"/>
        <v>0</v>
      </c>
      <c r="V16" s="119">
        <f t="shared" si="6"/>
        <v>0</v>
      </c>
      <c r="W16" s="119">
        <f t="shared" si="6"/>
        <v>0</v>
      </c>
      <c r="X16" s="119">
        <f t="shared" si="6"/>
        <v>0</v>
      </c>
      <c r="Y16" s="119">
        <f t="shared" si="6"/>
        <v>0</v>
      </c>
      <c r="Z16" s="119">
        <f t="shared" si="6"/>
        <v>0</v>
      </c>
      <c r="AA16" s="119">
        <f t="shared" si="6"/>
        <v>0</v>
      </c>
      <c r="AB16" s="119">
        <f t="shared" si="6"/>
        <v>0</v>
      </c>
      <c r="AC16" s="119">
        <f t="shared" si="6"/>
        <v>0</v>
      </c>
      <c r="AD16" s="119">
        <f t="shared" si="6"/>
        <v>0</v>
      </c>
      <c r="AE16" s="119">
        <f t="shared" si="6"/>
        <v>0</v>
      </c>
      <c r="AF16" s="119">
        <f t="shared" si="6"/>
        <v>0</v>
      </c>
      <c r="AG16" s="119">
        <f t="shared" si="6"/>
        <v>0</v>
      </c>
      <c r="AH16" s="119">
        <f t="shared" si="6"/>
        <v>0</v>
      </c>
      <c r="AI16" s="119">
        <f t="shared" si="6"/>
        <v>0</v>
      </c>
    </row>
    <row r="17" spans="6:19" x14ac:dyDescent="0.2">
      <c r="S17" s="113"/>
    </row>
    <row r="23" spans="6:19" x14ac:dyDescent="0.2">
      <c r="F23" s="112" t="s">
        <v>466</v>
      </c>
    </row>
  </sheetData>
  <mergeCells count="5">
    <mergeCell ref="AI2:AI4"/>
    <mergeCell ref="H2:H4"/>
    <mergeCell ref="S2:S4"/>
    <mergeCell ref="U2:U4"/>
    <mergeCell ref="AE2:AE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2B6A9-5FC7-3A43-BF37-0B81E3F33F51}">
  <sheetPr codeName="Feuil16">
    <tabColor rgb="FF92D050"/>
  </sheetPr>
  <dimension ref="A1:BJ17"/>
  <sheetViews>
    <sheetView topLeftCell="D1" zoomScaleNormal="100" workbookViewId="0">
      <selection activeCell="D5" sqref="D5"/>
    </sheetView>
  </sheetViews>
  <sheetFormatPr baseColWidth="10" defaultColWidth="11" defaultRowHeight="16" x14ac:dyDescent="0.2"/>
  <cols>
    <col min="1" max="3" width="11" style="110" hidden="1" customWidth="1"/>
    <col min="4" max="4" width="13.5" style="110" bestFit="1" customWidth="1"/>
    <col min="5" max="5" width="11" style="110"/>
    <col min="6" max="6" width="46.33203125" style="110" bestFit="1" customWidth="1"/>
    <col min="7" max="16384" width="11" style="110"/>
  </cols>
  <sheetData>
    <row r="1" spans="1:62" s="4" customFormat="1" ht="80" customHeight="1" x14ac:dyDescent="0.25">
      <c r="A1" s="3" t="s">
        <v>512</v>
      </c>
      <c r="B1" s="5"/>
      <c r="C1" s="5"/>
      <c r="D1" s="3" t="s">
        <v>517</v>
      </c>
      <c r="E1" s="7"/>
      <c r="F1" s="6"/>
      <c r="G1" s="6"/>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row>
    <row r="2" spans="1:62" x14ac:dyDescent="0.2">
      <c r="A2" s="181"/>
      <c r="B2" s="180"/>
      <c r="C2" s="180"/>
      <c r="D2" s="180"/>
      <c r="E2" s="180"/>
      <c r="F2" s="180"/>
      <c r="G2" s="157" t="s">
        <v>462</v>
      </c>
      <c r="H2" s="209" t="s">
        <v>461</v>
      </c>
      <c r="I2" s="157" t="s">
        <v>178</v>
      </c>
      <c r="J2" s="209" t="s">
        <v>460</v>
      </c>
    </row>
    <row r="3" spans="1:62" ht="36" x14ac:dyDescent="0.2">
      <c r="A3" s="181"/>
      <c r="B3" s="180"/>
      <c r="C3" s="180"/>
      <c r="D3" s="180"/>
      <c r="E3" s="180"/>
      <c r="F3" s="180"/>
      <c r="G3" s="157" t="s">
        <v>440</v>
      </c>
      <c r="H3" s="209"/>
      <c r="I3" s="157" t="s">
        <v>437</v>
      </c>
      <c r="J3" s="209"/>
    </row>
    <row r="4" spans="1:62" ht="36" x14ac:dyDescent="0.2">
      <c r="A4" s="179"/>
      <c r="B4" s="178" t="s">
        <v>407</v>
      </c>
      <c r="C4" s="178" t="s">
        <v>406</v>
      </c>
      <c r="D4" s="178" t="s">
        <v>59</v>
      </c>
      <c r="E4" s="178" t="s">
        <v>405</v>
      </c>
      <c r="F4" s="178" t="s">
        <v>404</v>
      </c>
      <c r="G4" s="157" t="s">
        <v>389</v>
      </c>
      <c r="H4" s="209"/>
      <c r="I4" s="157" t="s">
        <v>385</v>
      </c>
      <c r="J4" s="209"/>
    </row>
    <row r="5" spans="1:62" x14ac:dyDescent="0.2">
      <c r="A5" s="173" t="s">
        <v>510</v>
      </c>
      <c r="B5" s="172"/>
      <c r="C5" s="172"/>
      <c r="D5" s="195"/>
      <c r="E5" s="172" t="s">
        <v>354</v>
      </c>
      <c r="F5" s="172" t="s">
        <v>353</v>
      </c>
      <c r="G5" s="129" t="str">
        <f>IF(ISBLANK(ETPT_CPH_DDG!$D$5),"",IF(ISERROR(ETPT_CPH!G5),"",IF(ETPT_CPH!G5=0,"",ETPT_CPH!G5)))</f>
        <v/>
      </c>
      <c r="H5" s="166">
        <f t="shared" ref="H5:H13" si="0">SUM(G5)</f>
        <v>0</v>
      </c>
      <c r="I5" s="129" t="str">
        <f>IF(ISBLANK(ETPT_CPH_DDG!$D$5),"",IF(ISERROR(ETPT_CPH!I5),"",IF(ETPT_CPH!I5=0,"",ETPT_CPH!I5)))</f>
        <v/>
      </c>
      <c r="J5" s="166">
        <f t="shared" ref="J5:J13" si="1">SUM(I5)</f>
        <v>0</v>
      </c>
    </row>
    <row r="6" spans="1:62" x14ac:dyDescent="0.2">
      <c r="A6" s="173" t="s">
        <v>510</v>
      </c>
      <c r="B6" s="172"/>
      <c r="C6" s="172"/>
      <c r="D6" s="135" t="str">
        <f t="shared" ref="D6:D13" si="2">IF(ISBLANK($D$5),"",$D$5)</f>
        <v/>
      </c>
      <c r="E6" s="172" t="s">
        <v>304</v>
      </c>
      <c r="F6" s="172" t="s">
        <v>303</v>
      </c>
      <c r="G6" s="129" t="str">
        <f>IF(ISBLANK(ETPT_CPH_DDG!$D$5),"",IF(ISERROR(ETPT_CPH!G6),"",IF(ETPT_CPH!G6=0,"",ETPT_CPH!G6)))</f>
        <v/>
      </c>
      <c r="H6" s="166">
        <f t="shared" si="0"/>
        <v>0</v>
      </c>
      <c r="I6" s="129" t="str">
        <f>IF(ISBLANK(ETPT_CPH_DDG!$D$5),"",IF(ISERROR(ETPT_CPH!I6),"",IF(ETPT_CPH!I6=0,"",ETPT_CPH!I6)))</f>
        <v/>
      </c>
      <c r="J6" s="166">
        <f t="shared" si="1"/>
        <v>0</v>
      </c>
    </row>
    <row r="7" spans="1:62" x14ac:dyDescent="0.2">
      <c r="A7" s="173" t="s">
        <v>510</v>
      </c>
      <c r="B7" s="172"/>
      <c r="C7" s="172"/>
      <c r="D7" s="135" t="str">
        <f t="shared" si="2"/>
        <v/>
      </c>
      <c r="E7" s="172" t="s">
        <v>301</v>
      </c>
      <c r="F7" s="172" t="s">
        <v>300</v>
      </c>
      <c r="G7" s="129" t="str">
        <f>IF(ISBLANK(ETPT_CPH_DDG!$D$5),"",IF(ISERROR(ETPT_CPH!G7),"",IF(ETPT_CPH!G7=0,"",ETPT_CPH!G7)))</f>
        <v/>
      </c>
      <c r="H7" s="166">
        <f t="shared" si="0"/>
        <v>0</v>
      </c>
      <c r="I7" s="129" t="str">
        <f>IF(ISBLANK(ETPT_CPH_DDG!$D$5),"",IF(ISERROR(ETPT_CPH!I7),"",IF(ETPT_CPH!I7=0,"",ETPT_CPH!I7)))</f>
        <v/>
      </c>
      <c r="J7" s="166">
        <f t="shared" si="1"/>
        <v>0</v>
      </c>
    </row>
    <row r="8" spans="1:62" x14ac:dyDescent="0.2">
      <c r="A8" s="173" t="s">
        <v>510</v>
      </c>
      <c r="B8" s="172"/>
      <c r="C8" s="172"/>
      <c r="D8" s="135" t="str">
        <f t="shared" si="2"/>
        <v/>
      </c>
      <c r="E8" s="172" t="s">
        <v>291</v>
      </c>
      <c r="F8" s="172" t="s">
        <v>290</v>
      </c>
      <c r="G8" s="129" t="str">
        <f>IF(ISBLANK(ETPT_CPH_DDG!$D$5),"",IF(ISERROR(ETPT_CPH!G8),"",IF(ETPT_CPH!G8=0,"",ETPT_CPH!G8)))</f>
        <v/>
      </c>
      <c r="H8" s="166">
        <f t="shared" si="0"/>
        <v>0</v>
      </c>
      <c r="I8" s="129" t="str">
        <f>IF(ISBLANK(ETPT_CPH_DDG!$D$5),"",IF(ISERROR(ETPT_CPH!I8),"",IF(ETPT_CPH!I8=0,"",ETPT_CPH!I8)))</f>
        <v/>
      </c>
      <c r="J8" s="166">
        <f t="shared" si="1"/>
        <v>0</v>
      </c>
    </row>
    <row r="9" spans="1:62" x14ac:dyDescent="0.2">
      <c r="A9" s="173" t="s">
        <v>510</v>
      </c>
      <c r="B9" s="172"/>
      <c r="C9" s="172"/>
      <c r="D9" s="135" t="str">
        <f t="shared" si="2"/>
        <v/>
      </c>
      <c r="E9" s="172" t="s">
        <v>282</v>
      </c>
      <c r="F9" s="172" t="s">
        <v>281</v>
      </c>
      <c r="G9" s="129" t="str">
        <f>IF(ISBLANK(ETPT_CPH_DDG!$D$5),"",IF(ISERROR(ETPT_CPH!G9),"",IF(ETPT_CPH!G9=0,"",ETPT_CPH!G9)))</f>
        <v/>
      </c>
      <c r="H9" s="166">
        <f t="shared" si="0"/>
        <v>0</v>
      </c>
      <c r="I9" s="129" t="str">
        <f>IF(ISBLANK(ETPT_CPH_DDG!$D$5),"",IF(ISERROR(ETPT_CPH!I9),"",IF(ETPT_CPH!I9=0,"",ETPT_CPH!I9)))</f>
        <v/>
      </c>
      <c r="J9" s="166">
        <f t="shared" si="1"/>
        <v>0</v>
      </c>
    </row>
    <row r="10" spans="1:62" x14ac:dyDescent="0.2">
      <c r="A10" s="173" t="s">
        <v>510</v>
      </c>
      <c r="B10" s="172"/>
      <c r="C10" s="172"/>
      <c r="D10" s="135" t="str">
        <f t="shared" si="2"/>
        <v/>
      </c>
      <c r="E10" s="172" t="s">
        <v>273</v>
      </c>
      <c r="F10" s="172" t="s">
        <v>272</v>
      </c>
      <c r="G10" s="129" t="str">
        <f>IF(ISBLANK(ETPT_CPH_DDG!$D$5),"",IF(ISERROR(ETPT_CPH!G10),"",IF(ETPT_CPH!G10=0,"",ETPT_CPH!G10)))</f>
        <v/>
      </c>
      <c r="H10" s="166">
        <f t="shared" si="0"/>
        <v>0</v>
      </c>
      <c r="I10" s="129" t="str">
        <f>IF(ISBLANK(ETPT_CPH_DDG!$D$5),"",IF(ISERROR(ETPT_CPH!I10),"",IF(ETPT_CPH!I10=0,"",ETPT_CPH!I10)))</f>
        <v/>
      </c>
      <c r="J10" s="166">
        <f t="shared" si="1"/>
        <v>0</v>
      </c>
    </row>
    <row r="11" spans="1:62" x14ac:dyDescent="0.2">
      <c r="A11" s="173" t="s">
        <v>510</v>
      </c>
      <c r="B11" s="172"/>
      <c r="C11" s="172"/>
      <c r="D11" s="135" t="str">
        <f t="shared" si="2"/>
        <v/>
      </c>
      <c r="E11" s="172" t="s">
        <v>264</v>
      </c>
      <c r="F11" s="172" t="s">
        <v>263</v>
      </c>
      <c r="G11" s="129" t="str">
        <f>IF(ISBLANK(ETPT_CPH_DDG!$D$5),"",IF(ISERROR(ETPT_CPH!G11),"",IF(ETPT_CPH!G11=0,"",ETPT_CPH!G11)))</f>
        <v/>
      </c>
      <c r="H11" s="166">
        <f t="shared" si="0"/>
        <v>0</v>
      </c>
      <c r="I11" s="129" t="str">
        <f>IF(ISBLANK(ETPT_CPH_DDG!$D$5),"",IF(ISERROR(ETPT_CPH!I11),"",IF(ETPT_CPH!I11=0,"",ETPT_CPH!I11)))</f>
        <v/>
      </c>
      <c r="J11" s="166">
        <f t="shared" si="1"/>
        <v>0</v>
      </c>
    </row>
    <row r="12" spans="1:62" x14ac:dyDescent="0.2">
      <c r="A12" s="173" t="s">
        <v>510</v>
      </c>
      <c r="B12" s="172"/>
      <c r="C12" s="172"/>
      <c r="D12" s="135" t="str">
        <f t="shared" si="2"/>
        <v/>
      </c>
      <c r="E12" s="172" t="s">
        <v>261</v>
      </c>
      <c r="F12" s="172" t="s">
        <v>260</v>
      </c>
      <c r="G12" s="129" t="str">
        <f>IF(ISBLANK(ETPT_CPH_DDG!$D$5),"",IF(ISERROR(ETPT_CPH!G12),"",IF(ETPT_CPH!G12=0,"",ETPT_CPH!G12)))</f>
        <v/>
      </c>
      <c r="H12" s="166">
        <f t="shared" si="0"/>
        <v>0</v>
      </c>
      <c r="I12" s="129" t="str">
        <f>IF(ISBLANK(ETPT_CPH_DDG!$D$5),"",IF(ISERROR(ETPT_CPH!I12),"",IF(ETPT_CPH!I12=0,"",ETPT_CPH!I12)))</f>
        <v/>
      </c>
      <c r="J12" s="166">
        <f t="shared" si="1"/>
        <v>0</v>
      </c>
    </row>
    <row r="13" spans="1:62" x14ac:dyDescent="0.2">
      <c r="A13" s="173" t="s">
        <v>510</v>
      </c>
      <c r="B13" s="172"/>
      <c r="C13" s="172"/>
      <c r="D13" s="135" t="str">
        <f t="shared" si="2"/>
        <v/>
      </c>
      <c r="E13" s="172" t="s">
        <v>256</v>
      </c>
      <c r="F13" s="172" t="s">
        <v>255</v>
      </c>
      <c r="G13" s="129" t="str">
        <f>IF(ISBLANK(ETPT_CPH_DDG!$D$5),"",IF(ISERROR(ETPT_CPH!G13),"",IF(ETPT_CPH!G13=0,"",ETPT_CPH!G13)))</f>
        <v/>
      </c>
      <c r="H13" s="166">
        <f t="shared" si="0"/>
        <v>0</v>
      </c>
      <c r="I13" s="129" t="str">
        <f>IF(ISBLANK(ETPT_CPH_DDG!$D$5),"",IF(ISERROR(ETPT_CPH!I13),"",IF(ETPT_CPH!I13=0,"",ETPT_CPH!I13)))</f>
        <v/>
      </c>
      <c r="J13" s="166">
        <f t="shared" si="1"/>
        <v>0</v>
      </c>
    </row>
    <row r="14" spans="1:62" x14ac:dyDescent="0.2">
      <c r="A14" s="170"/>
      <c r="B14" s="169"/>
      <c r="C14" s="169"/>
      <c r="D14" s="169"/>
      <c r="E14" s="168"/>
      <c r="F14" s="167" t="s">
        <v>231</v>
      </c>
      <c r="G14" s="166">
        <f>SUM(G5:G13)</f>
        <v>0</v>
      </c>
      <c r="H14" s="166">
        <f>SUM(H5:H13)</f>
        <v>0</v>
      </c>
      <c r="I14" s="166">
        <f>SUM(I5:I13)</f>
        <v>0</v>
      </c>
      <c r="J14" s="166">
        <f>SUM(J5:J13)</f>
        <v>0</v>
      </c>
    </row>
    <row r="17" spans="4:4" x14ac:dyDescent="0.2">
      <c r="D17" s="112"/>
    </row>
  </sheetData>
  <mergeCells count="2">
    <mergeCell ref="H2:H4"/>
    <mergeCell ref="J2:J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4A8A-13E9-4EDB-B294-D1FF8F18362C}">
  <sheetPr codeName="Feuil4">
    <tabColor theme="0"/>
  </sheetPr>
  <dimension ref="A1:DN8"/>
  <sheetViews>
    <sheetView zoomScale="110" zoomScaleNormal="110" workbookViewId="0">
      <selection activeCell="A58" sqref="A58"/>
    </sheetView>
  </sheetViews>
  <sheetFormatPr baseColWidth="10" defaultColWidth="8.83203125" defaultRowHeight="15" x14ac:dyDescent="0.2"/>
  <cols>
    <col min="1" max="1" width="26.1640625" customWidth="1"/>
    <col min="2" max="2" width="22.1640625" style="1" customWidth="1"/>
    <col min="3" max="3" width="7.6640625" style="1" customWidth="1"/>
    <col min="4" max="4" width="12" style="2" customWidth="1"/>
    <col min="5" max="5" width="11.83203125" style="2" customWidth="1"/>
    <col min="6" max="6" width="60.1640625" customWidth="1"/>
    <col min="7" max="7" width="5.1640625" customWidth="1"/>
    <col min="8" max="8" width="9.1640625" customWidth="1"/>
  </cols>
  <sheetData>
    <row r="1" spans="1:118" s="4" customFormat="1" ht="80" customHeight="1" x14ac:dyDescent="0.25">
      <c r="A1" s="3" t="s">
        <v>514</v>
      </c>
      <c r="B1" s="5"/>
      <c r="C1" s="5"/>
      <c r="D1" s="7"/>
      <c r="E1" s="7"/>
      <c r="F1" s="6"/>
      <c r="G1" s="6" t="s">
        <v>6</v>
      </c>
      <c r="H1" s="8" t="s">
        <v>0</v>
      </c>
    </row>
    <row r="2" spans="1:118" ht="66" customHeight="1" x14ac:dyDescent="0.2">
      <c r="A2" s="24" t="s">
        <v>2</v>
      </c>
      <c r="B2" s="23" t="s">
        <v>1</v>
      </c>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row>
    <row r="3" spans="1:118" x14ac:dyDescent="0.2">
      <c r="A3" s="27" t="s">
        <v>3</v>
      </c>
      <c r="B3" t="s">
        <v>4</v>
      </c>
      <c r="C3"/>
      <c r="D3"/>
      <c r="E3"/>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row>
    <row r="4" spans="1:118" x14ac:dyDescent="0.2">
      <c r="A4" s="27" t="s">
        <v>3</v>
      </c>
      <c r="B4" t="s">
        <v>5</v>
      </c>
      <c r="C4"/>
      <c r="D4"/>
      <c r="E4"/>
    </row>
    <row r="5" spans="1:118" x14ac:dyDescent="0.2">
      <c r="B5" s="31" t="s">
        <v>15</v>
      </c>
      <c r="C5"/>
      <c r="D5"/>
      <c r="E5"/>
    </row>
    <row r="6" spans="1:118" x14ac:dyDescent="0.2">
      <c r="B6"/>
      <c r="C6"/>
      <c r="D6"/>
    </row>
    <row r="7" spans="1:118" x14ac:dyDescent="0.2">
      <c r="A7" s="1"/>
      <c r="C7" s="2"/>
    </row>
    <row r="8" spans="1:118" x14ac:dyDescent="0.2">
      <c r="C8" s="2"/>
    </row>
  </sheetData>
  <autoFilter ref="A2:DN2" xr:uid="{F3674A8A-13E9-4EDB-B294-D1FF8F18362C}"/>
  <dataConsolidate/>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9445B-6ECC-4440-B85C-E593AE209933}">
  <sheetPr codeName="Feuil13">
    <tabColor theme="0"/>
  </sheetPr>
  <dimension ref="A1:EF4"/>
  <sheetViews>
    <sheetView showFormulas="1" zoomScale="110" zoomScaleNormal="110" workbookViewId="0">
      <selection activeCell="A85" sqref="A85"/>
    </sheetView>
  </sheetViews>
  <sheetFormatPr baseColWidth="10" defaultRowHeight="15" x14ac:dyDescent="0.2"/>
  <cols>
    <col min="1" max="1" width="38.5" customWidth="1"/>
    <col min="2" max="2" width="71.33203125" customWidth="1"/>
    <col min="126" max="126" width="13.5" customWidth="1"/>
    <col min="127" max="127" width="15.83203125" customWidth="1"/>
    <col min="128" max="128" width="36.1640625" customWidth="1"/>
    <col min="129" max="129" width="16.83203125" customWidth="1"/>
    <col min="130" max="130" width="20" customWidth="1"/>
    <col min="131" max="131" width="60.6640625" bestFit="1" customWidth="1"/>
    <col min="135" max="135" width="52" bestFit="1" customWidth="1"/>
    <col min="136" max="136" width="17.1640625" bestFit="1" customWidth="1"/>
    <col min="143" max="143" width="45.1640625" bestFit="1" customWidth="1"/>
    <col min="144" max="144" width="15.1640625" bestFit="1" customWidth="1"/>
  </cols>
  <sheetData>
    <row r="1" spans="1:136" s="4" customFormat="1" ht="80" customHeight="1" x14ac:dyDescent="0.25">
      <c r="A1" s="3" t="s">
        <v>513</v>
      </c>
      <c r="B1" s="5"/>
      <c r="C1" s="5"/>
      <c r="D1" s="7"/>
      <c r="E1" s="7"/>
      <c r="F1" s="6"/>
      <c r="G1" s="6" t="s">
        <v>17</v>
      </c>
      <c r="H1" s="8" t="s">
        <v>0</v>
      </c>
      <c r="EA1" s="212" t="s">
        <v>518</v>
      </c>
      <c r="EB1" s="212"/>
      <c r="EC1" s="212"/>
      <c r="ED1" s="212"/>
      <c r="EE1" s="212"/>
      <c r="EF1" s="212"/>
    </row>
    <row r="2" spans="1:136" ht="66" customHeight="1" x14ac:dyDescent="0.2">
      <c r="A2" s="24" t="s">
        <v>16</v>
      </c>
      <c r="B2" t="s">
        <v>18</v>
      </c>
      <c r="EA2" s="196" t="s">
        <v>61</v>
      </c>
      <c r="EB2" s="196" t="s">
        <v>62</v>
      </c>
      <c r="EC2" s="196" t="s">
        <v>63</v>
      </c>
      <c r="ED2" s="196" t="s">
        <v>64</v>
      </c>
      <c r="EE2" s="196" t="s">
        <v>69</v>
      </c>
      <c r="EF2" s="196" t="s">
        <v>70</v>
      </c>
    </row>
    <row r="3" spans="1:136" x14ac:dyDescent="0.2">
      <c r="A3" s="27" t="s">
        <v>20</v>
      </c>
      <c r="B3" t="s">
        <v>19</v>
      </c>
    </row>
    <row r="4" spans="1:136" x14ac:dyDescent="0.2">
      <c r="B4" s="31" t="s">
        <v>15</v>
      </c>
      <c r="EA4" s="23"/>
    </row>
  </sheetData>
  <autoFilter ref="A2:DT2" xr:uid="{3B89445B-6ECC-4440-B85C-E593AE209933}"/>
  <mergeCells count="1">
    <mergeCell ref="EA1:EF1"/>
  </mergeCells>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3F90-1EC7-764C-B747-7920FCEC73CB}">
  <sheetPr codeName="Feuil18">
    <tabColor theme="2" tint="-9.9978637043366805E-2"/>
  </sheetPr>
  <dimension ref="A1:P7"/>
  <sheetViews>
    <sheetView zoomScale="90" zoomScaleNormal="90" workbookViewId="0">
      <selection activeCell="A2" sqref="A2"/>
    </sheetView>
  </sheetViews>
  <sheetFormatPr baseColWidth="10" defaultRowHeight="15" x14ac:dyDescent="0.2"/>
  <cols>
    <col min="1" max="1" width="21.33203125" customWidth="1"/>
    <col min="2" max="2" width="21.33203125" hidden="1" customWidth="1"/>
    <col min="3" max="3" width="38.33203125" customWidth="1"/>
    <col min="4" max="4" width="34.6640625" customWidth="1"/>
    <col min="5" max="5" width="19" customWidth="1"/>
    <col min="6" max="6" width="17.6640625" customWidth="1"/>
    <col min="7" max="8" width="16.83203125" customWidth="1"/>
    <col min="9" max="9" width="18.33203125" customWidth="1"/>
    <col min="10" max="10" width="20.5" customWidth="1"/>
    <col min="11" max="11" width="16.6640625" customWidth="1"/>
    <col min="15" max="15" width="18.1640625" customWidth="1"/>
  </cols>
  <sheetData>
    <row r="1" spans="1:16" s="4" customFormat="1" ht="80" customHeight="1" x14ac:dyDescent="0.25">
      <c r="A1" s="3" t="s">
        <v>512</v>
      </c>
      <c r="B1" s="5"/>
      <c r="C1" s="5"/>
      <c r="D1" s="7"/>
      <c r="E1" s="7"/>
      <c r="F1" s="6"/>
      <c r="G1" s="6" t="s">
        <v>6</v>
      </c>
      <c r="H1" s="7" t="s">
        <v>0</v>
      </c>
      <c r="I1" s="7"/>
      <c r="J1" s="7"/>
      <c r="K1" s="7"/>
      <c r="L1" s="7"/>
      <c r="M1" s="7"/>
      <c r="N1" s="7"/>
      <c r="O1" s="7"/>
    </row>
    <row r="2" spans="1:16" ht="42" customHeight="1" thickBot="1" x14ac:dyDescent="0.25">
      <c r="A2" s="22" t="s">
        <v>33</v>
      </c>
      <c r="B2" s="15" t="s">
        <v>28</v>
      </c>
      <c r="C2" t="s">
        <v>0</v>
      </c>
    </row>
    <row r="3" spans="1:16" ht="30" customHeight="1" thickTop="1" x14ac:dyDescent="0.2">
      <c r="A3" s="26" t="s">
        <v>21</v>
      </c>
      <c r="B3" s="16" t="e">
        <f>VLOOKUP(A3,'codage tribunal'!A:B,2,FALSE)</f>
        <v>#N/A</v>
      </c>
      <c r="C3" t="s">
        <v>0</v>
      </c>
    </row>
    <row r="4" spans="1:16" ht="40" x14ac:dyDescent="0.2">
      <c r="C4" s="9"/>
      <c r="E4" s="197" t="s">
        <v>53</v>
      </c>
      <c r="F4" s="198"/>
      <c r="G4" s="198"/>
      <c r="H4" s="198"/>
      <c r="I4" s="199"/>
      <c r="J4" s="197" t="s">
        <v>54</v>
      </c>
      <c r="K4" s="198"/>
      <c r="L4" s="198"/>
      <c r="M4" s="198"/>
      <c r="N4" s="199"/>
      <c r="O4" s="32" t="s">
        <v>55</v>
      </c>
      <c r="P4" t="s">
        <v>0</v>
      </c>
    </row>
    <row r="5" spans="1:16" ht="80" x14ac:dyDescent="0.2">
      <c r="A5" s="10"/>
      <c r="C5" s="10"/>
      <c r="D5" s="11"/>
      <c r="E5" s="12" t="s">
        <v>22</v>
      </c>
      <c r="F5" s="13" t="s">
        <v>23</v>
      </c>
      <c r="G5" s="13" t="s">
        <v>24</v>
      </c>
      <c r="H5" s="33" t="s">
        <v>56</v>
      </c>
      <c r="I5" s="34" t="s">
        <v>57</v>
      </c>
      <c r="J5" s="13" t="s">
        <v>25</v>
      </c>
      <c r="K5" s="13" t="s">
        <v>26</v>
      </c>
      <c r="L5" s="13" t="s">
        <v>27</v>
      </c>
      <c r="M5" s="33" t="s">
        <v>56</v>
      </c>
      <c r="N5" s="34" t="s">
        <v>58</v>
      </c>
      <c r="O5" s="35" t="s">
        <v>56</v>
      </c>
      <c r="P5" t="s">
        <v>29</v>
      </c>
    </row>
    <row r="6" spans="1:16" x14ac:dyDescent="0.2">
      <c r="A6" s="14"/>
      <c r="C6" s="18" t="s">
        <v>32</v>
      </c>
      <c r="D6" s="17" t="s">
        <v>31</v>
      </c>
      <c r="E6" s="21" t="e">
        <f>SUMIFS(INDEX('ETPT Format DDG'!$A:$DU,,IFERROR(MATCH(D6,'ETPT Format DDG'!$2:$2,0),MATCH(C6,'ETPT Format DDG'!$2:$2,0))),'ETPT Format DDG'!$I:$I,"M-TIT",'ETPT Format DDG'!$C:$C,$A$3)</f>
        <v>#N/A</v>
      </c>
      <c r="F6" s="19" t="e">
        <f>SUMIFS(INDEX('ETPT Format DDG'!$A:$DU,,IFERROR(MATCH(D6,'ETPT Format DDG'!$2:$2,0),MATCH(C6,'ETPT Format DDG'!$2:$2,0))),'ETPT Format DDG'!$I:$I,"M-PLAC-ADD",'ETPT Format DDG'!$C:$C,$A$3)</f>
        <v>#N/A</v>
      </c>
      <c r="G6" s="19" t="e">
        <f>SUMIFS(INDEX('ETPT Format DDG'!$A:$DU,,IFERROR(MATCH(D6,'ETPT Format DDG'!$2:$2,0),MATCH(C6,'ETPT Format DDG'!$2:$2,0))),'ETPT Format DDG'!$I:$I,"M-PLAC-SUB",'ETPT Format DDG'!$C:$C,$A$3)</f>
        <v>#N/A</v>
      </c>
      <c r="H6" s="19" t="e">
        <f>SUMIFS(
INDEX('ETPT Format DDG'!$A:$DU,
,
IFERROR(MATCH(D6,'ETPT Format DDG'!$2:$2,0),MATCH(C6,'ETPT Format DDG'!$2:$2,0))
),'ETPT Format DDG'!$I:$I,"C",
'ETPT Format DDG'!$C:$C,$A$3,
'ETPT Format DDG'!$G:$G,"Magistrat")</f>
        <v>#N/A</v>
      </c>
      <c r="I6" s="36" t="e">
        <f>SUMIFS(
INDEX('ETPT Format DDG'!$A:$DU,
,
IFERROR(MATCH(D6,'ETPT Format DDG'!$2:$2,0),MATCH(C6,'ETPT Format DDG'!$2:$2,0))
),
'ETPT Format DDG'!$C:$C,$A$3,
'ETPT Format DDG'!$G:$G,"Magistrat")</f>
        <v>#N/A</v>
      </c>
      <c r="J6" s="19" t="e">
        <f>SUMIFS(INDEX('ETPT Format DDG'!$A:$DU,,IFERROR(MATCH(D6,'ETPT Format DDG'!$2:$2,0),MATCH(C6,'ETPT Format DDG'!$2:$2,0))),'ETPT Format DDG'!$I:$I,"F-TIT",'ETPT Format DDG'!$C:$C,$A$3)</f>
        <v>#N/A</v>
      </c>
      <c r="K6" s="19" t="e">
        <f>SUMIFS(INDEX('ETPT Format DDG'!$A:$DU,,IFERROR(MATCH(D6,'ETPT Format DDG'!$2:$2,0),MATCH(C6,'ETPT Format DDG'!$2:$2,0))),'ETPT Format DDG'!$I:$I,"F-PLAC-ADD",'ETPT Format DDG'!$C:$C,$A$3)</f>
        <v>#N/A</v>
      </c>
      <c r="L6" s="19" t="e">
        <f>SUMIFS(INDEX('ETPT Format DDG'!$A:$DU,,IFERROR(MATCH(D6,'ETPT Format DDG'!$2:$2,0),MATCH(C6,'ETPT Format DDG'!$2:$2,0))),'ETPT Format DDG'!$I:$I,"F-PLAC-SUB",'ETPT Format DDG'!$C:$C,$A$3)</f>
        <v>#N/A</v>
      </c>
      <c r="M6" s="20" t="e">
        <f>SUMIFS(INDEX('ETPT Format DDG'!$A:$DU,,IFERROR(MATCH(D6,'ETPT Format DDG'!$2:$2,0),MATCH(C6,'ETPT Format DDG'!$2:$2,0))),'ETPT Format DDG'!$I:$I,"C",'ETPT Format DDG'!$C:$C,$A$3,'ETPT Format DDG'!$G:$G,"Greffe")</f>
        <v>#N/A</v>
      </c>
      <c r="N6" s="36" t="e">
        <f>SUMIFS(
INDEX('ETPT Format DDG'!$A:$DU,
,
IFERROR(MATCH(D6,'ETPT Format DDG'!$2:$2,0),MATCH(C6,'ETPT Format DDG'!$2:$2,0))
),
'ETPT Format DDG'!$C:$C,$A$3,
'ETPT Format DDG'!$G:$G,"Greffe")</f>
        <v>#N/A</v>
      </c>
      <c r="O6" s="20" t="e">
        <f>SUMIFS(
INDEX('ETPT Format DDG'!$A:$DU,
,
IFERROR(MATCH(D6,'ETPT Format DDG'!$2:$2,0),MATCH(C6,'ETPT Format DDG'!$2:$2,0))
),'ETPT Format DDG'!$I:$I,"C",
'ETPT Format DDG'!$C:$C,$A$3,
'ETPT Format DDG'!$G:$G,"Autour du magistrat")</f>
        <v>#N/A</v>
      </c>
      <c r="P6" t="s">
        <v>30</v>
      </c>
    </row>
    <row r="7" spans="1:16" x14ac:dyDescent="0.2">
      <c r="P7" t="s">
        <v>15</v>
      </c>
    </row>
  </sheetData>
  <mergeCells count="2">
    <mergeCell ref="E4:I4"/>
    <mergeCell ref="J4:N4"/>
  </mergeCells>
  <conditionalFormatting sqref="C6:O151">
    <cfRule type="expression" dxfId="0" priority="1">
      <formula>AND(ISBLANK($C6)=FALSE,ISBLANK($D6)=TRUE)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F7A98-8726-2B45-9E0D-08F39416C73F}">
  <sheetPr codeName="Feuil19"/>
  <dimension ref="A1"/>
  <sheetViews>
    <sheetView workbookViewId="0">
      <selection activeCell="G26" sqref="G26"/>
    </sheetView>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B0A74-92BE-614C-B933-4270BECA0D39}">
  <sheetPr codeName="Feuil12"/>
  <dimension ref="A1:I8"/>
  <sheetViews>
    <sheetView workbookViewId="0">
      <selection activeCell="H10" sqref="H10"/>
    </sheetView>
  </sheetViews>
  <sheetFormatPr baseColWidth="10" defaultColWidth="11" defaultRowHeight="13" x14ac:dyDescent="0.15"/>
  <cols>
    <col min="1" max="1" width="8.33203125" style="37" customWidth="1"/>
    <col min="2" max="2" width="25.5" style="38" bestFit="1" customWidth="1"/>
    <col min="3" max="3" width="11" style="37"/>
    <col min="4" max="4" width="11" style="37" customWidth="1"/>
    <col min="5" max="5" width="19" style="38" bestFit="1" customWidth="1"/>
    <col min="6" max="6" width="11" style="37"/>
    <col min="7" max="7" width="12" style="37" customWidth="1"/>
    <col min="8" max="8" width="27.33203125" style="38" bestFit="1" customWidth="1"/>
    <col min="9" max="16384" width="11" style="37"/>
  </cols>
  <sheetData>
    <row r="1" spans="1:9" s="41" customFormat="1" ht="15" x14ac:dyDescent="0.2">
      <c r="A1" s="42" t="s">
        <v>71</v>
      </c>
      <c r="B1"/>
      <c r="D1" s="42" t="s">
        <v>163</v>
      </c>
      <c r="E1"/>
      <c r="G1" s="42" t="s">
        <v>161</v>
      </c>
      <c r="H1"/>
      <c r="I1"/>
    </row>
    <row r="2" spans="1:9" ht="15" x14ac:dyDescent="0.2">
      <c r="B2"/>
      <c r="E2"/>
      <c r="H2"/>
      <c r="I2"/>
    </row>
    <row r="3" spans="1:9" ht="15" x14ac:dyDescent="0.2">
      <c r="B3" s="40"/>
      <c r="E3" s="40"/>
      <c r="H3" s="39"/>
      <c r="I3"/>
    </row>
    <row r="4" spans="1:9" x14ac:dyDescent="0.15">
      <c r="B4" s="40"/>
      <c r="E4" s="40"/>
      <c r="H4" s="39"/>
    </row>
    <row r="5" spans="1:9" x14ac:dyDescent="0.15">
      <c r="B5" s="40"/>
      <c r="E5" s="40"/>
      <c r="H5" s="39"/>
    </row>
    <row r="6" spans="1:9" x14ac:dyDescent="0.15">
      <c r="H6" s="39"/>
    </row>
    <row r="7" spans="1:9" x14ac:dyDescent="0.15">
      <c r="H7" s="39"/>
    </row>
    <row r="8" spans="1:9" x14ac:dyDescent="0.15">
      <c r="H8" s="3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5DB0-40DB-6046-B965-F2F52476B1A1}">
  <sheetPr codeName="Feuil14">
    <pageSetUpPr fitToPage="1"/>
  </sheetPr>
  <dimension ref="A1:G65"/>
  <sheetViews>
    <sheetView topLeftCell="B49" zoomScale="125" zoomScaleNormal="80" workbookViewId="0">
      <selection activeCell="F53" sqref="F53"/>
    </sheetView>
  </sheetViews>
  <sheetFormatPr baseColWidth="10" defaultColWidth="11" defaultRowHeight="15" x14ac:dyDescent="0.2"/>
  <cols>
    <col min="1" max="1" width="17.83203125" style="43" bestFit="1" customWidth="1"/>
    <col min="2" max="2" width="86.1640625" style="43" customWidth="1"/>
    <col min="3" max="3" width="28.5" style="43" customWidth="1"/>
    <col min="4" max="4" width="19" style="43" customWidth="1"/>
    <col min="5" max="5" width="14.5" style="43" customWidth="1"/>
    <col min="6" max="6" width="30.5" style="43" customWidth="1"/>
    <col min="7" max="7" width="62.33203125" style="43" customWidth="1"/>
    <col min="8" max="16384" width="11" style="43"/>
  </cols>
  <sheetData>
    <row r="1" spans="1:6" ht="32" x14ac:dyDescent="0.2">
      <c r="A1" s="63" t="s">
        <v>228</v>
      </c>
      <c r="B1" s="62" t="s">
        <v>60</v>
      </c>
      <c r="C1" s="62" t="s">
        <v>227</v>
      </c>
      <c r="D1" s="62" t="s">
        <v>226</v>
      </c>
      <c r="E1" s="62" t="s">
        <v>225</v>
      </c>
      <c r="F1" s="61" t="s">
        <v>61</v>
      </c>
    </row>
    <row r="2" spans="1:6" ht="16" x14ac:dyDescent="0.2">
      <c r="A2" s="52" t="s">
        <v>197</v>
      </c>
      <c r="B2" s="60" t="s">
        <v>224</v>
      </c>
      <c r="C2" s="60" t="s">
        <v>72</v>
      </c>
      <c r="D2" s="60" t="s">
        <v>193</v>
      </c>
      <c r="E2" s="60" t="s">
        <v>73</v>
      </c>
      <c r="F2" s="43" t="s">
        <v>74</v>
      </c>
    </row>
    <row r="3" spans="1:6" ht="16" x14ac:dyDescent="0.2">
      <c r="A3" s="52" t="s">
        <v>197</v>
      </c>
      <c r="B3" s="60" t="s">
        <v>223</v>
      </c>
      <c r="C3" s="60" t="s">
        <v>75</v>
      </c>
      <c r="D3" s="60" t="s">
        <v>193</v>
      </c>
      <c r="E3" s="60" t="s">
        <v>73</v>
      </c>
      <c r="F3" s="43" t="s">
        <v>74</v>
      </c>
    </row>
    <row r="4" spans="1:6" ht="16" x14ac:dyDescent="0.2">
      <c r="A4" s="52" t="s">
        <v>197</v>
      </c>
      <c r="B4" s="60" t="s">
        <v>222</v>
      </c>
      <c r="C4" s="60" t="s">
        <v>76</v>
      </c>
      <c r="D4" s="60" t="s">
        <v>193</v>
      </c>
      <c r="E4" s="60" t="s">
        <v>73</v>
      </c>
      <c r="F4" s="43" t="s">
        <v>74</v>
      </c>
    </row>
    <row r="5" spans="1:6" ht="16" x14ac:dyDescent="0.2">
      <c r="A5" s="52" t="s">
        <v>197</v>
      </c>
      <c r="B5" s="60" t="s">
        <v>221</v>
      </c>
      <c r="C5" s="60" t="s">
        <v>77</v>
      </c>
      <c r="D5" s="60" t="s">
        <v>193</v>
      </c>
      <c r="E5" s="60" t="s">
        <v>73</v>
      </c>
      <c r="F5" s="43" t="s">
        <v>78</v>
      </c>
    </row>
    <row r="6" spans="1:6" ht="16" x14ac:dyDescent="0.2">
      <c r="A6" s="52" t="s">
        <v>197</v>
      </c>
      <c r="B6" s="60" t="s">
        <v>220</v>
      </c>
      <c r="C6" s="60" t="s">
        <v>79</v>
      </c>
      <c r="D6" s="60" t="s">
        <v>193</v>
      </c>
      <c r="E6" s="60" t="s">
        <v>73</v>
      </c>
      <c r="F6" s="43" t="s">
        <v>78</v>
      </c>
    </row>
    <row r="7" spans="1:6" ht="16" x14ac:dyDescent="0.2">
      <c r="A7" s="52" t="s">
        <v>197</v>
      </c>
      <c r="B7" s="60" t="s">
        <v>219</v>
      </c>
      <c r="C7" s="60" t="s">
        <v>80</v>
      </c>
      <c r="D7" s="60" t="s">
        <v>193</v>
      </c>
      <c r="E7" s="60" t="s">
        <v>73</v>
      </c>
      <c r="F7" s="43" t="s">
        <v>78</v>
      </c>
    </row>
    <row r="8" spans="1:6" ht="16" x14ac:dyDescent="0.2">
      <c r="A8" s="52" t="s">
        <v>197</v>
      </c>
      <c r="B8" s="60" t="s">
        <v>218</v>
      </c>
      <c r="C8" s="60" t="s">
        <v>81</v>
      </c>
      <c r="D8" s="60" t="s">
        <v>193</v>
      </c>
      <c r="E8" s="60" t="s">
        <v>73</v>
      </c>
      <c r="F8" s="43" t="s">
        <v>74</v>
      </c>
    </row>
    <row r="9" spans="1:6" ht="16" x14ac:dyDescent="0.2">
      <c r="A9" s="52" t="s">
        <v>197</v>
      </c>
      <c r="B9" s="60" t="s">
        <v>217</v>
      </c>
      <c r="C9" s="60" t="s">
        <v>82</v>
      </c>
      <c r="D9" s="60" t="s">
        <v>193</v>
      </c>
      <c r="E9" s="60" t="s">
        <v>73</v>
      </c>
      <c r="F9" s="43" t="s">
        <v>78</v>
      </c>
    </row>
    <row r="10" spans="1:6" ht="16" x14ac:dyDescent="0.2">
      <c r="A10" s="52" t="s">
        <v>197</v>
      </c>
      <c r="B10" s="60" t="s">
        <v>216</v>
      </c>
      <c r="C10" s="60" t="s">
        <v>83</v>
      </c>
      <c r="D10" s="60" t="s">
        <v>193</v>
      </c>
      <c r="E10" s="60" t="s">
        <v>73</v>
      </c>
      <c r="F10" s="43" t="s">
        <v>78</v>
      </c>
    </row>
    <row r="11" spans="1:6" ht="16" x14ac:dyDescent="0.2">
      <c r="A11" s="52" t="s">
        <v>197</v>
      </c>
      <c r="B11" s="60" t="s">
        <v>215</v>
      </c>
      <c r="C11" s="60" t="s">
        <v>84</v>
      </c>
      <c r="D11" s="60" t="s">
        <v>193</v>
      </c>
      <c r="E11" s="60" t="s">
        <v>73</v>
      </c>
      <c r="F11" s="43" t="s">
        <v>74</v>
      </c>
    </row>
    <row r="12" spans="1:6" ht="16" x14ac:dyDescent="0.2">
      <c r="A12" s="52" t="s">
        <v>197</v>
      </c>
      <c r="B12" s="60" t="s">
        <v>214</v>
      </c>
      <c r="C12" s="60" t="s">
        <v>85</v>
      </c>
      <c r="D12" s="60" t="s">
        <v>193</v>
      </c>
      <c r="E12" s="60" t="s">
        <v>73</v>
      </c>
      <c r="F12" s="43" t="s">
        <v>78</v>
      </c>
    </row>
    <row r="13" spans="1:6" ht="16" x14ac:dyDescent="0.2">
      <c r="A13" s="52" t="s">
        <v>197</v>
      </c>
      <c r="B13" s="50" t="s">
        <v>213</v>
      </c>
      <c r="C13" s="60" t="s">
        <v>86</v>
      </c>
      <c r="D13" s="60" t="s">
        <v>193</v>
      </c>
      <c r="E13" s="60" t="s">
        <v>73</v>
      </c>
      <c r="F13" s="43" t="s">
        <v>78</v>
      </c>
    </row>
    <row r="14" spans="1:6" ht="16" x14ac:dyDescent="0.2">
      <c r="A14" s="52" t="s">
        <v>197</v>
      </c>
      <c r="B14" s="60" t="s">
        <v>212</v>
      </c>
      <c r="C14" s="60" t="s">
        <v>87</v>
      </c>
      <c r="D14" s="60" t="s">
        <v>193</v>
      </c>
      <c r="E14" s="60" t="s">
        <v>73</v>
      </c>
      <c r="F14" s="43" t="s">
        <v>78</v>
      </c>
    </row>
    <row r="15" spans="1:6" ht="16" x14ac:dyDescent="0.2">
      <c r="A15" s="52" t="s">
        <v>197</v>
      </c>
      <c r="B15" s="60" t="s">
        <v>211</v>
      </c>
      <c r="C15" s="60" t="s">
        <v>88</v>
      </c>
      <c r="D15" s="60" t="s">
        <v>193</v>
      </c>
      <c r="E15" s="60" t="s">
        <v>73</v>
      </c>
      <c r="F15" s="43" t="s">
        <v>78</v>
      </c>
    </row>
    <row r="16" spans="1:6" ht="16" x14ac:dyDescent="0.2">
      <c r="A16" s="52" t="s">
        <v>197</v>
      </c>
      <c r="B16" s="60" t="s">
        <v>210</v>
      </c>
      <c r="C16" s="60" t="s">
        <v>89</v>
      </c>
      <c r="D16" s="60" t="s">
        <v>193</v>
      </c>
      <c r="E16" s="60" t="s">
        <v>73</v>
      </c>
      <c r="F16" s="43" t="s">
        <v>78</v>
      </c>
    </row>
    <row r="17" spans="1:6" ht="16" x14ac:dyDescent="0.2">
      <c r="A17" s="52" t="s">
        <v>197</v>
      </c>
      <c r="B17" s="60" t="s">
        <v>209</v>
      </c>
      <c r="C17" s="60" t="s">
        <v>90</v>
      </c>
      <c r="D17" s="60" t="s">
        <v>193</v>
      </c>
      <c r="E17" s="60" t="s">
        <v>73</v>
      </c>
      <c r="F17" s="43" t="s">
        <v>74</v>
      </c>
    </row>
    <row r="18" spans="1:6" ht="16" x14ac:dyDescent="0.2">
      <c r="A18" s="52" t="s">
        <v>197</v>
      </c>
      <c r="B18" s="60" t="s">
        <v>208</v>
      </c>
      <c r="C18" s="60" t="s">
        <v>91</v>
      </c>
      <c r="D18" s="60" t="s">
        <v>193</v>
      </c>
      <c r="E18" s="60" t="s">
        <v>73</v>
      </c>
      <c r="F18" s="43" t="s">
        <v>78</v>
      </c>
    </row>
    <row r="19" spans="1:6" ht="16" x14ac:dyDescent="0.2">
      <c r="A19" s="52" t="s">
        <v>197</v>
      </c>
      <c r="B19" s="60" t="s">
        <v>207</v>
      </c>
      <c r="C19" s="60" t="s">
        <v>92</v>
      </c>
      <c r="D19" s="60" t="s">
        <v>193</v>
      </c>
      <c r="E19" s="60" t="s">
        <v>73</v>
      </c>
      <c r="F19" s="43" t="s">
        <v>78</v>
      </c>
    </row>
    <row r="20" spans="1:6" ht="16" x14ac:dyDescent="0.2">
      <c r="A20" s="52" t="s">
        <v>197</v>
      </c>
      <c r="B20" s="60" t="s">
        <v>206</v>
      </c>
      <c r="C20" s="60" t="s">
        <v>93</v>
      </c>
      <c r="D20" s="60" t="s">
        <v>193</v>
      </c>
      <c r="E20" s="60" t="s">
        <v>73</v>
      </c>
      <c r="F20" s="43" t="s">
        <v>78</v>
      </c>
    </row>
    <row r="21" spans="1:6" ht="16" x14ac:dyDescent="0.2">
      <c r="A21" s="52" t="s">
        <v>197</v>
      </c>
      <c r="B21" s="60" t="s">
        <v>205</v>
      </c>
      <c r="C21" s="60" t="s">
        <v>94</v>
      </c>
      <c r="D21" s="60" t="s">
        <v>193</v>
      </c>
      <c r="E21" s="60" t="s">
        <v>73</v>
      </c>
      <c r="F21" s="43" t="s">
        <v>78</v>
      </c>
    </row>
    <row r="22" spans="1:6" ht="16" x14ac:dyDescent="0.2">
      <c r="A22" s="52" t="s">
        <v>197</v>
      </c>
      <c r="B22" s="50" t="s">
        <v>204</v>
      </c>
      <c r="C22" s="50" t="s">
        <v>95</v>
      </c>
      <c r="D22" s="50" t="s">
        <v>190</v>
      </c>
      <c r="E22" s="50" t="s">
        <v>96</v>
      </c>
      <c r="F22" s="50" t="s">
        <v>97</v>
      </c>
    </row>
    <row r="23" spans="1:6" ht="16" x14ac:dyDescent="0.2">
      <c r="A23" s="52" t="s">
        <v>197</v>
      </c>
      <c r="B23" s="59" t="s">
        <v>203</v>
      </c>
      <c r="C23" s="59" t="s">
        <v>98</v>
      </c>
      <c r="D23" s="50" t="s">
        <v>190</v>
      </c>
      <c r="E23" s="50" t="s">
        <v>96</v>
      </c>
      <c r="F23" s="50" t="s">
        <v>97</v>
      </c>
    </row>
    <row r="24" spans="1:6" ht="16" x14ac:dyDescent="0.2">
      <c r="A24" s="52" t="s">
        <v>197</v>
      </c>
      <c r="B24" s="50" t="s">
        <v>202</v>
      </c>
      <c r="C24" s="50" t="s">
        <v>99</v>
      </c>
      <c r="D24" s="50" t="s">
        <v>190</v>
      </c>
      <c r="E24" s="50" t="s">
        <v>100</v>
      </c>
      <c r="F24" s="50" t="s">
        <v>101</v>
      </c>
    </row>
    <row r="25" spans="1:6" ht="16" x14ac:dyDescent="0.2">
      <c r="A25" s="52" t="s">
        <v>197</v>
      </c>
      <c r="B25" s="59" t="s">
        <v>201</v>
      </c>
      <c r="C25" s="59" t="s">
        <v>102</v>
      </c>
      <c r="D25" s="50" t="s">
        <v>190</v>
      </c>
      <c r="E25" s="50" t="s">
        <v>100</v>
      </c>
      <c r="F25" s="50" t="s">
        <v>101</v>
      </c>
    </row>
    <row r="26" spans="1:6" ht="16" x14ac:dyDescent="0.2">
      <c r="A26" s="52" t="s">
        <v>197</v>
      </c>
      <c r="B26" s="43" t="s">
        <v>200</v>
      </c>
      <c r="C26" s="43" t="s">
        <v>103</v>
      </c>
      <c r="D26" s="43" t="s">
        <v>165</v>
      </c>
      <c r="E26" s="43" t="s">
        <v>104</v>
      </c>
      <c r="F26" s="43" t="s">
        <v>105</v>
      </c>
    </row>
    <row r="27" spans="1:6" ht="16" x14ac:dyDescent="0.2">
      <c r="A27" s="52" t="s">
        <v>197</v>
      </c>
      <c r="B27" s="43" t="s">
        <v>199</v>
      </c>
      <c r="C27" s="43" t="s">
        <v>106</v>
      </c>
      <c r="D27" s="43" t="s">
        <v>165</v>
      </c>
      <c r="E27" s="43" t="s">
        <v>104</v>
      </c>
      <c r="F27" s="43" t="s">
        <v>105</v>
      </c>
    </row>
    <row r="28" spans="1:6" ht="16" x14ac:dyDescent="0.2">
      <c r="A28" s="52" t="s">
        <v>197</v>
      </c>
      <c r="B28" s="43" t="s">
        <v>198</v>
      </c>
      <c r="C28" s="43" t="s">
        <v>107</v>
      </c>
      <c r="D28" s="43" t="s">
        <v>165</v>
      </c>
      <c r="E28" s="43" t="s">
        <v>104</v>
      </c>
      <c r="F28" s="43" t="s">
        <v>107</v>
      </c>
    </row>
    <row r="29" spans="1:6" ht="16" x14ac:dyDescent="0.2">
      <c r="A29" s="57" t="s">
        <v>197</v>
      </c>
      <c r="B29" s="56" t="s">
        <v>196</v>
      </c>
      <c r="C29" s="56" t="s">
        <v>108</v>
      </c>
      <c r="D29" s="43" t="s">
        <v>165</v>
      </c>
      <c r="E29" s="56" t="s">
        <v>104</v>
      </c>
      <c r="F29" s="56" t="s">
        <v>109</v>
      </c>
    </row>
    <row r="30" spans="1:6" ht="16" x14ac:dyDescent="0.2">
      <c r="A30" s="58" t="s">
        <v>182</v>
      </c>
      <c r="B30" s="53" t="s">
        <v>110</v>
      </c>
      <c r="C30" s="53" t="s">
        <v>110</v>
      </c>
      <c r="D30" s="53" t="s">
        <v>193</v>
      </c>
      <c r="E30" s="43" t="s">
        <v>111</v>
      </c>
      <c r="F30" s="48" t="s">
        <v>112</v>
      </c>
    </row>
    <row r="31" spans="1:6" ht="16" x14ac:dyDescent="0.2">
      <c r="A31" s="52" t="s">
        <v>182</v>
      </c>
      <c r="B31" s="43" t="s">
        <v>195</v>
      </c>
      <c r="C31" s="43" t="s">
        <v>113</v>
      </c>
      <c r="D31" s="43" t="s">
        <v>193</v>
      </c>
      <c r="E31" s="43" t="s">
        <v>111</v>
      </c>
      <c r="F31" s="48" t="s">
        <v>112</v>
      </c>
    </row>
    <row r="32" spans="1:6" ht="16" x14ac:dyDescent="0.2">
      <c r="A32" s="51" t="s">
        <v>182</v>
      </c>
      <c r="B32" s="43" t="s">
        <v>194</v>
      </c>
      <c r="C32" s="43" t="s">
        <v>114</v>
      </c>
      <c r="D32" s="43" t="s">
        <v>193</v>
      </c>
      <c r="E32" s="43" t="s">
        <v>111</v>
      </c>
      <c r="F32" s="48" t="s">
        <v>112</v>
      </c>
    </row>
    <row r="33" spans="1:6" ht="16" x14ac:dyDescent="0.2">
      <c r="A33" s="51" t="s">
        <v>182</v>
      </c>
      <c r="B33" s="43" t="s">
        <v>115</v>
      </c>
      <c r="C33" s="43" t="s">
        <v>115</v>
      </c>
      <c r="D33" s="43" t="s">
        <v>193</v>
      </c>
      <c r="E33" s="43" t="s">
        <v>111</v>
      </c>
      <c r="F33" s="48" t="s">
        <v>112</v>
      </c>
    </row>
    <row r="34" spans="1:6" ht="16" x14ac:dyDescent="0.2">
      <c r="A34" s="51" t="s">
        <v>182</v>
      </c>
      <c r="B34" s="43" t="s">
        <v>116</v>
      </c>
      <c r="C34" s="43" t="s">
        <v>116</v>
      </c>
      <c r="D34" s="43" t="s">
        <v>193</v>
      </c>
      <c r="E34" s="43" t="s">
        <v>111</v>
      </c>
      <c r="F34" s="48" t="s">
        <v>112</v>
      </c>
    </row>
    <row r="35" spans="1:6" ht="16" x14ac:dyDescent="0.2">
      <c r="A35" s="51" t="s">
        <v>182</v>
      </c>
      <c r="B35" s="43" t="s">
        <v>117</v>
      </c>
      <c r="C35" s="43" t="s">
        <v>117</v>
      </c>
      <c r="D35" s="43" t="s">
        <v>193</v>
      </c>
      <c r="E35" s="43" t="s">
        <v>111</v>
      </c>
      <c r="F35" s="43" t="s">
        <v>118</v>
      </c>
    </row>
    <row r="36" spans="1:6" ht="16" x14ac:dyDescent="0.2">
      <c r="A36" s="51" t="s">
        <v>182</v>
      </c>
      <c r="B36" s="50" t="s">
        <v>119</v>
      </c>
      <c r="C36" s="50" t="s">
        <v>119</v>
      </c>
      <c r="D36" s="43" t="s">
        <v>190</v>
      </c>
      <c r="E36" s="43" t="s">
        <v>120</v>
      </c>
      <c r="F36" s="43" t="s">
        <v>121</v>
      </c>
    </row>
    <row r="37" spans="1:6" ht="16" x14ac:dyDescent="0.2">
      <c r="A37" s="51" t="s">
        <v>182</v>
      </c>
      <c r="B37" s="50" t="s">
        <v>192</v>
      </c>
      <c r="C37" s="50" t="s">
        <v>122</v>
      </c>
      <c r="D37" s="43" t="s">
        <v>190</v>
      </c>
      <c r="E37" s="43" t="s">
        <v>120</v>
      </c>
      <c r="F37" s="43" t="s">
        <v>121</v>
      </c>
    </row>
    <row r="38" spans="1:6" ht="16" x14ac:dyDescent="0.2">
      <c r="A38" s="51" t="s">
        <v>182</v>
      </c>
      <c r="B38" s="50" t="s">
        <v>123</v>
      </c>
      <c r="C38" s="50" t="s">
        <v>123</v>
      </c>
      <c r="D38" s="43" t="s">
        <v>190</v>
      </c>
      <c r="E38" s="43" t="s">
        <v>120</v>
      </c>
      <c r="F38" s="43" t="s">
        <v>121</v>
      </c>
    </row>
    <row r="39" spans="1:6" ht="16" x14ac:dyDescent="0.2">
      <c r="A39" s="51" t="s">
        <v>182</v>
      </c>
      <c r="B39" s="50" t="s">
        <v>124</v>
      </c>
      <c r="C39" s="50" t="s">
        <v>124</v>
      </c>
      <c r="D39" s="43" t="s">
        <v>190</v>
      </c>
      <c r="E39" s="43" t="s">
        <v>120</v>
      </c>
      <c r="F39" s="43" t="s">
        <v>121</v>
      </c>
    </row>
    <row r="40" spans="1:6" ht="16" x14ac:dyDescent="0.2">
      <c r="A40" s="51" t="s">
        <v>182</v>
      </c>
      <c r="B40" s="50" t="s">
        <v>125</v>
      </c>
      <c r="C40" s="50" t="s">
        <v>125</v>
      </c>
      <c r="D40" s="43" t="s">
        <v>190</v>
      </c>
      <c r="E40" s="43" t="s">
        <v>120</v>
      </c>
      <c r="F40" s="43" t="s">
        <v>126</v>
      </c>
    </row>
    <row r="41" spans="1:6" ht="15.75" customHeight="1" x14ac:dyDescent="0.2">
      <c r="A41" s="51" t="s">
        <v>182</v>
      </c>
      <c r="B41" s="50" t="s">
        <v>127</v>
      </c>
      <c r="C41" s="50" t="s">
        <v>127</v>
      </c>
      <c r="D41" s="50" t="s">
        <v>190</v>
      </c>
      <c r="E41" s="50" t="s">
        <v>128</v>
      </c>
      <c r="F41" s="50" t="s">
        <v>129</v>
      </c>
    </row>
    <row r="42" spans="1:6" ht="15.75" customHeight="1" x14ac:dyDescent="0.2">
      <c r="A42" s="51" t="s">
        <v>182</v>
      </c>
      <c r="B42" s="50" t="s">
        <v>191</v>
      </c>
      <c r="C42" s="50" t="s">
        <v>130</v>
      </c>
      <c r="D42" s="50" t="s">
        <v>190</v>
      </c>
      <c r="E42" s="50" t="s">
        <v>128</v>
      </c>
      <c r="F42" s="50" t="s">
        <v>129</v>
      </c>
    </row>
    <row r="43" spans="1:6" ht="15.75" customHeight="1" x14ac:dyDescent="0.2">
      <c r="A43" s="51" t="s">
        <v>182</v>
      </c>
      <c r="B43" s="50" t="s">
        <v>131</v>
      </c>
      <c r="C43" s="50" t="s">
        <v>131</v>
      </c>
      <c r="D43" s="50" t="s">
        <v>190</v>
      </c>
      <c r="E43" s="50" t="s">
        <v>128</v>
      </c>
      <c r="F43" s="50" t="s">
        <v>129</v>
      </c>
    </row>
    <row r="44" spans="1:6" ht="15.75" customHeight="1" x14ac:dyDescent="0.2">
      <c r="A44" s="51" t="s">
        <v>182</v>
      </c>
      <c r="B44" s="50" t="s">
        <v>132</v>
      </c>
      <c r="C44" s="50" t="s">
        <v>132</v>
      </c>
      <c r="D44" s="50" t="s">
        <v>190</v>
      </c>
      <c r="E44" s="50" t="s">
        <v>128</v>
      </c>
      <c r="F44" s="50" t="s">
        <v>129</v>
      </c>
    </row>
    <row r="45" spans="1:6" ht="15.75" customHeight="1" x14ac:dyDescent="0.2">
      <c r="A45" s="51" t="s">
        <v>182</v>
      </c>
      <c r="B45" s="50" t="s">
        <v>133</v>
      </c>
      <c r="C45" s="50" t="s">
        <v>133</v>
      </c>
      <c r="D45" s="50" t="s">
        <v>190</v>
      </c>
      <c r="E45" s="50" t="s">
        <v>128</v>
      </c>
      <c r="F45" s="50" t="s">
        <v>134</v>
      </c>
    </row>
    <row r="46" spans="1:6" ht="16" x14ac:dyDescent="0.2">
      <c r="A46" s="51" t="s">
        <v>182</v>
      </c>
      <c r="B46" s="50" t="s">
        <v>189</v>
      </c>
      <c r="C46" s="50" t="s">
        <v>135</v>
      </c>
      <c r="D46" s="50" t="s">
        <v>165</v>
      </c>
      <c r="E46" s="50" t="s">
        <v>136</v>
      </c>
      <c r="F46" s="43" t="s">
        <v>137</v>
      </c>
    </row>
    <row r="47" spans="1:6" ht="16" x14ac:dyDescent="0.2">
      <c r="A47" s="51" t="s">
        <v>182</v>
      </c>
      <c r="B47" s="50" t="s">
        <v>188</v>
      </c>
      <c r="C47" s="50" t="s">
        <v>138</v>
      </c>
      <c r="D47" s="50" t="s">
        <v>165</v>
      </c>
      <c r="E47" s="50" t="s">
        <v>136</v>
      </c>
      <c r="F47" s="48" t="s">
        <v>112</v>
      </c>
    </row>
    <row r="48" spans="1:6" ht="16" x14ac:dyDescent="0.2">
      <c r="A48" s="51" t="s">
        <v>182</v>
      </c>
      <c r="B48" s="50" t="s">
        <v>187</v>
      </c>
      <c r="C48" s="50" t="s">
        <v>139</v>
      </c>
      <c r="D48" s="50" t="s">
        <v>165</v>
      </c>
      <c r="E48" s="50" t="s">
        <v>136</v>
      </c>
      <c r="F48" s="48" t="s">
        <v>112</v>
      </c>
    </row>
    <row r="49" spans="1:7" ht="16" x14ac:dyDescent="0.2">
      <c r="A49" s="51" t="s">
        <v>182</v>
      </c>
      <c r="B49" s="50" t="s">
        <v>186</v>
      </c>
      <c r="C49" s="50" t="s">
        <v>140</v>
      </c>
      <c r="D49" s="50" t="s">
        <v>165</v>
      </c>
      <c r="E49" s="50" t="s">
        <v>136</v>
      </c>
      <c r="F49" s="48" t="s">
        <v>112</v>
      </c>
    </row>
    <row r="50" spans="1:7" ht="16" x14ac:dyDescent="0.2">
      <c r="A50" s="51" t="s">
        <v>182</v>
      </c>
      <c r="B50" s="50" t="s">
        <v>185</v>
      </c>
      <c r="C50" s="50" t="s">
        <v>141</v>
      </c>
      <c r="D50" s="50" t="s">
        <v>165</v>
      </c>
      <c r="E50" s="50" t="s">
        <v>136</v>
      </c>
      <c r="F50" s="48" t="s">
        <v>112</v>
      </c>
    </row>
    <row r="51" spans="1:7" ht="16" x14ac:dyDescent="0.2">
      <c r="A51" s="51" t="s">
        <v>182</v>
      </c>
      <c r="B51" s="50" t="s">
        <v>184</v>
      </c>
      <c r="C51" s="50" t="s">
        <v>142</v>
      </c>
      <c r="D51" s="50" t="s">
        <v>165</v>
      </c>
      <c r="E51" s="50" t="s">
        <v>136</v>
      </c>
      <c r="F51" s="48" t="s">
        <v>112</v>
      </c>
    </row>
    <row r="52" spans="1:7" ht="16" x14ac:dyDescent="0.2">
      <c r="A52" s="52" t="s">
        <v>182</v>
      </c>
      <c r="B52" s="43" t="s">
        <v>183</v>
      </c>
      <c r="C52" s="43" t="s">
        <v>143</v>
      </c>
      <c r="D52" s="50" t="s">
        <v>165</v>
      </c>
      <c r="E52" s="50" t="s">
        <v>136</v>
      </c>
      <c r="F52" s="43" t="s">
        <v>144</v>
      </c>
    </row>
    <row r="53" spans="1:7" ht="16" x14ac:dyDescent="0.2">
      <c r="A53" s="52" t="s">
        <v>182</v>
      </c>
      <c r="B53" s="43" t="s">
        <v>171</v>
      </c>
      <c r="C53" s="43" t="s">
        <v>145</v>
      </c>
      <c r="D53" s="50" t="s">
        <v>165</v>
      </c>
      <c r="E53" s="50" t="s">
        <v>136</v>
      </c>
      <c r="F53" s="44" t="s">
        <v>146</v>
      </c>
    </row>
    <row r="54" spans="1:7" ht="16" x14ac:dyDescent="0.2">
      <c r="A54" s="52" t="s">
        <v>182</v>
      </c>
      <c r="B54" s="43" t="s">
        <v>170</v>
      </c>
      <c r="C54" s="43" t="s">
        <v>147</v>
      </c>
      <c r="D54" s="50" t="s">
        <v>165</v>
      </c>
      <c r="E54" s="50" t="s">
        <v>136</v>
      </c>
      <c r="F54" s="48" t="s">
        <v>112</v>
      </c>
    </row>
    <row r="55" spans="1:7" ht="16" x14ac:dyDescent="0.2">
      <c r="A55" s="57" t="s">
        <v>182</v>
      </c>
      <c r="B55" s="56" t="s">
        <v>167</v>
      </c>
      <c r="C55" s="56" t="s">
        <v>148</v>
      </c>
      <c r="D55" s="56" t="s">
        <v>165</v>
      </c>
      <c r="E55" s="55" t="s">
        <v>136</v>
      </c>
      <c r="F55" s="45" t="s">
        <v>112</v>
      </c>
    </row>
    <row r="56" spans="1:7" ht="15.75" customHeight="1" x14ac:dyDescent="0.2">
      <c r="A56" s="54" t="s">
        <v>168</v>
      </c>
      <c r="B56" s="53" t="s">
        <v>181</v>
      </c>
      <c r="C56" s="53" t="s">
        <v>149</v>
      </c>
      <c r="D56" s="53" t="s">
        <v>165</v>
      </c>
      <c r="E56" s="43" t="s">
        <v>136</v>
      </c>
      <c r="G56" s="44" t="s">
        <v>172</v>
      </c>
    </row>
    <row r="57" spans="1:7" ht="15.75" customHeight="1" x14ac:dyDescent="0.2">
      <c r="A57" s="52" t="s">
        <v>168</v>
      </c>
      <c r="B57" s="43" t="s">
        <v>180</v>
      </c>
      <c r="C57" s="43" t="s">
        <v>150</v>
      </c>
      <c r="D57" s="43" t="s">
        <v>165</v>
      </c>
      <c r="E57" s="43" t="s">
        <v>136</v>
      </c>
      <c r="F57" s="43" t="s">
        <v>151</v>
      </c>
    </row>
    <row r="58" spans="1:7" s="44" customFormat="1" ht="15.75" customHeight="1" x14ac:dyDescent="0.2">
      <c r="A58" s="49" t="s">
        <v>168</v>
      </c>
      <c r="B58" s="44" t="s">
        <v>179</v>
      </c>
      <c r="D58" s="44" t="s">
        <v>165</v>
      </c>
      <c r="E58" s="44" t="s">
        <v>136</v>
      </c>
      <c r="F58" s="44" t="s">
        <v>178</v>
      </c>
    </row>
    <row r="59" spans="1:7" ht="15.75" customHeight="1" x14ac:dyDescent="0.2">
      <c r="A59" s="51" t="s">
        <v>168</v>
      </c>
      <c r="B59" s="50" t="s">
        <v>177</v>
      </c>
      <c r="C59" s="50" t="s">
        <v>152</v>
      </c>
      <c r="D59" s="50" t="s">
        <v>165</v>
      </c>
      <c r="E59" s="50" t="s">
        <v>136</v>
      </c>
      <c r="F59" s="50" t="s">
        <v>153</v>
      </c>
      <c r="G59" s="44" t="s">
        <v>174</v>
      </c>
    </row>
    <row r="60" spans="1:7" ht="15.75" customHeight="1" x14ac:dyDescent="0.2">
      <c r="A60" s="51" t="s">
        <v>168</v>
      </c>
      <c r="B60" s="50" t="s">
        <v>176</v>
      </c>
      <c r="C60" s="50" t="s">
        <v>154</v>
      </c>
      <c r="D60" s="50" t="s">
        <v>165</v>
      </c>
      <c r="E60" s="50" t="s">
        <v>136</v>
      </c>
      <c r="F60" s="50" t="s">
        <v>155</v>
      </c>
      <c r="G60" s="44" t="s">
        <v>174</v>
      </c>
    </row>
    <row r="61" spans="1:7" ht="15.75" customHeight="1" x14ac:dyDescent="0.2">
      <c r="A61" s="51" t="s">
        <v>168</v>
      </c>
      <c r="B61" s="50" t="s">
        <v>175</v>
      </c>
      <c r="C61" s="50" t="s">
        <v>156</v>
      </c>
      <c r="D61" s="50" t="s">
        <v>165</v>
      </c>
      <c r="E61" s="50" t="s">
        <v>136</v>
      </c>
      <c r="F61" s="50" t="s">
        <v>157</v>
      </c>
      <c r="G61" s="44" t="s">
        <v>174</v>
      </c>
    </row>
    <row r="62" spans="1:7" ht="15.75" customHeight="1" x14ac:dyDescent="0.2">
      <c r="A62" s="51" t="s">
        <v>168</v>
      </c>
      <c r="B62" s="50" t="s">
        <v>173</v>
      </c>
      <c r="C62" s="50" t="s">
        <v>158</v>
      </c>
      <c r="D62" s="50" t="s">
        <v>165</v>
      </c>
      <c r="E62" s="50" t="s">
        <v>136</v>
      </c>
      <c r="G62" s="44" t="s">
        <v>172</v>
      </c>
    </row>
    <row r="63" spans="1:7" ht="15.75" customHeight="1" x14ac:dyDescent="0.2">
      <c r="A63" s="51" t="s">
        <v>168</v>
      </c>
      <c r="B63" s="50" t="s">
        <v>171</v>
      </c>
      <c r="C63" s="50" t="s">
        <v>159</v>
      </c>
      <c r="D63" s="50" t="s">
        <v>165</v>
      </c>
      <c r="E63" s="50" t="s">
        <v>136</v>
      </c>
      <c r="F63" s="50" t="s">
        <v>160</v>
      </c>
    </row>
    <row r="64" spans="1:7" ht="15.75" customHeight="1" x14ac:dyDescent="0.2">
      <c r="A64" s="49" t="s">
        <v>168</v>
      </c>
      <c r="B64" s="44" t="s">
        <v>170</v>
      </c>
      <c r="C64" s="44" t="s">
        <v>169</v>
      </c>
      <c r="D64" s="44" t="s">
        <v>165</v>
      </c>
      <c r="E64" s="44" t="s">
        <v>136</v>
      </c>
      <c r="F64" s="48"/>
      <c r="G64" s="44" t="s">
        <v>164</v>
      </c>
    </row>
    <row r="65" spans="1:7" ht="15.75" customHeight="1" x14ac:dyDescent="0.2">
      <c r="A65" s="47" t="s">
        <v>168</v>
      </c>
      <c r="B65" s="46" t="s">
        <v>167</v>
      </c>
      <c r="C65" s="46" t="s">
        <v>166</v>
      </c>
      <c r="D65" s="46" t="s">
        <v>165</v>
      </c>
      <c r="E65" s="46" t="s">
        <v>136</v>
      </c>
      <c r="F65" s="45"/>
      <c r="G65" s="44" t="s">
        <v>164</v>
      </c>
    </row>
  </sheetData>
  <autoFilter ref="A1:F65" xr:uid="{00000000-0001-0000-0300-000000000000}"/>
  <pageMargins left="0.70866141732283472" right="0.70866141732283472" top="0.74803149606299213" bottom="0.74803149606299213" header="0.31496062992125984" footer="0.31496062992125984"/>
  <pageSetup paperSize="8" scale="7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4C4C8-D3B2-3F44-A4A5-E418681F372C}">
  <sheetPr codeName="Feuil7">
    <pageSetUpPr fitToPage="1"/>
  </sheetPr>
  <dimension ref="A1:BJ18"/>
  <sheetViews>
    <sheetView zoomScaleNormal="100" workbookViewId="0">
      <pane xSplit="6" ySplit="1" topLeftCell="G2" activePane="bottomRight" state="frozen"/>
      <selection pane="topRight" activeCell="G1" sqref="G1"/>
      <selection pane="bottomLeft" activeCell="A2" sqref="A2"/>
      <selection pane="bottomRight" activeCell="G14" sqref="G14"/>
    </sheetView>
  </sheetViews>
  <sheetFormatPr baseColWidth="10" defaultRowHeight="16" x14ac:dyDescent="0.2"/>
  <cols>
    <col min="1" max="1" width="6" style="65" bestFit="1" customWidth="1"/>
    <col min="2" max="2" width="17.1640625" style="64" hidden="1" customWidth="1"/>
    <col min="3" max="3" width="6.33203125" style="64" hidden="1" customWidth="1"/>
    <col min="4" max="4" width="18.5" style="65" bestFit="1" customWidth="1"/>
    <col min="5" max="5" width="6.5" style="65" customWidth="1"/>
    <col min="6" max="6" width="19.5" style="65" customWidth="1"/>
    <col min="7" max="7" width="23" style="64" customWidth="1"/>
    <col min="8" max="8" width="9.33203125" style="64" customWidth="1"/>
    <col min="9" max="9" width="11.33203125" style="64" customWidth="1"/>
    <col min="10" max="10" width="9" style="64" customWidth="1"/>
    <col min="11" max="29" width="9.33203125" style="64" customWidth="1"/>
    <col min="30" max="30" width="11.6640625" style="64" customWidth="1"/>
    <col min="31" max="38" width="9.33203125" style="64" customWidth="1"/>
    <col min="39" max="39" width="7.83203125" style="64" customWidth="1"/>
    <col min="40" max="40" width="8.6640625" style="64" customWidth="1"/>
    <col min="41" max="43" width="9.33203125" style="64" customWidth="1"/>
    <col min="44" max="44" width="10.83203125" style="64" customWidth="1"/>
    <col min="45" max="50" width="9.33203125" style="64" customWidth="1"/>
    <col min="51" max="51" width="11.1640625" style="64" customWidth="1"/>
    <col min="52" max="62" width="9.33203125" style="64" customWidth="1"/>
    <col min="63" max="63" width="4" style="64" customWidth="1"/>
    <col min="64" max="16384" width="10.83203125" style="64"/>
  </cols>
  <sheetData>
    <row r="1" spans="1:62" s="66" customFormat="1" ht="12" x14ac:dyDescent="0.15">
      <c r="A1" s="109"/>
      <c r="B1" s="208" t="s">
        <v>465</v>
      </c>
      <c r="C1" s="208"/>
      <c r="D1" s="208"/>
      <c r="E1" s="208"/>
      <c r="F1" s="208"/>
      <c r="G1" s="208"/>
      <c r="H1" s="208"/>
      <c r="I1" s="208"/>
      <c r="AC1" s="108"/>
      <c r="AD1" s="108"/>
      <c r="AE1" s="108"/>
      <c r="AF1" s="108"/>
      <c r="AG1" s="108"/>
      <c r="AH1" s="108"/>
      <c r="AI1" s="108"/>
      <c r="AJ1" s="108"/>
      <c r="AK1" s="108"/>
    </row>
    <row r="2" spans="1:62" s="66" customFormat="1" ht="12" x14ac:dyDescent="0.15">
      <c r="A2" s="107"/>
      <c r="B2" s="107"/>
      <c r="C2" s="107"/>
      <c r="D2" s="107"/>
      <c r="E2" s="107"/>
      <c r="F2" s="107"/>
      <c r="G2" s="104" t="s">
        <v>464</v>
      </c>
      <c r="H2" s="207" t="s">
        <v>463</v>
      </c>
      <c r="I2" s="103" t="s">
        <v>462</v>
      </c>
      <c r="J2" s="103" t="s">
        <v>462</v>
      </c>
      <c r="K2" s="103" t="s">
        <v>462</v>
      </c>
      <c r="L2" s="103" t="s">
        <v>462</v>
      </c>
      <c r="M2" s="103" t="s">
        <v>462</v>
      </c>
      <c r="N2" s="103" t="s">
        <v>462</v>
      </c>
      <c r="O2" s="103" t="s">
        <v>462</v>
      </c>
      <c r="P2" s="103" t="s">
        <v>462</v>
      </c>
      <c r="Q2" s="103" t="s">
        <v>462</v>
      </c>
      <c r="R2" s="103" t="s">
        <v>462</v>
      </c>
      <c r="S2" s="103" t="s">
        <v>462</v>
      </c>
      <c r="T2" s="103" t="s">
        <v>462</v>
      </c>
      <c r="U2" s="103" t="s">
        <v>462</v>
      </c>
      <c r="V2" s="103" t="s">
        <v>462</v>
      </c>
      <c r="W2" s="207" t="s">
        <v>461</v>
      </c>
      <c r="X2" s="104" t="s">
        <v>178</v>
      </c>
      <c r="Y2" s="104" t="s">
        <v>178</v>
      </c>
      <c r="Z2" s="104" t="s">
        <v>178</v>
      </c>
      <c r="AA2" s="104" t="s">
        <v>178</v>
      </c>
      <c r="AB2" s="207" t="s">
        <v>460</v>
      </c>
      <c r="AC2" s="100" t="s">
        <v>459</v>
      </c>
      <c r="AD2" s="100" t="s">
        <v>459</v>
      </c>
      <c r="AE2" s="100" t="s">
        <v>459</v>
      </c>
      <c r="AF2" s="100" t="s">
        <v>459</v>
      </c>
      <c r="AG2" s="100" t="s">
        <v>459</v>
      </c>
      <c r="AH2" s="100" t="s">
        <v>459</v>
      </c>
      <c r="AI2" s="100" t="s">
        <v>459</v>
      </c>
      <c r="AJ2" s="100" t="s">
        <v>459</v>
      </c>
      <c r="AK2" s="100" t="s">
        <v>459</v>
      </c>
      <c r="AL2" s="207" t="s">
        <v>458</v>
      </c>
      <c r="AM2" s="100" t="s">
        <v>457</v>
      </c>
      <c r="AN2" s="100" t="s">
        <v>457</v>
      </c>
      <c r="AO2" s="100" t="s">
        <v>457</v>
      </c>
      <c r="AP2" s="100" t="s">
        <v>457</v>
      </c>
      <c r="AQ2" s="100" t="s">
        <v>457</v>
      </c>
      <c r="AR2" s="100" t="s">
        <v>457</v>
      </c>
      <c r="AS2" s="100" t="s">
        <v>457</v>
      </c>
      <c r="AT2" s="100" t="s">
        <v>457</v>
      </c>
      <c r="AU2" s="100" t="s">
        <v>457</v>
      </c>
      <c r="AV2" s="100" t="s">
        <v>457</v>
      </c>
      <c r="AW2" s="100" t="s">
        <v>457</v>
      </c>
      <c r="AX2" s="100" t="s">
        <v>457</v>
      </c>
      <c r="AY2" s="100" t="s">
        <v>457</v>
      </c>
      <c r="AZ2" s="207" t="s">
        <v>456</v>
      </c>
      <c r="BA2" s="99" t="s">
        <v>455</v>
      </c>
      <c r="BB2" s="99" t="s">
        <v>455</v>
      </c>
      <c r="BC2" s="99" t="s">
        <v>455</v>
      </c>
      <c r="BD2" s="99" t="s">
        <v>455</v>
      </c>
      <c r="BE2" s="99" t="s">
        <v>455</v>
      </c>
      <c r="BF2" s="99" t="s">
        <v>455</v>
      </c>
      <c r="BG2" s="99" t="s">
        <v>455</v>
      </c>
      <c r="BH2" s="99" t="s">
        <v>455</v>
      </c>
      <c r="BI2" s="99" t="s">
        <v>455</v>
      </c>
      <c r="BJ2" s="207" t="s">
        <v>454</v>
      </c>
    </row>
    <row r="3" spans="1:62" s="66" customFormat="1" ht="36" x14ac:dyDescent="0.15">
      <c r="A3" s="107"/>
      <c r="B3" s="107"/>
      <c r="C3" s="107"/>
      <c r="D3" s="107"/>
      <c r="E3" s="107"/>
      <c r="F3" s="107"/>
      <c r="G3" s="104" t="s">
        <v>453</v>
      </c>
      <c r="H3" s="207"/>
      <c r="I3" s="103" t="s">
        <v>452</v>
      </c>
      <c r="J3" s="103" t="s">
        <v>451</v>
      </c>
      <c r="K3" s="103" t="s">
        <v>450</v>
      </c>
      <c r="L3" s="103" t="s">
        <v>449</v>
      </c>
      <c r="M3" s="103" t="s">
        <v>448</v>
      </c>
      <c r="N3" s="103" t="s">
        <v>447</v>
      </c>
      <c r="O3" s="103" t="s">
        <v>446</v>
      </c>
      <c r="P3" s="103" t="s">
        <v>445</v>
      </c>
      <c r="Q3" s="103" t="s">
        <v>444</v>
      </c>
      <c r="R3" s="103"/>
      <c r="S3" s="103" t="s">
        <v>443</v>
      </c>
      <c r="T3" s="103" t="s">
        <v>442</v>
      </c>
      <c r="U3" s="103" t="s">
        <v>441</v>
      </c>
      <c r="V3" s="103" t="s">
        <v>440</v>
      </c>
      <c r="W3" s="207"/>
      <c r="X3" s="98"/>
      <c r="Y3" s="104" t="s">
        <v>439</v>
      </c>
      <c r="Z3" s="104" t="s">
        <v>438</v>
      </c>
      <c r="AA3" s="104" t="s">
        <v>437</v>
      </c>
      <c r="AB3" s="207"/>
      <c r="AC3" s="100" t="s">
        <v>436</v>
      </c>
      <c r="AD3" s="100" t="s">
        <v>435</v>
      </c>
      <c r="AE3" s="100" t="s">
        <v>434</v>
      </c>
      <c r="AF3" s="100" t="s">
        <v>433</v>
      </c>
      <c r="AG3" s="100" t="s">
        <v>432</v>
      </c>
      <c r="AH3" s="100" t="s">
        <v>431</v>
      </c>
      <c r="AI3" s="100" t="s">
        <v>94</v>
      </c>
      <c r="AJ3" s="100" t="s">
        <v>92</v>
      </c>
      <c r="AK3" s="100" t="s">
        <v>430</v>
      </c>
      <c r="AL3" s="207"/>
      <c r="AM3" s="100" t="s">
        <v>429</v>
      </c>
      <c r="AN3" s="100" t="s">
        <v>428</v>
      </c>
      <c r="AO3" s="100" t="s">
        <v>427</v>
      </c>
      <c r="AP3" s="100" t="s">
        <v>426</v>
      </c>
      <c r="AQ3" s="100" t="s">
        <v>425</v>
      </c>
      <c r="AR3" s="100" t="s">
        <v>424</v>
      </c>
      <c r="AS3" s="100" t="s">
        <v>423</v>
      </c>
      <c r="AT3" s="100" t="s">
        <v>422</v>
      </c>
      <c r="AU3" s="100" t="s">
        <v>421</v>
      </c>
      <c r="AV3" s="100" t="s">
        <v>420</v>
      </c>
      <c r="AW3" s="100" t="s">
        <v>419</v>
      </c>
      <c r="AX3" s="100" t="s">
        <v>418</v>
      </c>
      <c r="AY3" s="100" t="s">
        <v>417</v>
      </c>
      <c r="AZ3" s="207"/>
      <c r="BA3" s="99" t="s">
        <v>416</v>
      </c>
      <c r="BB3" s="99" t="s">
        <v>415</v>
      </c>
      <c r="BC3" s="99" t="s">
        <v>414</v>
      </c>
      <c r="BD3" s="99" t="s">
        <v>413</v>
      </c>
      <c r="BE3" s="99" t="s">
        <v>412</v>
      </c>
      <c r="BF3" s="99" t="s">
        <v>411</v>
      </c>
      <c r="BG3" s="99" t="s">
        <v>410</v>
      </c>
      <c r="BH3" s="99" t="s">
        <v>409</v>
      </c>
      <c r="BI3" s="99" t="s">
        <v>408</v>
      </c>
      <c r="BJ3" s="207"/>
    </row>
    <row r="4" spans="1:62" s="66" customFormat="1" ht="60" x14ac:dyDescent="0.15">
      <c r="A4" s="106"/>
      <c r="B4" s="105" t="s">
        <v>407</v>
      </c>
      <c r="C4" s="105" t="s">
        <v>406</v>
      </c>
      <c r="D4" s="105" t="s">
        <v>59</v>
      </c>
      <c r="E4" s="105" t="s">
        <v>405</v>
      </c>
      <c r="F4" s="105" t="s">
        <v>404</v>
      </c>
      <c r="G4" s="104" t="s">
        <v>403</v>
      </c>
      <c r="H4" s="207"/>
      <c r="I4" s="103" t="s">
        <v>402</v>
      </c>
      <c r="J4" s="102" t="s">
        <v>401</v>
      </c>
      <c r="K4" s="103" t="s">
        <v>400</v>
      </c>
      <c r="L4" s="103" t="s">
        <v>399</v>
      </c>
      <c r="M4" s="103" t="s">
        <v>398</v>
      </c>
      <c r="N4" s="103" t="s">
        <v>397</v>
      </c>
      <c r="O4" s="103" t="s">
        <v>396</v>
      </c>
      <c r="P4" s="103" t="s">
        <v>395</v>
      </c>
      <c r="Q4" s="103" t="s">
        <v>394</v>
      </c>
      <c r="R4" s="102" t="s">
        <v>393</v>
      </c>
      <c r="S4" s="103" t="s">
        <v>392</v>
      </c>
      <c r="T4" s="103" t="s">
        <v>391</v>
      </c>
      <c r="U4" s="103" t="s">
        <v>390</v>
      </c>
      <c r="V4" s="102" t="s">
        <v>389</v>
      </c>
      <c r="W4" s="207"/>
      <c r="X4" s="101" t="s">
        <v>388</v>
      </c>
      <c r="Y4" s="101" t="s">
        <v>387</v>
      </c>
      <c r="Z4" s="101" t="s">
        <v>386</v>
      </c>
      <c r="AA4" s="101" t="s">
        <v>385</v>
      </c>
      <c r="AB4" s="207"/>
      <c r="AC4" s="100" t="s">
        <v>384</v>
      </c>
      <c r="AD4" s="100" t="s">
        <v>383</v>
      </c>
      <c r="AE4" s="100" t="s">
        <v>382</v>
      </c>
      <c r="AF4" s="100" t="s">
        <v>381</v>
      </c>
      <c r="AG4" s="100" t="s">
        <v>380</v>
      </c>
      <c r="AH4" s="100" t="s">
        <v>379</v>
      </c>
      <c r="AI4" s="100" t="s">
        <v>94</v>
      </c>
      <c r="AJ4" s="100" t="s">
        <v>378</v>
      </c>
      <c r="AK4" s="100" t="s">
        <v>377</v>
      </c>
      <c r="AL4" s="207"/>
      <c r="AM4" s="100" t="s">
        <v>376</v>
      </c>
      <c r="AN4" s="100" t="s">
        <v>375</v>
      </c>
      <c r="AO4" s="100" t="s">
        <v>374</v>
      </c>
      <c r="AP4" s="100" t="s">
        <v>373</v>
      </c>
      <c r="AQ4" s="100" t="s">
        <v>372</v>
      </c>
      <c r="AR4" s="100" t="s">
        <v>371</v>
      </c>
      <c r="AS4" s="100" t="s">
        <v>370</v>
      </c>
      <c r="AT4" s="100" t="s">
        <v>369</v>
      </c>
      <c r="AU4" s="100" t="s">
        <v>368</v>
      </c>
      <c r="AV4" s="100" t="s">
        <v>367</v>
      </c>
      <c r="AW4" s="100" t="s">
        <v>366</v>
      </c>
      <c r="AX4" s="100" t="s">
        <v>365</v>
      </c>
      <c r="AY4" s="100" t="s">
        <v>364</v>
      </c>
      <c r="AZ4" s="207"/>
      <c r="BA4" s="99" t="s">
        <v>363</v>
      </c>
      <c r="BB4" s="99" t="s">
        <v>362</v>
      </c>
      <c r="BC4" s="99" t="s">
        <v>361</v>
      </c>
      <c r="BD4" s="99" t="s">
        <v>360</v>
      </c>
      <c r="BE4" s="99" t="s">
        <v>359</v>
      </c>
      <c r="BF4" s="99" t="s">
        <v>358</v>
      </c>
      <c r="BG4" s="99" t="s">
        <v>357</v>
      </c>
      <c r="BH4" s="99" t="s">
        <v>356</v>
      </c>
      <c r="BI4" s="99" t="s">
        <v>355</v>
      </c>
      <c r="BJ4" s="207"/>
    </row>
    <row r="5" spans="1:62" s="66" customFormat="1" ht="144" x14ac:dyDescent="0.15">
      <c r="A5" s="74" t="s">
        <v>259</v>
      </c>
      <c r="B5" s="80" t="s">
        <v>258</v>
      </c>
      <c r="C5" s="80" t="s">
        <v>257</v>
      </c>
      <c r="D5" s="79" t="s">
        <v>162</v>
      </c>
      <c r="E5" s="79" t="s">
        <v>354</v>
      </c>
      <c r="F5" s="79" t="s">
        <v>353</v>
      </c>
      <c r="G5" s="76" t="s">
        <v>229</v>
      </c>
      <c r="H5" s="69">
        <f>SUMIF($G$2:G$2,G$2,$G5:G5)</f>
        <v>0</v>
      </c>
      <c r="I5" s="76" t="s">
        <v>68</v>
      </c>
      <c r="J5" s="96"/>
      <c r="K5" s="95"/>
      <c r="L5" s="95"/>
      <c r="M5" s="95"/>
      <c r="N5" s="95"/>
      <c r="O5" s="95"/>
      <c r="P5" s="76" t="s">
        <v>250</v>
      </c>
      <c r="Q5" s="76" t="s">
        <v>253</v>
      </c>
      <c r="R5" s="76" t="s">
        <v>352</v>
      </c>
      <c r="S5" s="76" t="s">
        <v>234</v>
      </c>
      <c r="T5" s="76" t="s">
        <v>235</v>
      </c>
      <c r="U5" s="76" t="s">
        <v>65</v>
      </c>
      <c r="V5" s="76" t="s">
        <v>351</v>
      </c>
      <c r="W5" s="69">
        <f>SUMIF($G$2:V$2,V$2,$G5:V5)</f>
        <v>0</v>
      </c>
      <c r="X5" s="76" t="s">
        <v>62</v>
      </c>
      <c r="Y5" s="76" t="s">
        <v>62</v>
      </c>
      <c r="Z5" s="76" t="s">
        <v>62</v>
      </c>
      <c r="AA5" s="76" t="s">
        <v>62</v>
      </c>
      <c r="AB5" s="67">
        <f>SUMIF($G$2:AA$2,AA$2,$G5:AA5)</f>
        <v>0</v>
      </c>
      <c r="AC5" s="76" t="s">
        <v>350</v>
      </c>
      <c r="AD5" s="76" t="s">
        <v>349</v>
      </c>
      <c r="AE5" s="94"/>
      <c r="AF5" s="94"/>
      <c r="AG5" s="94"/>
      <c r="AH5" s="94"/>
      <c r="AI5" s="97"/>
      <c r="AJ5" s="76" t="s">
        <v>348</v>
      </c>
      <c r="AK5" s="76" t="s">
        <v>347</v>
      </c>
      <c r="AL5" s="67">
        <f>SUMIF($G$2:AK$2,AK$2,$G5:AK5)</f>
        <v>0</v>
      </c>
      <c r="AM5" s="94"/>
      <c r="AN5" s="94"/>
      <c r="AO5" s="94"/>
      <c r="AP5" s="94"/>
      <c r="AQ5" s="94"/>
      <c r="AR5" s="94"/>
      <c r="AS5" s="76" t="s">
        <v>346</v>
      </c>
      <c r="AT5" s="76" t="s">
        <v>345</v>
      </c>
      <c r="AU5" s="76" t="s">
        <v>344</v>
      </c>
      <c r="AV5" s="76" t="s">
        <v>343</v>
      </c>
      <c r="AW5" s="76" t="s">
        <v>342</v>
      </c>
      <c r="AX5" s="76" t="s">
        <v>341</v>
      </c>
      <c r="AY5" s="76" t="s">
        <v>340</v>
      </c>
      <c r="AZ5" s="67">
        <f>SUMIF($G$2:AY$2,AU$2,$G5:AY5)</f>
        <v>0</v>
      </c>
      <c r="BA5" s="75"/>
      <c r="BB5" s="75"/>
      <c r="BC5" s="93"/>
      <c r="BD5" s="93"/>
      <c r="BE5" s="93"/>
      <c r="BF5" s="93"/>
      <c r="BG5" s="93"/>
      <c r="BH5" s="93"/>
      <c r="BI5" s="75"/>
      <c r="BJ5" s="67">
        <f>SUMIF($G$2:BI$2,BI$2,$G5:BI5)</f>
        <v>0</v>
      </c>
    </row>
    <row r="6" spans="1:62" s="66" customFormat="1" ht="144" x14ac:dyDescent="0.15">
      <c r="A6" s="74" t="s">
        <v>259</v>
      </c>
      <c r="B6" s="80" t="s">
        <v>258</v>
      </c>
      <c r="C6" s="80" t="s">
        <v>257</v>
      </c>
      <c r="D6" s="79" t="s">
        <v>162</v>
      </c>
      <c r="E6" s="79" t="s">
        <v>339</v>
      </c>
      <c r="F6" s="79" t="s">
        <v>338</v>
      </c>
      <c r="G6" s="76" t="s">
        <v>337</v>
      </c>
      <c r="H6" s="69">
        <f>SUMIF($G$2:G$2,G$2,$G6:G6)</f>
        <v>0</v>
      </c>
      <c r="I6" s="96"/>
      <c r="J6" s="76" t="s">
        <v>336</v>
      </c>
      <c r="K6" s="76" t="s">
        <v>335</v>
      </c>
      <c r="L6" s="76" t="s">
        <v>334</v>
      </c>
      <c r="M6" s="76" t="s">
        <v>333</v>
      </c>
      <c r="N6" s="76" t="s">
        <v>332</v>
      </c>
      <c r="O6" s="76" t="s">
        <v>331</v>
      </c>
      <c r="P6" s="95"/>
      <c r="Q6" s="95"/>
      <c r="R6" s="76" t="s">
        <v>330</v>
      </c>
      <c r="S6" s="95"/>
      <c r="T6" s="95"/>
      <c r="U6" s="95"/>
      <c r="V6" s="76" t="s">
        <v>329</v>
      </c>
      <c r="W6" s="69">
        <f>SUMIF($G$2:V$2,V$2,$G6:V6)</f>
        <v>0</v>
      </c>
      <c r="X6" s="76" t="s">
        <v>328</v>
      </c>
      <c r="Y6" s="76" t="s">
        <v>328</v>
      </c>
      <c r="Z6" s="76" t="s">
        <v>328</v>
      </c>
      <c r="AA6" s="76" t="s">
        <v>328</v>
      </c>
      <c r="AB6" s="67">
        <f>SUMIF($G$2:AA$2,AA$2,$G6:AA6)</f>
        <v>0</v>
      </c>
      <c r="AC6" s="94"/>
      <c r="AD6" s="94"/>
      <c r="AE6" s="76" t="s">
        <v>327</v>
      </c>
      <c r="AF6" s="76" t="s">
        <v>326</v>
      </c>
      <c r="AG6" s="76" t="s">
        <v>325</v>
      </c>
      <c r="AH6" s="76" t="s">
        <v>324</v>
      </c>
      <c r="AI6" s="76" t="s">
        <v>323</v>
      </c>
      <c r="AJ6" s="76" t="s">
        <v>322</v>
      </c>
      <c r="AK6" s="76" t="s">
        <v>321</v>
      </c>
      <c r="AL6" s="67">
        <f>SUMIF($G$2:AK$2,AK$2,$G6:AK6)</f>
        <v>0</v>
      </c>
      <c r="AM6" s="76" t="s">
        <v>320</v>
      </c>
      <c r="AN6" s="76" t="s">
        <v>319</v>
      </c>
      <c r="AO6" s="76" t="s">
        <v>318</v>
      </c>
      <c r="AP6" s="76" t="s">
        <v>317</v>
      </c>
      <c r="AQ6" s="76" t="s">
        <v>316</v>
      </c>
      <c r="AR6" s="76" t="s">
        <v>315</v>
      </c>
      <c r="AS6" s="94"/>
      <c r="AT6" s="94"/>
      <c r="AU6" s="94"/>
      <c r="AV6" s="94"/>
      <c r="AW6" s="94"/>
      <c r="AX6" s="76" t="s">
        <v>314</v>
      </c>
      <c r="AY6" s="76" t="s">
        <v>313</v>
      </c>
      <c r="AZ6" s="67">
        <f>SUMIF($G$2:AY$2,AU$2,$G6:AY6)</f>
        <v>0</v>
      </c>
      <c r="BA6" s="75"/>
      <c r="BB6" s="93"/>
      <c r="BC6" s="93"/>
      <c r="BD6" s="93"/>
      <c r="BE6" s="93"/>
      <c r="BF6" s="93"/>
      <c r="BG6" s="93"/>
      <c r="BH6" s="93"/>
      <c r="BI6" s="75"/>
      <c r="BJ6" s="67">
        <f>SUMIF($G$2:BI$2,BI$2,$G6:BI6)</f>
        <v>0</v>
      </c>
    </row>
    <row r="7" spans="1:62" s="66" customFormat="1" ht="48" x14ac:dyDescent="0.15">
      <c r="A7" s="74" t="s">
        <v>259</v>
      </c>
      <c r="B7" s="80" t="s">
        <v>258</v>
      </c>
      <c r="C7" s="80" t="s">
        <v>257</v>
      </c>
      <c r="D7" s="79" t="s">
        <v>162</v>
      </c>
      <c r="E7" s="79" t="s">
        <v>312</v>
      </c>
      <c r="F7" s="79" t="s">
        <v>311</v>
      </c>
      <c r="G7" s="88"/>
      <c r="H7" s="69">
        <f>SUMIF($G$2:G$2,G$2,$G7:G7)</f>
        <v>0</v>
      </c>
      <c r="I7" s="83"/>
      <c r="J7" s="83"/>
      <c r="K7" s="83"/>
      <c r="L7" s="83"/>
      <c r="M7" s="83"/>
      <c r="N7" s="83"/>
      <c r="O7" s="83"/>
      <c r="P7" s="83"/>
      <c r="Q7" s="83"/>
      <c r="R7" s="83"/>
      <c r="S7" s="83"/>
      <c r="T7" s="83"/>
      <c r="U7" s="83"/>
      <c r="V7" s="88"/>
      <c r="W7" s="69">
        <f>SUMIF($G$2:V$2,V$2,$G7:V7)</f>
        <v>0</v>
      </c>
      <c r="X7" s="92"/>
      <c r="Y7" s="92"/>
      <c r="Z7" s="92"/>
      <c r="AA7" s="92"/>
      <c r="AB7" s="67">
        <f>SUMIF($G$2:AA$2,AA$2,$G7:AA7)</f>
        <v>0</v>
      </c>
      <c r="AC7" s="77"/>
      <c r="AD7" s="76" t="s">
        <v>310</v>
      </c>
      <c r="AE7" s="76" t="s">
        <v>309</v>
      </c>
      <c r="AF7" s="77"/>
      <c r="AG7" s="77"/>
      <c r="AH7" s="77"/>
      <c r="AI7" s="76" t="s">
        <v>308</v>
      </c>
      <c r="AJ7" s="76" t="s">
        <v>307</v>
      </c>
      <c r="AK7" s="76" t="s">
        <v>306</v>
      </c>
      <c r="AL7" s="67">
        <f>SUMIF($G$2:AK$2,AK$2,$G7:AK7)</f>
        <v>0</v>
      </c>
      <c r="AM7" s="77"/>
      <c r="AN7" s="77"/>
      <c r="AO7" s="77"/>
      <c r="AP7" s="77"/>
      <c r="AQ7" s="77"/>
      <c r="AR7" s="77"/>
      <c r="AS7" s="77"/>
      <c r="AT7" s="77"/>
      <c r="AU7" s="77"/>
      <c r="AV7" s="77"/>
      <c r="AW7" s="77"/>
      <c r="AX7" s="77"/>
      <c r="AY7" s="76" t="s">
        <v>305</v>
      </c>
      <c r="AZ7" s="67">
        <f>SUMIF($G$2:AY$2,AU$2,$G7:AY7)</f>
        <v>0</v>
      </c>
      <c r="BA7" s="75"/>
      <c r="BB7" s="75"/>
      <c r="BC7" s="75"/>
      <c r="BD7" s="75"/>
      <c r="BE7" s="75"/>
      <c r="BF7" s="75"/>
      <c r="BG7" s="75"/>
      <c r="BH7" s="75"/>
      <c r="BI7" s="91"/>
      <c r="BJ7" s="67">
        <f>SUMIF($G$2:BI$2,BI$2,$G7:BI7)</f>
        <v>0</v>
      </c>
    </row>
    <row r="8" spans="1:62" s="66" customFormat="1" ht="24" x14ac:dyDescent="0.15">
      <c r="A8" s="74" t="s">
        <v>259</v>
      </c>
      <c r="B8" s="80" t="s">
        <v>258</v>
      </c>
      <c r="C8" s="80" t="s">
        <v>257</v>
      </c>
      <c r="D8" s="79" t="s">
        <v>162</v>
      </c>
      <c r="E8" s="79" t="s">
        <v>304</v>
      </c>
      <c r="F8" s="79" t="s">
        <v>303</v>
      </c>
      <c r="G8" s="90" t="s">
        <v>302</v>
      </c>
      <c r="H8" s="69">
        <f>SUMIF($G$2:G$2,G$2,$G8:G8)</f>
        <v>0</v>
      </c>
      <c r="I8" s="83"/>
      <c r="J8" s="83"/>
      <c r="K8" s="83"/>
      <c r="L8" s="83"/>
      <c r="M8" s="83"/>
      <c r="N8" s="83"/>
      <c r="O8" s="83"/>
      <c r="P8" s="83"/>
      <c r="Q8" s="83"/>
      <c r="R8" s="83"/>
      <c r="S8" s="83"/>
      <c r="T8" s="83"/>
      <c r="U8" s="83"/>
      <c r="V8" s="90" t="s">
        <v>302</v>
      </c>
      <c r="W8" s="69">
        <f>SUMIF($G$2:V$2,V$2,$G8:V8)</f>
        <v>0</v>
      </c>
      <c r="X8" s="90" t="s">
        <v>302</v>
      </c>
      <c r="Y8" s="90" t="s">
        <v>302</v>
      </c>
      <c r="Z8" s="90" t="s">
        <v>302</v>
      </c>
      <c r="AA8" s="90" t="s">
        <v>302</v>
      </c>
      <c r="AB8" s="67">
        <f>SUMIF($G$2:AA$2,AA$2,$G8:AA8)</f>
        <v>0</v>
      </c>
      <c r="AC8" s="89"/>
      <c r="AD8" s="89"/>
      <c r="AE8" s="89"/>
      <c r="AF8" s="89"/>
      <c r="AG8" s="89"/>
      <c r="AH8" s="89"/>
      <c r="AI8" s="89"/>
      <c r="AJ8" s="89"/>
      <c r="AK8" s="89"/>
      <c r="AL8" s="67">
        <f>SUMIF($G$2:AK$2,AK$2,$G8:AK8)</f>
        <v>0</v>
      </c>
      <c r="AM8" s="77"/>
      <c r="AN8" s="77"/>
      <c r="AO8" s="77"/>
      <c r="AP8" s="77"/>
      <c r="AQ8" s="77"/>
      <c r="AR8" s="77"/>
      <c r="AS8" s="77"/>
      <c r="AT8" s="77"/>
      <c r="AU8" s="77"/>
      <c r="AV8" s="77"/>
      <c r="AW8" s="77"/>
      <c r="AX8" s="77"/>
      <c r="AY8" s="88"/>
      <c r="AZ8" s="67">
        <f>SUMIF($G$2:AY$2,AU$2,$G8:AY8)</f>
        <v>0</v>
      </c>
      <c r="BA8" s="75"/>
      <c r="BB8" s="75"/>
      <c r="BC8" s="75"/>
      <c r="BD8" s="75"/>
      <c r="BE8" s="75"/>
      <c r="BF8" s="75"/>
      <c r="BG8" s="75"/>
      <c r="BH8" s="75"/>
      <c r="BI8" s="75"/>
      <c r="BJ8" s="67">
        <f>SUMIF($G$2:BI$2,BI$2,$G8:BI8)</f>
        <v>0</v>
      </c>
    </row>
    <row r="9" spans="1:62" s="66" customFormat="1" ht="156" x14ac:dyDescent="0.15">
      <c r="A9" s="74" t="s">
        <v>259</v>
      </c>
      <c r="B9" s="80" t="s">
        <v>258</v>
      </c>
      <c r="C9" s="80" t="s">
        <v>257</v>
      </c>
      <c r="D9" s="79" t="s">
        <v>162</v>
      </c>
      <c r="E9" s="79" t="s">
        <v>301</v>
      </c>
      <c r="F9" s="79" t="s">
        <v>300</v>
      </c>
      <c r="G9" s="76" t="s">
        <v>298</v>
      </c>
      <c r="H9" s="69">
        <f>SUMIF($G$2:G$2,G$2,$G9:G9)</f>
        <v>0</v>
      </c>
      <c r="I9" s="83"/>
      <c r="J9" s="83"/>
      <c r="K9" s="83"/>
      <c r="L9" s="83"/>
      <c r="M9" s="83"/>
      <c r="N9" s="83"/>
      <c r="O9" s="83"/>
      <c r="P9" s="83"/>
      <c r="Q9" s="83"/>
      <c r="R9" s="83"/>
      <c r="S9" s="83"/>
      <c r="T9" s="83"/>
      <c r="U9" s="83"/>
      <c r="V9" s="76" t="s">
        <v>299</v>
      </c>
      <c r="W9" s="69">
        <f>SUMIF($G$2:V$2,V$2,$G9:V9)</f>
        <v>0</v>
      </c>
      <c r="X9" s="76" t="s">
        <v>298</v>
      </c>
      <c r="Y9" s="76" t="s">
        <v>298</v>
      </c>
      <c r="Z9" s="76" t="s">
        <v>298</v>
      </c>
      <c r="AA9" s="76" t="s">
        <v>298</v>
      </c>
      <c r="AB9" s="87">
        <f>SUMIF($G$2:AA$2,AA$2,$G9:AA9)</f>
        <v>0</v>
      </c>
      <c r="AC9" s="86"/>
      <c r="AD9" s="76" t="s">
        <v>297</v>
      </c>
      <c r="AE9" s="76" t="s">
        <v>296</v>
      </c>
      <c r="AF9" s="85"/>
      <c r="AG9" s="85"/>
      <c r="AH9" s="85"/>
      <c r="AI9" s="76" t="s">
        <v>295</v>
      </c>
      <c r="AJ9" s="76" t="s">
        <v>294</v>
      </c>
      <c r="AK9" s="76" t="s">
        <v>293</v>
      </c>
      <c r="AL9" s="84">
        <f>SUMIF($G$2:AK$2,AK$2,$G9:AK9)</f>
        <v>0</v>
      </c>
      <c r="AM9" s="77"/>
      <c r="AN9" s="77"/>
      <c r="AO9" s="77"/>
      <c r="AP9" s="77"/>
      <c r="AQ9" s="77"/>
      <c r="AR9" s="77"/>
      <c r="AS9" s="77"/>
      <c r="AT9" s="77"/>
      <c r="AU9" s="77"/>
      <c r="AV9" s="77"/>
      <c r="AW9" s="77"/>
      <c r="AX9" s="77"/>
      <c r="AY9" s="76" t="s">
        <v>292</v>
      </c>
      <c r="AZ9" s="67">
        <f>SUMIF($G$2:AY$2,AU$2,$G9:AY9)</f>
        <v>0</v>
      </c>
      <c r="BA9" s="75"/>
      <c r="BB9" s="75"/>
      <c r="BC9" s="75"/>
      <c r="BD9" s="75"/>
      <c r="BE9" s="75"/>
      <c r="BF9" s="75"/>
      <c r="BG9" s="75"/>
      <c r="BH9" s="75"/>
      <c r="BI9" s="75"/>
      <c r="BJ9" s="67">
        <f>SUMIF($G$2:BI$2,BI$2,$G9:BI9)</f>
        <v>0</v>
      </c>
    </row>
    <row r="10" spans="1:62" s="66" customFormat="1" ht="72" x14ac:dyDescent="0.15">
      <c r="A10" s="74" t="s">
        <v>259</v>
      </c>
      <c r="B10" s="80" t="s">
        <v>258</v>
      </c>
      <c r="C10" s="80" t="s">
        <v>257</v>
      </c>
      <c r="D10" s="79" t="s">
        <v>162</v>
      </c>
      <c r="E10" s="79" t="s">
        <v>291</v>
      </c>
      <c r="F10" s="79" t="s">
        <v>290</v>
      </c>
      <c r="G10" s="76" t="s">
        <v>289</v>
      </c>
      <c r="H10" s="69">
        <f>SUMIF($G$2:G$2,G$2,$G10:G10)</f>
        <v>0</v>
      </c>
      <c r="I10" s="83"/>
      <c r="J10" s="83"/>
      <c r="K10" s="83"/>
      <c r="L10" s="83"/>
      <c r="M10" s="83"/>
      <c r="N10" s="83"/>
      <c r="O10" s="83"/>
      <c r="P10" s="83"/>
      <c r="Q10" s="83"/>
      <c r="R10" s="83"/>
      <c r="S10" s="83"/>
      <c r="T10" s="83"/>
      <c r="U10" s="83"/>
      <c r="V10" s="76" t="s">
        <v>289</v>
      </c>
      <c r="W10" s="69">
        <f>SUMIF($G$2:V$2,V$2,$G10:V10)</f>
        <v>0</v>
      </c>
      <c r="X10" s="76" t="s">
        <v>289</v>
      </c>
      <c r="Y10" s="76" t="s">
        <v>289</v>
      </c>
      <c r="Z10" s="76" t="s">
        <v>289</v>
      </c>
      <c r="AA10" s="76" t="s">
        <v>289</v>
      </c>
      <c r="AB10" s="87">
        <f>SUMIF($G$2:AA$2,AA$2,$G10:AA10)</f>
        <v>0</v>
      </c>
      <c r="AC10" s="86"/>
      <c r="AD10" s="76" t="s">
        <v>288</v>
      </c>
      <c r="AE10" s="76" t="s">
        <v>287</v>
      </c>
      <c r="AF10" s="85"/>
      <c r="AG10" s="85"/>
      <c r="AH10" s="85"/>
      <c r="AI10" s="76" t="s">
        <v>286</v>
      </c>
      <c r="AJ10" s="76" t="s">
        <v>285</v>
      </c>
      <c r="AK10" s="76" t="s">
        <v>284</v>
      </c>
      <c r="AL10" s="84">
        <f>SUMIF($G$2:AK$2,AK$2,$G10:AK10)</f>
        <v>0</v>
      </c>
      <c r="AM10" s="77"/>
      <c r="AN10" s="77"/>
      <c r="AO10" s="77"/>
      <c r="AP10" s="77"/>
      <c r="AQ10" s="77"/>
      <c r="AR10" s="77"/>
      <c r="AS10" s="77"/>
      <c r="AT10" s="77"/>
      <c r="AU10" s="77"/>
      <c r="AV10" s="77"/>
      <c r="AW10" s="77"/>
      <c r="AX10" s="77"/>
      <c r="AY10" s="76" t="s">
        <v>283</v>
      </c>
      <c r="AZ10" s="67">
        <f>SUMIF($G$2:AY$2,AU$2,$G10:AY10)</f>
        <v>0</v>
      </c>
      <c r="BA10" s="75"/>
      <c r="BB10" s="75"/>
      <c r="BC10" s="75"/>
      <c r="BD10" s="75"/>
      <c r="BE10" s="75"/>
      <c r="BF10" s="75"/>
      <c r="BG10" s="75"/>
      <c r="BH10" s="75"/>
      <c r="BI10" s="75"/>
      <c r="BJ10" s="67">
        <f>SUMIF($G$2:BI$2,BI$2,$G10:BI10)</f>
        <v>0</v>
      </c>
    </row>
    <row r="11" spans="1:62" s="66" customFormat="1" ht="72" x14ac:dyDescent="0.15">
      <c r="A11" s="74" t="s">
        <v>259</v>
      </c>
      <c r="B11" s="80" t="s">
        <v>258</v>
      </c>
      <c r="C11" s="80" t="s">
        <v>257</v>
      </c>
      <c r="D11" s="79" t="s">
        <v>162</v>
      </c>
      <c r="E11" s="79" t="s">
        <v>282</v>
      </c>
      <c r="F11" s="79" t="s">
        <v>281</v>
      </c>
      <c r="G11" s="76" t="s">
        <v>280</v>
      </c>
      <c r="H11" s="69">
        <f>SUMIF($G$2:G$2,G$2,$G11:G11)</f>
        <v>0</v>
      </c>
      <c r="I11" s="83"/>
      <c r="J11" s="83"/>
      <c r="K11" s="83"/>
      <c r="L11" s="83"/>
      <c r="M11" s="83"/>
      <c r="N11" s="83"/>
      <c r="O11" s="83"/>
      <c r="P11" s="83"/>
      <c r="Q11" s="83"/>
      <c r="R11" s="83"/>
      <c r="S11" s="83"/>
      <c r="T11" s="83"/>
      <c r="U11" s="83"/>
      <c r="V11" s="76" t="s">
        <v>280</v>
      </c>
      <c r="W11" s="69">
        <f>SUMIF($G$2:V$2,V$2,$G11:V11)</f>
        <v>0</v>
      </c>
      <c r="X11" s="76" t="s">
        <v>280</v>
      </c>
      <c r="Y11" s="76" t="s">
        <v>280</v>
      </c>
      <c r="Z11" s="76" t="s">
        <v>280</v>
      </c>
      <c r="AA11" s="76" t="s">
        <v>280</v>
      </c>
      <c r="AB11" s="87">
        <f>SUMIF($G$2:AA$2,AA$2,$G11:AA11)</f>
        <v>0</v>
      </c>
      <c r="AC11" s="86"/>
      <c r="AD11" s="76" t="s">
        <v>279</v>
      </c>
      <c r="AE11" s="76" t="s">
        <v>278</v>
      </c>
      <c r="AF11" s="86"/>
      <c r="AG11" s="86"/>
      <c r="AH11" s="86"/>
      <c r="AI11" s="76" t="s">
        <v>277</v>
      </c>
      <c r="AJ11" s="76" t="s">
        <v>276</v>
      </c>
      <c r="AK11" s="76" t="s">
        <v>275</v>
      </c>
      <c r="AL11" s="84">
        <f>SUMIF($G$2:AK$2,AK$2,$G11:AK11)</f>
        <v>0</v>
      </c>
      <c r="AM11" s="77"/>
      <c r="AN11" s="77"/>
      <c r="AO11" s="77"/>
      <c r="AP11" s="77"/>
      <c r="AQ11" s="77"/>
      <c r="AR11" s="77"/>
      <c r="AS11" s="77"/>
      <c r="AT11" s="77"/>
      <c r="AU11" s="77"/>
      <c r="AV11" s="77"/>
      <c r="AW11" s="77"/>
      <c r="AX11" s="77"/>
      <c r="AY11" s="76" t="s">
        <v>274</v>
      </c>
      <c r="AZ11" s="67">
        <f>SUMIF($G$2:AY$2,AU$2,$G11:AY11)</f>
        <v>0</v>
      </c>
      <c r="BA11" s="75"/>
      <c r="BB11" s="75"/>
      <c r="BC11" s="75"/>
      <c r="BD11" s="75"/>
      <c r="BE11" s="75"/>
      <c r="BF11" s="75"/>
      <c r="BG11" s="75"/>
      <c r="BH11" s="75"/>
      <c r="BI11" s="75"/>
      <c r="BJ11" s="67">
        <f>SUMIF($G$2:BI$2,BI$2,$G11:BI11)</f>
        <v>0</v>
      </c>
    </row>
    <row r="12" spans="1:62" s="66" customFormat="1" ht="72" x14ac:dyDescent="0.15">
      <c r="A12" s="74" t="s">
        <v>259</v>
      </c>
      <c r="B12" s="80" t="s">
        <v>258</v>
      </c>
      <c r="C12" s="80" t="s">
        <v>257</v>
      </c>
      <c r="D12" s="79" t="s">
        <v>162</v>
      </c>
      <c r="E12" s="79" t="s">
        <v>273</v>
      </c>
      <c r="F12" s="79" t="s">
        <v>272</v>
      </c>
      <c r="G12" s="76" t="s">
        <v>271</v>
      </c>
      <c r="H12" s="69">
        <f>SUMIF($G$2:G$2,G$2,$G12:G12)</f>
        <v>0</v>
      </c>
      <c r="I12" s="83"/>
      <c r="J12" s="83"/>
      <c r="K12" s="83"/>
      <c r="L12" s="83"/>
      <c r="M12" s="83"/>
      <c r="N12" s="83"/>
      <c r="O12" s="83"/>
      <c r="P12" s="83"/>
      <c r="Q12" s="83"/>
      <c r="R12" s="83"/>
      <c r="S12" s="83"/>
      <c r="T12" s="83"/>
      <c r="U12" s="83"/>
      <c r="V12" s="76" t="s">
        <v>271</v>
      </c>
      <c r="W12" s="69">
        <f>SUMIF($G$2:V$2,V$2,$G12:V12)</f>
        <v>0</v>
      </c>
      <c r="X12" s="76" t="s">
        <v>271</v>
      </c>
      <c r="Y12" s="76" t="s">
        <v>271</v>
      </c>
      <c r="Z12" s="76" t="s">
        <v>271</v>
      </c>
      <c r="AA12" s="76" t="s">
        <v>271</v>
      </c>
      <c r="AB12" s="87">
        <f>SUMIF($G$2:AA$2,AA$2,$G12:AA12)</f>
        <v>0</v>
      </c>
      <c r="AC12" s="86"/>
      <c r="AD12" s="76" t="s">
        <v>270</v>
      </c>
      <c r="AE12" s="76" t="s">
        <v>269</v>
      </c>
      <c r="AF12" s="85"/>
      <c r="AG12" s="85"/>
      <c r="AH12" s="85"/>
      <c r="AI12" s="76" t="s">
        <v>268</v>
      </c>
      <c r="AJ12" s="76" t="s">
        <v>267</v>
      </c>
      <c r="AK12" s="76" t="s">
        <v>266</v>
      </c>
      <c r="AL12" s="84">
        <f>SUMIF($G$2:AK$2,AK$2,$G12:AK12)</f>
        <v>0</v>
      </c>
      <c r="AM12" s="77"/>
      <c r="AN12" s="77"/>
      <c r="AO12" s="77"/>
      <c r="AP12" s="77"/>
      <c r="AQ12" s="77"/>
      <c r="AR12" s="77"/>
      <c r="AS12" s="77"/>
      <c r="AT12" s="77"/>
      <c r="AU12" s="77"/>
      <c r="AV12" s="77"/>
      <c r="AW12" s="77"/>
      <c r="AX12" s="77"/>
      <c r="AY12" s="76" t="s">
        <v>265</v>
      </c>
      <c r="AZ12" s="67">
        <f>SUMIF($G$2:AY$2,AU$2,$G12:AY12)</f>
        <v>0</v>
      </c>
      <c r="BA12" s="75"/>
      <c r="BB12" s="75"/>
      <c r="BC12" s="75"/>
      <c r="BD12" s="75"/>
      <c r="BE12" s="75"/>
      <c r="BF12" s="75"/>
      <c r="BG12" s="75"/>
      <c r="BH12" s="75"/>
      <c r="BI12" s="75"/>
      <c r="BJ12" s="67">
        <f>SUMIF($G$2:BI$2,BI$2,$G12:BI12)</f>
        <v>0</v>
      </c>
    </row>
    <row r="13" spans="1:62" s="66" customFormat="1" ht="36" x14ac:dyDescent="0.15">
      <c r="A13" s="74" t="s">
        <v>259</v>
      </c>
      <c r="B13" s="80" t="s">
        <v>258</v>
      </c>
      <c r="C13" s="80" t="s">
        <v>257</v>
      </c>
      <c r="D13" s="79" t="s">
        <v>162</v>
      </c>
      <c r="E13" s="79" t="s">
        <v>264</v>
      </c>
      <c r="F13" s="79" t="s">
        <v>263</v>
      </c>
      <c r="G13" s="76" t="s">
        <v>262</v>
      </c>
      <c r="H13" s="69">
        <f>SUMIF($G$2:G$2,G$2,$G13:G13)</f>
        <v>0</v>
      </c>
      <c r="I13" s="83"/>
      <c r="J13" s="83"/>
      <c r="K13" s="83"/>
      <c r="L13" s="83"/>
      <c r="M13" s="83"/>
      <c r="N13" s="83"/>
      <c r="O13" s="83"/>
      <c r="P13" s="83"/>
      <c r="Q13" s="83"/>
      <c r="R13" s="83"/>
      <c r="S13" s="83"/>
      <c r="T13" s="83"/>
      <c r="U13" s="83"/>
      <c r="V13" s="76" t="s">
        <v>262</v>
      </c>
      <c r="W13" s="69">
        <f>SUMIF($G$2:V$2,V$2,$G13:V13)</f>
        <v>0</v>
      </c>
      <c r="X13" s="76" t="s">
        <v>262</v>
      </c>
      <c r="Y13" s="76" t="s">
        <v>262</v>
      </c>
      <c r="Z13" s="76" t="s">
        <v>262</v>
      </c>
      <c r="AA13" s="76" t="s">
        <v>262</v>
      </c>
      <c r="AB13" s="67">
        <f>SUMIF($G$2:AA$2,AA$2,$G13:AA13)</f>
        <v>0</v>
      </c>
      <c r="AC13" s="82"/>
      <c r="AD13" s="82"/>
      <c r="AE13" s="82"/>
      <c r="AF13" s="82"/>
      <c r="AG13" s="82"/>
      <c r="AH13" s="82"/>
      <c r="AI13" s="82"/>
      <c r="AJ13" s="82"/>
      <c r="AK13" s="82"/>
      <c r="AL13" s="67">
        <f>SUMIF($G$2:AK$2,AK$2,$G13:AK13)</f>
        <v>0</v>
      </c>
      <c r="AM13" s="77"/>
      <c r="AN13" s="77"/>
      <c r="AO13" s="77"/>
      <c r="AP13" s="77"/>
      <c r="AQ13" s="77"/>
      <c r="AR13" s="77"/>
      <c r="AS13" s="77"/>
      <c r="AT13" s="77"/>
      <c r="AU13" s="77"/>
      <c r="AV13" s="77"/>
      <c r="AW13" s="77"/>
      <c r="AX13" s="77"/>
      <c r="AY13" s="77"/>
      <c r="AZ13" s="67">
        <f>SUMIF($G$2:AY$2,AU$2,$G13:AY13)</f>
        <v>0</v>
      </c>
      <c r="BA13" s="75"/>
      <c r="BB13" s="75"/>
      <c r="BC13" s="75"/>
      <c r="BD13" s="75"/>
      <c r="BE13" s="75"/>
      <c r="BF13" s="75"/>
      <c r="BG13" s="75"/>
      <c r="BH13" s="75"/>
      <c r="BI13" s="75"/>
      <c r="BJ13" s="67">
        <f>SUMIF($G$2:BI$2,BI$2,$G13:BI13)</f>
        <v>0</v>
      </c>
    </row>
    <row r="14" spans="1:62" s="66" customFormat="1" ht="180" x14ac:dyDescent="0.15">
      <c r="A14" s="74" t="s">
        <v>259</v>
      </c>
      <c r="B14" s="80" t="s">
        <v>258</v>
      </c>
      <c r="C14" s="80" t="s">
        <v>257</v>
      </c>
      <c r="D14" s="79" t="s">
        <v>162</v>
      </c>
      <c r="E14" s="79" t="s">
        <v>261</v>
      </c>
      <c r="F14" s="79" t="s">
        <v>260</v>
      </c>
      <c r="G14" s="76" t="s">
        <v>230</v>
      </c>
      <c r="H14" s="69">
        <f>SUMIF($G$2:G$2,G$2,$G14:G14)</f>
        <v>0</v>
      </c>
      <c r="I14" s="76" t="s">
        <v>68</v>
      </c>
      <c r="J14" s="76" t="s">
        <v>254</v>
      </c>
      <c r="K14" s="76" t="s">
        <v>242</v>
      </c>
      <c r="L14" s="76" t="s">
        <v>241</v>
      </c>
      <c r="M14" s="76" t="s">
        <v>247</v>
      </c>
      <c r="N14" s="76" t="s">
        <v>246</v>
      </c>
      <c r="O14" s="76" t="s">
        <v>245</v>
      </c>
      <c r="P14" s="76" t="s">
        <v>250</v>
      </c>
      <c r="Q14" s="76" t="s">
        <v>253</v>
      </c>
      <c r="R14" s="76" t="s">
        <v>252</v>
      </c>
      <c r="S14" s="76" t="s">
        <v>234</v>
      </c>
      <c r="T14" s="76" t="s">
        <v>235</v>
      </c>
      <c r="U14" s="76" t="s">
        <v>65</v>
      </c>
      <c r="V14" s="76" t="s">
        <v>251</v>
      </c>
      <c r="W14" s="69">
        <f>SUMIF($G$2:V$2,V$2,$G14:V14)</f>
        <v>0</v>
      </c>
      <c r="X14" s="78"/>
      <c r="Y14" s="78"/>
      <c r="Z14" s="78"/>
      <c r="AA14" s="78"/>
      <c r="AB14" s="67">
        <f>SUMIF($G$2:AA$2,AA$2,$G14:AA14)</f>
        <v>0</v>
      </c>
      <c r="AC14" s="76" t="s">
        <v>250</v>
      </c>
      <c r="AD14" s="76" t="s">
        <v>249</v>
      </c>
      <c r="AE14" s="76" t="s">
        <v>248</v>
      </c>
      <c r="AF14" s="76" t="s">
        <v>247</v>
      </c>
      <c r="AG14" s="76" t="s">
        <v>246</v>
      </c>
      <c r="AH14" s="76" t="s">
        <v>245</v>
      </c>
      <c r="AI14" s="76" t="s">
        <v>67</v>
      </c>
      <c r="AJ14" s="76" t="s">
        <v>244</v>
      </c>
      <c r="AK14" s="76" t="s">
        <v>243</v>
      </c>
      <c r="AL14" s="67">
        <f>SUMIF($G$2:AK$2,AK$2,$G14:AK14)</f>
        <v>0</v>
      </c>
      <c r="AM14" s="76" t="s">
        <v>242</v>
      </c>
      <c r="AN14" s="76" t="s">
        <v>241</v>
      </c>
      <c r="AO14" s="76" t="s">
        <v>240</v>
      </c>
      <c r="AP14" s="76" t="s">
        <v>239</v>
      </c>
      <c r="AQ14" s="76" t="s">
        <v>238</v>
      </c>
      <c r="AR14" s="76" t="s">
        <v>237</v>
      </c>
      <c r="AS14" s="76" t="s">
        <v>236</v>
      </c>
      <c r="AT14" s="76" t="s">
        <v>235</v>
      </c>
      <c r="AU14" s="76" t="s">
        <v>234</v>
      </c>
      <c r="AV14" s="76" t="s">
        <v>233</v>
      </c>
      <c r="AW14" s="76" t="s">
        <v>66</v>
      </c>
      <c r="AX14" s="81"/>
      <c r="AY14" s="76" t="s">
        <v>232</v>
      </c>
      <c r="AZ14" s="67">
        <f>SUMIF($G$2:AY$2,AU$2,$G14:AY14)</f>
        <v>0</v>
      </c>
      <c r="BA14" s="75"/>
      <c r="BB14" s="75"/>
      <c r="BC14" s="75"/>
      <c r="BD14" s="75"/>
      <c r="BE14" s="75"/>
      <c r="BF14" s="75"/>
      <c r="BG14" s="75"/>
      <c r="BH14" s="75"/>
      <c r="BI14" s="75"/>
      <c r="BJ14" s="67">
        <f>SUMIF($G$2:BI$2,BI$2,$G14:BI14)</f>
        <v>0</v>
      </c>
    </row>
    <row r="15" spans="1:62" s="66" customFormat="1" ht="180" x14ac:dyDescent="0.15">
      <c r="A15" s="74" t="s">
        <v>259</v>
      </c>
      <c r="B15" s="80" t="s">
        <v>258</v>
      </c>
      <c r="C15" s="80" t="s">
        <v>257</v>
      </c>
      <c r="D15" s="79" t="s">
        <v>162</v>
      </c>
      <c r="E15" s="79" t="s">
        <v>256</v>
      </c>
      <c r="F15" s="79" t="s">
        <v>255</v>
      </c>
      <c r="G15" s="76" t="s">
        <v>230</v>
      </c>
      <c r="H15" s="69">
        <f>SUMIF($G$2:G$2,G$2,$G15:G15)</f>
        <v>0</v>
      </c>
      <c r="I15" s="76" t="s">
        <v>68</v>
      </c>
      <c r="J15" s="76" t="s">
        <v>254</v>
      </c>
      <c r="K15" s="76" t="s">
        <v>242</v>
      </c>
      <c r="L15" s="76" t="s">
        <v>241</v>
      </c>
      <c r="M15" s="76" t="s">
        <v>247</v>
      </c>
      <c r="N15" s="76" t="s">
        <v>246</v>
      </c>
      <c r="O15" s="76" t="s">
        <v>245</v>
      </c>
      <c r="P15" s="76" t="s">
        <v>250</v>
      </c>
      <c r="Q15" s="76" t="s">
        <v>253</v>
      </c>
      <c r="R15" s="76" t="s">
        <v>252</v>
      </c>
      <c r="S15" s="76" t="s">
        <v>234</v>
      </c>
      <c r="T15" s="76" t="s">
        <v>235</v>
      </c>
      <c r="U15" s="76" t="s">
        <v>65</v>
      </c>
      <c r="V15" s="76" t="s">
        <v>251</v>
      </c>
      <c r="W15" s="69">
        <f>SUMIF($G$2:V$2,V$2,$G15:V15)</f>
        <v>0</v>
      </c>
      <c r="X15" s="78"/>
      <c r="Y15" s="78"/>
      <c r="Z15" s="78"/>
      <c r="AA15" s="78"/>
      <c r="AB15" s="67">
        <f>SUMIF($G$2:AA$2,AA$2,$G15:AA15)</f>
        <v>0</v>
      </c>
      <c r="AC15" s="76" t="s">
        <v>250</v>
      </c>
      <c r="AD15" s="76" t="s">
        <v>249</v>
      </c>
      <c r="AE15" s="76" t="s">
        <v>248</v>
      </c>
      <c r="AF15" s="76" t="s">
        <v>247</v>
      </c>
      <c r="AG15" s="76" t="s">
        <v>246</v>
      </c>
      <c r="AH15" s="76" t="s">
        <v>245</v>
      </c>
      <c r="AI15" s="76" t="s">
        <v>67</v>
      </c>
      <c r="AJ15" s="76" t="s">
        <v>244</v>
      </c>
      <c r="AK15" s="76" t="s">
        <v>243</v>
      </c>
      <c r="AL15" s="67">
        <f>SUMIF($G$2:AK$2,AK$2,$G15:AK15)</f>
        <v>0</v>
      </c>
      <c r="AM15" s="76" t="s">
        <v>242</v>
      </c>
      <c r="AN15" s="76" t="s">
        <v>241</v>
      </c>
      <c r="AO15" s="76" t="s">
        <v>240</v>
      </c>
      <c r="AP15" s="76" t="s">
        <v>239</v>
      </c>
      <c r="AQ15" s="76" t="s">
        <v>238</v>
      </c>
      <c r="AR15" s="76" t="s">
        <v>237</v>
      </c>
      <c r="AS15" s="76" t="s">
        <v>236</v>
      </c>
      <c r="AT15" s="76" t="s">
        <v>235</v>
      </c>
      <c r="AU15" s="76" t="s">
        <v>234</v>
      </c>
      <c r="AV15" s="76" t="s">
        <v>233</v>
      </c>
      <c r="AW15" s="76" t="s">
        <v>66</v>
      </c>
      <c r="AX15" s="77"/>
      <c r="AY15" s="76" t="s">
        <v>232</v>
      </c>
      <c r="AZ15" s="67">
        <f>SUMIF($G$2:AY$2,AU$2,$G15:AY15)</f>
        <v>0</v>
      </c>
      <c r="BA15" s="75"/>
      <c r="BB15" s="75"/>
      <c r="BC15" s="75"/>
      <c r="BD15" s="75"/>
      <c r="BE15" s="75"/>
      <c r="BF15" s="75"/>
      <c r="BG15" s="75"/>
      <c r="BH15" s="75"/>
      <c r="BI15" s="75"/>
      <c r="BJ15" s="67">
        <f>SUMIF($G$2:BI$2,BI$2,$G15:BI15)</f>
        <v>0</v>
      </c>
    </row>
    <row r="16" spans="1:62" s="66" customFormat="1" ht="12" x14ac:dyDescent="0.15">
      <c r="A16" s="74"/>
      <c r="B16" s="73"/>
      <c r="C16" s="73"/>
      <c r="D16" s="72"/>
      <c r="E16" s="72"/>
      <c r="F16" s="71" t="s">
        <v>231</v>
      </c>
      <c r="G16" s="70">
        <f>SUMIF($C$5:$C15,$C15,G$5:G15)</f>
        <v>0</v>
      </c>
      <c r="H16" s="69">
        <f>SUMIF($C$5:$C15,$C15,H$5:H15)</f>
        <v>0</v>
      </c>
      <c r="I16" s="70">
        <f>SUMIF($C$5:$C15,$C15,I$5:I15)</f>
        <v>0</v>
      </c>
      <c r="J16" s="70">
        <f>SUMIF($C$5:$C15,$C15,J$5:J15)</f>
        <v>0</v>
      </c>
      <c r="K16" s="70">
        <f>SUMIF($C$5:$C15,$C15,K$5:K15)</f>
        <v>0</v>
      </c>
      <c r="L16" s="70">
        <f>SUMIF($C$5:$C15,$C15,L$5:L15)</f>
        <v>0</v>
      </c>
      <c r="M16" s="70">
        <f>SUMIF($C$5:$C15,$C15,M$5:M15)</f>
        <v>0</v>
      </c>
      <c r="N16" s="70">
        <f>SUMIF($C$5:$C15,$C15,N$5:N15)</f>
        <v>0</v>
      </c>
      <c r="O16" s="70">
        <f>SUMIF($C$5:$C15,$C15,O$5:O15)</f>
        <v>0</v>
      </c>
      <c r="P16" s="70">
        <f>SUMIF($C$5:$C15,$C15,P$5:P15)</f>
        <v>0</v>
      </c>
      <c r="Q16" s="70">
        <f>SUMIF($C$5:$C15,$C15,Q$5:Q15)</f>
        <v>0</v>
      </c>
      <c r="R16" s="70"/>
      <c r="S16" s="70">
        <f>SUMIF($C$5:$C15,$C15,S$5:S15)</f>
        <v>0</v>
      </c>
      <c r="T16" s="70">
        <f>SUMIF($C$5:$C15,$C15,T$5:T15)</f>
        <v>0</v>
      </c>
      <c r="U16" s="70">
        <f>SUMIF($C$5:$C15,$C15,U$5:U15)</f>
        <v>0</v>
      </c>
      <c r="V16" s="70">
        <f>SUMIF($C$5:$C15,$C15,V$5:V15)</f>
        <v>0</v>
      </c>
      <c r="W16" s="69">
        <f>SUMIF($C$5:$C15,$C15,W$5:W15)</f>
        <v>0</v>
      </c>
      <c r="X16" s="68">
        <f>SUMIF($C$5:$C15,$C15,X$5:X15)</f>
        <v>0</v>
      </c>
      <c r="Y16" s="68">
        <f>SUMIF($C$5:$C15,$C15,Y$5:Y15)</f>
        <v>0</v>
      </c>
      <c r="Z16" s="68">
        <f>SUMIF($C$5:$C15,$C15,Z$5:Z15)</f>
        <v>0</v>
      </c>
      <c r="AA16" s="68">
        <f>SUMIF($C$5:$C15,$C15,AA$5:AA15)</f>
        <v>0</v>
      </c>
      <c r="AB16" s="67">
        <f>SUMIF($C$5:$C15,$C15,AB$5:AB15)</f>
        <v>0</v>
      </c>
      <c r="AC16" s="68">
        <f>SUMIF($C$5:$C15,$C15,AC$5:AC15)</f>
        <v>0</v>
      </c>
      <c r="AD16" s="68">
        <f>SUMIF($C$5:$C15,$C15,AD$5:AD15)</f>
        <v>0</v>
      </c>
      <c r="AE16" s="68">
        <f>SUMIF($C$5:$C15,$C15,AE$5:AE15)</f>
        <v>0</v>
      </c>
      <c r="AF16" s="68">
        <f>SUMIF($C$5:$C15,$C15,AF$5:AF15)</f>
        <v>0</v>
      </c>
      <c r="AG16" s="68">
        <f>SUMIF($C$5:$C15,$C15,AG$5:AG15)</f>
        <v>0</v>
      </c>
      <c r="AH16" s="68">
        <f>SUMIF($C$5:$C15,$C15,AH$5:AH15)</f>
        <v>0</v>
      </c>
      <c r="AI16" s="68">
        <f>SUMIF($C$5:$C15,$C15,AI$5:AI15)</f>
        <v>0</v>
      </c>
      <c r="AJ16" s="68">
        <f>SUMIF($C$5:$C15,$C15,AJ$5:AJ15)</f>
        <v>0</v>
      </c>
      <c r="AK16" s="68">
        <f>SUMIF($C$5:$C15,$C15,AK$5:AK15)</f>
        <v>0</v>
      </c>
      <c r="AL16" s="67">
        <f>SUMIF($C$5:$C15,$C15,AL$5:AL15)</f>
        <v>0</v>
      </c>
      <c r="AM16" s="68">
        <f>SUMIF($C$5:$C15,$C15,AM$5:AM15)</f>
        <v>0</v>
      </c>
      <c r="AN16" s="68">
        <f>SUMIF($C$5:$C15,$C15,AN$5:AN15)</f>
        <v>0</v>
      </c>
      <c r="AO16" s="68">
        <f>SUMIF($C$5:$C15,$C15,AO$5:AO15)</f>
        <v>0</v>
      </c>
      <c r="AP16" s="68">
        <f>SUMIF($C$5:$C15,$C15,AP$5:AP15)</f>
        <v>0</v>
      </c>
      <c r="AQ16" s="68">
        <f>SUMIF($C$5:$C15,$C15,AQ$5:AQ15)</f>
        <v>0</v>
      </c>
      <c r="AR16" s="68">
        <f>SUMIF($C$5:$C15,$C15,AR$5:AR15)</f>
        <v>0</v>
      </c>
      <c r="AS16" s="68">
        <f>SUMIF($C$5:$C15,$C15,AS$5:AS15)</f>
        <v>0</v>
      </c>
      <c r="AT16" s="68">
        <f>SUMIF($C$5:$C15,$C15,AT$5:AT15)</f>
        <v>0</v>
      </c>
      <c r="AU16" s="68">
        <f>SUMIF($C$5:$C15,$C15,AU$5:AU15)</f>
        <v>0</v>
      </c>
      <c r="AV16" s="68">
        <f>SUMIF($C$5:$C15,$C15,AV$5:AV15)</f>
        <v>0</v>
      </c>
      <c r="AW16" s="68">
        <f>SUMIF($C$5:$C15,$C15,AW$5:AW15)</f>
        <v>0</v>
      </c>
      <c r="AX16" s="68">
        <f>SUMIF($C$5:$C15,$C15,AX$5:AX15)</f>
        <v>0</v>
      </c>
      <c r="AY16" s="68">
        <f>SUMIF($C$5:$C15,$C15,AY$5:AY15)</f>
        <v>0</v>
      </c>
      <c r="AZ16" s="67">
        <f>SUMIF($C$5:$C15,$C15,AZ$5:AZ15)</f>
        <v>0</v>
      </c>
      <c r="BA16" s="68">
        <f>SUMIF($C$5:$C15,$C15,BA$5:BA15)</f>
        <v>0</v>
      </c>
      <c r="BB16" s="68">
        <f>SUMIF($C$5:$C15,$C15,BB$5:BB15)</f>
        <v>0</v>
      </c>
      <c r="BC16" s="68">
        <f>SUMIF($C$5:$C15,$C15,BC$5:BC15)</f>
        <v>0</v>
      </c>
      <c r="BD16" s="68">
        <f>SUMIF($C$5:$C15,$C15,BD$5:BD15)</f>
        <v>0</v>
      </c>
      <c r="BE16" s="68">
        <f>SUMIF($C$5:$C15,$C15,BE$5:BE15)</f>
        <v>0</v>
      </c>
      <c r="BF16" s="68">
        <f>SUMIF($C$5:$C15,$C15,BF$5:BF15)</f>
        <v>0</v>
      </c>
      <c r="BG16" s="68">
        <f>SUMIF($C$5:$C15,$C15,BG$5:BG15)</f>
        <v>0</v>
      </c>
      <c r="BH16" s="68">
        <f>SUMIF($C$5:$C15,$C15,BH$5:BH15)</f>
        <v>0</v>
      </c>
      <c r="BI16" s="68">
        <f>SUMIF($C$5:$C15,$C15,BI$5:BI15)</f>
        <v>0</v>
      </c>
      <c r="BJ16" s="67">
        <f>SUMIF($C$5:$C15,$C15,BJ$5:BJ15)</f>
        <v>0</v>
      </c>
    </row>
    <row r="17" s="64" customFormat="1" x14ac:dyDescent="0.2"/>
    <row r="18" s="64" customFormat="1" x14ac:dyDescent="0.2"/>
  </sheetData>
  <mergeCells count="7">
    <mergeCell ref="BJ2:BJ4"/>
    <mergeCell ref="B1:I1"/>
    <mergeCell ref="H2:H4"/>
    <mergeCell ref="W2:W4"/>
    <mergeCell ref="AB2:AB4"/>
    <mergeCell ref="AL2:AL4"/>
    <mergeCell ref="AZ2:AZ4"/>
  </mergeCells>
  <pageMargins left="0.70866141732283472" right="0.70866141732283472" top="0.74803149606299213" bottom="0.74803149606299213" header="0.31496062992125984" footer="0.31496062992125984"/>
  <pageSetup paperSize="8" scale="2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21C7-025B-4F4F-A5C7-6D94075AC520}">
  <sheetPr codeName="Feuil8">
    <tabColor rgb="FFC00000"/>
  </sheetPr>
  <dimension ref="A1:BJ24"/>
  <sheetViews>
    <sheetView topLeftCell="D1" zoomScaleNormal="100" workbookViewId="0">
      <pane xSplit="3" ySplit="1" topLeftCell="G2" activePane="bottomRight" state="frozen"/>
      <selection activeCell="D1" sqref="D1"/>
      <selection pane="topRight" activeCell="G1" sqref="G1"/>
      <selection pane="bottomLeft" activeCell="D2" sqref="D2"/>
      <selection pane="bottomRight" activeCell="G6" sqref="G6"/>
    </sheetView>
  </sheetViews>
  <sheetFormatPr baseColWidth="10" defaultColWidth="11" defaultRowHeight="16" x14ac:dyDescent="0.2"/>
  <cols>
    <col min="1" max="1" width="6" style="110" hidden="1" customWidth="1"/>
    <col min="2" max="2" width="17.1640625" style="110" hidden="1" customWidth="1"/>
    <col min="3" max="3" width="6.33203125" style="110" bestFit="1" customWidth="1"/>
    <col min="4" max="4" width="14.6640625" style="110" customWidth="1"/>
    <col min="5" max="5" width="6.5" style="110" customWidth="1"/>
    <col min="6" max="6" width="45" style="110" customWidth="1"/>
    <col min="7" max="8" width="9.33203125" style="110" customWidth="1"/>
    <col min="9" max="9" width="9.5" style="110" customWidth="1"/>
    <col min="10" max="10" width="9" style="110" customWidth="1"/>
    <col min="11" max="38" width="9.33203125" style="110" customWidth="1"/>
    <col min="39" max="39" width="8.5" style="110" bestFit="1" customWidth="1"/>
    <col min="40" max="40" width="7.33203125" style="110" bestFit="1" customWidth="1"/>
    <col min="41" max="62" width="9.33203125" style="110" customWidth="1"/>
    <col min="63" max="63" width="4" style="110" customWidth="1"/>
    <col min="64" max="16384" width="11" style="110"/>
  </cols>
  <sheetData>
    <row r="1" spans="1:62" s="114" customFormat="1" ht="23.5" customHeight="1" x14ac:dyDescent="0.15">
      <c r="B1" s="210" t="s">
        <v>465</v>
      </c>
      <c r="C1" s="210"/>
      <c r="D1" s="210"/>
      <c r="E1" s="210"/>
      <c r="F1" s="210"/>
      <c r="G1" s="210"/>
      <c r="H1" s="210"/>
      <c r="I1" s="210"/>
    </row>
    <row r="2" spans="1:62" s="114" customFormat="1" ht="12.75" customHeight="1" x14ac:dyDescent="0.15">
      <c r="A2" s="160"/>
      <c r="B2" s="160"/>
      <c r="C2" s="160"/>
      <c r="D2" s="160"/>
      <c r="E2" s="160"/>
      <c r="F2" s="160"/>
      <c r="G2" s="157" t="s">
        <v>464</v>
      </c>
      <c r="H2" s="209" t="s">
        <v>463</v>
      </c>
      <c r="I2" s="156" t="s">
        <v>462</v>
      </c>
      <c r="J2" s="156" t="s">
        <v>462</v>
      </c>
      <c r="K2" s="156" t="s">
        <v>462</v>
      </c>
      <c r="L2" s="156" t="s">
        <v>462</v>
      </c>
      <c r="M2" s="156" t="s">
        <v>462</v>
      </c>
      <c r="N2" s="156" t="s">
        <v>462</v>
      </c>
      <c r="O2" s="156" t="s">
        <v>462</v>
      </c>
      <c r="P2" s="156" t="s">
        <v>462</v>
      </c>
      <c r="Q2" s="156" t="s">
        <v>462</v>
      </c>
      <c r="R2" s="156" t="s">
        <v>462</v>
      </c>
      <c r="S2" s="156" t="s">
        <v>462</v>
      </c>
      <c r="T2" s="156" t="s">
        <v>462</v>
      </c>
      <c r="U2" s="156" t="s">
        <v>462</v>
      </c>
      <c r="V2" s="156" t="s">
        <v>462</v>
      </c>
      <c r="W2" s="209" t="s">
        <v>461</v>
      </c>
      <c r="X2" s="157" t="s">
        <v>178</v>
      </c>
      <c r="Y2" s="157" t="s">
        <v>178</v>
      </c>
      <c r="Z2" s="157" t="s">
        <v>178</v>
      </c>
      <c r="AA2" s="157" t="s">
        <v>178</v>
      </c>
      <c r="AB2" s="209" t="s">
        <v>460</v>
      </c>
      <c r="AC2" s="154" t="s">
        <v>459</v>
      </c>
      <c r="AD2" s="154" t="s">
        <v>459</v>
      </c>
      <c r="AE2" s="154" t="s">
        <v>459</v>
      </c>
      <c r="AF2" s="154" t="s">
        <v>459</v>
      </c>
      <c r="AG2" s="154" t="s">
        <v>459</v>
      </c>
      <c r="AH2" s="154" t="s">
        <v>459</v>
      </c>
      <c r="AI2" s="154" t="s">
        <v>459</v>
      </c>
      <c r="AJ2" s="154" t="s">
        <v>459</v>
      </c>
      <c r="AK2" s="154" t="s">
        <v>459</v>
      </c>
      <c r="AL2" s="209" t="s">
        <v>458</v>
      </c>
      <c r="AM2" s="154" t="s">
        <v>457</v>
      </c>
      <c r="AN2" s="154" t="s">
        <v>457</v>
      </c>
      <c r="AO2" s="154" t="s">
        <v>457</v>
      </c>
      <c r="AP2" s="154" t="s">
        <v>457</v>
      </c>
      <c r="AQ2" s="154" t="s">
        <v>457</v>
      </c>
      <c r="AR2" s="154" t="s">
        <v>457</v>
      </c>
      <c r="AS2" s="154" t="s">
        <v>457</v>
      </c>
      <c r="AT2" s="154" t="s">
        <v>457</v>
      </c>
      <c r="AU2" s="154" t="s">
        <v>457</v>
      </c>
      <c r="AV2" s="154" t="s">
        <v>457</v>
      </c>
      <c r="AW2" s="154" t="s">
        <v>457</v>
      </c>
      <c r="AX2" s="154" t="s">
        <v>457</v>
      </c>
      <c r="AY2" s="154" t="s">
        <v>457</v>
      </c>
      <c r="AZ2" s="209" t="s">
        <v>456</v>
      </c>
      <c r="BA2" s="153" t="s">
        <v>455</v>
      </c>
      <c r="BB2" s="153" t="s">
        <v>455</v>
      </c>
      <c r="BC2" s="153" t="s">
        <v>455</v>
      </c>
      <c r="BD2" s="153" t="s">
        <v>455</v>
      </c>
      <c r="BE2" s="153" t="s">
        <v>455</v>
      </c>
      <c r="BF2" s="153" t="s">
        <v>455</v>
      </c>
      <c r="BG2" s="153" t="s">
        <v>455</v>
      </c>
      <c r="BH2" s="153" t="s">
        <v>455</v>
      </c>
      <c r="BI2" s="153" t="s">
        <v>455</v>
      </c>
      <c r="BJ2" s="209" t="s">
        <v>454</v>
      </c>
    </row>
    <row r="3" spans="1:62" s="114" customFormat="1" ht="26" hidden="1" customHeight="1" x14ac:dyDescent="0.15">
      <c r="A3" s="160"/>
      <c r="B3" s="160"/>
      <c r="C3" s="160"/>
      <c r="D3" s="160"/>
      <c r="E3" s="160"/>
      <c r="F3" s="160"/>
      <c r="G3" s="157" t="s">
        <v>453</v>
      </c>
      <c r="H3" s="209"/>
      <c r="I3" s="156" t="s">
        <v>452</v>
      </c>
      <c r="J3" s="156" t="s">
        <v>451</v>
      </c>
      <c r="K3" s="156" t="s">
        <v>450</v>
      </c>
      <c r="L3" s="156" t="s">
        <v>449</v>
      </c>
      <c r="M3" s="156" t="s">
        <v>448</v>
      </c>
      <c r="N3" s="156" t="s">
        <v>447</v>
      </c>
      <c r="O3" s="156" t="s">
        <v>446</v>
      </c>
      <c r="P3" s="156" t="s">
        <v>445</v>
      </c>
      <c r="Q3" s="156" t="s">
        <v>444</v>
      </c>
      <c r="R3" s="156"/>
      <c r="S3" s="156" t="s">
        <v>443</v>
      </c>
      <c r="T3" s="156" t="s">
        <v>442</v>
      </c>
      <c r="U3" s="156" t="s">
        <v>441</v>
      </c>
      <c r="V3" s="156" t="s">
        <v>440</v>
      </c>
      <c r="W3" s="209"/>
      <c r="X3" s="152"/>
      <c r="Y3" s="157" t="s">
        <v>439</v>
      </c>
      <c r="Z3" s="157" t="s">
        <v>438</v>
      </c>
      <c r="AA3" s="157" t="s">
        <v>437</v>
      </c>
      <c r="AB3" s="209"/>
      <c r="AC3" s="154" t="s">
        <v>436</v>
      </c>
      <c r="AD3" s="154" t="s">
        <v>435</v>
      </c>
      <c r="AE3" s="154" t="s">
        <v>434</v>
      </c>
      <c r="AF3" s="154" t="s">
        <v>433</v>
      </c>
      <c r="AG3" s="154" t="s">
        <v>432</v>
      </c>
      <c r="AH3" s="154" t="s">
        <v>431</v>
      </c>
      <c r="AI3" s="154" t="s">
        <v>94</v>
      </c>
      <c r="AJ3" s="154" t="s">
        <v>92</v>
      </c>
      <c r="AK3" s="154" t="s">
        <v>430</v>
      </c>
      <c r="AL3" s="209"/>
      <c r="AM3" s="154" t="s">
        <v>429</v>
      </c>
      <c r="AN3" s="154" t="s">
        <v>428</v>
      </c>
      <c r="AO3" s="154" t="s">
        <v>427</v>
      </c>
      <c r="AP3" s="154" t="s">
        <v>426</v>
      </c>
      <c r="AQ3" s="154" t="s">
        <v>425</v>
      </c>
      <c r="AR3" s="154" t="s">
        <v>424</v>
      </c>
      <c r="AS3" s="154" t="s">
        <v>423</v>
      </c>
      <c r="AT3" s="154" t="s">
        <v>422</v>
      </c>
      <c r="AU3" s="154" t="s">
        <v>421</v>
      </c>
      <c r="AV3" s="154" t="s">
        <v>420</v>
      </c>
      <c r="AW3" s="154" t="s">
        <v>419</v>
      </c>
      <c r="AX3" s="154" t="s">
        <v>418</v>
      </c>
      <c r="AY3" s="154" t="s">
        <v>417</v>
      </c>
      <c r="AZ3" s="209"/>
      <c r="BA3" s="153" t="s">
        <v>416</v>
      </c>
      <c r="BB3" s="153" t="s">
        <v>415</v>
      </c>
      <c r="BC3" s="153" t="s">
        <v>414</v>
      </c>
      <c r="BD3" s="153" t="s">
        <v>413</v>
      </c>
      <c r="BE3" s="153" t="s">
        <v>412</v>
      </c>
      <c r="BF3" s="153" t="s">
        <v>411</v>
      </c>
      <c r="BG3" s="153" t="s">
        <v>410</v>
      </c>
      <c r="BH3" s="153" t="s">
        <v>409</v>
      </c>
      <c r="BI3" s="153" t="s">
        <v>408</v>
      </c>
      <c r="BJ3" s="209"/>
    </row>
    <row r="4" spans="1:62" s="114" customFormat="1" ht="60" x14ac:dyDescent="0.15">
      <c r="A4" s="159"/>
      <c r="B4" s="158" t="s">
        <v>407</v>
      </c>
      <c r="C4" s="158" t="s">
        <v>406</v>
      </c>
      <c r="D4" s="158" t="s">
        <v>59</v>
      </c>
      <c r="E4" s="158" t="s">
        <v>405</v>
      </c>
      <c r="F4" s="158" t="s">
        <v>404</v>
      </c>
      <c r="G4" s="157" t="s">
        <v>403</v>
      </c>
      <c r="H4" s="209"/>
      <c r="I4" s="156" t="s">
        <v>402</v>
      </c>
      <c r="J4" s="156" t="s">
        <v>401</v>
      </c>
      <c r="K4" s="156" t="s">
        <v>400</v>
      </c>
      <c r="L4" s="156" t="s">
        <v>399</v>
      </c>
      <c r="M4" s="156" t="s">
        <v>398</v>
      </c>
      <c r="N4" s="156" t="s">
        <v>397</v>
      </c>
      <c r="O4" s="156" t="s">
        <v>396</v>
      </c>
      <c r="P4" s="156" t="s">
        <v>395</v>
      </c>
      <c r="Q4" s="156" t="s">
        <v>394</v>
      </c>
      <c r="R4" s="156" t="s">
        <v>393</v>
      </c>
      <c r="S4" s="156" t="s">
        <v>392</v>
      </c>
      <c r="T4" s="156" t="s">
        <v>391</v>
      </c>
      <c r="U4" s="156" t="s">
        <v>390</v>
      </c>
      <c r="V4" s="156" t="s">
        <v>389</v>
      </c>
      <c r="W4" s="209"/>
      <c r="X4" s="155" t="s">
        <v>388</v>
      </c>
      <c r="Y4" s="155" t="s">
        <v>387</v>
      </c>
      <c r="Z4" s="155" t="s">
        <v>386</v>
      </c>
      <c r="AA4" s="155" t="s">
        <v>385</v>
      </c>
      <c r="AB4" s="209"/>
      <c r="AC4" s="154" t="s">
        <v>384</v>
      </c>
      <c r="AD4" s="154" t="s">
        <v>383</v>
      </c>
      <c r="AE4" s="154" t="s">
        <v>382</v>
      </c>
      <c r="AF4" s="154" t="s">
        <v>381</v>
      </c>
      <c r="AG4" s="154" t="s">
        <v>380</v>
      </c>
      <c r="AH4" s="154" t="s">
        <v>379</v>
      </c>
      <c r="AI4" s="154" t="s">
        <v>94</v>
      </c>
      <c r="AJ4" s="154" t="s">
        <v>378</v>
      </c>
      <c r="AK4" s="154" t="s">
        <v>377</v>
      </c>
      <c r="AL4" s="209"/>
      <c r="AM4" s="154" t="s">
        <v>376</v>
      </c>
      <c r="AN4" s="154" t="s">
        <v>375</v>
      </c>
      <c r="AO4" s="154" t="s">
        <v>374</v>
      </c>
      <c r="AP4" s="154" t="s">
        <v>373</v>
      </c>
      <c r="AQ4" s="154" t="s">
        <v>372</v>
      </c>
      <c r="AR4" s="154" t="s">
        <v>371</v>
      </c>
      <c r="AS4" s="154" t="s">
        <v>370</v>
      </c>
      <c r="AT4" s="154" t="s">
        <v>369</v>
      </c>
      <c r="AU4" s="154" t="s">
        <v>368</v>
      </c>
      <c r="AV4" s="154" t="s">
        <v>367</v>
      </c>
      <c r="AW4" s="154" t="s">
        <v>366</v>
      </c>
      <c r="AX4" s="154" t="s">
        <v>365</v>
      </c>
      <c r="AY4" s="154" t="s">
        <v>364</v>
      </c>
      <c r="AZ4" s="209"/>
      <c r="BA4" s="153" t="s">
        <v>363</v>
      </c>
      <c r="BB4" s="153" t="s">
        <v>362</v>
      </c>
      <c r="BC4" s="153" t="s">
        <v>361</v>
      </c>
      <c r="BD4" s="153" t="s">
        <v>360</v>
      </c>
      <c r="BE4" s="153" t="s">
        <v>359</v>
      </c>
      <c r="BF4" s="153" t="s">
        <v>358</v>
      </c>
      <c r="BG4" s="153" t="s">
        <v>357</v>
      </c>
      <c r="BH4" s="153" t="s">
        <v>356</v>
      </c>
      <c r="BI4" s="153" t="s">
        <v>355</v>
      </c>
      <c r="BJ4" s="209"/>
    </row>
    <row r="5" spans="1:62" s="114" customFormat="1" ht="11" customHeight="1" x14ac:dyDescent="0.15">
      <c r="A5" s="124" t="s">
        <v>259</v>
      </c>
      <c r="B5" s="134"/>
      <c r="C5" s="134"/>
      <c r="D5" s="151" t="str">
        <f>IF(ETPT_TJ_DDG!$D$5="","",ETPT_TJ_DDG!$D$5)</f>
        <v/>
      </c>
      <c r="E5" s="134" t="s">
        <v>354</v>
      </c>
      <c r="F5" s="134" t="s">
        <v>353</v>
      </c>
      <c r="G5" s="183">
        <f>SUMIFS( INDEX( 'ETPT Format DDG'!$A:$EF,,MATCH("Temps ventilés sur la période (contentieux civils et sociaux)",'ETPT Format DDG'!2:2,0)),'ETPT Format DDG'!$C:$C,$D$5,'ETPT Format DDG'!$EA:$EA,"Fonctionnaire CTECH")</f>
        <v>0</v>
      </c>
      <c r="H5" s="132">
        <f t="shared" ref="H5:H15" si="0">SUM(G5)</f>
        <v>0</v>
      </c>
      <c r="I5" s="131" t="e">
        <f>SUMIFS( INDEX( 'ETPT Format DDG'!$A:$EF,,MATCH("11.8. FONCTIONNAIRES AFFECTÉS AUX ACTIVITÉS CIVILES ET COMMERCIALES DU PARQUET",'ETPT Format DDG'!2:2,0)),'ETPT Format DDG'!$C:$C,$D$5,'ETPT Format DDG'!$EA:$EA,"Fonctionnaire A-B-CBUR")</f>
        <v>#N/A</v>
      </c>
      <c r="J5" s="148"/>
      <c r="K5" s="148"/>
      <c r="L5" s="148"/>
      <c r="M5" s="148"/>
      <c r="N5" s="148"/>
      <c r="O5" s="148"/>
      <c r="P5" s="131" t="e">
        <f>SUMIFS( INDEX( 'ETPT Format DDG'!$A:$EF,,MATCH("3.2. PROTECTION DES MAJEURS",'ETPT Format DDG'!2:2,0)),'ETPT Format DDG'!$C:$C,$D$5,'ETPT Format DDG'!$EA:$EA,"Fonctionnaire A-B-CBUR")</f>
        <v>#N/A</v>
      </c>
      <c r="Q5" s="131" t="e">
        <f>SUMIFS( INDEX( 'ETPT Format DDG'!$A:$EF,,MATCH("3. TOTAL CONTENTIEUX DE LA PROTECTION",'ETPT Format DDG'!2:2,0)),'ETPT Format DDG'!$C:$C,$D$5,'ETPT Format DDG'!$EA:$EA,"Fonctionnaire A-B-CBUR")-
SUMIFS( INDEX( 'ETPT Format DDG'!$A:$EF,,MATCH("3.2. PROTECTION DES MAJEURS",'ETPT Format DDG'!2:2,0)),'ETPT Format DDG'!$C:$C,$D$5,'ETPT Format DDG'!$EA:$EA,"Fonctionnaire A-B-CBUR")-
SUMIFS( INDEX( 'ETPT Format DDG'!$A:$EF,,MATCH("3.43. INJONCTIONS DE PAYER",'ETPT Format DDG'!2:2,0)),'ETPT Format DDG'!$C:$C,$D$5,'ETPT Format DDG'!$EA:$EA,"Fonctionnaire A-B-CBUR")-
SUMIFS( INDEX( 'ETPT Format DDG'!$A:$EF,,MATCH("3.44. SAISIE DES RÉMUNÉRATIONS",'ETPT Format DDG'!2:2,0)),'ETPT Format DDG'!$C:$C,$D$5,'ETPT Format DDG'!$EA:$EA,"Fonctionnaire A-B-CBUR")</f>
        <v>#N/A</v>
      </c>
      <c r="R5" s="131" t="e">
        <f>SUMIFS( INDEX( 'ETPT Format DDG'!$A:$EF,,MATCH("5. TOTAL JLD CIVIL",'ETPT Format DDG'!2:2,0)),'ETPT Format DDG'!$C:$C,$D$5,'ETPT Format DDG'!$EA:$EA,"Fonctionnaire A-B-CBUR")
+SUMIFS( INDEX( 'ETPT Format DDG'!$A:$EF,,MATCH("6.1. ACTIVITÉ CIVILE",'ETPT Format DDG'!2:2,0)),'ETPT Format DDG'!$C:$C,$D$5,'ETPT Format DDG'!$EA:$EA,"Fonctionnaire A-B-CBUR")</f>
        <v>#N/A</v>
      </c>
      <c r="S5" s="131" t="e">
        <f>SUMIFS( INDEX( 'ETPT Format DDG'!$A:$EF,,MATCH("3.43. INJONCTIONS DE PAYER",'ETPT Format DDG'!2:2,0)),'ETPT Format DDG'!$C:$C,$D$5,'ETPT Format DDG'!$EA:$EA,"Fonctionnaire A-B-CBUR")+
SUMIFS( INDEX( 'ETPT Format DDG'!$A:$EF,,MATCH("3.44. SAISIE DES RÉMUNÉRATIONS",'ETPT Format DDG'!2:2,0)),'ETPT Format DDG'!$C:$C,$D$5,'ETPT Format DDG'!$EA:$EA,"Fonctionnaire A-B-CBUR")</f>
        <v>#N/A</v>
      </c>
      <c r="T5" s="131" t="e">
        <f>SUMIFS( INDEX( 'ETPT Format DDG'!$A:$EF,,MATCH("4.0. CONTENTIEUX GÉNÉRAL &lt;10.000€",'ETPT Format DDG'!2:2,0)),'ETPT Format DDG'!$C:$C,$D$5,'ETPT Format DDG'!$EA:$EA,"Fonctionnaire A-B-CBUR")</f>
        <v>#N/A</v>
      </c>
      <c r="U5" s="131" t="e">
        <f>SUMIFS( INDEX( 'ETPT Format DDG'!$A:$EF,,MATCH("1. TOTAL CONTENTIEUX SOCIAL",'ETPT Format DDG'!2:2,0)),'ETPT Format DDG'!$C:$C,$D$5,'ETPT Format DDG'!$EA:$EA,"Fonctionnaire A-B-CBUR")</f>
        <v>#N/A</v>
      </c>
      <c r="V5" s="131" t="e">
        <f>SUMIFS( INDEX( 'ETPT Format DDG'!$A:$EF,,MATCH("Temps ventilés sur la période (contentieux civils et sociaux)",'ETPT Format DDG'!2:2,0)),'ETPT Format DDG'!$C:$C,$D$5,'ETPT Format DDG'!$EA:$EA,"Fonctionnaire A-B-CBUR")-SUM(K5:U5)</f>
        <v>#N/A</v>
      </c>
      <c r="W5" s="119" t="e">
        <f>SUM(I5:V5)</f>
        <v>#N/A</v>
      </c>
      <c r="X5" s="137">
        <f>SUMIFS( INDEX( 'ETPT Format DDG'!$A:$EF,,MATCH("Temps ventilés sur la période (contentieux civils et sociaux)",'ETPT Format DDG'!2:2,0)),'ETPT Format DDG'!$C:$C,$D$5,'ETPT Format DDG'!$EA:$EA,"CONT A JP Autour du Juge")</f>
        <v>0</v>
      </c>
      <c r="Y5" s="150">
        <f>SUMIFS( INDEX( 'ETPT Format DDG'!$A:$EF,,MATCH("Temps ventilés sur la période (contentieux civils et sociaux)",'ETPT Format DDG'!2:2,0)),'ETPT Format DDG'!$C:$C,$D$5,'ETPT Format DDG'!$EA:$EA,"JURISTE AS Parquet")</f>
        <v>0</v>
      </c>
      <c r="Z5" s="150">
        <f>SUMIFS( INDEX( 'ETPT Format DDG'!$A:$EF,,MATCH("Temps ventilés sur la période (contentieux civils et sociaux)",'ETPT Format DDG'!2:2,0)),'ETPT Format DDG'!$C:$C,$D$5,'ETPT Format DDG'!$EA:$EA,"JURISTE AS Pôle social")</f>
        <v>0</v>
      </c>
      <c r="AA5" s="149">
        <f>SUMIFS( INDEX( 'ETPT Format DDG'!$A:$EF,,MATCH("Temps ventilés sur la période (contentieux civils et sociaux)",'ETPT Format DDG'!2:2,0)),'ETPT Format DDG'!$C:$C,$D$5,'ETPT Format DDG'!$EA:$EA,"JURISTE AS siège Autres")</f>
        <v>0</v>
      </c>
      <c r="AB5" s="119">
        <f t="shared" ref="AB5:AB15" si="1">SUM(X5:AA5)</f>
        <v>0</v>
      </c>
      <c r="AC5" s="128" t="e">
        <f>SUMIFS( INDEX( 'ETPT Format DDG'!$A:$EF,,MATCH("3.2. PROTECTION DES MAJEURS",'ETPT Format DDG'!2:2,0)),'ETPT Format DDG'!$C:$C,$D$5,'ETPT Format DDG'!$EA:$EA,"Magistrat SIEGE NS")+
SUMIFS( INDEX( 'ETPT Format DDG'!$A:$EF,,MATCH("3.2. PROTECTION DES MAJEURS",'ETPT Format DDG'!2:2,0)),'ETPT Format DDG'!$C:$C,$D$5,'ETPT Format DDG'!$EA:$EA,"Magistrat SIEGE S")</f>
        <v>#N/A</v>
      </c>
      <c r="AD5" s="126" t="e">
        <f>SUMIFS( INDEX( 'ETPT Format DDG'!$A:$EF,,MATCH("3. TOTAL CONTENTIEUX DE LA PROTECTION",'ETPT Format DDG'!2:2,0)),'ETPT Format DDG'!$C:$C,$D$5,'ETPT Format DDG'!$EA:$EA,"Magistrat SIEGE NS")+
SUMIFS( INDEX( 'ETPT Format DDG'!$A:$EF,,MATCH("3. TOTAL CONTENTIEUX DE LA PROTECTION",'ETPT Format DDG'!2:2,0)),'ETPT Format DDG'!$C:$C,$D$5,'ETPT Format DDG'!$EA:$EA,"Magistrat SIEGE S")-
SUMIFS( INDEX( 'ETPT Format DDG'!$A:$EF,,MATCH("3.2. PROTECTION DES MAJEURS",'ETPT Format DDG'!2:2,0)),'ETPT Format DDG'!$C:$C,$D$5,'ETPT Format DDG'!$EA:$EA,"Magistrat SIEGE NS")-
SUMIFS( INDEX( 'ETPT Format DDG'!$A:$EF,,MATCH("3.2. PROTECTION DES MAJEURS",'ETPT Format DDG'!2:2,0)),'ETPT Format DDG'!$C:$C,$D$5,'ETPT Format DDG'!$EA:$EA,"Magistrat SIEGE S")-
SUMIFS( INDEX( 'ETPT Format DDG'!$A:$EF,,MATCH("3.43. INJONCTIONS DE PAYER",'ETPT Format DDG'!2:2,0)),'ETPT Format DDG'!$C:$C,$D$5,'ETPT Format DDG'!$EA:$EA,"Magistrat SIEGE NS")-
SUMIFS( INDEX( 'ETPT Format DDG'!$A:$EF,,MATCH("3.43. INJONCTIONS DE PAYER",'ETPT Format DDG'!2:2,0)),'ETPT Format DDG'!$C:$C,$D$5,'ETPT Format DDG'!$EA:$EA,"Magistrat SIEGE S")-
SUMIFS( INDEX( 'ETPT Format DDG'!$A:$EF,,MATCH("3.44. SAISIE DES RÉMUNÉRATIONS",'ETPT Format DDG'!2:2,0)),'ETPT Format DDG'!$C:$C,$D$5,'ETPT Format DDG'!$EA:$EA,"Magistrat SIEGE NS")-
SUMIFS( INDEX( 'ETPT Format DDG'!$A:$EF,,MATCH("3.44. SAISIE DES RÉMUNÉRATIONS",'ETPT Format DDG'!2:2,0)),'ETPT Format DDG'!$C:$C,$D$5,'ETPT Format DDG'!$EA:$EA,"Magistrat SIEGE S")</f>
        <v>#N/A</v>
      </c>
      <c r="AE5" s="145"/>
      <c r="AF5" s="145"/>
      <c r="AG5" s="145"/>
      <c r="AH5" s="145"/>
      <c r="AI5" s="145"/>
      <c r="AJ5" s="126" t="e">
        <f>SUMIFS( INDEX( 'ETPT Format DDG'!$A:$EF,,MATCH("6.1. ACTIVITÉ CIVILE",'ETPT Format DDG'!2:2,0)),'ETPT Format DDG'!$EA:$EA,"Magistrat SIEGE NS")+
SUMIFS( INDEX( 'ETPT Format DDG'!$A:$EF,,MATCH("6.1. ACTIVITÉ CIVILE",'ETPT Format DDG'!2:2,0)),'ETPT Format DDG'!$EA:$EA,"Magistrat SIEGE S")</f>
        <v>#N/A</v>
      </c>
      <c r="AK5" s="126" t="e">
        <f>SUMIFS( INDEX( 'ETPT Format DDG'!$A:$EF,,MATCH("5. TOTAL JLD CIVIL",'ETPT Format DDG'!2:2,0)),'ETPT Format DDG'!$EA:$EA,"Magistrat SIEGE NS")+
SUMIFS( INDEX( 'ETPT Format DDG'!$A:$EF,,MATCH("5. TOTAL JLD CIVIL",'ETPT Format DDG'!2:2,0)),'ETPT Format DDG'!$EA:$EA,"Magistrat SIEGE S")</f>
        <v>#N/A</v>
      </c>
      <c r="AL5" s="119" t="e">
        <f t="shared" ref="AL5:AL15" si="2">SUM(AC5:AK5)</f>
        <v>#N/A</v>
      </c>
      <c r="AM5" s="145"/>
      <c r="AN5" s="145"/>
      <c r="AO5" s="145"/>
      <c r="AP5" s="145"/>
      <c r="AQ5" s="145"/>
      <c r="AR5" s="145"/>
      <c r="AS5" s="128" t="e">
        <f>SUMIFS( INDEX( 'ETPT Format DDG'!$A:$EF,,MATCH("1.1. DÉPARTAGE PRUD'HOMAL",'ETPT Format DDG'!2:2,0)),'ETPT Format DDG'!$C:$C,$D$5,'ETPT Format DDG'!$EA:$EA,"Magistrat SIEGE NS")</f>
        <v>#N/A</v>
      </c>
      <c r="AT5" s="126" t="e">
        <f>SUMIFS( INDEX( 'ETPT Format DDG'!$A:$EF,,MATCH("4.0. CONTENTIEUX GÉNÉRAL &lt;10.000€",'ETPT Format DDG'!2:2,0)),'ETPT Format DDG'!$C:$C,$D$5,'ETPT Format DDG'!$EA:$EA,"Magistrat SIEGE NS")</f>
        <v>#N/A</v>
      </c>
      <c r="AU5" s="126" t="e">
        <f>SUMIFS( INDEX( 'ETPT Format DDG'!$A:$EF,,MATCH("3.43. INJONCTIONS DE PAYER",'ETPT Format DDG'!2:2,0)),'ETPT Format DDG'!$C:$C,$D$5,'ETPT Format DDG'!$EA:$EA,"Magistrat SIEGE NS")+
SUMIFS( INDEX( 'ETPT Format DDG'!$A:$EF,,MATCH("3.44. SAISIE DES RÉMUNÉRATIONS",'ETPT Format DDG'!2:2,0)),'ETPT Format DDG'!$C:$C,$D$5,'ETPT Format DDG'!$EA:$EA,"Magistrat SIEGE NS")</f>
        <v>#N/A</v>
      </c>
      <c r="AV5" s="126" t="e">
        <f>SUMIFS( INDEX( 'ETPT Format DDG'!$A:$EF,,MATCH("1. TOTAL CONTENTIEUX SOCIAL",'ETPT Format DDG'!2:2,0)),'ETPT Format DDG'!$C:$C,$D$5,'ETPT Format DDG'!$EA:$EA,"Magistrat SIEGE NS")-
SUMIFS( INDEX( 'ETPT Format DDG'!$A:$EF,,MATCH("1.1. DÉPARTAGE PRUD'HOMAL",'ETPT Format DDG'!2:2,0)),'ETPT Format DDG'!$C:$C,$D$5,'ETPT Format DDG'!$EA:$EA,"Magistrat SIEGE NS")</f>
        <v>#N/A</v>
      </c>
      <c r="AW5" s="126" t="e">
        <f>SUMIFS( INDEX( 'ETPT Format DDG'!$A:$EF,,MATCH("2. TOTAL CONTENTIEUX JAF",'ETPT Format DDG'!2:2,0)),'ETPT Format DDG'!$C:$C,$D$5,'ETPT Format DDG'!$EA:$EA,"Magistrat SIEGE NS")</f>
        <v>#N/A</v>
      </c>
      <c r="AX5" s="128" t="e">
        <f>SUMIFS( INDEX( 'ETPT Format DDG'!$A:$EF,,MATCH("Temps ventilés sur la période (contentieux civils et sociaux)",'ETPT Format DDG'!2:2,0)),'ETPT Format DDG'!$C:$C,$D$5,'ETPT Format DDG'!$EA:$EA,"Magistrat SIEGE S")-
SUMIFS( INDEX( 'ETPT Format DDG'!$A:$EF,,MATCH("3. TOTAL CONTENTIEUX DE LA PROTECTION",'ETPT Format DDG'!2:2,0)),'ETPT Format DDG'!$C:$C,$D$5,'ETPT Format DDG'!$EA:$EA,"Magistrat SIEGE S")+
SUMIFS( INDEX( 'ETPT Format DDG'!$A:$EF,,MATCH("3.43. INJONCTIONS DE PAYER",'ETPT Format DDG'!2:2,0)),'ETPT Format DDG'!$C:$C,$D$5,'ETPT Format DDG'!$EA:$EA,"Magistrat SIEGE S")+
SUMIFS( INDEX( 'ETPT Format DDG'!$A:$EF,,MATCH("3.44. SAISIE DES RÉMUNÉRATIONS",'ETPT Format DDG'!2:2,0)),'ETPT Format DDG'!$C:$C,$D$5,'ETPT Format DDG'!$EA:$EA,"Magistrat SIEGE S")-
SUMIFS( INDEX( 'ETPT Format DDG'!$A:$EF,,MATCH("6.1. ACTIVITÉ CIVILE",'ETPT Format DDG'!2:2,0)),'ETPT Format DDG'!$C:$C,$D$5,'ETPT Format DDG'!$EA:$EA,"Magistrat SIEGE S")-
SUMIFS( INDEX( 'ETPT Format DDG'!$A:$EF,,MATCH("5. TOTAL JLD CIVIL",'ETPT Format DDG'!2:2,0)),'ETPT Format DDG'!$C:$C,$D$5,'ETPT Format DDG'!$EA:$EA,"Magistrat SIEGE S")</f>
        <v>#N/A</v>
      </c>
      <c r="AY5" s="128" t="e">
        <f>SUMIFS( INDEX( 'ETPT Format DDG'!$A:$EF,,MATCH("Temps ventilés sur la période (contentieux civils et sociaux)",'ETPT Format DDG'!2:2,0)),'ETPT Format DDG'!$C:$C,$D$5,'ETPT Format DDG'!$EA:$EA,"Magistrat SIEGE NS")-
SUMIFS( INDEX( 'ETPT Format DDG'!$A:$EF,,MATCH("3.2. PROTECTION DES MAJEURS",'ETPT Format DDG'!2:2,0)),'ETPT Format DDG'!$C:$C,$D$5,'ETPT Format DDG'!$EA:$EA,"Magistrat SIEGE NS")-
(SUMIFS( INDEX( 'ETPT Format DDG'!$A:$EF,,MATCH("3. TOTAL CONTENTIEUX DE LA PROTECTION",'ETPT Format DDG'!2:2,0)),'ETPT Format DDG'!$C:$C,$D$5,'ETPT Format DDG'!$EA:$EA,"Magistrat SIEGE NS")-
SUMIFS( INDEX( 'ETPT Format DDG'!$A:$EF,,MATCH("3.2. PROTECTION DES MAJEURS",'ETPT Format DDG'!2:2,0)),'ETPT Format DDG'!$C:$C,$D$5,'ETPT Format DDG'!$EA:$EA,"Magistrat SIEGE NS")-
SUMIFS( INDEX( 'ETPT Format DDG'!$A:$EF,,MATCH("3.43. INJONCTIONS DE PAYER",'ETPT Format DDG'!2:2,0)),'ETPT Format DDG'!$C:$C,$D$5,'ETPT Format DDG'!$EA:$EA,"Magistrat SIEGE NS")-
SUMIFS( INDEX( 'ETPT Format DDG'!$A:$EF,,MATCH("3.44. SAISIE DES RÉMUNÉRATIONS",'ETPT Format DDG'!2:2,0)),'ETPT Format DDG'!$C:$C,$D$5,'ETPT Format DDG'!$EA:$EA,"Magistrat SIEGE NS"))-
SUMIFS( INDEX( 'ETPT Format DDG'!$A:$EF,,MATCH("6.1. ACTIVITÉ CIVILE",'ETPT Format DDG'!2:2,0)),'ETPT Format DDG'!$C:$C,$D$5,'ETPT Format DDG'!$EA:$EA,"Magistrat SIEGE NS")-
SUMIFS( INDEX( 'ETPT Format DDG'!$A:$EF,,MATCH("5. TOTAL JLD CIVIL",'ETPT Format DDG'!2:2,0)),'ETPT Format DDG'!$C:$C,$D$5,'ETPT Format DDG'!$EA:$EA,"Magistrat SIEGE NS")-
SUM(AS5:AW5)</f>
        <v>#N/A</v>
      </c>
      <c r="AZ5" s="119" t="e">
        <f t="shared" ref="AZ5:AZ15" si="3">SUM(AM5:AY5)</f>
        <v>#N/A</v>
      </c>
      <c r="BA5" s="125"/>
      <c r="BB5" s="125"/>
      <c r="BC5" s="143"/>
      <c r="BD5" s="143"/>
      <c r="BE5" s="143"/>
      <c r="BF5" s="143"/>
      <c r="BG5" s="143"/>
      <c r="BH5" s="143"/>
      <c r="BI5" s="125"/>
      <c r="BJ5" s="119">
        <f t="shared" ref="BJ5:BJ15" si="4">SUM(BA5:BI5)</f>
        <v>0</v>
      </c>
    </row>
    <row r="6" spans="1:62" s="114" customFormat="1" ht="12" x14ac:dyDescent="0.15">
      <c r="A6" s="124" t="s">
        <v>259</v>
      </c>
      <c r="B6" s="134"/>
      <c r="C6" s="134"/>
      <c r="D6" s="135" t="str">
        <f t="shared" ref="D6:D15" si="5">$D$5</f>
        <v/>
      </c>
      <c r="E6" s="134" t="s">
        <v>339</v>
      </c>
      <c r="F6" s="134" t="s">
        <v>338</v>
      </c>
      <c r="G6" s="139">
        <f>SUMIFS( INDEX( 'ETPT Format DDG'!$A:$EF,,MATCH("Temps ventilés sur la période (affaires pénales)",'ETPT Format DDG'!2:2,0)),'ETPT Format DDG'!$EA:$EA,"Fonctionnaire CTECH")</f>
        <v>0</v>
      </c>
      <c r="H6" s="132">
        <f t="shared" si="0"/>
        <v>0</v>
      </c>
      <c r="I6" s="148"/>
      <c r="J6" s="131" t="e">
        <f>SUMIFS( INDEX( 'ETPT Format DDG'!$A:$EF,,MATCH("11.9. FONCTIONNAIRES AFFECTÉS À L'EXÉCUTION DES PEINES",'ETPT Format DDG'!2:2,0)),'ETPT Format DDG'!$EA:$EA,"Fonctionnaire A-B-CBUR")</f>
        <v>#N/A</v>
      </c>
      <c r="K6" s="131" t="e">
        <f>SUMIFS( INDEX( 'ETPT Format DDG'!$A:$EF,,MATCH("7.5. COUR D'ASSISES HORS JIRS",'ETPT Format DDG'!2:2,0)),'ETPT Format DDG'!$EA:$EA,"Fonctionnaire A-B-CBUR")+
SUMIFS( INDEX( 'ETPT Format DDG'!$A:$EF,,MATCH("7.51. COUR D'ASSISES JIRS",'ETPT Format DDG'!2:2,0)),'ETPT Format DDG'!$EA:$EA,"Fonctionnaire A-B-CBUR")</f>
        <v>#N/A</v>
      </c>
      <c r="L6" s="131" t="e">
        <f>SUMIFS( INDEX( 'ETPT Format DDG'!$A:$EF,,MATCH("7.52. COUR CRIMINELLE",'ETPT Format DDG'!2:2,0)),'ETPT Format DDG'!$EA:$EA,"Fonctionnaire A-B-CBUR")</f>
        <v>#N/A</v>
      </c>
      <c r="M6" s="131" t="e">
        <f>SUMIFS( INDEX( 'ETPT Format DDG'!$A:$EF,,MATCH("8.2. JIRS ÉCO-FI",'ETPT Format DDG'!2:2,0)),'ETPT Format DDG'!$EA:$EA,"Fonctionnaire A-B-CBUR")</f>
        <v>#N/A</v>
      </c>
      <c r="N6" s="131" t="e">
        <f>SUMIFS( INDEX( 'ETPT Format DDG'!$A:$EF,,MATCH("8.3. JIRS CRIM-ORG",'ETPT Format DDG'!2:2,0)),'ETPT Format DDG'!$EA:$EA,"Fonctionnaire A-B-CBUR")</f>
        <v>#N/A</v>
      </c>
      <c r="O6" s="131" t="e">
        <f>SUMIFS( INDEX( 'ETPT Format DDG'!$A:$EF,,MATCH("8.4. AUTRES SECTIONS SPÉCIALISÉES",'ETPT Format DDG'!2:2,0)),'ETPT Format DDG'!$EA:$EA,"Fonctionnaire A-B-CBUR")</f>
        <v>#N/A</v>
      </c>
      <c r="P6" s="148"/>
      <c r="Q6" s="148"/>
      <c r="R6" s="147" t="e">
        <f>SUMIFS( INDEX( 'ETPT Format DDG'!$A:$EF,,MATCH("6.2. ACTIVITÉ PÉNALE",'ETPT Format DDG'!2:2,0)),'ETPT Format DDG'!$EA:$EA,"Fonctionnaire A-B-CBUR")+
(SUMIFS( INDEX( 'ETPT Format DDG'!$A:$EF,,MATCH("8. TOTAL JUGES D'INSTRUCTION",'ETPT Format DDG'!2:2,0)),'ETPT Format DDG'!$EA:$EA,"Fonctionnaire A-B-CBUR")-
SUMIFS( INDEX( 'ETPT Format DDG'!$A:$EF,,MATCH("8.2. JIRS ÉCO-FI",'ETPT Format DDG'!2:2,0)),'ETPT Format DDG'!$EA:$EA,"Fonctionnaire A-B-CBUR")-
SUMIFS( INDEX( 'ETPT Format DDG'!$A:$EF,,MATCH("8.3. JIRS CRIM-ORG",'ETPT Format DDG'!2:2,0)),'ETPT Format DDG'!$EA:$EA,"Fonctionnaire A-B-CBUR")-
SUMIFS( INDEX( 'ETPT Format DDG'!$A:$EF,,MATCH("8.4. AUTRES SECTIONS SPÉCIALISÉES",'ETPT Format DDG'!2:2,0)),'ETPT Format DDG'!$EA:$EA,"Fonctionnaire A-B-CBUR"))+
SUMIFS( INDEX( 'ETPT Format DDG'!$A:$EF,,MATCH("9. TOTAL JAP",'ETPT Format DDG'!2:2,0)),'ETPT Format DDG'!$EA:$EA,"Fonctionnaire A-B-CBUR")+
SUMIFS( INDEX( 'ETPT Format DDG'!$A:$EF,,MATCH("10. TOTAL JLD PÉNAL",'ETPT Format DDG'!2:2,0)),'ETPT Format DDG'!$EA:$EA,"Fonctionnaire A-B-CBUR")</f>
        <v>#N/A</v>
      </c>
      <c r="S6" s="146"/>
      <c r="T6" s="146"/>
      <c r="U6" s="146"/>
      <c r="V6" s="131" t="e">
        <f>SUMIFS( INDEX( 'ETPT Format DDG'!$A:$EF,,MATCH("Temps ventilés sur la période (affaires pénales)",'ETPT Format DDG'!2:2,0)),'ETPT Format DDG'!$EA:$EA,"Fonctionnaire A-B-CBUR")+
SUMIFS( INDEX( 'ETPT Format DDG'!$A:$EF,,MATCH("11.10. AUTRES FONCTIONNAIRES AFFECTÉS AU PARQUET",'ETPT Format DDG'!2:2,0)),'ETPT Format DDG'!$EA:$EA,"Fonctionnaire A-B-CBUR")-
SUM(K6:U6)</f>
        <v>#N/A</v>
      </c>
      <c r="W6" s="119" t="e">
        <f t="shared" ref="W6:W15" si="6">SUM(I6:V6)</f>
        <v>#N/A</v>
      </c>
      <c r="X6" s="137" t="e">
        <f>SUMIFS( INDEX( 'ETPT Format DDG'!$A:$EF,,MATCH("Temps ventilés sur la période (affaires pénales)",'ETPT Format DDG'!2:2,0)),'ETPT Format DDG'!$EA:$EA,"CONT A JP Autour du Juge")+
SUMIFS( INDEX( 'ETPT Format DDG'!$A:$EF,,MATCH("11.10. AUTRES FONCTIONNAIRES AFFECTÉS AU PARQUET",'ETPT Format DDG'!2:2,0)),'ETPT Format DDG'!$EA:$EA,"CONT A JP Autour du Juge")</f>
        <v>#N/A</v>
      </c>
      <c r="Y6" s="137" t="e">
        <f>SUMIFS( INDEX( 'ETPT Format DDG'!$A:$EF,,MATCH("Temps ventilés sur la période (affaires pénales)",'ETPT Format DDG'!2:2,0)),'ETPT Format DDG'!$EA:$EA,"JURISTE AS Parquet")+
SUMIFS( INDEX( 'ETPT Format DDG'!$A:$EF,,MATCH("11.10. AUTRES FONCTIONNAIRES AFFECTÉS AU PARQUET",'ETPT Format DDG'!2:2,0)),'ETPT Format DDG'!$EA:$EA,"JURISTE AS Parquet")</f>
        <v>#N/A</v>
      </c>
      <c r="Z6" s="137" t="e">
        <f>SUMIFS( INDEX( 'ETPT Format DDG'!$A:$EF,,MATCH("Temps ventilés sur la période (affaires pénales)",'ETPT Format DDG'!2:2,0)),'ETPT Format DDG'!$EA:$EA,"JURISTE AS Pôle social")+
SUMIFS( INDEX( 'ETPT Format DDG'!$A:$EF,,MATCH("11.10. AUTRES FONCTIONNAIRES AFFECTÉS AU PARQUET",'ETPT Format DDG'!2:2,0)),'ETPT Format DDG'!$EA:$EA,"JURISTE AS Pôle social")</f>
        <v>#N/A</v>
      </c>
      <c r="AA6" s="137" t="e">
        <f>SUMIFS( INDEX( 'ETPT Format DDG'!$A:$EF,,MATCH("Temps ventilés sur la période (affaires pénales)",'ETPT Format DDG'!2:2,0)),'ETPT Format DDG'!$EA:$EA,"JURISTE AS siège Autres")+
SUMIFS( INDEX( 'ETPT Format DDG'!$A:$EF,,MATCH("11.10. AUTRES FONCTIONNAIRES AFFECTÉS AU PARQUET",'ETPT Format DDG'!2:2,0)),'ETPT Format DDG'!$EA:$EA,"JURISTE AS siège Autres")</f>
        <v>#N/A</v>
      </c>
      <c r="AB6" s="119" t="e">
        <f t="shared" si="1"/>
        <v>#N/A</v>
      </c>
      <c r="AC6" s="145"/>
      <c r="AD6" s="145"/>
      <c r="AE6" s="126" t="e">
        <f>SUMIFS( INDEX( 'ETPT Format DDG'!$A:$EF,,MATCH("8.1. SERVICE GÉNÉRAL",'ETPT Format DDG'!2:2,0)),'ETPT Format DDG'!$EA:$EA,"Magistrat SIEGE NS")+
SUMIFS( INDEX( 'ETPT Format DDG'!$A:$EF,,MATCH("8.1. SERVICE GÉNÉRAL",'ETPT Format DDG'!2:2,0)),'ETPT Format DDG'!$EA:$EA,"Magistrat SIEGE S")</f>
        <v>#N/A</v>
      </c>
      <c r="AF6" s="126" t="e">
        <f>SUMIFS( INDEX( 'ETPT Format DDG'!$A:$EF,,MATCH("8.2. JIRS ÉCO-FI",'ETPT Format DDG'!2:2,0)),'ETPT Format DDG'!$EA:$EA,"Magistrat SIEGE NS")+
SUMIFS( INDEX( 'ETPT Format DDG'!$A:$EF,,MATCH("8.2. JIRS ÉCO-FI",'ETPT Format DDG'!2:2,0)),'ETPT Format DDG'!$EA:$EA,"Magistrat SIEGE S")</f>
        <v>#N/A</v>
      </c>
      <c r="AG6" s="126" t="e">
        <f>SUMIFS( INDEX( 'ETPT Format DDG'!$A:$EF,,MATCH("8.3. JIRS CRIM-ORG",'ETPT Format DDG'!2:2,0)),'ETPT Format DDG'!$EA:$EA,"Magistrat SIEGE NS")+
SUMIFS( INDEX( 'ETPT Format DDG'!$A:$EF,,MATCH("8.3. JIRS CRIM-ORG",'ETPT Format DDG'!2:2,0)),'ETPT Format DDG'!$EA:$EA,"Magistrat SIEGE S")</f>
        <v>#N/A</v>
      </c>
      <c r="AH6" s="126" t="e">
        <f>SUMIFS( INDEX( 'ETPT Format DDG'!$A:$EF,,MATCH("8.4. AUTRES SECTIONS SPÉCIALISÉES",'ETPT Format DDG'!2:2,0)),'ETPT Format DDG'!$EA:$EA,"Magistrat SIEGE NS")+
SUMIFS( INDEX( 'ETPT Format DDG'!$A:$EF,,MATCH("8.4. AUTRES SECTIONS SPÉCIALISÉES",'ETPT Format DDG'!2:2,0)),'ETPT Format DDG'!$EA:$EA,"Magistrat SIEGE S")</f>
        <v>#N/A</v>
      </c>
      <c r="AI6" s="126" t="e">
        <f>SUMIFS( INDEX( 'ETPT Format DDG'!$A:$EF,,MATCH("9. TOTAL JAP",'ETPT Format DDG'!2:2,0)),'ETPT Format DDG'!$EA:$EA,"Magistrat SIEGE NS")+
SUMIFS( INDEX( 'ETPT Format DDG'!$A:$EF,,MATCH("9. TOTAL JAP",'ETPT Format DDG'!2:2,0)),'ETPT Format DDG'!$EA:$EA,"Magistrat SIEGE S")</f>
        <v>#N/A</v>
      </c>
      <c r="AJ6" s="126" t="e">
        <f>SUMIFS( INDEX( 'ETPT Format DDG'!$A:$EF,,MATCH("6.2. ACTIVITÉ PÉNALE",'ETPT Format DDG'!2:2,0)),'ETPT Format DDG'!$EA:$EA,"Magistrat SIEGE NS")+
SUMIFS( INDEX( 'ETPT Format DDG'!$A:$EF,,MATCH("6.2. ACTIVITÉ PÉNALE",'ETPT Format DDG'!2:2,0)),'ETPT Format DDG'!$EA:$EA,"Magistrat SIEGE S")</f>
        <v>#N/A</v>
      </c>
      <c r="AK6" s="126" t="e">
        <f>SUMIFS( INDEX( 'ETPT Format DDG'!$A:$EF,,MATCH("10. TOTAL JLD PÉNAL",'ETPT Format DDG'!2:2,0)),'ETPT Format DDG'!$EA:$EA,"Magistrat SIEGE NS")+
SUMIFS( INDEX( 'ETPT Format DDG'!$A:$EF,,MATCH("10. TOTAL JLD PÉNAL",'ETPT Format DDG'!2:2,0)),'ETPT Format DDG'!$EA:$EA,"Magistrat SIEGE S")</f>
        <v>#N/A</v>
      </c>
      <c r="AL6" s="119" t="e">
        <f t="shared" si="2"/>
        <v>#N/A</v>
      </c>
      <c r="AM6" s="126" t="e">
        <f>SUMIFS( INDEX( 'ETPT Format DDG'!$A:$EF,,MATCH("7.5. COUR D'ASSISES HORS JIRS",'ETPT Format DDG'!2:2,0)),'ETPT Format DDG'!$EA:$EA,"Magistrat SIEGE NS")+
SUMIFS( INDEX( 'ETPT Format DDG'!$A:$EF,,MATCH("7.51. COUR D'ASSISES JIRS",'ETPT Format DDG'!2:2,0)),'ETPT Format DDG'!$EA:$EA,"Magistrat SIEGE NS")</f>
        <v>#N/A</v>
      </c>
      <c r="AN6" s="126" t="e">
        <f>SUMIFS( INDEX( 'ETPT Format DDG'!$A:$EF,,MATCH("7.52. COUR CRIMINELLE",'ETPT Format DDG'!2:2,0)),'ETPT Format DDG'!$EA:$EA,"Magistrat SIEGE NS")</f>
        <v>#N/A</v>
      </c>
      <c r="AO6" s="126" t="e">
        <f>SUMIFS( INDEX( 'ETPT Format DDG'!$A:$EF,,MATCH("7.121. COLLÉGIALES JIRS ECO-FI",'ETPT Format DDG'!2:2,0)),'ETPT Format DDG'!$EA:$EA,"Magistrat SIEGE NS")</f>
        <v>#N/A</v>
      </c>
      <c r="AP6" s="126" t="e">
        <f>SUMIFS( INDEX( 'ETPT Format DDG'!$A:$EF,,MATCH("7.12. COLLÉGIALES JIRS CRIM-ORG",'ETPT Format DDG'!2:2,0)),'ETPT Format DDG'!$EA:$EA,"Magistrat SIEGE NS")</f>
        <v>#N/A</v>
      </c>
      <c r="AQ6" s="126" t="e">
        <f>SUMIFS( INDEX( 'ETPT Format DDG'!$A:$EF,,MATCH("7.122. COLLÉGIALES AUTRES SECTIONS SPÉCIALISÉES",'ETPT Format DDG'!2:2,0)),'ETPT Format DDG'!$EA:$EA,"Magistrat SIEGE NS")</f>
        <v>#N/A</v>
      </c>
      <c r="AR6" s="128" t="e">
        <f>SUMIFS( INDEX( 'ETPT Format DDG'!$A:$EF,,MATCH("7.6. TRIBUNAL DE POLICE",'ETPT Format DDG'!2:2,0)),'ETPT Format DDG'!$EA:$EA,"Magistrat SIEGE NS")+
SUMIFS( INDEX( 'ETPT Format DDG'!$A:$EF,,MATCH("7.7. OP CONTRAVENTIONNELLES",'ETPT Format DDG'!2:2,0)),'ETPT Format DDG'!$EA:$EA,"Magistrat SIEGE NS")</f>
        <v>#N/A</v>
      </c>
      <c r="AS6" s="145"/>
      <c r="AT6" s="145"/>
      <c r="AU6" s="145"/>
      <c r="AV6" s="145"/>
      <c r="AW6" s="145"/>
      <c r="AX6" s="128" t="e">
        <f>SUMIFS( INDEX( 'ETPT Format DDG'!$A:$EF,,MATCH("Temps ventilés sur la période (affaires pénales)",'ETPT Format DDG'!2:2,0)),'ETPT Format DDG'!$EA:$EA,"Magistrat SIEGE S")-
SUMIFS( INDEX( 'ETPT Format DDG'!$A:$EF,,MATCH("8.1. SERVICE GÉNÉRAL",'ETPT Format DDG'!2:2,0)),'ETPT Format DDG'!$EA:$EA,"Magistrat SIEGE S")-
SUMIFS( INDEX( 'ETPT Format DDG'!$A:$EF,,MATCH("8.2. JIRS ÉCO-FI",'ETPT Format DDG'!2:2,0)),'ETPT Format DDG'!$EA:$EA,"Magistrat SIEGE S")-
SUMIFS( INDEX( 'ETPT Format DDG'!$A:$EF,,MATCH("8.3. JIRS CRIM-ORG",'ETPT Format DDG'!2:2,0)),'ETPT Format DDG'!$EA:$EA,"Magistrat SIEGE S")-
SUMIFS( INDEX( 'ETPT Format DDG'!$A:$EF,,MATCH("8.4. AUTRES SECTIONS SPÉCIALISÉES",'ETPT Format DDG'!2:2,0)),'ETPT Format DDG'!$EA:$EA,"Magistrat SIEGE S")-
SUMIFS( INDEX( 'ETPT Format DDG'!$A:$EF,,MATCH("9. TOTAL JAP",'ETPT Format DDG'!2:2,0)),'ETPT Format DDG'!$EA:$EA,"Magistrat SIEGE S")-
SUMIFS( INDEX( 'ETPT Format DDG'!$A:$EF,,MATCH("6.2. ACTIVITÉ PÉNALE",'ETPT Format DDG'!2:2,0)),'ETPT Format DDG'!$EA:$EA,"Magistrat SIEGE S")-
SUMIFS( INDEX( 'ETPT Format DDG'!$A:$EF,,MATCH("10. TOTAL JLD PÉNAL",'ETPT Format DDG'!2:2,0)),'ETPT Format DDG'!$EA:$EA,"Magistrat SIEGE S")</f>
        <v>#N/A</v>
      </c>
      <c r="AY6" s="144" t="e">
        <f>SUMIFS( INDEX( 'ETPT Format DDG'!$A:$EF,,MATCH("Temps ventilés sur la période (affaires pénales)",'ETPT Format DDG'!2:2,0)),'ETPT Format DDG'!$EA:$EA,"Magistrat SIEGE NS")-
SUMIFS( INDEX( 'ETPT Format DDG'!$A:$EF,,MATCH("8.1. SERVICE GÉNÉRAL",'ETPT Format DDG'!2:2,0)),'ETPT Format DDG'!$EA:$EA,"Magistrat SIEGE NS")-
SUMIFS( INDEX( 'ETPT Format DDG'!$A:$EF,,MATCH("8.2. JIRS ÉCO-FI",'ETPT Format DDG'!2:2,0)),'ETPT Format DDG'!$EA:$EA,"Magistrat SIEGE NS")-
SUMIFS( INDEX( 'ETPT Format DDG'!$A:$EF,,MATCH("8.3. JIRS CRIM-ORG",'ETPT Format DDG'!2:2,0)),'ETPT Format DDG'!$EA:$EA,"Magistrat SIEGE NS")-
SUMIFS( INDEX( 'ETPT Format DDG'!$A:$EF,,MATCH("8.4. AUTRES SECTIONS SPÉCIALISÉES",'ETPT Format DDG'!2:2,0)),'ETPT Format DDG'!$EA:$EA,"Magistrat SIEGE NS")-
SUMIFS( INDEX( 'ETPT Format DDG'!$A:$EF,,MATCH("9. TOTAL JAP",'ETPT Format DDG'!2:2,0)),'ETPT Format DDG'!$EA:$EA,"Magistrat SIEGE NS")-
SUMIFS( INDEX( 'ETPT Format DDG'!$A:$EF,,MATCH("6.2. ACTIVITÉ PÉNALE",'ETPT Format DDG'!2:2,0)),'ETPT Format DDG'!$EA:$EA,"Magistrat SIEGE NS")-
SUMIFS( INDEX( 'ETPT Format DDG'!$A:$EF,,MATCH("10. TOTAL JLD PÉNAL",'ETPT Format DDG'!2:2,0)),'ETPT Format DDG'!$EA:$EA,"Magistrat SIEGE NS")-
SUM(AM6:AW6)</f>
        <v>#N/A</v>
      </c>
      <c r="AZ6" s="119" t="e">
        <f t="shared" si="3"/>
        <v>#N/A</v>
      </c>
      <c r="BA6" s="125"/>
      <c r="BB6" s="125"/>
      <c r="BC6" s="125"/>
      <c r="BD6" s="125"/>
      <c r="BE6" s="125"/>
      <c r="BF6" s="125"/>
      <c r="BG6" s="125"/>
      <c r="BH6" s="143"/>
      <c r="BI6" s="125"/>
      <c r="BJ6" s="119">
        <f>SUM(BA6:BI6)</f>
        <v>0</v>
      </c>
    </row>
    <row r="7" spans="1:62" s="114" customFormat="1" ht="14.25" customHeight="1" x14ac:dyDescent="0.15">
      <c r="A7" s="124" t="s">
        <v>259</v>
      </c>
      <c r="B7" s="134"/>
      <c r="C7" s="134"/>
      <c r="D7" s="135" t="str">
        <f t="shared" si="5"/>
        <v/>
      </c>
      <c r="E7" s="134" t="s">
        <v>312</v>
      </c>
      <c r="F7" s="134" t="s">
        <v>311</v>
      </c>
      <c r="G7" s="142"/>
      <c r="H7" s="132">
        <f t="shared" si="0"/>
        <v>0</v>
      </c>
      <c r="I7" s="136"/>
      <c r="J7" s="136"/>
      <c r="K7" s="136"/>
      <c r="L7" s="136"/>
      <c r="M7" s="136"/>
      <c r="N7" s="136"/>
      <c r="O7" s="136"/>
      <c r="P7" s="136"/>
      <c r="Q7" s="136"/>
      <c r="R7" s="136"/>
      <c r="S7" s="136"/>
      <c r="T7" s="136"/>
      <c r="U7" s="136"/>
      <c r="V7" s="136"/>
      <c r="W7" s="119">
        <f t="shared" si="6"/>
        <v>0</v>
      </c>
      <c r="X7" s="141"/>
      <c r="Y7" s="129"/>
      <c r="Z7" s="129"/>
      <c r="AA7" s="129"/>
      <c r="AB7" s="119">
        <f t="shared" si="1"/>
        <v>0</v>
      </c>
      <c r="AC7" s="136"/>
      <c r="AD7" s="126" t="e">
        <f>SUMIFS( INDEX( 'ETPT Format DDG'!$A:$EF,,MATCH("11.5. CSM",'ETPT Format DDG'!2:2,0)),'ETPT Format DDG'!$C:$C,$D$5,'ETPT Format DDG'!H:H,"JCP")+
SUMIFS( INDEX( 'ETPT Format DDG'!$A:$EF,,MATCH("11.5. CSM",'ETPT Format DDG'!2:2,0)),'ETPT Format DDG'!$C:$C,$D$5,'ETPT Format DDG'!H:H,"VPCP")+
SUMIFS( INDEX( 'ETPT Format DDG'!$A:$EF,,MATCH("11.5. CSM",'ETPT Format DDG'!2:2,0)),'ETPT Format DDG'!$C:$C,$D$5,'ETPT Format DDG'!H:H,"1VPCP")</f>
        <v>#N/A</v>
      </c>
      <c r="AE7" s="126" t="e">
        <f>SUMIFS( INDEX( 'ETPT Format DDG'!$A:$EF,,MATCH("11.5. CSM",'ETPT Format DDG'!2:2,0)),'ETPT Format DDG'!$C:$C,$D$5,'ETPT Format DDG'!H:H,"JI")+
SUMIFS( INDEX( 'ETPT Format DDG'!$A:$EF,,MATCH("11.5. CSM",'ETPT Format DDG'!2:2,0)),'ETPT Format DDG'!$C:$C,$D$5,'ETPT Format DDG'!H:H,"VPI")+
SUMIFS( INDEX( 'ETPT Format DDG'!$A:$EF,,MATCH("11.5. CSM",'ETPT Format DDG'!2:2,0)),'ETPT Format DDG'!$C:$C,$D$5,'ETPT Format DDG'!H:H,"1VPI")</f>
        <v>#N/A</v>
      </c>
      <c r="AF7" s="136"/>
      <c r="AG7" s="136"/>
      <c r="AH7" s="136"/>
      <c r="AI7" s="126" t="e">
        <f>SUMIFS( INDEX( 'ETPT Format DDG'!$A:$EF,,MATCH("11.5. CSM",'ETPT Format DDG'!2:2,0)),'ETPT Format DDG'!$C:$C,$D$5,'ETPT Format DDG'!H:H,"JAP")+
SUMIFS( INDEX( 'ETPT Format DDG'!$A:$EF,,MATCH("11.5. CSM",'ETPT Format DDG'!2:2,0)),'ETPT Format DDG'!$C:$C,$D$5,'ETPT Format DDG'!H:H,"VPAP")+
SUMIFS( INDEX( 'ETPT Format DDG'!$A:$EF,,MATCH("11.5. CSM",'ETPT Format DDG'!2:2,0)),'ETPT Format DDG'!$C:$C,$D$5,'ETPT Format DDG'!H:H,"1VPAP")</f>
        <v>#N/A</v>
      </c>
      <c r="AJ7" s="126" t="e">
        <f>SUMIFS( INDEX( 'ETPT Format DDG'!$A:$EF,,MATCH("11.5. CSM",'ETPT Format DDG'!2:2,0)),'ETPT Format DDG'!$C:$C,$D$5,'ETPT Format DDG'!H:H,"JE")+
SUMIFS( INDEX( 'ETPT Format DDG'!$A:$EF,,MATCH("11.5. CSM",'ETPT Format DDG'!2:2,0)),'ETPT Format DDG'!$C:$C,$D$5,'ETPT Format DDG'!H:H,"VPE")+
SUMIFS( INDEX( 'ETPT Format DDG'!$A:$EF,,MATCH("11.5. CSM",'ETPT Format DDG'!2:2,0)),'ETPT Format DDG'!$C:$C,$D$5,'ETPT Format DDG'!H:H,"1VPE")</f>
        <v>#N/A</v>
      </c>
      <c r="AK7" s="126" t="e">
        <f>SUMIFS( INDEX( 'ETPT Format DDG'!$A:$EF,,MATCH("11.5. CSM",'ETPT Format DDG'!2:2,0)),'ETPT Format DDG'!$C:$C,$D$5,'ETPT Format DDG'!H:H,"VPLD")+
SUMIFS( INDEX( 'ETPT Format DDG'!$A:$EF,,MATCH("11.5. CSM",'ETPT Format DDG'!2:2,0)),'ETPT Format DDG'!$C:$C,$D$5,'ETPT Format DDG'!H:H,"1VPLD")</f>
        <v>#N/A</v>
      </c>
      <c r="AL7" s="119" t="e">
        <f t="shared" si="2"/>
        <v>#N/A</v>
      </c>
      <c r="AM7" s="136"/>
      <c r="AN7" s="136"/>
      <c r="AO7" s="136"/>
      <c r="AP7" s="136"/>
      <c r="AQ7" s="136"/>
      <c r="AR7" s="136"/>
      <c r="AS7" s="136"/>
      <c r="AT7" s="136"/>
      <c r="AU7" s="136"/>
      <c r="AV7" s="136"/>
      <c r="AW7" s="136"/>
      <c r="AX7" s="136"/>
      <c r="AY7" s="126" t="e">
        <f>SUMIFS( INDEX( 'ETPT Format DDG'!$A:$EF,,MATCH("11.5. CSM",'ETPT Format DDG'!2:2,0)),'ETPT Format DDG'!$C:$C,$D$5,'ETPT Format DDG'!$EA:$EA,"Magistrat SIEGE NS")</f>
        <v>#N/A</v>
      </c>
      <c r="AZ7" s="119" t="e">
        <f t="shared" si="3"/>
        <v>#N/A</v>
      </c>
      <c r="BA7" s="125"/>
      <c r="BB7" s="125"/>
      <c r="BC7" s="125"/>
      <c r="BD7" s="125"/>
      <c r="BE7" s="125"/>
      <c r="BF7" s="125"/>
      <c r="BG7" s="125"/>
      <c r="BH7" s="125"/>
      <c r="BI7" s="125"/>
      <c r="BJ7" s="119">
        <f t="shared" si="4"/>
        <v>0</v>
      </c>
    </row>
    <row r="8" spans="1:62" s="114" customFormat="1" ht="14.25" customHeight="1" x14ac:dyDescent="0.15">
      <c r="A8" s="124" t="s">
        <v>259</v>
      </c>
      <c r="B8" s="134"/>
      <c r="C8" s="134"/>
      <c r="D8" s="135" t="str">
        <f t="shared" si="5"/>
        <v/>
      </c>
      <c r="E8" s="134" t="s">
        <v>304</v>
      </c>
      <c r="F8" s="134" t="s">
        <v>303</v>
      </c>
      <c r="G8" s="139" t="e">
        <f>SUMIFS( INDEX( 'ETPT Format DDG'!$A:$EF,,MATCH("11.51. ACCUEIL DU JUSTICIABLE (DONT SAUJ)",'ETPT Format DDG'!2:2,0)),'ETPT Format DDG'!$C:$C,$D$5,'ETPT Format DDG'!$EA:$EA,"Fonctionnaire CTECH")</f>
        <v>#N/A</v>
      </c>
      <c r="H8" s="132" t="e">
        <f t="shared" si="0"/>
        <v>#N/A</v>
      </c>
      <c r="I8" s="136"/>
      <c r="J8" s="136"/>
      <c r="K8" s="136"/>
      <c r="L8" s="136"/>
      <c r="M8" s="136"/>
      <c r="N8" s="136"/>
      <c r="O8" s="136"/>
      <c r="P8" s="136"/>
      <c r="Q8" s="136"/>
      <c r="R8" s="136"/>
      <c r="S8" s="136"/>
      <c r="T8" s="136"/>
      <c r="U8" s="136"/>
      <c r="V8" s="131" t="e">
        <f>SUMIFS( INDEX( 'ETPT Format DDG'!$A:$EF,,MATCH("11.51. ACCUEIL DU JUSTICIABLE (DONT SAUJ)",'ETPT Format DDG'!2:2,0)),'ETPT Format DDG'!$C:$C,$D$5,'ETPT Format DDG'!$EA:$EA,"Fonctionnaire A-B-CBUR")</f>
        <v>#N/A</v>
      </c>
      <c r="W8" s="119" t="e">
        <f t="shared" si="6"/>
        <v>#N/A</v>
      </c>
      <c r="X8" s="138" t="e">
        <f>SUMIFS( INDEX( 'ETPT Format DDG'!$A:$EF,,MATCH("11.51. ACCUEIL DU JUSTICIABLE (DONT SAUJ)",'ETPT Format DDG'!2:2,0)),'ETPT Format DDG'!$C:$C,$D$5,'ETPT Format DDG'!$EA:$EA,"CONT A JP Autour du Juge")</f>
        <v>#N/A</v>
      </c>
      <c r="Y8" s="138" t="e">
        <f>SUMIFS( INDEX( 'ETPT Format DDG'!$A:$EF,,MATCH("11.51. ACCUEIL DU JUSTICIABLE (DONT SAUJ)",'ETPT Format DDG'!2:2,0)),'ETPT Format DDG'!$C:$C,$D$5,'ETPT Format DDG'!$EA:$EA,"JURISTE AS Parquet")</f>
        <v>#N/A</v>
      </c>
      <c r="Z8" s="138" t="e">
        <f>SUMIFS( INDEX( 'ETPT Format DDG'!$A:$EF,,MATCH("11.51. ACCUEIL DU JUSTICIABLE (DONT SAUJ)",'ETPT Format DDG'!2:2,0)),'ETPT Format DDG'!$C:$C,$D$5,'ETPT Format DDG'!$EA:$EA,"JURISTE AS Pôle social")</f>
        <v>#N/A</v>
      </c>
      <c r="AA8" s="138" t="e">
        <f>SUMIFS( INDEX( 'ETPT Format DDG'!$A:$EF,,MATCH("11.51. ACCUEIL DU JUSTICIABLE (DONT SAUJ)",'ETPT Format DDG'!2:2,0)),'ETPT Format DDG'!$C:$C,$D$5,'ETPT Format DDG'!$EA:$EA,"JURISTE AS siège Autres")</f>
        <v>#N/A</v>
      </c>
      <c r="AB8" s="119" t="e">
        <f t="shared" si="1"/>
        <v>#N/A</v>
      </c>
      <c r="AC8" s="136"/>
      <c r="AD8" s="136"/>
      <c r="AE8" s="136"/>
      <c r="AF8" s="136"/>
      <c r="AG8" s="136"/>
      <c r="AH8" s="136"/>
      <c r="AI8" s="136"/>
      <c r="AJ8" s="136"/>
      <c r="AK8" s="136"/>
      <c r="AL8" s="119">
        <f t="shared" si="2"/>
        <v>0</v>
      </c>
      <c r="AM8" s="136"/>
      <c r="AN8" s="136"/>
      <c r="AO8" s="136"/>
      <c r="AP8" s="136"/>
      <c r="AQ8" s="136"/>
      <c r="AR8" s="136"/>
      <c r="AS8" s="136"/>
      <c r="AT8" s="136"/>
      <c r="AU8" s="136"/>
      <c r="AV8" s="136"/>
      <c r="AW8" s="136"/>
      <c r="AX8" s="136"/>
      <c r="AY8" s="136"/>
      <c r="AZ8" s="119">
        <f t="shared" si="3"/>
        <v>0</v>
      </c>
      <c r="BA8" s="125"/>
      <c r="BB8" s="125"/>
      <c r="BC8" s="125"/>
      <c r="BD8" s="125"/>
      <c r="BE8" s="125"/>
      <c r="BF8" s="125"/>
      <c r="BG8" s="125"/>
      <c r="BH8" s="125"/>
      <c r="BI8" s="125"/>
      <c r="BJ8" s="119">
        <f t="shared" si="4"/>
        <v>0</v>
      </c>
    </row>
    <row r="9" spans="1:62" s="114" customFormat="1" ht="14.25" customHeight="1" x14ac:dyDescent="0.15">
      <c r="A9" s="124" t="s">
        <v>259</v>
      </c>
      <c r="B9" s="134"/>
      <c r="C9" s="134"/>
      <c r="D9" s="135" t="str">
        <f t="shared" si="5"/>
        <v/>
      </c>
      <c r="E9" s="134" t="s">
        <v>301</v>
      </c>
      <c r="F9" s="134" t="s">
        <v>300</v>
      </c>
      <c r="G9" s="139" t="e">
        <f>SUMIFS( INDEX( 'ETPT Format DDG'!$A:$EF,,MATCH("11.1. SOUTIEN (HORS FORMATIONS SUIVIES)",'ETPT Format DDG'!2:2,0)),'ETPT Format DDG'!$C:$C,$D$5,'ETPT Format DDG'!$EA:$EA,"Fonctionnaire CTECH")+
SUMIFS( INDEX( 'ETPT Format DDG'!$A:$EF,,MATCH("11.2. FORMATIONS SUIVIES",'ETPT Format DDG'!2:2,0)),'ETPT Format DDG'!$C:$C,$D$5,'ETPT Format DDG'!$EA:$EA,"Fonctionnaire CTECH")+
SUMIFS( INDEX( 'ETPT Format DDG'!$A:$EF,,MATCH("11.6. AUTRES ACTIVITÉS NON JURIDICTIONNELLES",'ETPT Format DDG'!2:2,0)),'ETPT Format DDG'!$C:$C,$D$5,'ETPT Format DDG'!$EA:$EA,"Fonctionnaire CTECH")</f>
        <v>#N/A</v>
      </c>
      <c r="H9" s="132" t="e">
        <f t="shared" si="0"/>
        <v>#N/A</v>
      </c>
      <c r="I9" s="136"/>
      <c r="J9" s="136"/>
      <c r="K9" s="136"/>
      <c r="L9" s="136"/>
      <c r="M9" s="136"/>
      <c r="N9" s="136"/>
      <c r="O9" s="136"/>
      <c r="P9" s="136"/>
      <c r="Q9" s="136"/>
      <c r="R9" s="136"/>
      <c r="S9" s="136"/>
      <c r="T9" s="136"/>
      <c r="U9" s="136"/>
      <c r="V9" s="131" t="e">
        <f>SUMIFS( INDEX( 'ETPT Format DDG'!$A:$EF,,MATCH("11.1. SOUTIEN (HORS FORMATIONS SUIVIES)",'ETPT Format DDG'!2:2,0)),'ETPT Format DDG'!$C:$C,$D$5,'ETPT Format DDG'!$EA:$EA,"Fonctionnaire A-B-CBUR")+
SUMIFS( INDEX( 'ETPT Format DDG'!$A:$EF,,MATCH("11.2. FORMATIONS SUIVIES",'ETPT Format DDG'!2:2,0)),'ETPT Format DDG'!$C:$C,$D$5,'ETPT Format DDG'!$EA:$EA,"Fonctionnaire A-B-CBUR")+
SUMIFS( INDEX( 'ETPT Format DDG'!$A:$EF,,MATCH("11.6. AUTRES ACTIVITÉS NON JURIDICTIONNELLES",'ETPT Format DDG'!2:2,0)),'ETPT Format DDG'!$C:$C,$D$5,'ETPT Format DDG'!$EA:$EA,"Fonctionnaire A-B-CBUR")+
SUMIFS( INDEX( 'ETPT Format DDG'!$A:$EF,,MATCH("Temps ventilé sur la période (y.c. indisponibilité)",'ETPT Format DDG'!2:2,0)),'ETPT Format DDG'!$C:$C,$D$5,'ETPT Format DDG'!$EA:$EA,"CONT A JP Greffe")</f>
        <v>#N/A</v>
      </c>
      <c r="W9" s="119" t="e">
        <f t="shared" si="6"/>
        <v>#N/A</v>
      </c>
      <c r="X9" s="138" t="e">
        <f>SUMIFS( INDEX( 'ETPT Format DDG'!$A:$EF,,MATCH("11.1. SOUTIEN (HORS FORMATIONS SUIVIES)",'ETPT Format DDG'!2:2,0)),'ETPT Format DDG'!$C:$C,$D$5,'ETPT Format DDG'!$EA:$EA,"CONT A JP Autour du Juge")+
SUMIFS( INDEX( 'ETPT Format DDG'!$A:$EF,,MATCH("11.2. FORMATIONS SUIVIES",'ETPT Format DDG'!2:2,0)),'ETPT Format DDG'!$C:$C,$D$5,'ETPT Format DDG'!$EA:$EA,"CONT A JP Autour du Juge")+
SUMIFS( INDEX( 'ETPT Format DDG'!$A:$EF,,MATCH("11.6. AUTRES ACTIVITÉS NON JURIDICTIONNELLES",'ETPT Format DDG'!2:2,0)),'ETPT Format DDG'!$C:$C,$D$5,'ETPT Format DDG'!$EA:$EA,"CONT A JP Autour du Juge")</f>
        <v>#N/A</v>
      </c>
      <c r="Y9" s="138" t="e">
        <f>SUMIFS( INDEX( 'ETPT Format DDG'!$A:$EF,,MATCH("11.1. SOUTIEN (HORS FORMATIONS SUIVIES)",'ETPT Format DDG'!2:2,0)),'ETPT Format DDG'!$C:$C,$D$5,'ETPT Format DDG'!$EA:$EA,"JURISTE AS Parquet")+
SUMIFS( INDEX( 'ETPT Format DDG'!$A:$EF,,MATCH("11.2. FORMATIONS SUIVIES",'ETPT Format DDG'!2:2,0)),'ETPT Format DDG'!$C:$C,$D$5,'ETPT Format DDG'!$EA:$EA,"JURISTE AS Parquet")+
SUMIFS( INDEX( 'ETPT Format DDG'!$A:$EF,,MATCH("11.6. AUTRES ACTIVITÉS NON JURIDICTIONNELLES",'ETPT Format DDG'!2:2,0)),'ETPT Format DDG'!$C:$C,$D$5,'ETPT Format DDG'!$EA:$EA,"JURISTE AS Parquet")</f>
        <v>#N/A</v>
      </c>
      <c r="Z9" s="138" t="e">
        <f>SUMIFS( INDEX( 'ETPT Format DDG'!$A:$EF,,MATCH("11.1. SOUTIEN (HORS FORMATIONS SUIVIES)",'ETPT Format DDG'!2:2,0)),'ETPT Format DDG'!$C:$C,$D$5,'ETPT Format DDG'!$EA:$EA,"JURISTE AS Pôle social")+
SUMIFS( INDEX( 'ETPT Format DDG'!$A:$EF,,MATCH("11.2. FORMATIONS SUIVIES",'ETPT Format DDG'!2:2,0)),'ETPT Format DDG'!$C:$C,$D$5,'ETPT Format DDG'!$EA:$EA,"JURISTE AS Pôle social")+
SUMIFS( INDEX( 'ETPT Format DDG'!$A:$EF,,MATCH("11.6. AUTRES ACTIVITÉS NON JURIDICTIONNELLES",'ETPT Format DDG'!2:2,0)),'ETPT Format DDG'!$C:$C,$D$5,'ETPT Format DDG'!$EA:$EA,"JURISTE AS Pôle social")</f>
        <v>#N/A</v>
      </c>
      <c r="AA9" s="138" t="e">
        <f>SUMIFS( INDEX( 'ETPT Format DDG'!$A:$EF,,MATCH("11.1. SOUTIEN (HORS FORMATIONS SUIVIES)",'ETPT Format DDG'!2:2,0)),'ETPT Format DDG'!$C:$C,$D$5,'ETPT Format DDG'!$EA:$EA,"JURISTE AS siège Autres")+
SUMIFS( INDEX( 'ETPT Format DDG'!$A:$EF,,MATCH("11.2. FORMATIONS SUIVIES",'ETPT Format DDG'!2:2,0)),'ETPT Format DDG'!$C:$C,$D$5,'ETPT Format DDG'!$EA:$EA,"JURISTE AS siège Autres")+
SUMIFS( INDEX( 'ETPT Format DDG'!$A:$EF,,MATCH("11.6. AUTRES ACTIVITÉS NON JURIDICTIONNELLES",'ETPT Format DDG'!2:2,0)),'ETPT Format DDG'!$C:$C,$D$5,'ETPT Format DDG'!$EA:$EA,"JURISTE AS siège Autres")</f>
        <v>#N/A</v>
      </c>
      <c r="AB9" s="119" t="e">
        <f t="shared" si="1"/>
        <v>#N/A</v>
      </c>
      <c r="AC9" s="136"/>
      <c r="AD9" s="126" t="e">
        <f>SUMIFS( INDEX( 'ETPT Format DDG'!$A:$EF,,MATCH("11.1. SOUTIEN (HORS FORMATIONS SUIVIES)",'ETPT Format DDG'!2:2,0)),'ETPT Format DDG'!$C:$C,$D$5,'ETPT Format DDG'!$H:$H,"JCP")+
SUMIFS( INDEX( 'ETPT Format DDG'!$A:$EF,,MATCH("11.1. SOUTIEN (HORS FORMATIONS SUIVIES)",'ETPT Format DDG'!2:2,0)),'ETPT Format DDG'!$C:$C,$D$5,'ETPT Format DDG'!$H:$H,"VPCP")+
SUMIFS( INDEX( 'ETPT Format DDG'!$A:$EF,,MATCH("11.1. SOUTIEN (HORS FORMATIONS SUIVIES)",'ETPT Format DDG'!2:2,0)),'ETPT Format DDG'!$C:$C,$D$5,'ETPT Format DDG'!$H:$H,"1VPCP")+
SUMIFS( INDEX( 'ETPT Format DDG'!$A:$EF,,MATCH("11.2. FORMATIONS SUIVIES",'ETPT Format DDG'!2:2,0)),'ETPT Format DDG'!$C:$C,$D$5,'ETPT Format DDG'!$H:$H,"JCP")+
SUMIFS( INDEX( 'ETPT Format DDG'!$A:$EF,,MATCH("11.2. FORMATIONS SUIVIES",'ETPT Format DDG'!2:2,0)),'ETPT Format DDG'!$C:$C,$D$5,'ETPT Format DDG'!$H:$H,"VPCP")+
SUMIFS( INDEX( 'ETPT Format DDG'!$A:$EF,,MATCH("11.2. FORMATIONS SUIVIES",'ETPT Format DDG'!2:2,0)),'ETPT Format DDG'!$C:$C,$D$5,'ETPT Format DDG'!$H:$H,"1VPCP")+
SUMIFS( INDEX( 'ETPT Format DDG'!$A:$EF,,MATCH("11.6. AUTRES ACTIVITÉS NON JURIDICTIONNELLES",'ETPT Format DDG'!2:2,0)),'ETPT Format DDG'!$C:$C,$D$5,'ETPT Format DDG'!$H:$H,"JCP")+
SUMIFS( INDEX( 'ETPT Format DDG'!$A:$EF,,MATCH("11.6. AUTRES ACTIVITÉS NON JURIDICTIONNELLES",'ETPT Format DDG'!2:2,0)),'ETPT Format DDG'!$C:$C,$D$5,'ETPT Format DDG'!$H:$H,"VPCP")+
SUMIFS( INDEX( 'ETPT Format DDG'!$A:$EF,,MATCH("11.6. AUTRES ACTIVITÉS NON JURIDICTIONNELLES",'ETPT Format DDG'!2:2,0)),'ETPT Format DDG'!$C:$C,$D$5,'ETPT Format DDG'!$H:$H,"1VPCP")</f>
        <v>#N/A</v>
      </c>
      <c r="AE9" s="126" t="e">
        <f>SUMIFS( INDEX( 'ETPT Format DDG'!$A:$EF,,MATCH("11.1. SOUTIEN (HORS FORMATIONS SUIVIES)",'ETPT Format DDG'!2:2,0)),'ETPT Format DDG'!$C:$C,$D$5,'ETPT Format DDG'!$H:$H,"JI")+
SUMIFS( INDEX( 'ETPT Format DDG'!$A:$EF,,MATCH("11.1. SOUTIEN (HORS FORMATIONS SUIVIES)",'ETPT Format DDG'!2:2,0)),'ETPT Format DDG'!$C:$C,$D$5,'ETPT Format DDG'!$H:$H,"VPI")+
SUMIFS( INDEX( 'ETPT Format DDG'!$A:$EF,,MATCH("11.1. SOUTIEN (HORS FORMATIONS SUIVIES)",'ETPT Format DDG'!2:2,0)),'ETPT Format DDG'!$C:$C,$D$5,'ETPT Format DDG'!$H:$H,"1VPI")+
SUMIFS( INDEX( 'ETPT Format DDG'!$A:$EF,,MATCH("11.2. FORMATIONS SUIVIES",'ETPT Format DDG'!2:2,0)),'ETPT Format DDG'!$C:$C,$D$5,'ETPT Format DDG'!$H:$H,"JI")+
SUMIFS( INDEX( 'ETPT Format DDG'!$A:$EF,,MATCH("11.2. FORMATIONS SUIVIES",'ETPT Format DDG'!2:2,0)),'ETPT Format DDG'!$C:$C,$D$5,'ETPT Format DDG'!$H:$H,"VPI")+
SUMIFS( INDEX( 'ETPT Format DDG'!$A:$EF,,MATCH("11.2. FORMATIONS SUIVIES",'ETPT Format DDG'!2:2,0)),'ETPT Format DDG'!$C:$C,$D$5,'ETPT Format DDG'!$H:$H,"1VPI")+
SUMIFS( INDEX( 'ETPT Format DDG'!$A:$EF,,MATCH("11.6. AUTRES ACTIVITÉS NON JURIDICTIONNELLES",'ETPT Format DDG'!2:2,0)),'ETPT Format DDG'!$C:$C,$D$5,'ETPT Format DDG'!$H:$H,"JI")+
SUMIFS( INDEX( 'ETPT Format DDG'!$A:$EF,,MATCH("11.6. AUTRES ACTIVITÉS NON JURIDICTIONNELLES",'ETPT Format DDG'!2:2,0)),'ETPT Format DDG'!$C:$C,$D$5,'ETPT Format DDG'!$H:$H,"VPI")+
SUMIFS( INDEX( 'ETPT Format DDG'!$A:$EF,,MATCH("11.6. AUTRES ACTIVITÉS NON JURIDICTIONNELLES",'ETPT Format DDG'!2:2,0)),'ETPT Format DDG'!$C:$C,$D$5,'ETPT Format DDG'!$H:$H,"1VPI")</f>
        <v>#N/A</v>
      </c>
      <c r="AF9" s="136"/>
      <c r="AG9" s="136"/>
      <c r="AH9" s="136"/>
      <c r="AI9" s="126" t="e">
        <f>SUMIFS( INDEX( 'ETPT Format DDG'!$A:$EF,,MATCH("11.1. SOUTIEN (HORS FORMATIONS SUIVIES)",'ETPT Format DDG'!2:2,0)),'ETPT Format DDG'!$C:$C,$D$5,'ETPT Format DDG'!H:H,"JAP")+
SUMIFS( INDEX( 'ETPT Format DDG'!$A:$EF,,MATCH("11.1. SOUTIEN (HORS FORMATIONS SUIVIES)",'ETPT Format DDG'!2:2,0)),'ETPT Format DDG'!$C:$C,$D$5,'ETPT Format DDG'!H:H,"VPAP")+
SUMIFS( INDEX( 'ETPT Format DDG'!$A:$EF,,MATCH("11.1. SOUTIEN (HORS FORMATIONS SUIVIES)",'ETPT Format DDG'!2:2,0)),'ETPT Format DDG'!$C:$C,$D$5,'ETPT Format DDG'!H:H,"1VPAP")+
SUMIFS( INDEX( 'ETPT Format DDG'!$A:$EF,,MATCH("11.2. FORMATIONS SUIVIES",'ETPT Format DDG'!2:2,0)),'ETPT Format DDG'!$C:$C,$D$5,'ETPT Format DDG'!H:H,"JAP")+
SUMIFS( INDEX( 'ETPT Format DDG'!$A:$EF,,MATCH("11.2. FORMATIONS SUIVIES",'ETPT Format DDG'!2:2,0)),'ETPT Format DDG'!$C:$C,$D$5,'ETPT Format DDG'!H:H,"VPAP")+
SUMIFS( INDEX( 'ETPT Format DDG'!$A:$EF,,MATCH("11.2. FORMATIONS SUIVIES",'ETPT Format DDG'!2:2,0)),'ETPT Format DDG'!$C:$C,$D$5,'ETPT Format DDG'!H:H,"1VPAP")+
SUMIFS( INDEX( 'ETPT Format DDG'!$A:$EF,,MATCH("11.6. AUTRES ACTIVITÉS NON JURIDICTIONNELLES",'ETPT Format DDG'!2:2,0)),'ETPT Format DDG'!$C:$C,$D$5,'ETPT Format DDG'!H:H,"JAP")+
SUMIFS( INDEX( 'ETPT Format DDG'!$A:$EF,,MATCH("11.6. AUTRES ACTIVITÉS NON JURIDICTIONNELLES",'ETPT Format DDG'!2:2,0)),'ETPT Format DDG'!$C:$C,$D$5,'ETPT Format DDG'!H:H,"VPAP")+
SUMIFS( INDEX( 'ETPT Format DDG'!$A:$EF,,MATCH("11.6. AUTRES ACTIVITÉS NON JURIDICTIONNELLES",'ETPT Format DDG'!2:2,0)),'ETPT Format DDG'!$C:$C,$D$5,'ETPT Format DDG'!H:H,"1VPAP")</f>
        <v>#N/A</v>
      </c>
      <c r="AJ9" s="126" t="e">
        <f>SUMIFS( INDEX( 'ETPT Format DDG'!$A:$EF,,MATCH("11.1. SOUTIEN (HORS FORMATIONS SUIVIES)",'ETPT Format DDG'!2:2,0)),'ETPT Format DDG'!$C:$C,$D$5,'ETPT Format DDG'!H:H,"JE")+
SUMIFS( INDEX( 'ETPT Format DDG'!$A:$EF,,MATCH("11.1. SOUTIEN (HORS FORMATIONS SUIVIES)",'ETPT Format DDG'!2:2,0)),'ETPT Format DDG'!$C:$C,$D$5,'ETPT Format DDG'!H:H,"VPE")+
SUMIFS( INDEX( 'ETPT Format DDG'!$A:$EF,,MATCH("11.1. SOUTIEN (HORS FORMATIONS SUIVIES)",'ETPT Format DDG'!2:2,0)),'ETPT Format DDG'!$C:$C,$D$5,'ETPT Format DDG'!H:H,"1VPE")+
SUMIFS( INDEX( 'ETPT Format DDG'!$A:$EF,,MATCH("11.2. FORMATIONS SUIVIES",'ETPT Format DDG'!2:2,0)),'ETPT Format DDG'!$C:$C,$D$5,'ETPT Format DDG'!H:H,"JE")+
SUMIFS( INDEX( 'ETPT Format DDG'!$A:$EF,,MATCH("11.2. FORMATIONS SUIVIES",'ETPT Format DDG'!2:2,0)),'ETPT Format DDG'!$C:$C,$D$5,'ETPT Format DDG'!H:H,"VPE")+
SUMIFS( INDEX( 'ETPT Format DDG'!$A:$EF,,MATCH("11.2. FORMATIONS SUIVIES",'ETPT Format DDG'!2:2,0)),'ETPT Format DDG'!$C:$C,$D$5,'ETPT Format DDG'!H:H,"1VPE")+
SUMIFS( INDEX( 'ETPT Format DDG'!$A:$EF,,MATCH("11.6. AUTRES ACTIVITÉS NON JURIDICTIONNELLES",'ETPT Format DDG'!2:2,0)),'ETPT Format DDG'!$C:$C,$D$5,'ETPT Format DDG'!H:H,"JE")+
SUMIFS( INDEX( 'ETPT Format DDG'!$A:$EF,,MATCH("11.6. AUTRES ACTIVITÉS NON JURIDICTIONNELLES",'ETPT Format DDG'!2:2,0)),'ETPT Format DDG'!$C:$C,$D$5,'ETPT Format DDG'!H:H,"VPE")+
SUMIFS( INDEX( 'ETPT Format DDG'!$A:$EF,,MATCH("11.6. AUTRES ACTIVITÉS NON JURIDICTIONNELLES",'ETPT Format DDG'!2:2,0)),'ETPT Format DDG'!$C:$C,$D$5,'ETPT Format DDG'!H:H,"1VPE")</f>
        <v>#N/A</v>
      </c>
      <c r="AK9" s="126" t="e">
        <f>SUMIFS( INDEX( 'ETPT Format DDG'!$A:$EF,,MATCH("11.1. SOUTIEN (HORS FORMATIONS SUIVIES)",'ETPT Format DDG'!2:2,0)),'ETPT Format DDG'!$C:$C,$D$5,'ETPT Format DDG'!H:H,"VPLD")+
SUMIFS( INDEX( 'ETPT Format DDG'!$A:$EF,,MATCH("11.1. SOUTIEN (HORS FORMATIONS SUIVIES)",'ETPT Format DDG'!2:2,0)),'ETPT Format DDG'!$C:$C,$D$5,'ETPT Format DDG'!H:H,"1VPLD")+
SUMIFS( INDEX( 'ETPT Format DDG'!$A:$EF,,MATCH("11.2. FORMATIONS SUIVIES",'ETPT Format DDG'!2:2,0)),'ETPT Format DDG'!$C:$C,$D$5,'ETPT Format DDG'!H:H,"VPLD")+
SUMIFS( INDEX( 'ETPT Format DDG'!$A:$EF,,MATCH("11.2. FORMATIONS SUIVIES",'ETPT Format DDG'!2:2,0)),'ETPT Format DDG'!$C:$C,$D$5,'ETPT Format DDG'!H:H,"1VPLD")+
SUMIFS( INDEX( 'ETPT Format DDG'!$A:$EF,,MATCH("11.6. AUTRES ACTIVITÉS NON JURIDICTIONNELLES",'ETPT Format DDG'!2:2,0)),'ETPT Format DDG'!$C:$C,$D$5,'ETPT Format DDG'!H:H,"VPLD")+
SUMIFS( INDEX( 'ETPT Format DDG'!$A:$EF,,MATCH("11.6. AUTRES ACTIVITÉS NON JURIDICTIONNELLES",'ETPT Format DDG'!2:2,0)),'ETPT Format DDG'!$C:$C,$D$5,'ETPT Format DDG'!H:H,"1VPLD")</f>
        <v>#N/A</v>
      </c>
      <c r="AL9" s="119" t="e">
        <f t="shared" si="2"/>
        <v>#N/A</v>
      </c>
      <c r="AM9" s="136"/>
      <c r="AN9" s="136"/>
      <c r="AO9" s="136"/>
      <c r="AP9" s="136"/>
      <c r="AQ9" s="136"/>
      <c r="AR9" s="136"/>
      <c r="AS9" s="136"/>
      <c r="AT9" s="136"/>
      <c r="AU9" s="136"/>
      <c r="AV9" s="136"/>
      <c r="AW9" s="136"/>
      <c r="AX9" s="136"/>
      <c r="AY9" s="126" t="e">
        <f>SUMIFS( INDEX( 'ETPT Format DDG'!$A:$EF,,MATCH("11.1. SOUTIEN (HORS FORMATIONS SUIVIES)",'ETPT Format DDG'!2:2,0)),'ETPT Format DDG'!$C:$C,$D$5,'ETPT Format DDG'!$EA:$EA,"Magistrat SIEGE NS")+
SUMIFS( INDEX( 'ETPT Format DDG'!$A:$EF,,MATCH("11.2. FORMATIONS SUIVIES",'ETPT Format DDG'!2:2,0)),'ETPT Format DDG'!$C:$C,$D$5,'ETPT Format DDG'!$EA:$EA,"Magistrat SIEGE NS")+
SUMIFS( INDEX( 'ETPT Format DDG'!$A:$EF,,MATCH("11.6. AUTRES ACTIVITÉS NON JURIDICTIONNELLES",'ETPT Format DDG'!2:2,0)),'ETPT Format DDG'!$C:$C,$D$5,'ETPT Format DDG'!$EA:$EA,"Magistrat SIEGE NS")</f>
        <v>#N/A</v>
      </c>
      <c r="AZ9" s="119" t="e">
        <f t="shared" si="3"/>
        <v>#N/A</v>
      </c>
      <c r="BA9" s="125"/>
      <c r="BB9" s="125"/>
      <c r="BC9" s="125"/>
      <c r="BD9" s="125"/>
      <c r="BE9" s="125"/>
      <c r="BF9" s="125"/>
      <c r="BG9" s="125"/>
      <c r="BH9" s="125"/>
      <c r="BI9" s="125"/>
      <c r="BJ9" s="119">
        <f t="shared" si="4"/>
        <v>0</v>
      </c>
    </row>
    <row r="10" spans="1:62" s="114" customFormat="1" ht="14.25" customHeight="1" x14ac:dyDescent="0.15">
      <c r="A10" s="124" t="s">
        <v>259</v>
      </c>
      <c r="B10" s="134"/>
      <c r="C10" s="134"/>
      <c r="D10" s="135" t="str">
        <f t="shared" si="5"/>
        <v/>
      </c>
      <c r="E10" s="134" t="s">
        <v>291</v>
      </c>
      <c r="F10" s="134" t="s">
        <v>290</v>
      </c>
      <c r="G10" s="139" t="e">
        <f>SUMIFS( INDEX( 'ETPT Format DDG'!$A:$EF,,MATCH("11.3. FORMATIONS DISPENSÉES",'ETPT Format DDG'!2:2,0)),'ETPT Format DDG'!$C:$C,$D$5,'ETPT Format DDG'!$EA:$EA,"Fonctionnaire CTECH")</f>
        <v>#N/A</v>
      </c>
      <c r="H10" s="132" t="e">
        <f t="shared" si="0"/>
        <v>#N/A</v>
      </c>
      <c r="I10" s="136"/>
      <c r="J10" s="136"/>
      <c r="K10" s="136"/>
      <c r="L10" s="136"/>
      <c r="M10" s="136"/>
      <c r="N10" s="136"/>
      <c r="O10" s="136"/>
      <c r="P10" s="136"/>
      <c r="Q10" s="136"/>
      <c r="R10" s="136"/>
      <c r="S10" s="136"/>
      <c r="T10" s="136"/>
      <c r="U10" s="136"/>
      <c r="V10" s="131" t="e">
        <f>SUMIFS( INDEX( 'ETPT Format DDG'!$A:$EF,,MATCH("11.3. FORMATIONS DISPENSÉES",'ETPT Format DDG'!2:2,0)),'ETPT Format DDG'!$C:$C,$D$5,'ETPT Format DDG'!$EA:$EA,"Fonctionnaire A-B-CBUR")</f>
        <v>#N/A</v>
      </c>
      <c r="W10" s="119" t="e">
        <f t="shared" si="6"/>
        <v>#N/A</v>
      </c>
      <c r="X10" s="138" t="e">
        <f>SUMIFS( INDEX( 'ETPT Format DDG'!$A:$EF,,MATCH("11.3. FORMATIONS DISPENSÉES",'ETPT Format DDG'!2:2,0)),'ETPT Format DDG'!$C:$C,$D$5,'ETPT Format DDG'!$EA:$EA,"CONT A JP Autour du Juge")</f>
        <v>#N/A</v>
      </c>
      <c r="Y10" s="138" t="e">
        <f>SUMIFS( INDEX( 'ETPT Format DDG'!$A:$EF,,MATCH("11.3. FORMATIONS DISPENSÉES",'ETPT Format DDG'!2:2,0)),'ETPT Format DDG'!$C:$C,$D$5,'ETPT Format DDG'!$EA:$EA,"JURISTE AS Parquet")</f>
        <v>#N/A</v>
      </c>
      <c r="Z10" s="138" t="e">
        <f>SUMIFS( INDEX( 'ETPT Format DDG'!$A:$EF,,MATCH("11.3. FORMATIONS DISPENSÉES",'ETPT Format DDG'!2:2,0)),'ETPT Format DDG'!$C:$C,$D$5,'ETPT Format DDG'!$EA:$EA,"JURISTE AS Pôle social")</f>
        <v>#N/A</v>
      </c>
      <c r="AA10" s="138" t="e">
        <f>SUMIFS( INDEX( 'ETPT Format DDG'!$A:$EF,,MATCH("11.3. FORMATIONS DISPENSÉES",'ETPT Format DDG'!2:2,0)),'ETPT Format DDG'!$C:$C,$D$5,'ETPT Format DDG'!$EA:$EA,"JURISTE AS siège Autres")</f>
        <v>#N/A</v>
      </c>
      <c r="AB10" s="119" t="e">
        <f t="shared" si="1"/>
        <v>#N/A</v>
      </c>
      <c r="AC10" s="136"/>
      <c r="AD10" s="126" t="e">
        <f>SUMIFS( INDEX( 'ETPT Format DDG'!$A:$EF,,MATCH("11.3. FORMATIONS DISPENSÉES",'ETPT Format DDG'!2:2,0)),'ETPT Format DDG'!$C:$C,$D$5,'ETPT Format DDG'!$H:$H,"JCP")+
SUMIFS( INDEX( 'ETPT Format DDG'!$A:$EF,,MATCH("11.3. FORMATIONS DISPENSÉES",'ETPT Format DDG'!2:2,0)),'ETPT Format DDG'!$C:$C,$D$5,'ETPT Format DDG'!$H:$H,"VPCP")+
SUMIFS( INDEX( 'ETPT Format DDG'!$A:$EF,,MATCH("11.3. FORMATIONS DISPENSÉES",'ETPT Format DDG'!2:2,0)),'ETPT Format DDG'!$C:$C,$D$5,'ETPT Format DDG'!$H:$H,"1VPCP")</f>
        <v>#N/A</v>
      </c>
      <c r="AE10" s="126" t="e">
        <f>SUMIFS( INDEX( 'ETPT Format DDG'!$A:$EF,,MATCH("11.3. FORMATIONS DISPENSÉES",'ETPT Format DDG'!2:2,0)),'ETPT Format DDG'!$C:$C,$D$5,'ETPT Format DDG'!$H:$H,"JI")+
SUMIFS( INDEX( 'ETPT Format DDG'!$A:$EF,,MATCH("11.3. FORMATIONS DISPENSÉES",'ETPT Format DDG'!2:2,0)),'ETPT Format DDG'!$C:$C,$D$5,'ETPT Format DDG'!$H:$H,"VPI")+
SUMIFS( INDEX( 'ETPT Format DDG'!$A:$EF,,MATCH("11.3. FORMATIONS DISPENSÉES",'ETPT Format DDG'!2:2,0)),'ETPT Format DDG'!$C:$C,$D$5,'ETPT Format DDG'!$H:$H,"1VPI")</f>
        <v>#N/A</v>
      </c>
      <c r="AF10" s="136"/>
      <c r="AG10" s="136"/>
      <c r="AH10" s="136"/>
      <c r="AI10" s="126" t="e">
        <f>SUMIFS( INDEX( 'ETPT Format DDG'!$A:$EF,,MATCH("11.3. FORMATIONS DISPENSÉES",'ETPT Format DDG'!2:2,0)),'ETPT Format DDG'!$C:$C,$D$5,'ETPT Format DDG'!$H:$H,"JAP")+
SUMIFS( INDEX( 'ETPT Format DDG'!$A:$EF,,MATCH("11.3. FORMATIONS DISPENSÉES",'ETPT Format DDG'!2:2,0)),'ETPT Format DDG'!$C:$C,$D$5,'ETPT Format DDG'!$H:$H,"VPAP")+
SUMIFS( INDEX( 'ETPT Format DDG'!$A:$EF,,MATCH("11.3. FORMATIONS DISPENSÉES",'ETPT Format DDG'!2:2,0)),'ETPT Format DDG'!$C:$C,$D$5,'ETPT Format DDG'!$H:$H,"1VPAP")</f>
        <v>#N/A</v>
      </c>
      <c r="AJ10" s="126" t="e">
        <f>SUMIFS( INDEX( 'ETPT Format DDG'!$A:$EF,,MATCH("11.3. FORMATIONS DISPENSÉES",'ETPT Format DDG'!2:2,0)),'ETPT Format DDG'!$C:$C,$D$5,'ETPT Format DDG'!$H:$H,"JE")+
SUMIFS( INDEX( 'ETPT Format DDG'!$A:$EF,,MATCH("11.3. FORMATIONS DISPENSÉES",'ETPT Format DDG'!2:2,0)),'ETPT Format DDG'!$C:$C,$D$5,'ETPT Format DDG'!$H:$H,"VPE")+
SUMIFS( INDEX( 'ETPT Format DDG'!$A:$EF,,MATCH("11.3. FORMATIONS DISPENSÉES",'ETPT Format DDG'!2:2,0)),'ETPT Format DDG'!$C:$C,$D$5,'ETPT Format DDG'!$H:$H,"1VPE")</f>
        <v>#N/A</v>
      </c>
      <c r="AK10" s="126" t="e">
        <f>SUMIFS( INDEX( 'ETPT Format DDG'!$A:$EF,,MATCH("11.3. FORMATIONS DISPENSÉES",'ETPT Format DDG'!2:2,0)),'ETPT Format DDG'!$C:$C,$D$5,'ETPT Format DDG'!$H:$H,"VPLD")+
SUMIFS( INDEX( 'ETPT Format DDG'!$A:$EF,,MATCH("11.3. FORMATIONS DISPENSÉES",'ETPT Format DDG'!2:2,0)),'ETPT Format DDG'!$C:$C,$D$5,'ETPT Format DDG'!$H:$H,"1VPLD")</f>
        <v>#N/A</v>
      </c>
      <c r="AL10" s="119" t="e">
        <f t="shared" si="2"/>
        <v>#N/A</v>
      </c>
      <c r="AM10" s="136"/>
      <c r="AN10" s="136"/>
      <c r="AO10" s="136"/>
      <c r="AP10" s="136"/>
      <c r="AQ10" s="136"/>
      <c r="AR10" s="136"/>
      <c r="AS10" s="136"/>
      <c r="AT10" s="136"/>
      <c r="AU10" s="136"/>
      <c r="AV10" s="136"/>
      <c r="AW10" s="136"/>
      <c r="AX10" s="136"/>
      <c r="AY10" s="126" t="e">
        <f>SUMIFS( INDEX( 'ETPT Format DDG'!$A:$EF,,MATCH("11.3. FORMATIONS DISPENSÉES",'ETPT Format DDG'!2:2,0)),'ETPT Format DDG'!$C:$C,$D$5,'ETPT Format DDG'!$EA:$EA,"Magistrat SIEGE NS")</f>
        <v>#N/A</v>
      </c>
      <c r="AZ10" s="119" t="e">
        <f t="shared" si="3"/>
        <v>#N/A</v>
      </c>
      <c r="BA10" s="125"/>
      <c r="BB10" s="125"/>
      <c r="BC10" s="125"/>
      <c r="BD10" s="125"/>
      <c r="BE10" s="125"/>
      <c r="BF10" s="125"/>
      <c r="BG10" s="125"/>
      <c r="BH10" s="125"/>
      <c r="BI10" s="125"/>
      <c r="BJ10" s="119">
        <f t="shared" si="4"/>
        <v>0</v>
      </c>
    </row>
    <row r="11" spans="1:62" s="114" customFormat="1" ht="14.25" customHeight="1" x14ac:dyDescent="0.15">
      <c r="A11" s="124" t="s">
        <v>259</v>
      </c>
      <c r="B11" s="134"/>
      <c r="C11" s="134"/>
      <c r="D11" s="135" t="str">
        <f t="shared" si="5"/>
        <v/>
      </c>
      <c r="E11" s="134" t="s">
        <v>282</v>
      </c>
      <c r="F11" s="134" t="s">
        <v>281</v>
      </c>
      <c r="G11" s="139" t="e">
        <f>SUMIFS( INDEX( 'ETPT Format DDG'!$A:$EF,,MATCH("11.4. ACCÈS AU DROIT ET À LA JUSTICE",'ETPT Format DDG'!2:2,0)),'ETPT Format DDG'!$C:$C,$D$5,'ETPT Format DDG'!$EA:$EA,"Fonctionnaire CTECH")</f>
        <v>#N/A</v>
      </c>
      <c r="H11" s="132" t="e">
        <f t="shared" si="0"/>
        <v>#N/A</v>
      </c>
      <c r="I11" s="136"/>
      <c r="J11" s="136"/>
      <c r="K11" s="136"/>
      <c r="L11" s="136"/>
      <c r="M11" s="136"/>
      <c r="N11" s="136"/>
      <c r="O11" s="136"/>
      <c r="P11" s="136"/>
      <c r="Q11" s="136"/>
      <c r="R11" s="136"/>
      <c r="S11" s="136"/>
      <c r="T11" s="136"/>
      <c r="U11" s="136"/>
      <c r="V11" s="131" t="e">
        <f>SUMIFS( INDEX( 'ETPT Format DDG'!$A:$EF,,MATCH("11.4. ACCÈS AU DROIT ET À LA JUSTICE",'ETPT Format DDG'!2:2,0)),'ETPT Format DDG'!$C:$C,$D$5,'ETPT Format DDG'!$EA:$EA,"Fonctionnaire A-B-CBUR")</f>
        <v>#N/A</v>
      </c>
      <c r="W11" s="119" t="e">
        <f t="shared" si="6"/>
        <v>#N/A</v>
      </c>
      <c r="X11" s="138" t="e">
        <f>SUMIFS( INDEX( 'ETPT Format DDG'!$A:$EF,,MATCH("11.4. ACCÈS AU DROIT ET À LA JUSTICE",'ETPT Format DDG'!2:2,0)),'ETPT Format DDG'!$C:$C,$D$5,'ETPT Format DDG'!$EA:$EA,"CONT A JP Autour du Juge")</f>
        <v>#N/A</v>
      </c>
      <c r="Y11" s="138" t="e">
        <f>SUMIFS( INDEX( 'ETPT Format DDG'!$A:$EF,,MATCH("11.4. ACCÈS AU DROIT ET À LA JUSTICE",'ETPT Format DDG'!2:2,0)),'ETPT Format DDG'!$C:$C,$D$5,'ETPT Format DDG'!$EA:$EA,"JURISTE AS Parquet")</f>
        <v>#N/A</v>
      </c>
      <c r="Z11" s="138" t="e">
        <f>SUMIFS( INDEX( 'ETPT Format DDG'!$A:$EF,,MATCH("11.4. ACCÈS AU DROIT ET À LA JUSTICE",'ETPT Format DDG'!2:2,0)),'ETPT Format DDG'!$C:$C,$D$5,'ETPT Format DDG'!$EA:$EA,"JURISTE AS Pôle social")</f>
        <v>#N/A</v>
      </c>
      <c r="AA11" s="138" t="e">
        <f>SUMIFS( INDEX( 'ETPT Format DDG'!$A:$EF,,MATCH("11.4. ACCÈS AU DROIT ET À LA JUSTICE",'ETPT Format DDG'!2:2,0)),'ETPT Format DDG'!$C:$C,$D$5,'ETPT Format DDG'!$EA:$EA,"JURISTE AS siège Autres")</f>
        <v>#N/A</v>
      </c>
      <c r="AB11" s="119" t="e">
        <f t="shared" si="1"/>
        <v>#N/A</v>
      </c>
      <c r="AC11" s="136"/>
      <c r="AD11" s="126" t="e">
        <f>SUMIFS( INDEX( 'ETPT Format DDG'!$A:$EF,,MATCH("11.4. ACCÈS AU DROIT ET À LA JUSTICE",'ETPT Format DDG'!2:2,0)),'ETPT Format DDG'!$C:$C,$D$5,'ETPT Format DDG'!$H:$H,"JCP")+
SUMIFS( INDEX( 'ETPT Format DDG'!$A:$EF,,MATCH("11.4. ACCÈS AU DROIT ET À LA JUSTICE",'ETPT Format DDG'!2:2,0)),'ETPT Format DDG'!$C:$C,$D$5,'ETPT Format DDG'!$H:$H,"VPCP")+
SUMIFS( INDEX( 'ETPT Format DDG'!$A:$EF,,MATCH("11.4. ACCÈS AU DROIT ET À LA JUSTICE",'ETPT Format DDG'!2:2,0)),'ETPT Format DDG'!$C:$C,$D$5,'ETPT Format DDG'!$H:$H,"1VPCP")</f>
        <v>#N/A</v>
      </c>
      <c r="AE11" s="126" t="e">
        <f>SUMIFS( INDEX( 'ETPT Format DDG'!$A:$EF,,MATCH("11.4. ACCÈS AU DROIT ET À LA JUSTICE",'ETPT Format DDG'!2:2,0)),'ETPT Format DDG'!$C:$C,$D$5,'ETPT Format DDG'!$H:$H,"JI")+
SUMIFS( INDEX( 'ETPT Format DDG'!$A:$EF,,MATCH("11.4. ACCÈS AU DROIT ET À LA JUSTICE",'ETPT Format DDG'!2:2,0)),'ETPT Format DDG'!$C:$C,$D$5,'ETPT Format DDG'!$H:$H,"VPI")+
SUMIFS( INDEX( 'ETPT Format DDG'!$A:$EF,,MATCH("11.4. ACCÈS AU DROIT ET À LA JUSTICE",'ETPT Format DDG'!2:2,0)),'ETPT Format DDG'!$C:$C,$D$5,'ETPT Format DDG'!$H:$H,"1VPI")</f>
        <v>#N/A</v>
      </c>
      <c r="AF11" s="140"/>
      <c r="AG11" s="140"/>
      <c r="AH11" s="140"/>
      <c r="AI11" s="126" t="e">
        <f>SUMIFS( INDEX( 'ETPT Format DDG'!$A:$EF,,MATCH("11.4. ACCÈS AU DROIT ET À LA JUSTICE",'ETPT Format DDG'!2:2,0)),'ETPT Format DDG'!$C:$C,$D$5,'ETPT Format DDG'!$H:$H,"JAP")+
SUMIFS( INDEX( 'ETPT Format DDG'!$A:$EF,,MATCH("11.4. ACCÈS AU DROIT ET À LA JUSTICE",'ETPT Format DDG'!2:2,0)),'ETPT Format DDG'!$C:$C,$D$5,'ETPT Format DDG'!$H:$H,"VPAP")+
SUMIFS( INDEX( 'ETPT Format DDG'!$A:$EF,,MATCH("11.4. ACCÈS AU DROIT ET À LA JUSTICE",'ETPT Format DDG'!2:2,0)),'ETPT Format DDG'!$C:$C,$D$5,'ETPT Format DDG'!$H:$H,"1VPAP")</f>
        <v>#N/A</v>
      </c>
      <c r="AJ11" s="126" t="e">
        <f>SUMIFS( INDEX( 'ETPT Format DDG'!$A:$EF,,MATCH("11.4. ACCÈS AU DROIT ET À LA JUSTICE",'ETPT Format DDG'!2:2,0)),'ETPT Format DDG'!$C:$C,$D$5,'ETPT Format DDG'!$H:$H,"JE")+
SUMIFS( INDEX( 'ETPT Format DDG'!$A:$EF,,MATCH("11.4. ACCÈS AU DROIT ET À LA JUSTICE",'ETPT Format DDG'!2:2,0)),'ETPT Format DDG'!$C:$C,$D$5,'ETPT Format DDG'!$H:$H,"VPE")+
SUMIFS( INDEX( 'ETPT Format DDG'!$A:$EF,,MATCH("11.4. ACCÈS AU DROIT ET À LA JUSTICE",'ETPT Format DDG'!2:2,0)),'ETPT Format DDG'!$C:$C,$D$5,'ETPT Format DDG'!$H:$H,"1VPE")</f>
        <v>#N/A</v>
      </c>
      <c r="AK11" s="126" t="e">
        <f>SUMIFS( INDEX( 'ETPT Format DDG'!$A:$EF,,MATCH("11.4. ACCÈS AU DROIT ET À LA JUSTICE",'ETPT Format DDG'!2:2,0)),'ETPT Format DDG'!$C:$C,$D$5,'ETPT Format DDG'!$H:$H,"VPLD")+
SUMIFS( INDEX( 'ETPT Format DDG'!$A:$EF,,MATCH("11.4. ACCÈS AU DROIT ET À LA JUSTICE",'ETPT Format DDG'!2:2,0)),'ETPT Format DDG'!$C:$C,$D$5,'ETPT Format DDG'!$H:$H,"1VPLD")</f>
        <v>#N/A</v>
      </c>
      <c r="AL11" s="132" t="e">
        <f t="shared" si="2"/>
        <v>#N/A</v>
      </c>
      <c r="AM11" s="136"/>
      <c r="AN11" s="136"/>
      <c r="AO11" s="136"/>
      <c r="AP11" s="136"/>
      <c r="AQ11" s="136"/>
      <c r="AR11" s="136"/>
      <c r="AS11" s="136"/>
      <c r="AT11" s="136"/>
      <c r="AU11" s="136"/>
      <c r="AV11" s="136"/>
      <c r="AW11" s="136"/>
      <c r="AX11" s="136"/>
      <c r="AY11" s="126" t="e">
        <f>SUMIFS( INDEX( 'ETPT Format DDG'!$A:$EF,,MATCH("11.4. ACCÈS AU DROIT ET À LA JUSTICE",'ETPT Format DDG'!2:2,0)),'ETPT Format DDG'!$C:$C,$D$5,'ETPT Format DDG'!$EA:$EA,"Magistrat SIEGE NS")</f>
        <v>#N/A</v>
      </c>
      <c r="AZ11" s="119" t="e">
        <f t="shared" si="3"/>
        <v>#N/A</v>
      </c>
      <c r="BA11" s="125"/>
      <c r="BB11" s="125"/>
      <c r="BC11" s="125"/>
      <c r="BD11" s="125"/>
      <c r="BE11" s="125"/>
      <c r="BF11" s="125"/>
      <c r="BG11" s="125"/>
      <c r="BH11" s="125"/>
      <c r="BI11" s="125"/>
      <c r="BJ11" s="119">
        <f t="shared" si="4"/>
        <v>0</v>
      </c>
    </row>
    <row r="12" spans="1:62" s="114" customFormat="1" ht="14.25" customHeight="1" x14ac:dyDescent="0.15">
      <c r="A12" s="124" t="s">
        <v>259</v>
      </c>
      <c r="B12" s="134"/>
      <c r="C12" s="134"/>
      <c r="D12" s="135" t="str">
        <f t="shared" si="5"/>
        <v/>
      </c>
      <c r="E12" s="134" t="s">
        <v>273</v>
      </c>
      <c r="F12" s="134" t="s">
        <v>272</v>
      </c>
      <c r="G12" s="139" t="e">
        <f>SUMIFS( INDEX( 'ETPT Format DDG'!$A:$EF,,MATCH("12. TOTAL INDISPONIBILITÉ",'ETPT Format DDG'!2:2,0)),'ETPT Format DDG'!$C:$C,$D$5,'ETPT Format DDG'!$EA:$EA,"Fonctionnaire CTECH")-
SUMIFS( INDEX( 'ETPT Format DDG'!$A:$EF,,MATCH("12.5. MISE À DISPOSITION",'ETPT Format DDG'!2:2,0)),'ETPT Format DDG'!$C:$C,$D$5,'ETPT Format DDG'!$EA:$EA,"Fonctionnaire CTECH")</f>
        <v>#N/A</v>
      </c>
      <c r="H12" s="132" t="e">
        <f t="shared" si="0"/>
        <v>#N/A</v>
      </c>
      <c r="I12" s="136"/>
      <c r="J12" s="136"/>
      <c r="K12" s="136"/>
      <c r="L12" s="136"/>
      <c r="M12" s="136"/>
      <c r="N12" s="136"/>
      <c r="O12" s="136"/>
      <c r="P12" s="136"/>
      <c r="Q12" s="136"/>
      <c r="R12" s="136"/>
      <c r="S12" s="136"/>
      <c r="T12" s="136"/>
      <c r="U12" s="136"/>
      <c r="V12" s="131" t="e">
        <f>SUMIFS( INDEX( 'ETPT Format DDG'!$A:$EF,,MATCH("12. TOTAL INDISPONIBILITÉ",'ETPT Format DDG'!2:2,0)),'ETPT Format DDG'!$C:$C,$D$5,'ETPT Format DDG'!$EA:$EA,"Fonctionnaire A-B-CBUR")-
SUMIFS( INDEX( 'ETPT Format DDG'!$A:$EF,,MATCH("12.5. MISE À DISPOSITION",'ETPT Format DDG'!2:2,0)),'ETPT Format DDG'!$C:$C,$D$5,'ETPT Format DDG'!$EA:$EA,"Fonctionnaire A-B-CBUR")</f>
        <v>#N/A</v>
      </c>
      <c r="W12" s="119" t="e">
        <f t="shared" si="6"/>
        <v>#N/A</v>
      </c>
      <c r="X12" s="138" t="e">
        <f>SUMIFS( INDEX( 'ETPT Format DDG'!$A:$EF,,MATCH("12. TOTAL INDISPONIBILITÉ",'ETPT Format DDG'!2:2,0)),'ETPT Format DDG'!$C:$C,$D$5,'ETPT Format DDG'!$EA:$EA,"CONT A JP Autour du Juge")-
SUMIFS( INDEX( 'ETPT Format DDG'!$A:$EF,,MATCH("12.5. MISE À DISPOSITION",'ETPT Format DDG'!2:2,0)),'ETPT Format DDG'!$C:$C,$D$5,'ETPT Format DDG'!$EA:$EA,"CONT A JP Autour du Juge")</f>
        <v>#N/A</v>
      </c>
      <c r="Y12" s="138" t="e">
        <f>SUMIFS( INDEX( 'ETPT Format DDG'!$A:$EF,,MATCH("12. TOTAL INDISPONIBILITÉ",'ETPT Format DDG'!2:2,0)),'ETPT Format DDG'!$C:$C,$D$5,'ETPT Format DDG'!$EA:$EA,"JURISTE AS Parquet")-
SUMIFS( INDEX( 'ETPT Format DDG'!$A:$EF,,MATCH("12.5. MISE À DISPOSITION",'ETPT Format DDG'!2:2,0)),'ETPT Format DDG'!$C:$C,$D$5,'ETPT Format DDG'!$EA:$EA,"JURISTE AS Parquet")</f>
        <v>#N/A</v>
      </c>
      <c r="Z12" s="138" t="e">
        <f>SUMIFS( INDEX( 'ETPT Format DDG'!$A:$EF,,MATCH("12. TOTAL INDISPONIBILITÉ",'ETPT Format DDG'!2:2,0)),'ETPT Format DDG'!$C:$C,$D$5,'ETPT Format DDG'!$EA:$EA,"JURISTE AS Pôle social")-
SUMIFS( INDEX( 'ETPT Format DDG'!$A:$EF,,MATCH("12.5. MISE À DISPOSITION",'ETPT Format DDG'!2:2,0)),'ETPT Format DDG'!$C:$C,$D$5,'ETPT Format DDG'!$EA:$EA,"JURISTE AS Pôle social")</f>
        <v>#N/A</v>
      </c>
      <c r="AA12" s="138" t="e">
        <f>SUMIFS( INDEX( 'ETPT Format DDG'!$A:$EF,,MATCH("12. TOTAL INDISPONIBILITÉ",'ETPT Format DDG'!2:2,0)),'ETPT Format DDG'!$C:$C,$D$5,'ETPT Format DDG'!$EA:$EA,"JURISTE AS siège Autres")-
SUMIFS( INDEX( 'ETPT Format DDG'!$A:$EF,,MATCH("12.5. MISE À DISPOSITION",'ETPT Format DDG'!2:2,0)),'ETPT Format DDG'!$C:$C,$D$5,'ETPT Format DDG'!$EA:$EA,"JURISTE AS siège Autres")</f>
        <v>#N/A</v>
      </c>
      <c r="AB12" s="119" t="e">
        <f t="shared" si="1"/>
        <v>#N/A</v>
      </c>
      <c r="AC12" s="136"/>
      <c r="AD12" s="126" t="e">
        <f>SUMIFS( INDEX( 'ETPT Format DDG'!$A:$EF,,MATCH("12. TOTAL INDISPONIBILITÉ",'ETPT Format DDG'!2:2,0)),'ETPT Format DDG'!$C:$C,$D$5,'ETPT Format DDG'!$H:$H,"JCP")+
SUMIFS( INDEX( 'ETPT Format DDG'!$A:$EF,,MATCH("12. TOTAL INDISPONIBILITÉ",'ETPT Format DDG'!2:2,0)),'ETPT Format DDG'!$C:$C,$D$5,'ETPT Format DDG'!$H:$H,"VPCP")+
SUMIFS( INDEX( 'ETPT Format DDG'!$A:$EF,,MATCH("12. TOTAL INDISPONIBILITÉ",'ETPT Format DDG'!2:2,0)),'ETPT Format DDG'!$C:$C,$D$5,'ETPT Format DDG'!$H:$H,"1VPCP")</f>
        <v>#N/A</v>
      </c>
      <c r="AE12" s="126" t="e">
        <f>SUMIFS( INDEX( 'ETPT Format DDG'!$A:$EF,,MATCH("12. TOTAL INDISPONIBILITÉ",'ETPT Format DDG'!2:2,0)),'ETPT Format DDG'!$C:$C,$D$5,'ETPT Format DDG'!$H:$H,"JI")+
SUMIFS( INDEX( 'ETPT Format DDG'!$A:$EF,,MATCH("12. TOTAL INDISPONIBILITÉ",'ETPT Format DDG'!2:2,0)),'ETPT Format DDG'!$C:$C,$D$5,'ETPT Format DDG'!$H:$H,"VPI")+
SUMIFS( INDEX( 'ETPT Format DDG'!$A:$EF,,MATCH("12. TOTAL INDISPONIBILITÉ",'ETPT Format DDG'!2:2,0)),'ETPT Format DDG'!$C:$C,$D$5,'ETPT Format DDG'!$H:$H,"1VPI")</f>
        <v>#N/A</v>
      </c>
      <c r="AF12" s="136"/>
      <c r="AG12" s="136"/>
      <c r="AH12" s="136"/>
      <c r="AI12" s="126" t="e">
        <f>SUMIFS( INDEX( 'ETPT Format DDG'!$A:$EF,,MATCH("12. TOTAL INDISPONIBILITÉ",'ETPT Format DDG'!2:2,0)),'ETPT Format DDG'!$C:$C,$D$5,'ETPT Format DDG'!$H:$H,"JAP")+
SUMIFS( INDEX( 'ETPT Format DDG'!$A:$EF,,MATCH("12. TOTAL INDISPONIBILITÉ",'ETPT Format DDG'!2:2,0)),'ETPT Format DDG'!$C:$C,$D$5,'ETPT Format DDG'!$H:$H,"VPAP")+
SUMIFS( INDEX( 'ETPT Format DDG'!$A:$EF,,MATCH("12. TOTAL INDISPONIBILITÉ",'ETPT Format DDG'!2:2,0)),'ETPT Format DDG'!$C:$C,$D$5,'ETPT Format DDG'!$H:$H,"1VPAP")</f>
        <v>#N/A</v>
      </c>
      <c r="AJ12" s="126" t="e">
        <f>SUMIFS( INDEX( 'ETPT Format DDG'!$A:$EF,,MATCH("12. TOTAL INDISPONIBILITÉ",'ETPT Format DDG'!2:2,0)),'ETPT Format DDG'!$C:$C,$D$5,'ETPT Format DDG'!$H:$H,"JE")+
SUMIFS( INDEX( 'ETPT Format DDG'!$A:$EF,,MATCH("12. TOTAL INDISPONIBILITÉ",'ETPT Format DDG'!2:2,0)),'ETPT Format DDG'!$C:$C,$D$5,'ETPT Format DDG'!$H:$H,"VPE")+
SUMIFS( INDEX( 'ETPT Format DDG'!$A:$EF,,MATCH("12. TOTAL INDISPONIBILITÉ",'ETPT Format DDG'!2:2,0)),'ETPT Format DDG'!$C:$C,$D$5,'ETPT Format DDG'!$H:$H,"1VPE")</f>
        <v>#N/A</v>
      </c>
      <c r="AK12" s="126" t="e">
        <f>SUMIFS( INDEX( 'ETPT Format DDG'!$A:$EF,,MATCH("12. TOTAL INDISPONIBILITÉ",'ETPT Format DDG'!2:2,0)),'ETPT Format DDG'!$C:$C,$D$5,'ETPT Format DDG'!$H:$H,"VPLD")+
SUMIFS( INDEX( 'ETPT Format DDG'!$A:$EF,,MATCH("12. TOTAL INDISPONIBILITÉ",'ETPT Format DDG'!2:2,0)),'ETPT Format DDG'!$C:$C,$D$5,'ETPT Format DDG'!$H:$H,"1VPLD")</f>
        <v>#N/A</v>
      </c>
      <c r="AL12" s="119" t="e">
        <f t="shared" si="2"/>
        <v>#N/A</v>
      </c>
      <c r="AM12" s="136"/>
      <c r="AN12" s="136"/>
      <c r="AO12" s="136"/>
      <c r="AP12" s="136"/>
      <c r="AQ12" s="136"/>
      <c r="AR12" s="136"/>
      <c r="AS12" s="136"/>
      <c r="AT12" s="136"/>
      <c r="AU12" s="136"/>
      <c r="AV12" s="136"/>
      <c r="AW12" s="136"/>
      <c r="AX12" s="136"/>
      <c r="AY12" s="126" t="e">
        <f>SUMIFS( INDEX( 'ETPT Format DDG'!$A:$EF,,MATCH("12. TOTAL INDISPONIBILITÉ",'ETPT Format DDG'!2:2,0)),'ETPT Format DDG'!$C:$C,$D$5,'ETPT Format DDG'!$EA:$EA,"Magistrat SIEGE NS")</f>
        <v>#N/A</v>
      </c>
      <c r="AZ12" s="119" t="e">
        <f t="shared" si="3"/>
        <v>#N/A</v>
      </c>
      <c r="BA12" s="125"/>
      <c r="BB12" s="125"/>
      <c r="BC12" s="125"/>
      <c r="BD12" s="125"/>
      <c r="BE12" s="125"/>
      <c r="BF12" s="125"/>
      <c r="BG12" s="125"/>
      <c r="BH12" s="125"/>
      <c r="BI12" s="125"/>
      <c r="BJ12" s="119">
        <f t="shared" si="4"/>
        <v>0</v>
      </c>
    </row>
    <row r="13" spans="1:62" s="114" customFormat="1" ht="14.25" customHeight="1" x14ac:dyDescent="0.15">
      <c r="A13" s="124" t="s">
        <v>259</v>
      </c>
      <c r="B13" s="134"/>
      <c r="C13" s="134"/>
      <c r="D13" s="135" t="str">
        <f t="shared" si="5"/>
        <v/>
      </c>
      <c r="E13" s="134" t="s">
        <v>264</v>
      </c>
      <c r="F13" s="134" t="s">
        <v>263</v>
      </c>
      <c r="G13" s="133" t="e">
        <f>SUMIFS( INDEX( 'ETPT Format DDG'!$A:$EF,,MATCH("12.5. MISE À DISPOSITION",'ETPT Format DDG'!2:2,0)),'ETPT Format DDG'!$C:$C,$D$5,'ETPT Format DDG'!$EA:$EA,"Fonctionnaire CTECH")</f>
        <v>#N/A</v>
      </c>
      <c r="H13" s="132" t="e">
        <f t="shared" si="0"/>
        <v>#N/A</v>
      </c>
      <c r="I13" s="136"/>
      <c r="J13" s="136"/>
      <c r="K13" s="136"/>
      <c r="L13" s="136"/>
      <c r="M13" s="136"/>
      <c r="N13" s="136"/>
      <c r="O13" s="136"/>
      <c r="P13" s="136"/>
      <c r="Q13" s="136"/>
      <c r="R13" s="136"/>
      <c r="S13" s="136"/>
      <c r="T13" s="136"/>
      <c r="U13" s="136"/>
      <c r="V13" s="126" t="e">
        <f>SUMIFS( INDEX( 'ETPT Format DDG'!$A:$EF,,MATCH("12.5. MISE À DISPOSITION",'ETPT Format DDG'!2:2,0)),'ETPT Format DDG'!$C:$C,$D$5,'ETPT Format DDG'!$EA:$EA,"Fonctionnaire A-B-CBUR")</f>
        <v>#N/A</v>
      </c>
      <c r="W13" s="119" t="e">
        <f t="shared" si="6"/>
        <v>#N/A</v>
      </c>
      <c r="X13" s="137" t="e">
        <f>SUMIFS( INDEX( 'ETPT Format DDG'!$A:$EF,,MATCH("12.5. MISE À DISPOSITION",'ETPT Format DDG'!2:2,0)),'ETPT Format DDG'!$C:$C,$D$5,'ETPT Format DDG'!$EA:$EA,"CONT A JP Autour du Juge")</f>
        <v>#N/A</v>
      </c>
      <c r="Y13" s="137" t="e">
        <f>SUMIFS( INDEX( 'ETPT Format DDG'!$A:$EF,,MATCH("12.5. MISE À DISPOSITION",'ETPT Format DDG'!2:2,0)),'ETPT Format DDG'!$C:$C,$D$5,'ETPT Format DDG'!$EA:$EA,"JURISTE AS Parquet")</f>
        <v>#N/A</v>
      </c>
      <c r="Z13" s="137" t="e">
        <f>SUMIFS( INDEX( 'ETPT Format DDG'!$A:$EF,,MATCH("12.5. MISE À DISPOSITION",'ETPT Format DDG'!2:2,0)),'ETPT Format DDG'!$C:$C,$D$5,'ETPT Format DDG'!$EA:$EA,"JURISTE AS Pôle social")</f>
        <v>#N/A</v>
      </c>
      <c r="AA13" s="137" t="e">
        <f>SUMIFS( INDEX( 'ETPT Format DDG'!$A:$EF,,MATCH("12.5. MISE À DISPOSITION",'ETPT Format DDG'!2:2,0)),'ETPT Format DDG'!$C:$C,$D$5,'ETPT Format DDG'!$EA:$EA,"JURISTE AS siège Autres")</f>
        <v>#N/A</v>
      </c>
      <c r="AB13" s="119" t="e">
        <f t="shared" si="1"/>
        <v>#N/A</v>
      </c>
      <c r="AC13" s="136"/>
      <c r="AD13" s="136"/>
      <c r="AE13" s="136"/>
      <c r="AF13" s="136"/>
      <c r="AG13" s="136"/>
      <c r="AH13" s="136"/>
      <c r="AI13" s="136"/>
      <c r="AJ13" s="136"/>
      <c r="AK13" s="136"/>
      <c r="AL13" s="119">
        <f t="shared" si="2"/>
        <v>0</v>
      </c>
      <c r="AM13" s="136"/>
      <c r="AN13" s="136"/>
      <c r="AO13" s="136"/>
      <c r="AP13" s="136"/>
      <c r="AQ13" s="136"/>
      <c r="AR13" s="136"/>
      <c r="AS13" s="136"/>
      <c r="AT13" s="136"/>
      <c r="AU13" s="136"/>
      <c r="AV13" s="136"/>
      <c r="AW13" s="136"/>
      <c r="AX13" s="136"/>
      <c r="AY13" s="136"/>
      <c r="AZ13" s="119">
        <f t="shared" si="3"/>
        <v>0</v>
      </c>
      <c r="BA13" s="125"/>
      <c r="BB13" s="125"/>
      <c r="BC13" s="125"/>
      <c r="BD13" s="125"/>
      <c r="BE13" s="125"/>
      <c r="BF13" s="125"/>
      <c r="BG13" s="125"/>
      <c r="BH13" s="125"/>
      <c r="BI13" s="125"/>
      <c r="BJ13" s="119">
        <f t="shared" si="4"/>
        <v>0</v>
      </c>
    </row>
    <row r="14" spans="1:62" s="114" customFormat="1" ht="14.25" customHeight="1" x14ac:dyDescent="0.15">
      <c r="A14" s="124" t="s">
        <v>259</v>
      </c>
      <c r="B14" s="134"/>
      <c r="C14" s="134"/>
      <c r="D14" s="135" t="str">
        <f t="shared" si="5"/>
        <v/>
      </c>
      <c r="E14" s="134" t="s">
        <v>261</v>
      </c>
      <c r="F14" s="134" t="s">
        <v>260</v>
      </c>
      <c r="G14" s="133">
        <f>SUMIFS( INDEX( 'ETPT Format DDG'!$A:$EF,,MATCH("Temps ventilé sur la période (y.c. indisponibilité)",'ETPT Format DDG'!2:2,0)),'ETPT Format DDG'!$C:$C,$D$5,'ETPT Format DDG'!$EA:$EA,"Fonctionnaire CTECH placé ADD")</f>
        <v>0</v>
      </c>
      <c r="H14" s="132">
        <f t="shared" si="0"/>
        <v>0</v>
      </c>
      <c r="I14" s="131" t="e">
        <f>SUMIFS( INDEX( 'ETPT Format DDG'!$A:$EF,,MATCH("11.8. FONCTIONNAIRES AFFECTÉS AUX ACTIVITÉS CIVILES ET COMMERCIALES DU PARQUET",'ETPT Format DDG'!2:2,0)),'ETPT Format DDG'!$C:$C,$D$5,'ETPT Format DDG'!$EA:$EA,"Fonctionnaire A-B-CBUR placé ADD")</f>
        <v>#N/A</v>
      </c>
      <c r="J14" s="131" t="e">
        <f>SUMIFS( INDEX( 'ETPT Format DDG'!$A:$EF,,MATCH("11.9. FONCTIONNAIRES AFFECTÉS À L'EXÉCUTION DES PEINES",'ETPT Format DDG'!2:2,0)),'ETPT Format DDG'!$C:$C,$D$5,'ETPT Format DDG'!$EA:$EA,"Fonctionnaire A-B-CBUR placé ADD")</f>
        <v>#N/A</v>
      </c>
      <c r="K14" s="131" t="e">
        <f>SUMIFS( INDEX( 'ETPT Format DDG'!$A:$EF,,MATCH("7.5. COUR D'ASSISES HORS JIRS",'ETPT Format DDG'!2:2,0)),'ETPT Format DDG'!$C:$C,$D$5,'ETPT Format DDG'!$EA:$EA,"Fonctionnaire A-B-CBUR placé ADD")+
SUMIFS( INDEX( 'ETPT Format DDG'!$A:$EF,,MATCH("7.51. COUR D'ASSISES JIRS",'ETPT Format DDG'!2:2,0)),'ETPT Format DDG'!$C:$C,$D$5,'ETPT Format DDG'!$EA:$EA,"Fonctionnaire A-B-CBUR placé ADD")</f>
        <v>#N/A</v>
      </c>
      <c r="L14" s="131" t="e">
        <f>SUMIFS( INDEX( 'ETPT Format DDG'!$A:$EF,,MATCH("7.52. COUR CRIMINELLE",'ETPT Format DDG'!2:2,0)),'ETPT Format DDG'!$C:$C,$D$5,'ETPT Format DDG'!$EA:$EA,"Fonctionnaire A-B-CBUR placé ADD")</f>
        <v>#N/A</v>
      </c>
      <c r="M14" s="131" t="e">
        <f>SUMIFS( INDEX( 'ETPT Format DDG'!$A:$EF,,MATCH("8.2. JIRS ÉCO-FI",'ETPT Format DDG'!2:2,0)),'ETPT Format DDG'!$C:$C,$D$5,'ETPT Format DDG'!$EA:$EA,"Fonctionnaire A-B-CBUR placé ADD")</f>
        <v>#N/A</v>
      </c>
      <c r="N14" s="131" t="e">
        <f>SUMIFS( INDEX( 'ETPT Format DDG'!$A:$EF,,MATCH("8.3. JIRS CRIM-ORG",'ETPT Format DDG'!2:2,0)),'ETPT Format DDG'!$C:$C,$D$5,'ETPT Format DDG'!$EA:$EA,"Fonctionnaire A-B-CBUR placé ADD")</f>
        <v>#N/A</v>
      </c>
      <c r="O14" s="131" t="e">
        <f>SUMIFS( INDEX( 'ETPT Format DDG'!$A:$EF,,MATCH("8.4. AUTRES SECTIONS SPÉCIALISÉES",'ETPT Format DDG'!2:2,0)),'ETPT Format DDG'!$C:$C,$D$5,'ETPT Format DDG'!$EA:$EA,"Fonctionnaire A-B-CBUR placé ADD")</f>
        <v>#N/A</v>
      </c>
      <c r="P14" s="131" t="e">
        <f>SUMIFS( INDEX( 'ETPT Format DDG'!$A:$EF,,MATCH("3.2. PROTECTION DES MAJEURS",'ETPT Format DDG'!2:2,0)),'ETPT Format DDG'!$C:$C,$D$5,'ETPT Format DDG'!$EA:$EA,"Fonctionnaire A-B-CBUR placé ADD")</f>
        <v>#N/A</v>
      </c>
      <c r="Q14" s="131" t="e">
        <f>SUMIFS( INDEX( 'ETPT Format DDG'!$A:$EF,,MATCH("3. TOTAL CONTENTIEUX DE LA PROTECTION",'ETPT Format DDG'!2:2,0)),'ETPT Format DDG'!$C:$C,$D$5,'ETPT Format DDG'!$EA:$EA,"Fonctionnaire A-B-CBUR placé ADD")-
SUMIFS( INDEX( 'ETPT Format DDG'!$A:$EF,,MATCH("3.2. PROTECTION DES MAJEURS",'ETPT Format DDG'!2:2,0)),'ETPT Format DDG'!$C:$C,$D$5,'ETPT Format DDG'!$EA:$EA,"Fonctionnaire A-B-CBUR placé ADD")-
SUMIFS( INDEX( 'ETPT Format DDG'!$A:$EF,,MATCH("3.43. INJONCTIONS DE PAYER",'ETPT Format DDG'!2:2,0)),'ETPT Format DDG'!$C:$C,$D$5,'ETPT Format DDG'!$EA:$EA,"Fonctionnaire A-B-CBUR placé ADD")-
SUMIFS( INDEX( 'ETPT Format DDG'!$A:$EF,,MATCH("3.44. SAISIE DES RÉMUNÉRATIONS",'ETPT Format DDG'!2:2,0)),'ETPT Format DDG'!$C:$C,$D$5,'ETPT Format DDG'!$EA:$EA,"Fonctionnaire A-B-CBUR placé ADD")</f>
        <v>#N/A</v>
      </c>
      <c r="R14" s="131" t="e">
        <f>SUMIFS( INDEX( 'ETPT Format DDG'!$A:$EF,,MATCH("5. TOTAL JLD CIVIL",'ETPT Format DDG'!2:2,0)),'ETPT Format DDG'!$C:$C,$D$5,'ETPT Format DDG'!$EA:$EA,"Fonctionnaire A-B-CBUR placé ADD")+
SUMIFS( INDEX( 'ETPT Format DDG'!$A:$EF,,MATCH("6.1. ACTIVITÉ CIVILE",'ETPT Format DDG'!2:2,0)),'ETPT Format DDG'!$C:$C,$D$5,'ETPT Format DDG'!$EA:$EA,"Fonctionnaire A-B-CBUR placé ADD")+
SUMIFS( INDEX( 'ETPT Format DDG'!$A:$EF,,MATCH("6.2. ACTIVITÉ PÉNALE",'ETPT Format DDG'!2:2,0)),'ETPT Format DDG'!$C:$C,$D$5,'ETPT Format DDG'!$EA:$EA,"Fonctionnaire A-B-CBUR placé ADD")+
(SUMIFS( INDEX( 'ETPT Format DDG'!$A:$EF,,MATCH("8. TOTAL JUGES D'INSTRUCTION",'ETPT Format DDG'!2:2,0)),'ETPT Format DDG'!$C:$C,$D$5,'ETPT Format DDG'!$EA:$EA,"Fonctionnaire A-B-CBUR placé ADD")-
SUMIFS( INDEX( 'ETPT Format DDG'!$A:$EF,,MATCH("8.2. JIRS ÉCO-FI",'ETPT Format DDG'!2:2,0)),'ETPT Format DDG'!$C:$C,$D$5,'ETPT Format DDG'!$EA:$EA,"Fonctionnaire A-B-CBUR placé ADD")-
SUMIFS( INDEX( 'ETPT Format DDG'!$A:$EF,,MATCH("8.3. JIRS CRIM-ORG",'ETPT Format DDG'!2:2,0)),'ETPT Format DDG'!$C:$C,$D$5,'ETPT Format DDG'!$EA:$EA,"Fonctionnaire A-B-CBUR placé ADD")-
SUMIFS( INDEX( 'ETPT Format DDG'!$A:$EF,,MATCH("8.4. AUTRES SECTIONS SPÉCIALISÉES",'ETPT Format DDG'!2:2,0)),'ETPT Format DDG'!$C:$C,$D$5,'ETPT Format DDG'!$EA:$EA,"Fonctionnaire A-B-CBUR placé ADD"))+
SUMIFS( INDEX( 'ETPT Format DDG'!$A:$EF,,MATCH("9. TOTAL JAP",'ETPT Format DDG'!2:2,0)),'ETPT Format DDG'!$C:$C,$D$5,'ETPT Format DDG'!$EA:$EA,"Fonctionnaire A-B-CBUR placé ADD")+
SUMIFS( INDEX( 'ETPT Format DDG'!$A:$EF,,MATCH("10. TOTAL JLD PÉNAL",'ETPT Format DDG'!2:2,0)),'ETPT Format DDG'!$C:$C,$D$5,'ETPT Format DDG'!$EA:$EA,"Fonctionnaire A-B-CBUR placé ADD")</f>
        <v>#N/A</v>
      </c>
      <c r="S14" s="131" t="e">
        <f>SUMIFS( INDEX( 'ETPT Format DDG'!$A:$EF,,MATCH("3.43. INJONCTIONS DE PAYER",'ETPT Format DDG'!2:2,0)),'ETPT Format DDG'!$C:$C,$D$5,'ETPT Format DDG'!$EA:$EA,"Fonctionnaire A-B-CBUR placé ADD")+
SUMIFS( INDEX( 'ETPT Format DDG'!$A:$EF,,MATCH("3.44. SAISIE DES RÉMUNÉRATIONS",'ETPT Format DDG'!2:2,0)),'ETPT Format DDG'!$C:$C,$D$5,'ETPT Format DDG'!$EA:$EA,"Fonctionnaire A-B-CBUR placé ADD")</f>
        <v>#N/A</v>
      </c>
      <c r="T14" s="131" t="e">
        <f>SUMIFS( INDEX( 'ETPT Format DDG'!$A:$EF,,MATCH("4.0. CONTENTIEUX GÉNÉRAL &lt;10.000€",'ETPT Format DDG'!2:2,0)),'ETPT Format DDG'!$C:$C,$D$5,'ETPT Format DDG'!$EA:$EA,"Fonctionnaire A-B-CBUR placé ADD")</f>
        <v>#N/A</v>
      </c>
      <c r="U14" s="131" t="e">
        <f>SUMIFS( INDEX( 'ETPT Format DDG'!$A:$EF,,MATCH("1. TOTAL CONTENTIEUX SOCIAL",'ETPT Format DDG'!2:2,0)),'ETPT Format DDG'!$C:$C,$D$5,'ETPT Format DDG'!$EA:$EA,"Fonctionnaire A-B-CBUR placé ADD")</f>
        <v>#N/A</v>
      </c>
      <c r="V14" s="131" t="e">
        <f>SUMIFS( INDEX( 'ETPT Format DDG'!$A:$EF,,MATCH("Temps ventilé sur la période (y.c. indisponibilité)",'ETPT Format DDG'!2:2,0)),'ETPT Format DDG'!$C:$C,$D$5,'ETPT Format DDG'!$EA:$EA,"Fonctionnaire A-B-CBUR placé ADD")-
SUM(I14:U14)</f>
        <v>#N/A</v>
      </c>
      <c r="W14" s="119" t="e">
        <f t="shared" si="6"/>
        <v>#N/A</v>
      </c>
      <c r="X14" s="130"/>
      <c r="Y14" s="129"/>
      <c r="Z14" s="129"/>
      <c r="AA14" s="129"/>
      <c r="AB14" s="119">
        <f t="shared" si="1"/>
        <v>0</v>
      </c>
      <c r="AC14" s="128" t="e">
        <f>SUMIFS( INDEX( 'ETPT Format DDG'!$A:$EF,,MATCH("3.2. PROTECTION DES MAJEURS",'ETPT Format DDG'!2:2,0)),'ETPT Format DDG'!$C:$C,$D$5,'ETPT Format DDG'!$EA:$EA,"Magistrat placé ADD")</f>
        <v>#N/A</v>
      </c>
      <c r="AD14" s="126" t="e">
        <f>SUMIFS( INDEX( 'ETPT Format DDG'!$A:$EF,,MATCH("3. TOTAL CONTENTIEUX DE LA PROTECTION",'ETPT Format DDG'!2:2,0)),'ETPT Format DDG'!$C:$C,$D$5,'ETPT Format DDG'!$EA:$EA,"Magistrat placé ADD")-
SUMIFS( INDEX( 'ETPT Format DDG'!$A:$EF,,MATCH("3.2. PROTECTION DES MAJEURS",'ETPT Format DDG'!2:2,0)),'ETPT Format DDG'!$C:$C,$D$5,'ETPT Format DDG'!$EA:$EA,"Magistrat placé ADD")-
SUMIFS( INDEX( 'ETPT Format DDG'!$A:$EF,,MATCH("3.43. INJONCTIONS DE PAYER",'ETPT Format DDG'!2:2,0)),'ETPT Format DDG'!$C:$C,$D$5,'ETPT Format DDG'!$EA:$EA,"Magistrat placé ADD")-
SUMIFS( INDEX( 'ETPT Format DDG'!$A:$EF,,MATCH("3.44. SAISIE DES RÉMUNÉRATIONS",'ETPT Format DDG'!2:2,0)),'ETPT Format DDG'!$C:$C,$D$5,'ETPT Format DDG'!$EA:$EA,"Magistrat placé ADD")</f>
        <v>#N/A</v>
      </c>
      <c r="AE14" s="126" t="e">
        <f>SUMIFS( INDEX( 'ETPT Format DDG'!$A:$EF,,MATCH("8.1. SERVICE GÉNÉRAL",'ETPT Format DDG'!2:2,0)),'ETPT Format DDG'!$EA:$EA,"Magistrat placé ADD")</f>
        <v>#N/A</v>
      </c>
      <c r="AF14" s="126" t="e">
        <f>SUMIFS( INDEX( 'ETPT Format DDG'!$A:$EF,,MATCH("8.2. JIRS ÉCO-FI",'ETPT Format DDG'!2:2,0)),'ETPT Format DDG'!$EA:$EA,"Magistrat placé ADD")</f>
        <v>#N/A</v>
      </c>
      <c r="AG14" s="126" t="e">
        <f>SUMIFS( INDEX( 'ETPT Format DDG'!$A:$EF,,MATCH("8.3. JIRS CRIM-ORG",'ETPT Format DDG'!2:2,0)),'ETPT Format DDG'!$EA:$EA,"Magistrat placé ADD")</f>
        <v>#N/A</v>
      </c>
      <c r="AH14" s="126" t="e">
        <f>SUMIFS( INDEX( 'ETPT Format DDG'!$A:$EF,,MATCH("8.4. AUTRES SECTIONS SPÉCIALISÉES",'ETPT Format DDG'!2:2,0)),'ETPT Format DDG'!$EA:$EA,"Magistrat placé ADD")</f>
        <v>#N/A</v>
      </c>
      <c r="AI14" s="126" t="e">
        <f>SUMIFS( INDEX( 'ETPT Format DDG'!$A:$EF,,MATCH("9. TOTAL JAP",'ETPT Format DDG'!2:2,0)),'ETPT Format DDG'!$EA:$EA,"Magistrat placé ADD")</f>
        <v>#N/A</v>
      </c>
      <c r="AJ14" s="126" t="e">
        <f>SUMIFS( INDEX( 'ETPT Format DDG'!$A:$EF,,MATCH("6.1. ACTIVITÉ CIVILE",'ETPT Format DDG'!2:2,0)),'ETPT Format DDG'!$EA:$EA,"Magistrat placé ADD")+
SUMIFS( INDEX( 'ETPT Format DDG'!$A:$EF,,MATCH("6.2. ACTIVITÉ PÉNALE",'ETPT Format DDG'!2:2,0)),'ETPT Format DDG'!$EA:$EA,"Magistrat placé ADD")</f>
        <v>#N/A</v>
      </c>
      <c r="AK14" s="126" t="e">
        <f>SUMIFS( INDEX( 'ETPT Format DDG'!$A:$EF,,MATCH("5. TOTAL JLD CIVIL",'ETPT Format DDG'!2:2,0)),'ETPT Format DDG'!$EA:$EA,"Magistrat placé ADD")+
SUMIFS( INDEX( 'ETPT Format DDG'!$A:$EF,,MATCH("10. TOTAL JLD PÉNAL",'ETPT Format DDG'!2:2,0)),'ETPT Format DDG'!$EA:$EA,"Magistrat placé ADD")</f>
        <v>#N/A</v>
      </c>
      <c r="AL14" s="119" t="e">
        <f t="shared" si="2"/>
        <v>#N/A</v>
      </c>
      <c r="AM14" s="126" t="e">
        <f>SUMIFS( INDEX( 'ETPT Format DDG'!$A:$EF,,MATCH("7.5. COUR D'ASSISES HORS JIRS",'ETPT Format DDG'!2:2,0)),'ETPT Format DDG'!$EA:$EA,"Magistrat placé ADD")+
SUMIFS( INDEX( 'ETPT Format DDG'!$A:$EF,,MATCH("7.51. COUR D'ASSISES JIRS",'ETPT Format DDG'!2:2,0)),'ETPT Format DDG'!$EA:$EA,"Magistrat placé ADD")</f>
        <v>#N/A</v>
      </c>
      <c r="AN14" s="126" t="e">
        <f>SUMIFS( INDEX( 'ETPT Format DDG'!$A:$EF,,MATCH("7.52. COUR CRIMINELLE",'ETPT Format DDG'!2:2,0)),'ETPT Format DDG'!$EA:$EA,"Magistrat placé ADD")</f>
        <v>#N/A</v>
      </c>
      <c r="AO14" s="126" t="e">
        <f>SUMIFS( INDEX( 'ETPT Format DDG'!$A:$EF,,MATCH("7.121. COLLÉGIALES JIRS ECO-FI",'ETPT Format DDG'!2:2,0)),'ETPT Format DDG'!$EA:$EA,"Magistrat placé ADD")</f>
        <v>#N/A</v>
      </c>
      <c r="AP14" s="126" t="e">
        <f>SUMIFS( INDEX( 'ETPT Format DDG'!$A:$EF,,MATCH("7.12. COLLÉGIALES JIRS CRIM-ORG",'ETPT Format DDG'!2:2,0)),'ETPT Format DDG'!$EA:$EA,"Magistrat placé ADD")</f>
        <v>#N/A</v>
      </c>
      <c r="AQ14" s="126" t="e">
        <f>SUMIFS( INDEX( 'ETPT Format DDG'!$A:$EF,,MATCH("7.122. COLLÉGIALES AUTRES SECTIONS SPÉCIALISÉES",'ETPT Format DDG'!2:2,0)),'ETPT Format DDG'!$EA:$EA,"Magistrat placé ADD")</f>
        <v>#N/A</v>
      </c>
      <c r="AR14" s="126" t="e">
        <f>SUMIFS( INDEX( 'ETPT Format DDG'!$A:$EF,,MATCH("7.6. TRIBUNAL DE POLICE",'ETPT Format DDG'!2:2,0)),'ETPT Format DDG'!$EA:$EA,"Magistrat placé ADD")+
SUMIFS( INDEX( 'ETPT Format DDG'!$A:$EF,,MATCH("7.7. OP CONTRAVENTIONNELLES",'ETPT Format DDG'!2:2,0)),'ETPT Format DDG'!$EA:$EA,"Magistrat placé ADD")</f>
        <v>#N/A</v>
      </c>
      <c r="AS14" s="126" t="e">
        <f>SUMIFS( INDEX( 'ETPT Format DDG'!$A:$EF,,MATCH("1.1. DÉPARTAGE PRUD'HOMAL",'ETPT Format DDG'!2:2,0)),'ETPT Format DDG'!$C:$C,$D$5,'ETPT Format DDG'!$EA:$EA,"Magistrat placé ADD")</f>
        <v>#N/A</v>
      </c>
      <c r="AT14" s="126" t="e">
        <f>SUMIFS( INDEX( 'ETPT Format DDG'!$A:$EF,,MATCH("4.0. CONTENTIEUX GÉNÉRAL &lt;10.000€",'ETPT Format DDG'!2:2,0)),'ETPT Format DDG'!$C:$C,$D$5,'ETPT Format DDG'!$EA:$EA,"Magistrat placé ADD")</f>
        <v>#N/A</v>
      </c>
      <c r="AU14" s="126" t="e">
        <f>SUMIFS( INDEX( 'ETPT Format DDG'!$A:$EF,,MATCH("3.43. INJONCTIONS DE PAYER",'ETPT Format DDG'!2:2,0)),'ETPT Format DDG'!$C:$C,$D$5,'ETPT Format DDG'!$EA:$EA,"Magistrat placé ADD")+
SUMIFS( INDEX( 'ETPT Format DDG'!$A:$EF,,MATCH("3.44. SAISIE DES RÉMUNÉRATIONS",'ETPT Format DDG'!2:2,0)),'ETPT Format DDG'!$C:$C,$D$5,'ETPT Format DDG'!$EA:$EA,"Magistrat placé ADD")</f>
        <v>#N/A</v>
      </c>
      <c r="AV14" s="126" t="e">
        <f>SUMIFS( INDEX( 'ETPT Format DDG'!$A:$EF,,MATCH("1. TOTAL CONTENTIEUX SOCIAL",'ETPT Format DDG'!2:2,0)),'ETPT Format DDG'!$C:$C,$D$5,'ETPT Format DDG'!$EA:$EA,"Magistrat placé ADD")-
SUMIFS( INDEX( 'ETPT Format DDG'!$A:$EF,,MATCH("1.1. DÉPARTAGE PRUD'HOMAL",'ETPT Format DDG'!2:2,0)),'ETPT Format DDG'!$C:$C,$D$5,'ETPT Format DDG'!$EA:$EA,"Magistrat placé ADD")</f>
        <v>#N/A</v>
      </c>
      <c r="AW14" s="126" t="e">
        <f>SUMIFS( INDEX( 'ETPT Format DDG'!$A:$EF,,MATCH("2. TOTAL CONTENTIEUX JAF",'ETPT Format DDG'!2:2,0)),'ETPT Format DDG'!$C:$C,$D$5,'ETPT Format DDG'!$EA:$EA,"Magistrat placé ADD")</f>
        <v>#N/A</v>
      </c>
      <c r="AX14" s="127"/>
      <c r="AY14" s="126" t="e">
        <f>SUMIFS( INDEX( 'ETPT Format DDG'!$A:$EF,,MATCH("Temps ventilé sur la période (y.c. indisponibilité)",'ETPT Format DDG'!2:2,0)),'ETPT Format DDG'!$C:$C,$D$5,'ETPT Format DDG'!$EA:$EA,"Magistrat placé ADD")-SUM(AC14:AK14)-SUM(AM14:AX14)</f>
        <v>#N/A</v>
      </c>
      <c r="AZ14" s="119" t="e">
        <f t="shared" si="3"/>
        <v>#N/A</v>
      </c>
      <c r="BA14" s="125"/>
      <c r="BB14" s="125"/>
      <c r="BC14" s="125"/>
      <c r="BD14" s="125"/>
      <c r="BE14" s="125"/>
      <c r="BF14" s="125"/>
      <c r="BG14" s="125"/>
      <c r="BH14" s="125"/>
      <c r="BI14" s="125"/>
      <c r="BJ14" s="119">
        <f t="shared" si="4"/>
        <v>0</v>
      </c>
    </row>
    <row r="15" spans="1:62" s="114" customFormat="1" ht="14.25" customHeight="1" x14ac:dyDescent="0.15">
      <c r="A15" s="124" t="s">
        <v>259</v>
      </c>
      <c r="B15" s="134"/>
      <c r="C15" s="134"/>
      <c r="D15" s="135" t="str">
        <f t="shared" si="5"/>
        <v/>
      </c>
      <c r="E15" s="134" t="s">
        <v>256</v>
      </c>
      <c r="F15" s="134" t="s">
        <v>255</v>
      </c>
      <c r="G15" s="133">
        <f>SUMIFS( INDEX( 'ETPT Format DDG'!$A:$EF,,MATCH("Temps ventilé sur la période (y.c. indisponibilité)",'ETPT Format DDG'!2:2,0)),'ETPT Format DDG'!$C:$C,$D$5,'ETPT Format DDG'!$EA:$EA,"Fonctionnaire CTECH placé SUB")</f>
        <v>0</v>
      </c>
      <c r="H15" s="132">
        <f t="shared" si="0"/>
        <v>0</v>
      </c>
      <c r="I15" s="131" t="e">
        <f>SUMIFS( INDEX( 'ETPT Format DDG'!$A:$EF,,MATCH("11.8. FONCTIONNAIRES AFFECTÉS AUX ACTIVITÉS CIVILES ET COMMERCIALES DU PARQUET",'ETPT Format DDG'!2:2,0)),'ETPT Format DDG'!$C:$C,$D$5,'ETPT Format DDG'!$EA:$EA,"Fonctionnaire A-B-CBUR placé SUB")</f>
        <v>#N/A</v>
      </c>
      <c r="J15" s="131" t="e">
        <f>SUMIFS( INDEX( 'ETPT Format DDG'!$A:$EF,,MATCH("11.9. FONCTIONNAIRES AFFECTÉS À L'EXÉCUTION DES PEINES",'ETPT Format DDG'!2:2,0)),'ETPT Format DDG'!$C:$C,$D$5,'ETPT Format DDG'!$EA:$EA,"Fonctionnaire A-B-CBUR placé SUB")</f>
        <v>#N/A</v>
      </c>
      <c r="K15" s="131" t="e">
        <f>SUMIFS( INDEX( 'ETPT Format DDG'!$A:$EF,,MATCH("7.5. COUR D'ASSISES HORS JIRS",'ETPT Format DDG'!2:2,0)),'ETPT Format DDG'!$C:$C,$D$5,'ETPT Format DDG'!$EA:$EA,"Fonctionnaire A-B-CBUR placé SUB")+
SUMIFS( INDEX( 'ETPT Format DDG'!$A:$EF,,MATCH("7.51. COUR D'ASSISES JIRS",'ETPT Format DDG'!2:2,0)),'ETPT Format DDG'!$C:$C,$D$5,'ETPT Format DDG'!$EA:$EA,"Fonctionnaire A-B-CBUR placé SUB")</f>
        <v>#N/A</v>
      </c>
      <c r="L15" s="131" t="e">
        <f>SUMIFS( INDEX( 'ETPT Format DDG'!$A:$EF,,MATCH("7.52. COUR CRIMINELLE",'ETPT Format DDG'!2:2,0)),'ETPT Format DDG'!$C:$C,$D$5,'ETPT Format DDG'!$EA:$EA,"Fonctionnaire A-B-CBUR placé SUB")</f>
        <v>#N/A</v>
      </c>
      <c r="M15" s="131" t="e">
        <f>SUMIFS( INDEX( 'ETPT Format DDG'!$A:$EF,,MATCH("8.2. JIRS ÉCO-FI",'ETPT Format DDG'!2:2,0)),'ETPT Format DDG'!$C:$C,$D$5,'ETPT Format DDG'!$EA:$EA,"Fonctionnaire A-B-CBUR placé SUB")</f>
        <v>#N/A</v>
      </c>
      <c r="N15" s="131" t="e">
        <f>SUMIFS( INDEX( 'ETPT Format DDG'!$A:$EF,,MATCH("8.3. JIRS CRIM-ORG",'ETPT Format DDG'!2:2,0)),'ETPT Format DDG'!$C:$C,$D$5,'ETPT Format DDG'!$EA:$EA,"Fonctionnaire A-B-CBUR placé SUB")</f>
        <v>#N/A</v>
      </c>
      <c r="O15" s="131" t="e">
        <f>SUMIFS( INDEX( 'ETPT Format DDG'!$A:$EF,,MATCH("8.4. AUTRES SECTIONS SPÉCIALISÉES",'ETPT Format DDG'!2:2,0)),'ETPT Format DDG'!$C:$C,$D$5,'ETPT Format DDG'!$EA:$EA,"Fonctionnaire A-B-CBUR placé SUB")</f>
        <v>#N/A</v>
      </c>
      <c r="P15" s="131" t="e">
        <f>SUMIFS( INDEX( 'ETPT Format DDG'!$A:$EF,,MATCH("3.2. PROTECTION DES MAJEURS",'ETPT Format DDG'!2:2,0)),'ETPT Format DDG'!$C:$C,$D$5,'ETPT Format DDG'!$EA:$EA,"Fonctionnaire A-B-CBUR placé SUB")</f>
        <v>#N/A</v>
      </c>
      <c r="Q15" s="131" t="e">
        <f>SUMIFS( INDEX( 'ETPT Format DDG'!$A:$EF,,MATCH("3. TOTAL CONTENTIEUX DE LA PROTECTION",'ETPT Format DDG'!2:2,0)),'ETPT Format DDG'!$C:$C,$D$5,'ETPT Format DDG'!$EA:$EA,"Fonctionnaire A-B-CBUR placé SUB")-
SUMIFS( INDEX( 'ETPT Format DDG'!$A:$EF,,MATCH("3.2. PROTECTION DES MAJEURS",'ETPT Format DDG'!2:2,0)),'ETPT Format DDG'!$C:$C,$D$5,'ETPT Format DDG'!$EA:$EA,"Fonctionnaire A-B-CBUR placé SUB")-
SUMIFS( INDEX( 'ETPT Format DDG'!$A:$EF,,MATCH("3.43. INJONCTIONS DE PAYER",'ETPT Format DDG'!2:2,0)),'ETPT Format DDG'!$C:$C,$D$5,'ETPT Format DDG'!$EA:$EA,"Fonctionnaire A-B-CBUR placé SUB")-
SUMIFS( INDEX( 'ETPT Format DDG'!$A:$EF,,MATCH("3.44. SAISIE DES RÉMUNÉRATIONS",'ETPT Format DDG'!2:2,0)),'ETPT Format DDG'!$C:$C,$D$5,'ETPT Format DDG'!$EA:$EA,"Fonctionnaire A-B-CBUR placé SUB")</f>
        <v>#N/A</v>
      </c>
      <c r="R15" s="131" t="e">
        <f>SUMIFS( INDEX( 'ETPT Format DDG'!$A:$EF,,MATCH("5. TOTAL JLD CIVIL",'ETPT Format DDG'!2:2,0)),'ETPT Format DDG'!$C:$C,$D$5,'ETPT Format DDG'!$EA:$EA,"Fonctionnaire A-B-CBUR placé SUB")+
SUMIFS( INDEX( 'ETPT Format DDG'!$A:$EF,,MATCH("6.1. ACTIVITÉ CIVILE",'ETPT Format DDG'!2:2,0)),'ETPT Format DDG'!$C:$C,$D$5,'ETPT Format DDG'!$EA:$EA,"Fonctionnaire A-B-CBUR placé SUB")+
SUMIFS( INDEX( 'ETPT Format DDG'!$A:$EF,,MATCH("6.2. ACTIVITÉ PÉNALE",'ETPT Format DDG'!2:2,0)),'ETPT Format DDG'!$C:$C,$D$5,'ETPT Format DDG'!$EA:$EA,"Fonctionnaire A-B-CBUR placé SUB")+
(SUMIFS( INDEX( 'ETPT Format DDG'!$A:$EF,,MATCH("8. TOTAL JUGES D'INSTRUCTION",'ETPT Format DDG'!2:2,0)),'ETPT Format DDG'!$C:$C,$D$5,'ETPT Format DDG'!$EA:$EA,"Fonctionnaire A-B-CBUR placé SUB")-
SUMIFS( INDEX( 'ETPT Format DDG'!$A:$EF,,MATCH("8.2. JIRS ÉCO-FI",'ETPT Format DDG'!2:2,0)),'ETPT Format DDG'!$C:$C,$D$5,'ETPT Format DDG'!$EA:$EA,"Fonctionnaire A-B-CBUR placé SUB")-
SUMIFS( INDEX( 'ETPT Format DDG'!$A:$EF,,MATCH("8.3. JIRS CRIM-ORG",'ETPT Format DDG'!2:2,0)),'ETPT Format DDG'!$C:$C,$D$5,'ETPT Format DDG'!$EA:$EA,"Fonctionnaire A-B-CBUR placé SUB")-
SUMIFS( INDEX( 'ETPT Format DDG'!$A:$EF,,MATCH("8.4. AUTRES SECTIONS SPÉCIALISÉES",'ETPT Format DDG'!2:2,0)),'ETPT Format DDG'!$C:$C,$D$5,'ETPT Format DDG'!$EA:$EA,"Fonctionnaire A-B-CBUR placé SUB"))+
SUMIFS( INDEX( 'ETPT Format DDG'!$A:$EF,,MATCH("9. TOTAL JAP",'ETPT Format DDG'!2:2,0)),'ETPT Format DDG'!$C:$C,$D$5,'ETPT Format DDG'!$EA:$EA,"Fonctionnaire A-B-CBUR placé SUB")+
SUMIFS( INDEX( 'ETPT Format DDG'!$A:$EF,,MATCH("10. TOTAL JLD PÉNAL",'ETPT Format DDG'!2:2,0)),'ETPT Format DDG'!$C:$C,$D$5,'ETPT Format DDG'!$EA:$EA,"Fonctionnaire A-B-CBUR placé SUB")</f>
        <v>#N/A</v>
      </c>
      <c r="S15" s="131" t="e">
        <f>SUMIFS( INDEX( 'ETPT Format DDG'!$A:$EF,,MATCH("3.43. INJONCTIONS DE PAYER",'ETPT Format DDG'!2:2,0)),'ETPT Format DDG'!$C:$C,$D$5,'ETPT Format DDG'!$EA:$EA,"Fonctionnaire A-B-CBUR placé SUB")+
SUMIFS( INDEX( 'ETPT Format DDG'!$A:$EF,,MATCH("3.44. SAISIE DES RÉMUNÉRATIONS",'ETPT Format DDG'!2:2,0)),'ETPT Format DDG'!$C:$C,$D$5,'ETPT Format DDG'!$EA:$EA,"Fonctionnaire A-B-CBUR placé SUB")</f>
        <v>#N/A</v>
      </c>
      <c r="T15" s="131" t="e">
        <f>SUMIFS( INDEX( 'ETPT Format DDG'!$A:$EF,,MATCH("4.0. CONTENTIEUX GÉNÉRAL &lt;10.000€",'ETPT Format DDG'!2:2,0)),'ETPT Format DDG'!$C:$C,$D$5,'ETPT Format DDG'!$EA:$EA,"Fonctionnaire A-B-CBUR placé SUB")</f>
        <v>#N/A</v>
      </c>
      <c r="U15" s="131" t="e">
        <f>SUMIFS( INDEX( 'ETPT Format DDG'!$A:$EF,,MATCH("1. TOTAL CONTENTIEUX SOCIAL",'ETPT Format DDG'!2:2,0)),'ETPT Format DDG'!$C:$C,$D$5,'ETPT Format DDG'!$EA:$EA,"Fonctionnaire A-B-CBUR placé SUB")</f>
        <v>#N/A</v>
      </c>
      <c r="V15" s="131" t="e">
        <f>SUMIFS( INDEX( 'ETPT Format DDG'!$A:$EF,,MATCH("Temps ventilé sur la période (y.c. indisponibilité)",'ETPT Format DDG'!2:2,0)),'ETPT Format DDG'!$C:$C,$D$5,'ETPT Format DDG'!$EA:$EA,"Fonctionnaire A-B-CBUR placé SUB")-
SUM(I15:U15)</f>
        <v>#N/A</v>
      </c>
      <c r="W15" s="119" t="e">
        <f t="shared" si="6"/>
        <v>#N/A</v>
      </c>
      <c r="X15" s="130"/>
      <c r="Y15" s="129"/>
      <c r="Z15" s="129"/>
      <c r="AA15" s="129"/>
      <c r="AB15" s="119">
        <f t="shared" si="1"/>
        <v>0</v>
      </c>
      <c r="AC15" s="128" t="e">
        <f>SUMIFS( INDEX( 'ETPT Format DDG'!$A:$EF,,MATCH("3.2. PROTECTION DES MAJEURS",'ETPT Format DDG'!2:2,0)),'ETPT Format DDG'!$C:$C,$D$5,'ETPT Format DDG'!$EA:$EA,"Magistrat placé SUB")</f>
        <v>#N/A</v>
      </c>
      <c r="AD15" s="126" t="e">
        <f>SUMIFS( INDEX( 'ETPT Format DDG'!$A:$EF,,MATCH("3. TOTAL CONTENTIEUX DE LA PROTECTION",'ETPT Format DDG'!2:2,0)),'ETPT Format DDG'!$C:$C,$D$5,'ETPT Format DDG'!$EA:$EA,"Magistrat placé SUB")-
SUMIFS( INDEX( 'ETPT Format DDG'!$A:$EF,,MATCH("3.2. PROTECTION DES MAJEURS",'ETPT Format DDG'!2:2,0)),'ETPT Format DDG'!$C:$C,$D$5,'ETPT Format DDG'!$EA:$EA,"Magistrat placé SUB")-
SUMIFS( INDEX( 'ETPT Format DDG'!$A:$EF,,MATCH("3.43. INJONCTIONS DE PAYER",'ETPT Format DDG'!2:2,0)),'ETPT Format DDG'!$C:$C,$D$5,'ETPT Format DDG'!$EA:$EA,"Magistrat placé SUB")-
SUMIFS( INDEX( 'ETPT Format DDG'!$A:$EF,,MATCH("3.44. SAISIE DES RÉMUNÉRATIONS",'ETPT Format DDG'!2:2,0)),'ETPT Format DDG'!$C:$C,$D$5,'ETPT Format DDG'!$EA:$EA,"Magistrat placé SUB")</f>
        <v>#N/A</v>
      </c>
      <c r="AE15" s="126" t="e">
        <f>SUMIFS( INDEX( 'ETPT Format DDG'!$A:$EF,,MATCH("8.1. SERVICE GÉNÉRAL",'ETPT Format DDG'!2:2,0)),'ETPT Format DDG'!$EA:$EA,"Magistrat placé SUB")</f>
        <v>#N/A</v>
      </c>
      <c r="AF15" s="126" t="e">
        <f>SUMIFS( INDEX( 'ETPT Format DDG'!$A:$EF,,MATCH("8.2. JIRS ÉCO-FI",'ETPT Format DDG'!2:2,0)),'ETPT Format DDG'!$EA:$EA,"Magistrat placé SUB")</f>
        <v>#N/A</v>
      </c>
      <c r="AG15" s="126" t="e">
        <f>SUMIFS( INDEX( 'ETPT Format DDG'!$A:$EF,,MATCH("8.3. JIRS CRIM-ORG",'ETPT Format DDG'!2:2,0)),'ETPT Format DDG'!$EA:$EA,"Magistrat placé SUB")</f>
        <v>#N/A</v>
      </c>
      <c r="AH15" s="126" t="e">
        <f>SUMIFS( INDEX( 'ETPT Format DDG'!$A:$EF,,MATCH("8.4. AUTRES SECTIONS SPÉCIALISÉES",'ETPT Format DDG'!2:2,0)),'ETPT Format DDG'!$EA:$EA,"Magistrat placé SUB")</f>
        <v>#N/A</v>
      </c>
      <c r="AI15" s="126" t="e">
        <f>SUMIFS( INDEX( 'ETPT Format DDG'!$A:$EF,,MATCH("9. TOTAL JAP",'ETPT Format DDG'!2:2,0)),'ETPT Format DDG'!$EA:$EA,"Magistrat placé SUB")</f>
        <v>#N/A</v>
      </c>
      <c r="AJ15" s="126" t="e">
        <f>SUMIFS( INDEX( 'ETPT Format DDG'!$A:$EF,,MATCH("6.1. ACTIVITÉ CIVILE",'ETPT Format DDG'!2:2,0)),'ETPT Format DDG'!$EA:$EA,"Magistrat placé SUB")+
SUMIFS( INDEX( 'ETPT Format DDG'!$A:$EF,,MATCH("6.2. ACTIVITÉ PÉNALE",'ETPT Format DDG'!2:2,0)),'ETPT Format DDG'!$EA:$EA,"Magistrat placé SUB")</f>
        <v>#N/A</v>
      </c>
      <c r="AK15" s="126" t="e">
        <f>SUMIFS( INDEX( 'ETPT Format DDG'!$A:$EF,,MATCH("5. TOTAL JLD CIVIL",'ETPT Format DDG'!2:2,0)),'ETPT Format DDG'!$EA:$EA,"Magistrat placé SUB")+
SUMIFS( INDEX( 'ETPT Format DDG'!$A:$EF,,MATCH("10. TOTAL JLD PÉNAL",'ETPT Format DDG'!2:2,0)),'ETPT Format DDG'!$EA:$EA,"Magistrat placé SUB")</f>
        <v>#N/A</v>
      </c>
      <c r="AL15" s="119" t="e">
        <f t="shared" si="2"/>
        <v>#N/A</v>
      </c>
      <c r="AM15" s="126" t="e">
        <f>SUMIFS( INDEX( 'ETPT Format DDG'!$A:$EF,,MATCH("7.5. COUR D'ASSISES HORS JIRS",'ETPT Format DDG'!2:2,0)),'ETPT Format DDG'!$EA:$EA,"Magistrat placé SUB")+
SUMIFS( INDEX( 'ETPT Format DDG'!$A:$EF,,MATCH("7.51. COUR D'ASSISES JIRS",'ETPT Format DDG'!2:2,0)),'ETPT Format DDG'!$EA:$EA,"Magistrat placé SUB")</f>
        <v>#N/A</v>
      </c>
      <c r="AN15" s="126" t="e">
        <f>SUMIFS( INDEX( 'ETPT Format DDG'!$A:$EF,,MATCH("7.52. COUR CRIMINELLE",'ETPT Format DDG'!2:2,0)),'ETPT Format DDG'!$EA:$EA,"Magistrat placé SUB")</f>
        <v>#N/A</v>
      </c>
      <c r="AO15" s="126" t="e">
        <f>SUMIFS( INDEX( 'ETPT Format DDG'!$A:$EF,,MATCH("7.121. COLLÉGIALES JIRS ECO-FI",'ETPT Format DDG'!2:2,0)),'ETPT Format DDG'!$EA:$EA,"Magistrat placé SUB")</f>
        <v>#N/A</v>
      </c>
      <c r="AP15" s="126" t="e">
        <f>SUMIFS( INDEX( 'ETPT Format DDG'!$A:$EF,,MATCH("7.12. COLLÉGIALES JIRS CRIM-ORG",'ETPT Format DDG'!2:2,0)),'ETPT Format DDG'!$EA:$EA,"Magistrat placé SUB")</f>
        <v>#N/A</v>
      </c>
      <c r="AQ15" s="126" t="e">
        <f>SUMIFS( INDEX( 'ETPT Format DDG'!$A:$EF,,MATCH("7.122. COLLÉGIALES AUTRES SECTIONS SPÉCIALISÉES",'ETPT Format DDG'!2:2,0)),'ETPT Format DDG'!$EA:$EA,"Magistrat placé SUB")</f>
        <v>#N/A</v>
      </c>
      <c r="AR15" s="126" t="e">
        <f>SUMIFS( INDEX( 'ETPT Format DDG'!$A:$EF,,MATCH("7.6. TRIBUNAL DE POLICE",'ETPT Format DDG'!2:2,0)),'ETPT Format DDG'!$EA:$EA,"Magistrat placé SUB")+
SUMIFS( INDEX( 'ETPT Format DDG'!$A:$EF,,MATCH("7.7. OP CONTRAVENTIONNELLES",'ETPT Format DDG'!2:2,0)),'ETPT Format DDG'!$EA:$EA,"Magistrat placé SUB")</f>
        <v>#N/A</v>
      </c>
      <c r="AS15" s="126" t="e">
        <f>SUMIFS( INDEX( 'ETPT Format DDG'!$A:$EF,,MATCH("1.1. DÉPARTAGE PRUD'HOMAL",'ETPT Format DDG'!2:2,0)),'ETPT Format DDG'!$C:$C,$D$5,'ETPT Format DDG'!$EA:$EA,"Magistrat placé SUB")</f>
        <v>#N/A</v>
      </c>
      <c r="AT15" s="126" t="e">
        <f>SUMIFS( INDEX( 'ETPT Format DDG'!$A:$EF,,MATCH("4.0. CONTENTIEUX GÉNÉRAL &lt;10.000€",'ETPT Format DDG'!2:2,0)),'ETPT Format DDG'!$C:$C,$D$5,'ETPT Format DDG'!$EA:$EA,"Magistrat placé SUB")</f>
        <v>#N/A</v>
      </c>
      <c r="AU15" s="126" t="e">
        <f>SUMIFS( INDEX( 'ETPT Format DDG'!$A:$EF,,MATCH("3.43. INJONCTIONS DE PAYER",'ETPT Format DDG'!2:2,0)),'ETPT Format DDG'!$C:$C,$D$5,'ETPT Format DDG'!$EA:$EA,"Magistrat placé SUB")+
SUMIFS( INDEX( 'ETPT Format DDG'!$A:$EF,,MATCH("3.44. SAISIE DES RÉMUNÉRATIONS",'ETPT Format DDG'!2:2,0)),'ETPT Format DDG'!$C:$C,$D$5,'ETPT Format DDG'!$EA:$EA,"Magistrat placé SUB")</f>
        <v>#N/A</v>
      </c>
      <c r="AV15" s="126" t="e">
        <f>SUMIFS( INDEX( 'ETPT Format DDG'!$A:$EF,,MATCH("1. TOTAL CONTENTIEUX SOCIAL",'ETPT Format DDG'!2:2,0)),'ETPT Format DDG'!$C:$C,$D$5,'ETPT Format DDG'!$EA:$EA,"Magistrat placé SUB")-
SUMIFS( INDEX( 'ETPT Format DDG'!$A:$EF,,MATCH("1.1. DÉPARTAGE PRUD'HOMAL",'ETPT Format DDG'!2:2,0)),'ETPT Format DDG'!$C:$C,$D$5,'ETPT Format DDG'!$EA:$EA,"Magistrat placé SUB")</f>
        <v>#N/A</v>
      </c>
      <c r="AW15" s="126" t="e">
        <f>SUMIFS( INDEX( 'ETPT Format DDG'!$A:$EF,,MATCH("2. TOTAL CONTENTIEUX JAF",'ETPT Format DDG'!2:2,0)),'ETPT Format DDG'!$C:$C,$D$5,'ETPT Format DDG'!$EA:$EA,"Magistrat placé SUB")</f>
        <v>#N/A</v>
      </c>
      <c r="AX15" s="127"/>
      <c r="AY15" s="126" t="e">
        <f>SUMIFS( INDEX( 'ETPT Format DDG'!$A:$EF,,MATCH("Temps ventilé sur la période (y.c. indisponibilité)",'ETPT Format DDG'!2:2,0)),'ETPT Format DDG'!$C:$C,$D$5,'ETPT Format DDG'!$EA:$EA,"Magistrat placé SUB")-SUM(AC15:AK15)-SUM(AM15:AX15)</f>
        <v>#N/A</v>
      </c>
      <c r="AZ15" s="119" t="e">
        <f t="shared" si="3"/>
        <v>#N/A</v>
      </c>
      <c r="BA15" s="125"/>
      <c r="BB15" s="125"/>
      <c r="BC15" s="125"/>
      <c r="BD15" s="125"/>
      <c r="BE15" s="125"/>
      <c r="BF15" s="125"/>
      <c r="BG15" s="125"/>
      <c r="BH15" s="125"/>
      <c r="BI15" s="125"/>
      <c r="BJ15" s="119">
        <f t="shared" si="4"/>
        <v>0</v>
      </c>
    </row>
    <row r="16" spans="1:62" s="114" customFormat="1" ht="14.25" customHeight="1" x14ac:dyDescent="0.15">
      <c r="A16" s="124"/>
      <c r="B16" s="123"/>
      <c r="C16" s="123"/>
      <c r="D16" s="123"/>
      <c r="E16" s="123"/>
      <c r="F16" s="122" t="s">
        <v>231</v>
      </c>
      <c r="G16" s="120" t="e">
        <f t="shared" ref="G16:AL16" si="7">SUM(G5:G15)</f>
        <v>#N/A</v>
      </c>
      <c r="H16" s="119" t="e">
        <f t="shared" si="7"/>
        <v>#N/A</v>
      </c>
      <c r="I16" s="120" t="e">
        <f t="shared" si="7"/>
        <v>#N/A</v>
      </c>
      <c r="J16" s="120" t="e">
        <f t="shared" si="7"/>
        <v>#N/A</v>
      </c>
      <c r="K16" s="120" t="e">
        <f t="shared" si="7"/>
        <v>#N/A</v>
      </c>
      <c r="L16" s="121" t="e">
        <f t="shared" si="7"/>
        <v>#N/A</v>
      </c>
      <c r="M16" s="120" t="e">
        <f t="shared" si="7"/>
        <v>#N/A</v>
      </c>
      <c r="N16" s="120" t="e">
        <f t="shared" si="7"/>
        <v>#N/A</v>
      </c>
      <c r="O16" s="120" t="e">
        <f t="shared" si="7"/>
        <v>#N/A</v>
      </c>
      <c r="P16" s="120" t="e">
        <f t="shared" si="7"/>
        <v>#N/A</v>
      </c>
      <c r="Q16" s="120" t="e">
        <f t="shared" si="7"/>
        <v>#N/A</v>
      </c>
      <c r="R16" s="120" t="e">
        <f t="shared" si="7"/>
        <v>#N/A</v>
      </c>
      <c r="S16" s="120" t="e">
        <f t="shared" si="7"/>
        <v>#N/A</v>
      </c>
      <c r="T16" s="120" t="e">
        <f t="shared" si="7"/>
        <v>#N/A</v>
      </c>
      <c r="U16" s="120" t="e">
        <f t="shared" si="7"/>
        <v>#N/A</v>
      </c>
      <c r="V16" s="120" t="e">
        <f t="shared" si="7"/>
        <v>#N/A</v>
      </c>
      <c r="W16" s="119" t="e">
        <f t="shared" si="7"/>
        <v>#N/A</v>
      </c>
      <c r="X16" s="120" t="e">
        <f t="shared" si="7"/>
        <v>#N/A</v>
      </c>
      <c r="Y16" s="120" t="e">
        <f t="shared" si="7"/>
        <v>#N/A</v>
      </c>
      <c r="Z16" s="120" t="e">
        <f t="shared" si="7"/>
        <v>#N/A</v>
      </c>
      <c r="AA16" s="120" t="e">
        <f t="shared" si="7"/>
        <v>#N/A</v>
      </c>
      <c r="AB16" s="119" t="e">
        <f t="shared" si="7"/>
        <v>#N/A</v>
      </c>
      <c r="AC16" s="120" t="e">
        <f t="shared" si="7"/>
        <v>#N/A</v>
      </c>
      <c r="AD16" s="120" t="e">
        <f t="shared" si="7"/>
        <v>#N/A</v>
      </c>
      <c r="AE16" s="120" t="e">
        <f t="shared" si="7"/>
        <v>#N/A</v>
      </c>
      <c r="AF16" s="120" t="e">
        <f t="shared" si="7"/>
        <v>#N/A</v>
      </c>
      <c r="AG16" s="120" t="e">
        <f t="shared" si="7"/>
        <v>#N/A</v>
      </c>
      <c r="AH16" s="120" t="e">
        <f t="shared" si="7"/>
        <v>#N/A</v>
      </c>
      <c r="AI16" s="120" t="e">
        <f t="shared" si="7"/>
        <v>#N/A</v>
      </c>
      <c r="AJ16" s="120" t="e">
        <f t="shared" si="7"/>
        <v>#N/A</v>
      </c>
      <c r="AK16" s="120" t="e">
        <f t="shared" si="7"/>
        <v>#N/A</v>
      </c>
      <c r="AL16" s="119" t="e">
        <f t="shared" si="7"/>
        <v>#N/A</v>
      </c>
      <c r="AM16" s="120" t="e">
        <f t="shared" ref="AM16:BJ16" si="8">SUM(AM5:AM15)</f>
        <v>#N/A</v>
      </c>
      <c r="AN16" s="120" t="e">
        <f t="shared" si="8"/>
        <v>#N/A</v>
      </c>
      <c r="AO16" s="120" t="e">
        <f t="shared" si="8"/>
        <v>#N/A</v>
      </c>
      <c r="AP16" s="120" t="e">
        <f t="shared" si="8"/>
        <v>#N/A</v>
      </c>
      <c r="AQ16" s="120" t="e">
        <f t="shared" si="8"/>
        <v>#N/A</v>
      </c>
      <c r="AR16" s="120" t="e">
        <f t="shared" si="8"/>
        <v>#N/A</v>
      </c>
      <c r="AS16" s="120" t="e">
        <f t="shared" si="8"/>
        <v>#N/A</v>
      </c>
      <c r="AT16" s="120" t="e">
        <f t="shared" si="8"/>
        <v>#N/A</v>
      </c>
      <c r="AU16" s="120" t="e">
        <f t="shared" si="8"/>
        <v>#N/A</v>
      </c>
      <c r="AV16" s="120" t="e">
        <f t="shared" si="8"/>
        <v>#N/A</v>
      </c>
      <c r="AW16" s="120" t="e">
        <f t="shared" si="8"/>
        <v>#N/A</v>
      </c>
      <c r="AX16" s="120" t="e">
        <f t="shared" si="8"/>
        <v>#N/A</v>
      </c>
      <c r="AY16" s="120" t="e">
        <f t="shared" si="8"/>
        <v>#N/A</v>
      </c>
      <c r="AZ16" s="119" t="e">
        <f t="shared" si="8"/>
        <v>#N/A</v>
      </c>
      <c r="BA16" s="120">
        <f t="shared" si="8"/>
        <v>0</v>
      </c>
      <c r="BB16" s="120">
        <f t="shared" si="8"/>
        <v>0</v>
      </c>
      <c r="BC16" s="120">
        <f t="shared" si="8"/>
        <v>0</v>
      </c>
      <c r="BD16" s="120">
        <f t="shared" si="8"/>
        <v>0</v>
      </c>
      <c r="BE16" s="120">
        <f t="shared" si="8"/>
        <v>0</v>
      </c>
      <c r="BF16" s="120">
        <f t="shared" si="8"/>
        <v>0</v>
      </c>
      <c r="BG16" s="120">
        <f t="shared" si="8"/>
        <v>0</v>
      </c>
      <c r="BH16" s="120">
        <f t="shared" si="8"/>
        <v>0</v>
      </c>
      <c r="BI16" s="120">
        <f t="shared" si="8"/>
        <v>0</v>
      </c>
      <c r="BJ16" s="119">
        <f t="shared" si="8"/>
        <v>0</v>
      </c>
    </row>
    <row r="17" spans="1:62" s="114" customFormat="1" ht="9" customHeight="1" x14ac:dyDescent="0.15">
      <c r="A17" s="118"/>
      <c r="B17" s="117"/>
      <c r="C17" s="117"/>
      <c r="D17" s="117"/>
      <c r="E17" s="117"/>
      <c r="F17" s="116"/>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c r="BG17" s="115"/>
      <c r="BH17" s="115"/>
      <c r="BI17" s="115"/>
      <c r="BJ17" s="115"/>
    </row>
    <row r="18" spans="1:62" x14ac:dyDescent="0.2">
      <c r="W18" s="113" t="e">
        <f>H16+W16-W14-H14-H15-W15+ETPT_CPH!G5</f>
        <v>#N/A</v>
      </c>
      <c r="AZ18" s="113" t="e">
        <f>AZ16+AL16-AZ14-AL14</f>
        <v>#N/A</v>
      </c>
    </row>
    <row r="19" spans="1:62" x14ac:dyDescent="0.2">
      <c r="D19" s="112" t="s">
        <v>466</v>
      </c>
      <c r="AZ19" s="111"/>
    </row>
    <row r="20" spans="1:62" x14ac:dyDescent="0.2">
      <c r="W20" s="111"/>
      <c r="AZ20" s="111"/>
    </row>
    <row r="21" spans="1:62" x14ac:dyDescent="0.2">
      <c r="W21" s="111"/>
      <c r="AY21" s="111"/>
    </row>
    <row r="22" spans="1:62" x14ac:dyDescent="0.2">
      <c r="AH22" s="111"/>
    </row>
    <row r="24" spans="1:62" x14ac:dyDescent="0.2">
      <c r="V24" s="111"/>
    </row>
  </sheetData>
  <mergeCells count="7">
    <mergeCell ref="BJ2:BJ4"/>
    <mergeCell ref="B1:I1"/>
    <mergeCell ref="H2:H4"/>
    <mergeCell ref="W2:W4"/>
    <mergeCell ref="AB2:AB4"/>
    <mergeCell ref="AL2:AL4"/>
    <mergeCell ref="AZ2:AZ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14</vt:i4>
      </vt:variant>
    </vt:vector>
  </HeadingPairs>
  <TitlesOfParts>
    <vt:vector size="14" baseType="lpstr">
      <vt:lpstr>ACCUEIL</vt:lpstr>
      <vt:lpstr>ETPT A-JUST</vt:lpstr>
      <vt:lpstr>ETPT Format DDG</vt:lpstr>
      <vt:lpstr>Agrégats DDG</vt:lpstr>
      <vt:lpstr>codage tribunal</vt:lpstr>
      <vt:lpstr>Juridictions</vt:lpstr>
      <vt:lpstr>Table_Fonctions</vt:lpstr>
      <vt:lpstr>ETPT_TJ_corresp-AJUST2</vt:lpstr>
      <vt:lpstr>ETPT_TJ</vt:lpstr>
      <vt:lpstr>ETPT_TPRX</vt:lpstr>
      <vt:lpstr>ETPT_CPH</vt:lpstr>
      <vt:lpstr>ETPT_TJ_DDG</vt:lpstr>
      <vt:lpstr>ETPT_TPRX_DDG</vt:lpstr>
      <vt:lpstr>ETPT_CPH_DDG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Paweł Siemienik</dc:creator>
  <cp:lastModifiedBy>Jimmy CHEVALLIER</cp:lastModifiedBy>
  <dcterms:created xsi:type="dcterms:W3CDTF">2020-03-26T00:32:42Z</dcterms:created>
  <dcterms:modified xsi:type="dcterms:W3CDTF">2024-01-19T09:05:41Z</dcterms:modified>
</cp:coreProperties>
</file>