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E1CFD4B4-6148-7D41-8052-F1C174D564C2}" xr6:coauthVersionLast="47" xr6:coauthVersionMax="47" xr10:uidLastSave="{00000000-0000-0000-0000-000000000000}"/>
  <bookViews>
    <workbookView xWindow="0" yWindow="760" windowWidth="30240" windowHeight="17780" activeTab="2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25" l="1"/>
  <c r="AM6" i="25"/>
  <c r="AH18" i="26"/>
  <c r="R18" i="26"/>
  <c r="AH12" i="26"/>
  <c r="T12" i="26"/>
  <c r="R12" i="26"/>
  <c r="G18" i="26"/>
  <c r="G13" i="26"/>
  <c r="G12" i="26"/>
  <c r="G20" i="25"/>
  <c r="AY12" i="25"/>
  <c r="AK12" i="25"/>
  <c r="AJ12" i="25"/>
  <c r="AI12" i="25"/>
  <c r="AA12" i="25"/>
  <c r="AE12" i="25"/>
  <c r="AD12" i="25"/>
  <c r="V20" i="25"/>
  <c r="Z12" i="25"/>
  <c r="AY20" i="25"/>
  <c r="Y12" i="25"/>
  <c r="X12" i="25"/>
  <c r="V12" i="25"/>
  <c r="G12" i="25"/>
  <c r="Y5" i="26" l="1"/>
  <c r="X5" i="26"/>
  <c r="W5" i="26"/>
  <c r="G12" i="27"/>
  <c r="I5" i="27"/>
  <c r="G5" i="27"/>
  <c r="AH13" i="26"/>
  <c r="G14" i="26"/>
  <c r="AH9" i="26"/>
  <c r="AG5" i="26"/>
  <c r="AH5" i="26"/>
  <c r="AJ5" i="25"/>
  <c r="T10" i="26"/>
  <c r="T9" i="26"/>
  <c r="R13" i="26"/>
  <c r="R10" i="26"/>
  <c r="R8" i="26"/>
  <c r="L5" i="26"/>
  <c r="J14" i="26"/>
  <c r="R14" i="26" s="1"/>
  <c r="J5" i="26"/>
  <c r="R5" i="26" s="1"/>
  <c r="G15" i="26"/>
  <c r="G14" i="25"/>
  <c r="G8" i="26"/>
  <c r="G5" i="26"/>
  <c r="U6" i="10"/>
  <c r="S6" i="10"/>
  <c r="R6" i="10"/>
  <c r="Q6" i="10"/>
  <c r="P6" i="10"/>
  <c r="N6" i="10"/>
  <c r="L6" i="10"/>
  <c r="K6" i="10"/>
  <c r="J6" i="10"/>
  <c r="I6" i="10"/>
  <c r="G6" i="10"/>
  <c r="AM14" i="25"/>
  <c r="AY13" i="25"/>
  <c r="AY7" i="25"/>
  <c r="AY6" i="25"/>
  <c r="AX6" i="25"/>
  <c r="AR6" i="25"/>
  <c r="AQ6" i="25"/>
  <c r="AP6" i="25"/>
  <c r="AO6" i="25"/>
  <c r="AN6" i="25"/>
  <c r="AY5" i="25"/>
  <c r="AX5" i="25"/>
  <c r="AT5" i="25"/>
  <c r="AW5" i="25"/>
  <c r="AV5" i="25"/>
  <c r="AU5" i="25"/>
  <c r="AS5" i="25"/>
  <c r="AE14" i="25"/>
  <c r="AK13" i="25"/>
  <c r="AJ13" i="25"/>
  <c r="AI13" i="25"/>
  <c r="AE13" i="25"/>
  <c r="AD13" i="25"/>
  <c r="AD9" i="25"/>
  <c r="AK7" i="25"/>
  <c r="AF6" i="25"/>
  <c r="AE6" i="25"/>
  <c r="AD5" i="25"/>
  <c r="AK5" i="25"/>
  <c r="Y6" i="25" l="1"/>
  <c r="Y5" i="25"/>
  <c r="X10" i="25"/>
  <c r="X6" i="25"/>
  <c r="X5" i="25"/>
  <c r="V9" i="25"/>
  <c r="U15" i="25"/>
  <c r="U14" i="25"/>
  <c r="U5" i="25"/>
  <c r="T5" i="25"/>
  <c r="S5" i="25"/>
  <c r="R6" i="25"/>
  <c r="R5" i="25"/>
  <c r="P5" i="25"/>
  <c r="V5" i="25" s="1"/>
  <c r="Q5" i="25"/>
  <c r="N15" i="25"/>
  <c r="N14" i="25"/>
  <c r="K14" i="25"/>
  <c r="O6" i="25"/>
  <c r="N6" i="25"/>
  <c r="M6" i="25"/>
  <c r="L6" i="25"/>
  <c r="K6" i="25"/>
  <c r="V6" i="25" s="1"/>
  <c r="J6" i="25"/>
  <c r="I5" i="25"/>
  <c r="G15" i="25"/>
  <c r="G6" i="25"/>
  <c r="G13" i="25" l="1"/>
  <c r="G11" i="25"/>
  <c r="G10" i="25"/>
  <c r="G9" i="25"/>
  <c r="G8" i="25"/>
  <c r="H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AY20" i="28"/>
  <c r="AY15" i="28"/>
  <c r="G20" i="28"/>
  <c r="G15" i="28"/>
  <c r="V20" i="28"/>
  <c r="V15" i="28"/>
  <c r="G13" i="27"/>
  <c r="T13" i="26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G14" i="26"/>
  <c r="AK6" i="25" l="1"/>
  <c r="AJ6" i="25"/>
  <c r="AI6" i="25"/>
  <c r="AH6" i="25"/>
  <c r="AG6" i="25"/>
  <c r="BJ6" i="25"/>
  <c r="Z6" i="25" l="1"/>
  <c r="AA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G11" i="26"/>
  <c r="AH10" i="26"/>
  <c r="AG15" i="26"/>
  <c r="G10" i="26"/>
  <c r="K14" i="26"/>
  <c r="Y15" i="26"/>
  <c r="Y14" i="26"/>
  <c r="X15" i="26"/>
  <c r="X14" i="26"/>
  <c r="W15" i="26"/>
  <c r="AH15" i="26" s="1"/>
  <c r="W14" i="26"/>
  <c r="T5" i="26"/>
  <c r="R11" i="26"/>
  <c r="R9" i="26"/>
  <c r="G9" i="26"/>
  <c r="AH11" i="26"/>
  <c r="L15" i="26"/>
  <c r="L14" i="26"/>
  <c r="T11" i="26"/>
  <c r="T8" i="26"/>
  <c r="K5" i="26"/>
  <c r="K15" i="26"/>
  <c r="H14" i="30"/>
  <c r="G14" i="30"/>
  <c r="G5" i="29"/>
  <c r="AH14" i="26" l="1"/>
  <c r="AE14" i="26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V11" i="25" l="1"/>
  <c r="M15" i="25"/>
  <c r="T15" i="25"/>
  <c r="Q14" i="25"/>
  <c r="X13" i="25"/>
  <c r="X11" i="25"/>
  <c r="X9" i="25"/>
  <c r="AE7" i="25"/>
  <c r="S15" i="25"/>
  <c r="AV14" i="25"/>
  <c r="P14" i="25"/>
  <c r="V13" i="25"/>
  <c r="V10" i="25"/>
  <c r="AD7" i="25"/>
  <c r="AI9" i="25"/>
  <c r="AE10" i="25"/>
  <c r="AD15" i="25"/>
  <c r="AA11" i="25"/>
  <c r="R15" i="25"/>
  <c r="AU14" i="25"/>
  <c r="O14" i="25"/>
  <c r="AA8" i="25"/>
  <c r="AT14" i="25"/>
  <c r="AY11" i="25"/>
  <c r="AY10" i="25"/>
  <c r="AY9" i="25"/>
  <c r="Z8" i="25"/>
  <c r="AI10" i="25"/>
  <c r="AC14" i="25"/>
  <c r="AY14" i="25" s="1"/>
  <c r="AD11" i="25"/>
  <c r="K15" i="25"/>
  <c r="Q15" i="25"/>
  <c r="AD14" i="25"/>
  <c r="AA9" i="25"/>
  <c r="AV15" i="25"/>
  <c r="P15" i="25"/>
  <c r="AS14" i="25"/>
  <c r="M14" i="25"/>
  <c r="AK10" i="25"/>
  <c r="AK9" i="25"/>
  <c r="Y8" i="25"/>
  <c r="AJ10" i="25"/>
  <c r="X8" i="25"/>
  <c r="V8" i="25"/>
  <c r="J14" i="25"/>
  <c r="I14" i="25"/>
  <c r="V14" i="25" s="1"/>
  <c r="T14" i="25"/>
  <c r="AU15" i="25"/>
  <c r="O15" i="25"/>
  <c r="L14" i="25"/>
  <c r="AJ11" i="25"/>
  <c r="AJ9" i="25"/>
  <c r="AT15" i="25"/>
  <c r="AI11" i="25"/>
  <c r="AC5" i="25"/>
  <c r="AE11" i="25"/>
  <c r="AE9" i="25"/>
  <c r="AS15" i="25"/>
  <c r="AA10" i="25"/>
  <c r="AC15" i="25"/>
  <c r="AY15" i="25" s="1"/>
  <c r="J15" i="25"/>
  <c r="S14" i="25"/>
  <c r="Z13" i="25"/>
  <c r="Z11" i="25"/>
  <c r="Z10" i="25"/>
  <c r="Z9" i="25"/>
  <c r="AJ7" i="25"/>
  <c r="I15" i="25"/>
  <c r="V15" i="25" s="1"/>
  <c r="R14" i="25"/>
  <c r="Y13" i="25"/>
  <c r="Y11" i="25"/>
  <c r="Y10" i="25"/>
  <c r="Y9" i="25"/>
  <c r="AI7" i="25"/>
  <c r="L15" i="25"/>
  <c r="AD10" i="25"/>
  <c r="Z5" i="25"/>
  <c r="AA5" i="25"/>
  <c r="G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<sst xmlns="http://schemas.openxmlformats.org/spreadsheetml/2006/main" count="1584" uniqueCount="432">
  <si>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</si>
  <si>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</si>
  <si>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</si>
  <si>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</si>
  <si>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</si>
  <si>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</si>
  <si>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</si>
  <si>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</si>
  <si>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</si>
  <si>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</si>
  <si>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</si>
  <si>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</si>
  <si>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</si>
  <si>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</si>
  <si>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</si>
  <si>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</si>
  <si>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</si>
  <si>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</si>
  <si>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</si>
  <si>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</si>
  <si>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</si>
  <si>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</si>
  <si>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</si>
  <si>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</si>
  <si>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</si>
  <si>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</si>
  <si>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</si>
  <si>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</si>
  <si>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</si>
  <si>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</si>
  <si>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</si>
  <si>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</si>
  <si>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</si>
  <si>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</si>
  <si>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</si>
  <si>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</si>
  <si>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</si>
  <si>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</si>
  <si>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</si>
  <si>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</si>
  <si>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</si>
  <si>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</si>
  <si>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</si>
  <si>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</si>
  <si>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</si>
  <si>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</si>
  <si>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</si>
  <si>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</si>
  <si>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</si>
  <si>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</si>
  <si>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</si>
  <si>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</si>
  <si>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</si>
  <si>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</si>
  <si>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</si>
  <si>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</si>
  <si>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</si>
  <si>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</si>
  <si>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</si>
  <si>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</si>
  <si>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</si>
  <si>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</si>
  <si>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</si>
  <si>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</si>
  <si>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</si>
  <si>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</si>
  <si>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</si>
  <si>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</si>
  <si>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</si>
  <si>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</si>
  <si>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</si>
  <si>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</si>
  <si>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</si>
  <si>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</si>
  <si>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</si>
  <si>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</si>
  <si>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</si>
  <si>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</si>
  <si>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</si>
  <si>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</si>
  <si>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</si>
  <si>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</si>
  <si>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</si>
  <si>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</si>
  <si>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</si>
  <si>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</si>
  <si>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</si>
  <si>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</si>
  <si>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</si>
  <si>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</si>
  <si>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</si>
  <si>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</si>
  <si>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</si>
  <si>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</si>
  <si>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</si>
  <si>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</si>
  <si>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</si>
  <si>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</si>
  <si>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</si>
  <si>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</si>
  <si>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</si>
  <si>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</si>
  <si>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</si>
  <si>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</si>
  <si>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</si>
  <si>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</si>
  <si>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</si>
  <si>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</si>
  <si>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</si>
  <si>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</si>
  <si>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</si>
  <si>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</si>
  <si>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</si>
  <si>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</si>
  <si>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</si>
  <si>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</si>
  <si>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</si>
  <si>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</si>
  <si>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</si>
  <si>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</si>
  <si>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</si>
  <si>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</si>
  <si>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</si>
  <si>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</si>
  <si>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</si>
  <si>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</si>
  <si>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</si>
  <si>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</si>
  <si>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</si>
  <si>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</si>
  <si>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</si>
  <si>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</si>
  <si>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</si>
  <si>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</si>
  <si>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</si>
  <si>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</si>
  <si>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</si>
  <si>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</si>
  <si>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</si>
  <si>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</si>
  <si>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</si>
  <si>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</si>
  <si>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</si>
  <si>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</si>
  <si>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</si>
  <si>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</si>
  <si>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</si>
  <si>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</si>
  <si>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</si>
  <si>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</si>
  <si>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</si>
  <si>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</si>
  <si>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</si>
  <si>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</si>
  <si>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</si>
  <si>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</si>
  <si>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</si>
  <si>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</si>
  <si>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</si>
  <si>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</si>
  <si>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</si>
  <si>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</si>
  <si>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</si>
  <si>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</si>
  <si>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</si>
  <si>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</si>
  <si>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</si>
  <si>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</si>
  <si>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</si>
  <si>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</si>
  <si>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</si>
  <si>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</si>
  <si>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</si>
  <si>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</si>
  <si>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</si>
  <si>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</si>
  <si>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</si>
  <si>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</si>
  <si>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</si>
  <si>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</si>
  <si>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</si>
  <si>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</si>
  <si>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</si>
  <si>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</si>
  <si>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</si>
  <si>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</si>
  <si>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</si>
  <si>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</si>
  <si>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</si>
  <si>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</si>
  <si>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</si>
  <si>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</si>
  <si>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</si>
  <si>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</si>
  <si>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</si>
  <si>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</si>
  <si>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</si>
  <si>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</si>
  <si>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</si>
  <si>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</si>
  <si>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</si>
  <si>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</si>
  <si>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</si>
  <si>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</si>
  <si>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</si>
  <si>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</si>
  <si>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</si>
  <si>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</si>
  <si>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</si>
  <si>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</si>
  <si>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</si>
  <si>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</si>
  <si>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</si>
  <si>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</si>
  <si>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</si>
  <si>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</si>
  <si>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</si>
  <si>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</si>
  <si>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</si>
  <si>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</si>
  <si>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</si>
  <si>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</si>
  <si>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</si>
  <si>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</si>
  <si>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</si>
  <si>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</si>
  <si>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</si>
  <si>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</si>
  <si>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</si>
  <si>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</si>
  <si>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</si>
  <si>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</si>
  <si>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</si>
  <si>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</si>
  <si>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</si>
  <si>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</si>
  <si>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</si>
  <si>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</si>
  <si>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</si>
  <si>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</si>
  <si>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</si>
  <si>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</si>
  <si>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</si>
  <si>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</si>
  <si>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</si>
  <si>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</si>
  <si>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</si>
  <si>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</si>
  <si>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</si>
  <si>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</si>
  <si>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</si>
  <si>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</si>
  <si>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</si>
  <si>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</si>
  <si>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</si>
  <si>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</si>
  <si>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</si>
  <si>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</si>
  <si>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</si>
  <si>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</si>
  <si>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</si>
  <si>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</si>
  <si>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</si>
  <si>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</si>
  <si>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</si>
  <si>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</si>
  <si>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</si>
  <si>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</si>
  <si>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</si>
  <si>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</si>
  <si>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</si>
  <si>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</si>
  <si>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</si>
  <si>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</si>
  <si>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</si>
  <si>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</si>
  <si>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</si>
  <si>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</si>
  <si>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</si>
  <si>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</si>
  <si>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</si>
  <si>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</si>
  <si>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</si>
  <si>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</si>
  <si>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</si>
  <si>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</si>
  <si>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</si>
  <si>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</si>
  <si>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</si>
  <si>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</si>
  <si>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</si>
  <si>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</si>
  <si>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</si>
  <si>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</si>
  <si>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</si>
  <si>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</si>
  <si>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</si>
  <si>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</si>
  <si>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</si>
  <si>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</si>
  <si>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</si>
  <si>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</si>
  <si>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</si>
  <si>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</si>
  <si>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</si>
  <si>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</si>
  <si>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</si>
  <si>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</si>
  <si>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</si>
  <si>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</si>
  <si>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</si>
  <si>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</si>
  <si>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</si>
  <si>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</si>
  <si>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</si>
  <si>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</si>
  <si>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</si>
  <si>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</si>
  <si>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</si>
  <si>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</si>
  <si>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</si>
  <si>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</si>
  <si>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</si>
  <si>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</si>
  <si>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</si>
  <si>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</si>
  <si>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</si>
  <si>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</si>
  <si>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</si>
  <si>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</si>
  <si>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</si>
  <si>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</si>
  <si>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</si>
  <si>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</si>
  <si>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</si>
  <si>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</si>
  <si>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</si>
  <si>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</si>
  <si>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</si>
  <si>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</si>
  <si>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</si>
  <si>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</si>
  <si>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</si>
  <si>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</si>
  <si>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</si>
  <si>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</si>
  <si>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</si>
  <si>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</si>
  <si>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</si>
  <si>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</si>
  <si>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</si>
  <si>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</si>
  <si>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</si>
  <si>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</si>
  <si>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</si>
  <si>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</si>
  <si>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</si>
  <si>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</si>
  <si>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</si>
  <si>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</si>
  <si>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</si>
  <si>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</si>
  <si>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</si>
  <si>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</si>
  <si>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</si>
  <si>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</si>
  <si>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</si>
  <si>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</si>
  <si>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</si>
  <si>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</si>
  <si>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</si>
  <si>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</si>
  <si>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</si>
  <si>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</si>
  <si>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</si>
  <si>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</si>
  <si>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</si>
  <si>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</si>
  <si>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</si>
  <si>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</si>
  <si>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</si>
  <si>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</si>
  <si>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</si>
  <si>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</si>
  <si>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</si>
  <si>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</si>
  <si>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</si>
  <si>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</si>
  <si>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</si>
  <si>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</si>
  <si>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</si>
  <si>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</si>
  <si>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</si>
  <si>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</si>
  <si>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</si>
  <si>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</si>
  <si>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</si>
  <si>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</si>
  <si>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</si>
  <si>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</si>
  <si>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</si>
  <si>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</si>
  <si>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</si>
  <si>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</si>
  <si>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</si>
  <si>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</si>
  <si>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</si>
  <si>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</si>
  <si>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</si>
  <si>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</si>
  <si>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</si>
  <si>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</si>
  <si>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</si>
  <si>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</si>
  <si>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</si>
  <si>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</si>
  <si>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</si>
  <si>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</si>
  <si>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</si>
  <si>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</si>
  <si>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</si>
  <si>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</si>
  <si>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</si>
  <si>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</si>
  <si>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</si>
  <si>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</si>
  <si>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</si>
  <si>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</si>
  <si>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</si>
  <si>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</si>
  <si>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</si>
  <si>
    <t>#! DUMP_COLS subtitles1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</si>
</sst>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169" fontId="24" fillId="32" borderId="12" xfId="4" applyNumberFormat="1" applyFont="1" applyFill="1" applyBorder="1" applyAlignment="1" applyProtection="1">
      <alignment horizontal="right"/>
      <protection hidden="1"/>
    </xf>
    <xf numFmtId="169" fontId="65" fillId="13" borderId="12" xfId="4" applyNumberFormat="1" applyFont="1" applyFill="1" applyBorder="1" applyAlignment="1" applyProtection="1">
      <alignment horizontal="right"/>
      <protection hidden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234</v>
      </c>
      <c r="C1" s="323" t="s">
        <v>235</v>
      </c>
      <c r="D1" s="323"/>
      <c r="E1" s="323"/>
      <c r="F1" s="130"/>
      <c r="H1" s="26" t="s">
        <v>0</v>
      </c>
    </row>
    <row r="2" spans="1:8" s="134" customFormat="1" ht="20" customHeight="1" x14ac:dyDescent="0.2">
      <c r="A2" s="131"/>
      <c r="B2" s="132"/>
      <c r="C2" s="324" t="s">
        <v>236</v>
      </c>
      <c r="D2" s="324"/>
      <c r="E2" s="324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237</v>
      </c>
      <c r="C4" s="139" t="s">
        <v>238</v>
      </c>
      <c r="D4" s="139" t="s">
        <v>239</v>
      </c>
      <c r="E4" s="330" t="s">
        <v>240</v>
      </c>
      <c r="F4" s="331"/>
      <c r="G4" s="148"/>
      <c r="H4" s="26" t="s">
        <v>0</v>
      </c>
    </row>
    <row r="5" spans="1:8" s="26" customFormat="1" ht="48" customHeight="1" x14ac:dyDescent="0.2">
      <c r="A5" s="135"/>
      <c r="B5" s="152" t="s">
        <v>241</v>
      </c>
      <c r="C5" s="145" t="s">
        <v>242</v>
      </c>
      <c r="D5" s="145" t="s">
        <v>243</v>
      </c>
      <c r="E5" s="332" t="s">
        <v>256</v>
      </c>
      <c r="F5" s="333"/>
      <c r="G5" s="147"/>
      <c r="H5" s="26" t="s">
        <v>0</v>
      </c>
    </row>
    <row r="6" spans="1:8" s="26" customFormat="1" ht="48" customHeight="1" x14ac:dyDescent="0.2">
      <c r="A6" s="135"/>
      <c r="B6" s="153" t="s">
        <v>244</v>
      </c>
      <c r="C6" s="146" t="s">
        <v>245</v>
      </c>
      <c r="D6" s="146" t="s">
        <v>246</v>
      </c>
      <c r="E6" s="334" t="s">
        <v>257</v>
      </c>
      <c r="F6" s="335"/>
      <c r="G6" s="147"/>
      <c r="H6" s="26" t="s">
        <v>0</v>
      </c>
    </row>
    <row r="7" spans="1:8" s="26" customFormat="1" ht="48" customHeight="1" x14ac:dyDescent="0.2">
      <c r="A7" s="135"/>
      <c r="B7" s="154" t="s">
        <v>247</v>
      </c>
      <c r="C7" s="146" t="s">
        <v>248</v>
      </c>
      <c r="D7" s="146" t="s">
        <v>249</v>
      </c>
      <c r="E7" s="334" t="s">
        <v>256</v>
      </c>
      <c r="F7" s="335"/>
      <c r="G7" s="147"/>
      <c r="H7" s="26" t="s">
        <v>0</v>
      </c>
    </row>
    <row r="8" spans="1:8" s="26" customFormat="1" ht="23" customHeight="1" x14ac:dyDescent="0.2">
      <c r="A8" s="135"/>
      <c r="B8" s="155" t="s">
        <v>250</v>
      </c>
      <c r="C8" s="325" t="s">
        <v>251</v>
      </c>
      <c r="D8" s="325" t="s">
        <v>252</v>
      </c>
      <c r="E8" s="336" t="s">
        <v>258</v>
      </c>
      <c r="F8" s="337"/>
      <c r="G8" s="147"/>
      <c r="H8" s="26" t="s">
        <v>0</v>
      </c>
    </row>
    <row r="9" spans="1:8" s="26" customFormat="1" ht="23" customHeight="1" x14ac:dyDescent="0.2">
      <c r="A9" s="135"/>
      <c r="B9" s="156" t="s">
        <v>253</v>
      </c>
      <c r="C9" s="325"/>
      <c r="D9" s="325"/>
      <c r="E9" s="338"/>
      <c r="F9" s="339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254</v>
      </c>
      <c r="C10" s="326"/>
      <c r="D10" s="326"/>
      <c r="E10" s="340"/>
      <c r="F10" s="341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9" t="s">
        <v>255</v>
      </c>
      <c r="D12" s="329"/>
      <c r="E12" s="329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7" t="s">
        <v>25</v>
      </c>
      <c r="B14" s="327"/>
      <c r="C14" s="327"/>
      <c r="D14" s="327"/>
      <c r="E14" s="327"/>
      <c r="F14" s="328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G5" sqref="G5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225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176</v>
      </c>
      <c r="H2" s="348" t="s">
        <v>175</v>
      </c>
      <c r="I2" s="87" t="s">
        <v>40</v>
      </c>
      <c r="J2" s="348" t="s">
        <v>174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154</v>
      </c>
      <c r="H3" s="348"/>
      <c r="I3" s="87" t="s">
        <v>151</v>
      </c>
      <c r="J3" s="348"/>
    </row>
    <row r="4" spans="1:10" ht="36" x14ac:dyDescent="0.2">
      <c r="A4" s="109"/>
      <c r="B4" s="108" t="s">
        <v>121</v>
      </c>
      <c r="C4" s="108" t="s">
        <v>120</v>
      </c>
      <c r="D4" s="108" t="s">
        <v>32</v>
      </c>
      <c r="E4" s="108" t="s">
        <v>119</v>
      </c>
      <c r="F4" s="108" t="s">
        <v>118</v>
      </c>
      <c r="G4" s="87" t="s">
        <v>103</v>
      </c>
      <c r="H4" s="348"/>
      <c r="I4" s="87" t="s">
        <v>99</v>
      </c>
      <c r="J4" s="348"/>
    </row>
    <row r="5" spans="1:10" x14ac:dyDescent="0.2">
      <c r="A5" s="103" t="s">
        <v>224</v>
      </c>
      <c r="B5" s="102"/>
      <c r="C5" s="102"/>
      <c r="D5" s="107">
        <f>ETPT_CPH_DDG!$D$5</f>
        <v>0</v>
      </c>
      <c r="E5" s="102" t="s">
        <v>68</v>
      </c>
      <c r="F5" s="102" t="s">
        <v>67</v>
      </c>
      <c r="G5" s="101" t="e">
        <f>SUMIFS( INDEX( 'ETPT Format DDG'!$A:$FA,,MATCH("11.7.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DDG'!$A:$FA,,MATCH("11.7.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224</v>
      </c>
      <c r="B6" s="102"/>
      <c r="C6" s="102"/>
      <c r="D6" s="65">
        <f t="shared" ref="D6:D13" si="2">$D$5</f>
        <v>0</v>
      </c>
      <c r="E6" s="102" t="s">
        <v>62</v>
      </c>
      <c r="F6" s="102" t="s">
        <v>61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224</v>
      </c>
      <c r="B7" s="102"/>
      <c r="C7" s="102"/>
      <c r="D7" s="65">
        <f t="shared" si="2"/>
        <v>0</v>
      </c>
      <c r="E7" s="102" t="s">
        <v>60</v>
      </c>
      <c r="F7" s="102" t="s">
        <v>59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224</v>
      </c>
      <c r="B8" s="102"/>
      <c r="C8" s="102"/>
      <c r="D8" s="65">
        <f t="shared" si="2"/>
        <v>0</v>
      </c>
      <c r="E8" s="102" t="s">
        <v>58</v>
      </c>
      <c r="F8" s="102" t="s">
        <v>57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224</v>
      </c>
      <c r="B9" s="102"/>
      <c r="C9" s="102"/>
      <c r="D9" s="65">
        <f t="shared" si="2"/>
        <v>0</v>
      </c>
      <c r="E9" s="102" t="s">
        <v>56</v>
      </c>
      <c r="F9" s="102" t="s">
        <v>55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224</v>
      </c>
      <c r="B10" s="102"/>
      <c r="C10" s="102"/>
      <c r="D10" s="65">
        <f t="shared" si="2"/>
        <v>0</v>
      </c>
      <c r="E10" s="102" t="s">
        <v>54</v>
      </c>
      <c r="F10" s="102" t="s">
        <v>53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224</v>
      </c>
      <c r="B11" s="102"/>
      <c r="C11" s="102"/>
      <c r="D11" s="65">
        <f t="shared" si="2"/>
        <v>0</v>
      </c>
      <c r="E11" s="102" t="s">
        <v>52</v>
      </c>
      <c r="F11" s="102" t="s">
        <v>51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224</v>
      </c>
      <c r="B12" s="102"/>
      <c r="C12" s="102"/>
      <c r="D12" s="65">
        <f t="shared" si="2"/>
        <v>0</v>
      </c>
      <c r="E12" s="102" t="s">
        <v>50</v>
      </c>
      <c r="F12" s="102" t="s">
        <v>49</v>
      </c>
      <c r="G12" s="101" t="e">
        <f>SUMIFS( INDEX( 'ETPT Format DDG'!$A:$FA,,MATCH("11.7.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224</v>
      </c>
      <c r="B13" s="102"/>
      <c r="C13" s="102"/>
      <c r="D13" s="65">
        <f t="shared" si="2"/>
        <v>0</v>
      </c>
      <c r="E13" s="102" t="s">
        <v>47</v>
      </c>
      <c r="F13" s="102" t="s">
        <v>46</v>
      </c>
      <c r="G13" s="101" t="e">
        <f>SUMIFS( INDEX( 'ETPT Format DDG'!$A:$FA,,MATCH("11.7.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45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J13" sqref="J13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226</v>
      </c>
      <c r="B1" s="5"/>
      <c r="C1" s="5"/>
      <c r="D1" s="3" t="s">
        <v>229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6" t="s">
        <v>176</v>
      </c>
      <c r="J2" s="86" t="s">
        <v>176</v>
      </c>
      <c r="K2" s="86" t="s">
        <v>176</v>
      </c>
      <c r="L2" s="86" t="s">
        <v>176</v>
      </c>
      <c r="M2" s="86" t="s">
        <v>176</v>
      </c>
      <c r="N2" s="86" t="s">
        <v>176</v>
      </c>
      <c r="O2" s="86" t="s">
        <v>176</v>
      </c>
      <c r="P2" s="86" t="s">
        <v>176</v>
      </c>
      <c r="Q2" s="86" t="s">
        <v>176</v>
      </c>
      <c r="R2" s="86" t="s">
        <v>176</v>
      </c>
      <c r="S2" s="86" t="s">
        <v>176</v>
      </c>
      <c r="T2" s="86" t="s">
        <v>176</v>
      </c>
      <c r="U2" s="86" t="s">
        <v>176</v>
      </c>
      <c r="V2" s="86" t="s">
        <v>176</v>
      </c>
      <c r="W2" s="348" t="s">
        <v>175</v>
      </c>
      <c r="X2" s="87" t="s">
        <v>40</v>
      </c>
      <c r="Y2" s="87" t="s">
        <v>40</v>
      </c>
      <c r="Z2" s="87" t="s">
        <v>40</v>
      </c>
      <c r="AA2" s="87" t="s">
        <v>40</v>
      </c>
      <c r="AB2" s="348" t="s">
        <v>174</v>
      </c>
      <c r="AC2" s="84" t="s">
        <v>173</v>
      </c>
      <c r="AD2" s="84" t="s">
        <v>173</v>
      </c>
      <c r="AE2" s="84" t="s">
        <v>173</v>
      </c>
      <c r="AF2" s="84" t="s">
        <v>173</v>
      </c>
      <c r="AG2" s="84" t="s">
        <v>173</v>
      </c>
      <c r="AH2" s="84" t="s">
        <v>173</v>
      </c>
      <c r="AI2" s="84" t="s">
        <v>173</v>
      </c>
      <c r="AJ2" s="84" t="s">
        <v>173</v>
      </c>
      <c r="AK2" s="84" t="s">
        <v>173</v>
      </c>
      <c r="AL2" s="348" t="s">
        <v>172</v>
      </c>
      <c r="AM2" s="84" t="s">
        <v>171</v>
      </c>
      <c r="AN2" s="84" t="s">
        <v>171</v>
      </c>
      <c r="AO2" s="84" t="s">
        <v>171</v>
      </c>
      <c r="AP2" s="84" t="s">
        <v>171</v>
      </c>
      <c r="AQ2" s="84" t="s">
        <v>171</v>
      </c>
      <c r="AR2" s="84" t="s">
        <v>171</v>
      </c>
      <c r="AS2" s="84" t="s">
        <v>171</v>
      </c>
      <c r="AT2" s="84" t="s">
        <v>171</v>
      </c>
      <c r="AU2" s="84" t="s">
        <v>171</v>
      </c>
      <c r="AV2" s="84" t="s">
        <v>171</v>
      </c>
      <c r="AW2" s="84" t="s">
        <v>171</v>
      </c>
      <c r="AX2" s="84" t="s">
        <v>171</v>
      </c>
      <c r="AY2" s="84" t="s">
        <v>171</v>
      </c>
      <c r="AZ2" s="348" t="s">
        <v>170</v>
      </c>
      <c r="BA2" s="83" t="s">
        <v>169</v>
      </c>
      <c r="BB2" s="83" t="s">
        <v>169</v>
      </c>
      <c r="BC2" s="83" t="s">
        <v>169</v>
      </c>
      <c r="BD2" s="83" t="s">
        <v>169</v>
      </c>
      <c r="BE2" s="83" t="s">
        <v>169</v>
      </c>
      <c r="BF2" s="83" t="s">
        <v>169</v>
      </c>
      <c r="BG2" s="83" t="s">
        <v>169</v>
      </c>
      <c r="BH2" s="83" t="s">
        <v>169</v>
      </c>
      <c r="BI2" s="83" t="s">
        <v>169</v>
      </c>
      <c r="BJ2" s="348" t="s">
        <v>168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167</v>
      </c>
      <c r="H3" s="348"/>
      <c r="I3" s="86" t="s">
        <v>166</v>
      </c>
      <c r="J3" s="86" t="s">
        <v>165</v>
      </c>
      <c r="K3" s="86" t="s">
        <v>164</v>
      </c>
      <c r="L3" s="86" t="s">
        <v>163</v>
      </c>
      <c r="M3" s="86" t="s">
        <v>162</v>
      </c>
      <c r="N3" s="86" t="s">
        <v>161</v>
      </c>
      <c r="O3" s="86" t="s">
        <v>160</v>
      </c>
      <c r="P3" s="86" t="s">
        <v>159</v>
      </c>
      <c r="Q3" s="86" t="s">
        <v>158</v>
      </c>
      <c r="R3" s="86"/>
      <c r="S3" s="86" t="s">
        <v>157</v>
      </c>
      <c r="T3" s="86" t="s">
        <v>156</v>
      </c>
      <c r="U3" s="86" t="s">
        <v>155</v>
      </c>
      <c r="V3" s="86" t="s">
        <v>154</v>
      </c>
      <c r="W3" s="348"/>
      <c r="X3" s="82"/>
      <c r="Y3" s="87" t="s">
        <v>153</v>
      </c>
      <c r="Z3" s="87" t="s">
        <v>152</v>
      </c>
      <c r="AA3" s="87" t="s">
        <v>151</v>
      </c>
      <c r="AB3" s="348"/>
      <c r="AC3" s="84" t="s">
        <v>150</v>
      </c>
      <c r="AD3" s="84" t="s">
        <v>149</v>
      </c>
      <c r="AE3" s="84" t="s">
        <v>148</v>
      </c>
      <c r="AF3" s="84" t="s">
        <v>147</v>
      </c>
      <c r="AG3" s="84" t="s">
        <v>146</v>
      </c>
      <c r="AH3" s="84" t="s">
        <v>145</v>
      </c>
      <c r="AI3" s="84" t="s">
        <v>37</v>
      </c>
      <c r="AJ3" s="84" t="s">
        <v>36</v>
      </c>
      <c r="AK3" s="84" t="s">
        <v>144</v>
      </c>
      <c r="AL3" s="348"/>
      <c r="AM3" s="84" t="s">
        <v>143</v>
      </c>
      <c r="AN3" s="84" t="s">
        <v>142</v>
      </c>
      <c r="AO3" s="84" t="s">
        <v>141</v>
      </c>
      <c r="AP3" s="84" t="s">
        <v>140</v>
      </c>
      <c r="AQ3" s="84" t="s">
        <v>139</v>
      </c>
      <c r="AR3" s="84" t="s">
        <v>138</v>
      </c>
      <c r="AS3" s="84" t="s">
        <v>137</v>
      </c>
      <c r="AT3" s="84" t="s">
        <v>136</v>
      </c>
      <c r="AU3" s="84" t="s">
        <v>135</v>
      </c>
      <c r="AV3" s="84" t="s">
        <v>134</v>
      </c>
      <c r="AW3" s="84" t="s">
        <v>133</v>
      </c>
      <c r="AX3" s="84" t="s">
        <v>132</v>
      </c>
      <c r="AY3" s="84" t="s">
        <v>131</v>
      </c>
      <c r="AZ3" s="348"/>
      <c r="BA3" s="83" t="s">
        <v>130</v>
      </c>
      <c r="BB3" s="83" t="s">
        <v>129</v>
      </c>
      <c r="BC3" s="83" t="s">
        <v>128</v>
      </c>
      <c r="BD3" s="83" t="s">
        <v>127</v>
      </c>
      <c r="BE3" s="83" t="s">
        <v>126</v>
      </c>
      <c r="BF3" s="83" t="s">
        <v>125</v>
      </c>
      <c r="BG3" s="83" t="s">
        <v>124</v>
      </c>
      <c r="BH3" s="83" t="s">
        <v>123</v>
      </c>
      <c r="BI3" s="83" t="s">
        <v>122</v>
      </c>
      <c r="BJ3" s="348"/>
    </row>
    <row r="4" spans="1:63" s="44" customFormat="1" ht="60" x14ac:dyDescent="0.2">
      <c r="A4" s="89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6" t="s">
        <v>116</v>
      </c>
      <c r="J4" s="86" t="s">
        <v>115</v>
      </c>
      <c r="K4" s="86" t="s">
        <v>114</v>
      </c>
      <c r="L4" s="86" t="s">
        <v>113</v>
      </c>
      <c r="M4" s="86" t="s">
        <v>112</v>
      </c>
      <c r="N4" s="86" t="s">
        <v>111</v>
      </c>
      <c r="O4" s="86" t="s">
        <v>110</v>
      </c>
      <c r="P4" s="86" t="s">
        <v>109</v>
      </c>
      <c r="Q4" s="86" t="s">
        <v>108</v>
      </c>
      <c r="R4" s="86" t="s">
        <v>107</v>
      </c>
      <c r="S4" s="86" t="s">
        <v>106</v>
      </c>
      <c r="T4" s="86" t="s">
        <v>105</v>
      </c>
      <c r="U4" s="86" t="s">
        <v>104</v>
      </c>
      <c r="V4" s="86" t="s">
        <v>103</v>
      </c>
      <c r="W4" s="348"/>
      <c r="X4" s="85" t="s">
        <v>102</v>
      </c>
      <c r="Y4" s="85" t="s">
        <v>101</v>
      </c>
      <c r="Z4" s="85" t="s">
        <v>100</v>
      </c>
      <c r="AA4" s="85" t="s">
        <v>99</v>
      </c>
      <c r="AB4" s="348"/>
      <c r="AC4" s="84" t="s">
        <v>98</v>
      </c>
      <c r="AD4" s="84" t="s">
        <v>97</v>
      </c>
      <c r="AE4" s="84" t="s">
        <v>96</v>
      </c>
      <c r="AF4" s="84" t="s">
        <v>95</v>
      </c>
      <c r="AG4" s="84" t="s">
        <v>94</v>
      </c>
      <c r="AH4" s="84" t="s">
        <v>93</v>
      </c>
      <c r="AI4" s="84" t="s">
        <v>37</v>
      </c>
      <c r="AJ4" s="84" t="s">
        <v>92</v>
      </c>
      <c r="AK4" s="84" t="s">
        <v>91</v>
      </c>
      <c r="AL4" s="348"/>
      <c r="AM4" s="84" t="s">
        <v>90</v>
      </c>
      <c r="AN4" s="84" t="s">
        <v>89</v>
      </c>
      <c r="AO4" s="84" t="s">
        <v>88</v>
      </c>
      <c r="AP4" s="84" t="s">
        <v>87</v>
      </c>
      <c r="AQ4" s="84" t="s">
        <v>86</v>
      </c>
      <c r="AR4" s="84" t="s">
        <v>85</v>
      </c>
      <c r="AS4" s="84" t="s">
        <v>84</v>
      </c>
      <c r="AT4" s="84" t="s">
        <v>83</v>
      </c>
      <c r="AU4" s="84" t="s">
        <v>82</v>
      </c>
      <c r="AV4" s="84" t="s">
        <v>81</v>
      </c>
      <c r="AW4" s="84" t="s">
        <v>80</v>
      </c>
      <c r="AX4" s="84" t="s">
        <v>79</v>
      </c>
      <c r="AY4" s="84" t="s">
        <v>78</v>
      </c>
      <c r="AZ4" s="348"/>
      <c r="BA4" s="83" t="s">
        <v>77</v>
      </c>
      <c r="BB4" s="83" t="s">
        <v>76</v>
      </c>
      <c r="BC4" s="83" t="s">
        <v>75</v>
      </c>
      <c r="BD4" s="83" t="s">
        <v>74</v>
      </c>
      <c r="BE4" s="83" t="s">
        <v>73</v>
      </c>
      <c r="BF4" s="83" t="s">
        <v>72</v>
      </c>
      <c r="BG4" s="83" t="s">
        <v>71</v>
      </c>
      <c r="BH4" s="83" t="s">
        <v>70</v>
      </c>
      <c r="BI4" s="83" t="s">
        <v>69</v>
      </c>
      <c r="BJ4" s="348"/>
      <c r="BK4"/>
    </row>
    <row r="5" spans="1:63" s="44" customFormat="1" ht="15" x14ac:dyDescent="0.2">
      <c r="A5" s="54" t="s">
        <v>48</v>
      </c>
      <c r="B5" s="64"/>
      <c r="C5" s="64"/>
      <c r="D5" s="143"/>
      <c r="E5" s="64" t="s">
        <v>68</v>
      </c>
      <c r="F5" s="64" t="s">
        <v>67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48</v>
      </c>
      <c r="B6" s="64"/>
      <c r="C6" s="64"/>
      <c r="D6" s="144" t="str">
        <f t="shared" ref="D6:D15" si="6">IF(ISBLANK($D$5),"",$D$5)</f>
        <v/>
      </c>
      <c r="E6" s="64" t="s">
        <v>66</v>
      </c>
      <c r="F6" s="64" t="s">
        <v>65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48</v>
      </c>
      <c r="B7" s="64"/>
      <c r="C7" s="64"/>
      <c r="D7" s="144" t="str">
        <f t="shared" si="6"/>
        <v/>
      </c>
      <c r="E7" s="64" t="s">
        <v>64</v>
      </c>
      <c r="F7" s="64" t="s">
        <v>63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48</v>
      </c>
      <c r="B8" s="64"/>
      <c r="C8" s="64"/>
      <c r="D8" s="144" t="str">
        <f t="shared" si="6"/>
        <v/>
      </c>
      <c r="E8" s="64" t="s">
        <v>62</v>
      </c>
      <c r="F8" s="64" t="s">
        <v>61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48</v>
      </c>
      <c r="B9" s="64"/>
      <c r="C9" s="64"/>
      <c r="D9" s="144" t="str">
        <f t="shared" si="6"/>
        <v/>
      </c>
      <c r="E9" s="64" t="s">
        <v>60</v>
      </c>
      <c r="F9" s="64" t="s">
        <v>59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48</v>
      </c>
      <c r="B10" s="64"/>
      <c r="C10" s="64"/>
      <c r="D10" s="144" t="str">
        <f t="shared" si="6"/>
        <v/>
      </c>
      <c r="E10" s="64" t="s">
        <v>58</v>
      </c>
      <c r="F10" s="64" t="s">
        <v>57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48</v>
      </c>
      <c r="B11" s="64"/>
      <c r="C11" s="64"/>
      <c r="D11" s="144" t="str">
        <f t="shared" si="6"/>
        <v/>
      </c>
      <c r="E11" s="64" t="s">
        <v>56</v>
      </c>
      <c r="F11" s="64" t="s">
        <v>55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48</v>
      </c>
      <c r="B12" s="64"/>
      <c r="C12" s="64"/>
      <c r="D12" s="144" t="str">
        <f t="shared" si="6"/>
        <v/>
      </c>
      <c r="E12" s="64" t="s">
        <v>54</v>
      </c>
      <c r="F12" s="64" t="s">
        <v>53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48</v>
      </c>
      <c r="B13" s="64"/>
      <c r="C13" s="64"/>
      <c r="D13" s="144" t="str">
        <f t="shared" si="6"/>
        <v/>
      </c>
      <c r="E13" s="64" t="s">
        <v>52</v>
      </c>
      <c r="F13" s="64" t="s">
        <v>51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48</v>
      </c>
      <c r="B14" s="64"/>
      <c r="C14" s="64"/>
      <c r="D14" s="144" t="str">
        <f t="shared" si="6"/>
        <v/>
      </c>
      <c r="E14" s="64" t="s">
        <v>50</v>
      </c>
      <c r="F14" s="64" t="s">
        <v>49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48</v>
      </c>
      <c r="B15" s="64"/>
      <c r="C15" s="64"/>
      <c r="D15" s="144" t="str">
        <f t="shared" si="6"/>
        <v/>
      </c>
      <c r="E15" s="64" t="s">
        <v>47</v>
      </c>
      <c r="F15" s="64" t="s">
        <v>46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45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180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397</v>
      </c>
      <c r="G20" s="236" t="str">
        <f>IF(ISBLANK(ETPT_TJ_DDG!$D$5),"",IF(ISERROR(ETPT_TJ!G20),"",IF(ETPT_TJ!G20=0,"",ETPT_TJ!G20)))</f>
        <v/>
      </c>
      <c r="U20" s="306" t="s">
        <v>399</v>
      </c>
      <c r="V20" s="236" t="str">
        <f>IF(ISBLANK(ETPT_TJ_DDG!$D$5),"",IF(ISERROR(ETPT_TJ!V20),"",IF(ETPT_TJ!V20=0,"",ETPT_TJ!V20)))</f>
        <v/>
      </c>
      <c r="AH20" s="41"/>
      <c r="AX20" s="304" t="s">
        <v>395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226</v>
      </c>
      <c r="B1" s="5"/>
      <c r="C1" s="5"/>
      <c r="D1" s="3" t="s">
        <v>230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7" t="s">
        <v>176</v>
      </c>
      <c r="J2" s="87" t="s">
        <v>176</v>
      </c>
      <c r="K2" s="87" t="s">
        <v>176</v>
      </c>
      <c r="L2" s="87" t="s">
        <v>176</v>
      </c>
      <c r="M2" s="87" t="s">
        <v>176</v>
      </c>
      <c r="N2" s="87" t="s">
        <v>176</v>
      </c>
      <c r="O2" s="87" t="s">
        <v>176</v>
      </c>
      <c r="P2" s="87" t="s">
        <v>176</v>
      </c>
      <c r="Q2" s="87" t="s">
        <v>176</v>
      </c>
      <c r="R2" s="87" t="s">
        <v>176</v>
      </c>
      <c r="S2" s="348" t="s">
        <v>175</v>
      </c>
      <c r="T2" s="87" t="s">
        <v>40</v>
      </c>
      <c r="U2" s="348" t="s">
        <v>174</v>
      </c>
      <c r="V2" s="87" t="s">
        <v>173</v>
      </c>
      <c r="W2" s="87" t="s">
        <v>173</v>
      </c>
      <c r="X2" s="87" t="s">
        <v>173</v>
      </c>
      <c r="Y2" s="87" t="s">
        <v>173</v>
      </c>
      <c r="Z2" s="87" t="s">
        <v>173</v>
      </c>
      <c r="AA2" s="87" t="s">
        <v>173</v>
      </c>
      <c r="AB2" s="87" t="s">
        <v>173</v>
      </c>
      <c r="AC2" s="87" t="s">
        <v>173</v>
      </c>
      <c r="AD2" s="87" t="s">
        <v>173</v>
      </c>
      <c r="AE2" s="348" t="s">
        <v>222</v>
      </c>
      <c r="AF2" s="87" t="s">
        <v>221</v>
      </c>
      <c r="AG2" s="87" t="s">
        <v>221</v>
      </c>
      <c r="AH2" s="87" t="s">
        <v>221</v>
      </c>
      <c r="AI2" s="348" t="s">
        <v>220</v>
      </c>
    </row>
    <row r="3" spans="1:62" ht="36" x14ac:dyDescent="0.2">
      <c r="A3" s="90"/>
      <c r="B3" s="90"/>
      <c r="C3" s="90"/>
      <c r="D3" s="90"/>
      <c r="E3" s="90"/>
      <c r="F3" s="90"/>
      <c r="G3" s="87" t="s">
        <v>167</v>
      </c>
      <c r="H3" s="348"/>
      <c r="I3" s="87" t="s">
        <v>219</v>
      </c>
      <c r="J3" s="87" t="s">
        <v>218</v>
      </c>
      <c r="K3" s="87" t="s">
        <v>217</v>
      </c>
      <c r="L3" s="87" t="s">
        <v>216</v>
      </c>
      <c r="M3" s="87" t="s">
        <v>215</v>
      </c>
      <c r="N3" s="87" t="s">
        <v>214</v>
      </c>
      <c r="O3" s="87" t="s">
        <v>213</v>
      </c>
      <c r="P3" s="87" t="s">
        <v>212</v>
      </c>
      <c r="Q3" s="87" t="s">
        <v>211</v>
      </c>
      <c r="R3" s="87" t="s">
        <v>154</v>
      </c>
      <c r="S3" s="348"/>
      <c r="T3" s="87" t="s">
        <v>151</v>
      </c>
      <c r="U3" s="348"/>
      <c r="V3" s="87" t="s">
        <v>210</v>
      </c>
      <c r="W3" s="87" t="s">
        <v>209</v>
      </c>
      <c r="X3" s="87" t="s">
        <v>208</v>
      </c>
      <c r="Y3" s="87" t="s">
        <v>207</v>
      </c>
      <c r="Z3" s="87" t="s">
        <v>206</v>
      </c>
      <c r="AA3" s="87" t="s">
        <v>205</v>
      </c>
      <c r="AB3" s="87" t="s">
        <v>204</v>
      </c>
      <c r="AC3" s="87" t="s">
        <v>203</v>
      </c>
      <c r="AD3" s="87" t="s">
        <v>202</v>
      </c>
      <c r="AE3" s="348"/>
      <c r="AF3" s="87" t="s">
        <v>201</v>
      </c>
      <c r="AG3" s="87" t="s">
        <v>137</v>
      </c>
      <c r="AH3" s="87" t="s">
        <v>131</v>
      </c>
      <c r="AI3" s="348"/>
    </row>
    <row r="4" spans="1:62" ht="60" x14ac:dyDescent="0.2">
      <c r="A4" s="90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7" t="s">
        <v>200</v>
      </c>
      <c r="J4" s="87" t="s">
        <v>199</v>
      </c>
      <c r="K4" s="87" t="s">
        <v>198</v>
      </c>
      <c r="L4" s="87" t="s">
        <v>197</v>
      </c>
      <c r="M4" s="87" t="s">
        <v>196</v>
      </c>
      <c r="N4" s="87" t="s">
        <v>195</v>
      </c>
      <c r="O4" s="87" t="s">
        <v>194</v>
      </c>
      <c r="P4" s="87" t="s">
        <v>193</v>
      </c>
      <c r="Q4" s="87" t="s">
        <v>192</v>
      </c>
      <c r="R4" s="87" t="s">
        <v>103</v>
      </c>
      <c r="S4" s="348"/>
      <c r="T4" s="87" t="s">
        <v>99</v>
      </c>
      <c r="U4" s="348"/>
      <c r="V4" s="87" t="s">
        <v>191</v>
      </c>
      <c r="W4" s="87" t="s">
        <v>190</v>
      </c>
      <c r="X4" s="87" t="s">
        <v>189</v>
      </c>
      <c r="Y4" s="87" t="s">
        <v>188</v>
      </c>
      <c r="Z4" s="87" t="s">
        <v>187</v>
      </c>
      <c r="AA4" s="87" t="s">
        <v>186</v>
      </c>
      <c r="AB4" s="87" t="s">
        <v>185</v>
      </c>
      <c r="AC4" s="87" t="s">
        <v>184</v>
      </c>
      <c r="AD4" s="87" t="s">
        <v>183</v>
      </c>
      <c r="AE4" s="348"/>
      <c r="AF4" s="87" t="s">
        <v>182</v>
      </c>
      <c r="AG4" s="87" t="s">
        <v>84</v>
      </c>
      <c r="AH4" s="87" t="s">
        <v>78</v>
      </c>
      <c r="AI4" s="348"/>
    </row>
    <row r="5" spans="1:62" x14ac:dyDescent="0.2">
      <c r="A5" s="93" t="s">
        <v>181</v>
      </c>
      <c r="B5" s="65"/>
      <c r="C5" s="65"/>
      <c r="D5" s="124"/>
      <c r="E5" s="65" t="s">
        <v>68</v>
      </c>
      <c r="F5" s="65" t="s">
        <v>67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181</v>
      </c>
      <c r="B6" s="65"/>
      <c r="C6" s="65"/>
      <c r="D6" s="65" t="str">
        <f t="shared" ref="D6:D15" si="5">IF(ISBLANK($D$5),"",$D$5)</f>
        <v/>
      </c>
      <c r="E6" s="65" t="s">
        <v>66</v>
      </c>
      <c r="F6" s="65" t="s">
        <v>65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181</v>
      </c>
      <c r="B7" s="65"/>
      <c r="C7" s="65"/>
      <c r="D7" s="65" t="str">
        <f t="shared" si="5"/>
        <v/>
      </c>
      <c r="E7" s="65" t="s">
        <v>64</v>
      </c>
      <c r="F7" s="65" t="s">
        <v>63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181</v>
      </c>
      <c r="B8" s="65"/>
      <c r="C8" s="65"/>
      <c r="D8" s="65" t="str">
        <f t="shared" si="5"/>
        <v/>
      </c>
      <c r="E8" s="65" t="s">
        <v>62</v>
      </c>
      <c r="F8" s="65" t="s">
        <v>61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181</v>
      </c>
      <c r="B9" s="65"/>
      <c r="C9" s="65"/>
      <c r="D9" s="65" t="str">
        <f t="shared" si="5"/>
        <v/>
      </c>
      <c r="E9" s="65" t="s">
        <v>60</v>
      </c>
      <c r="F9" s="65" t="s">
        <v>59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181</v>
      </c>
      <c r="B10" s="65"/>
      <c r="C10" s="65"/>
      <c r="D10" s="65" t="str">
        <f t="shared" si="5"/>
        <v/>
      </c>
      <c r="E10" s="65" t="s">
        <v>58</v>
      </c>
      <c r="F10" s="65" t="s">
        <v>57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181</v>
      </c>
      <c r="B11" s="65"/>
      <c r="C11" s="65"/>
      <c r="D11" s="65" t="str">
        <f t="shared" si="5"/>
        <v/>
      </c>
      <c r="E11" s="65" t="s">
        <v>56</v>
      </c>
      <c r="F11" s="65" t="s">
        <v>55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181</v>
      </c>
      <c r="B12" s="65"/>
      <c r="C12" s="65"/>
      <c r="D12" s="65" t="str">
        <f t="shared" si="5"/>
        <v/>
      </c>
      <c r="E12" s="65" t="s">
        <v>54</v>
      </c>
      <c r="F12" s="65" t="s">
        <v>53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181</v>
      </c>
      <c r="B13" s="65"/>
      <c r="C13" s="65"/>
      <c r="D13" s="65" t="str">
        <f t="shared" si="5"/>
        <v/>
      </c>
      <c r="E13" s="65" t="s">
        <v>52</v>
      </c>
      <c r="F13" s="65" t="s">
        <v>51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181</v>
      </c>
      <c r="B14" s="65"/>
      <c r="C14" s="65"/>
      <c r="D14" s="65" t="str">
        <f t="shared" si="5"/>
        <v/>
      </c>
      <c r="E14" s="65" t="s">
        <v>50</v>
      </c>
      <c r="F14" s="65" t="s">
        <v>49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181</v>
      </c>
      <c r="B15" s="65"/>
      <c r="C15" s="65"/>
      <c r="D15" s="65" t="str">
        <f t="shared" si="5"/>
        <v/>
      </c>
      <c r="E15" s="65" t="s">
        <v>47</v>
      </c>
      <c r="F15" s="65" t="s">
        <v>46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45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397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399</v>
      </c>
      <c r="R18" s="236" t="str">
        <f>IF(ISBLANK(ETPT_TPRX_DDG!$D$5),"",IF(ISERROR(ETPT_TPRX!R18),"",IF(ETPT_TPRX!R18=0,"",ETPT_TPRX!R18)))</f>
        <v/>
      </c>
      <c r="AF18" s="307"/>
      <c r="AG18" s="304" t="s">
        <v>395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259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180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226</v>
      </c>
      <c r="B1" s="5"/>
      <c r="C1" s="5"/>
      <c r="D1" s="3" t="s">
        <v>231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176</v>
      </c>
      <c r="H2" s="348" t="s">
        <v>175</v>
      </c>
      <c r="I2" s="87" t="s">
        <v>40</v>
      </c>
      <c r="J2" s="348" t="s">
        <v>174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154</v>
      </c>
      <c r="H3" s="348"/>
      <c r="I3" s="87" t="s">
        <v>151</v>
      </c>
      <c r="J3" s="348"/>
    </row>
    <row r="4" spans="1:62" ht="36" x14ac:dyDescent="0.2">
      <c r="A4" s="109"/>
      <c r="B4" s="108" t="s">
        <v>121</v>
      </c>
      <c r="C4" s="108" t="s">
        <v>120</v>
      </c>
      <c r="D4" s="108" t="s">
        <v>32</v>
      </c>
      <c r="E4" s="108" t="s">
        <v>119</v>
      </c>
      <c r="F4" s="108" t="s">
        <v>118</v>
      </c>
      <c r="G4" s="87" t="s">
        <v>103</v>
      </c>
      <c r="H4" s="348"/>
      <c r="I4" s="87" t="s">
        <v>99</v>
      </c>
      <c r="J4" s="348"/>
    </row>
    <row r="5" spans="1:62" x14ac:dyDescent="0.2">
      <c r="A5" s="103" t="s">
        <v>224</v>
      </c>
      <c r="B5" s="102"/>
      <c r="C5" s="102"/>
      <c r="D5" s="125"/>
      <c r="E5" s="102" t="s">
        <v>68</v>
      </c>
      <c r="F5" s="102" t="s">
        <v>67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224</v>
      </c>
      <c r="B6" s="102"/>
      <c r="C6" s="102"/>
      <c r="D6" s="65" t="str">
        <f t="shared" ref="D6:D13" si="2">IF(ISBLANK($D$5),"",$D$5)</f>
        <v/>
      </c>
      <c r="E6" s="102" t="s">
        <v>62</v>
      </c>
      <c r="F6" s="102" t="s">
        <v>61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224</v>
      </c>
      <c r="B7" s="102"/>
      <c r="C7" s="102"/>
      <c r="D7" s="65" t="str">
        <f t="shared" si="2"/>
        <v/>
      </c>
      <c r="E7" s="102" t="s">
        <v>60</v>
      </c>
      <c r="F7" s="102" t="s">
        <v>59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224</v>
      </c>
      <c r="B8" s="102"/>
      <c r="C8" s="102"/>
      <c r="D8" s="65" t="str">
        <f t="shared" si="2"/>
        <v/>
      </c>
      <c r="E8" s="102" t="s">
        <v>58</v>
      </c>
      <c r="F8" s="102" t="s">
        <v>57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224</v>
      </c>
      <c r="B9" s="102"/>
      <c r="C9" s="102"/>
      <c r="D9" s="65" t="str">
        <f t="shared" si="2"/>
        <v/>
      </c>
      <c r="E9" s="102" t="s">
        <v>56</v>
      </c>
      <c r="F9" s="102" t="s">
        <v>55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224</v>
      </c>
      <c r="B10" s="102"/>
      <c r="C10" s="102"/>
      <c r="D10" s="65" t="str">
        <f t="shared" si="2"/>
        <v/>
      </c>
      <c r="E10" s="102" t="s">
        <v>54</v>
      </c>
      <c r="F10" s="102" t="s">
        <v>53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224</v>
      </c>
      <c r="B11" s="102"/>
      <c r="C11" s="102"/>
      <c r="D11" s="65" t="str">
        <f t="shared" si="2"/>
        <v/>
      </c>
      <c r="E11" s="102" t="s">
        <v>52</v>
      </c>
      <c r="F11" s="102" t="s">
        <v>51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224</v>
      </c>
      <c r="B12" s="102"/>
      <c r="C12" s="102"/>
      <c r="D12" s="65" t="str">
        <f t="shared" si="2"/>
        <v/>
      </c>
      <c r="E12" s="102" t="s">
        <v>50</v>
      </c>
      <c r="F12" s="102" t="s">
        <v>49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224</v>
      </c>
      <c r="B13" s="102"/>
      <c r="C13" s="102"/>
      <c r="D13" s="65" t="str">
        <f t="shared" si="2"/>
        <v/>
      </c>
      <c r="E13" s="102" t="s">
        <v>47</v>
      </c>
      <c r="F13" s="102" t="s">
        <v>46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45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259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2" t="s">
        <v>179</v>
      </c>
      <c r="C1" s="352"/>
      <c r="D1" s="352"/>
      <c r="E1" s="352"/>
      <c r="F1" s="352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173</v>
      </c>
      <c r="H2" s="171" t="s">
        <v>173</v>
      </c>
      <c r="I2" s="171" t="s">
        <v>173</v>
      </c>
      <c r="J2" s="171" t="s">
        <v>173</v>
      </c>
      <c r="K2" s="171" t="s">
        <v>173</v>
      </c>
      <c r="L2" s="171" t="s">
        <v>173</v>
      </c>
      <c r="M2" s="171" t="s">
        <v>173</v>
      </c>
      <c r="N2" s="171" t="s">
        <v>173</v>
      </c>
      <c r="O2" s="171" t="s">
        <v>173</v>
      </c>
      <c r="P2" s="351" t="s">
        <v>172</v>
      </c>
      <c r="Q2" s="171" t="s">
        <v>171</v>
      </c>
      <c r="R2" s="171" t="s">
        <v>171</v>
      </c>
      <c r="S2" s="171" t="s">
        <v>171</v>
      </c>
      <c r="T2" s="171" t="s">
        <v>171</v>
      </c>
      <c r="U2" s="171" t="s">
        <v>171</v>
      </c>
      <c r="V2" s="171" t="s">
        <v>171</v>
      </c>
      <c r="W2" s="171" t="s">
        <v>171</v>
      </c>
      <c r="X2" s="171" t="s">
        <v>171</v>
      </c>
      <c r="Y2" s="171" t="s">
        <v>171</v>
      </c>
      <c r="Z2" s="171" t="s">
        <v>171</v>
      </c>
      <c r="AA2" s="171" t="s">
        <v>171</v>
      </c>
      <c r="AB2" s="171" t="s">
        <v>171</v>
      </c>
      <c r="AC2" s="171" t="s">
        <v>171</v>
      </c>
      <c r="AD2" s="351" t="s">
        <v>170</v>
      </c>
      <c r="AE2" s="172" t="s">
        <v>169</v>
      </c>
      <c r="AF2" s="172" t="s">
        <v>169</v>
      </c>
      <c r="AG2" s="172" t="s">
        <v>169</v>
      </c>
      <c r="AH2" s="172" t="s">
        <v>169</v>
      </c>
      <c r="AI2" s="172" t="s">
        <v>169</v>
      </c>
      <c r="AJ2" s="172" t="s">
        <v>169</v>
      </c>
      <c r="AK2" s="172" t="s">
        <v>169</v>
      </c>
      <c r="AL2" s="172" t="s">
        <v>169</v>
      </c>
      <c r="AM2" s="172" t="s">
        <v>169</v>
      </c>
      <c r="AN2" s="351" t="s">
        <v>168</v>
      </c>
      <c r="AQ2" s="171"/>
      <c r="AR2" s="171"/>
      <c r="AS2" s="171"/>
      <c r="AT2" s="171"/>
      <c r="AU2" s="171"/>
      <c r="AV2" s="171"/>
      <c r="AW2" s="171"/>
      <c r="AX2" s="171"/>
      <c r="AY2" s="351"/>
      <c r="AZ2" s="172"/>
      <c r="BA2" s="172"/>
      <c r="BB2" s="172"/>
      <c r="BC2" s="172"/>
      <c r="BD2" s="172"/>
      <c r="BE2" s="172"/>
      <c r="BF2" s="172"/>
      <c r="BG2" s="172"/>
      <c r="BH2" s="172"/>
      <c r="BI2" s="351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150</v>
      </c>
      <c r="H3" s="171" t="s">
        <v>149</v>
      </c>
      <c r="I3" s="171" t="s">
        <v>148</v>
      </c>
      <c r="J3" s="171" t="s">
        <v>147</v>
      </c>
      <c r="K3" s="171" t="s">
        <v>146</v>
      </c>
      <c r="L3" s="171" t="s">
        <v>145</v>
      </c>
      <c r="M3" s="171" t="s">
        <v>37</v>
      </c>
      <c r="N3" s="171" t="s">
        <v>36</v>
      </c>
      <c r="O3" s="171" t="s">
        <v>144</v>
      </c>
      <c r="P3" s="351"/>
      <c r="Q3" s="171" t="s">
        <v>143</v>
      </c>
      <c r="R3" s="171" t="s">
        <v>142</v>
      </c>
      <c r="S3" s="171" t="s">
        <v>141</v>
      </c>
      <c r="T3" s="171" t="s">
        <v>140</v>
      </c>
      <c r="U3" s="171" t="s">
        <v>139</v>
      </c>
      <c r="V3" s="171" t="s">
        <v>138</v>
      </c>
      <c r="W3" s="171" t="s">
        <v>137</v>
      </c>
      <c r="X3" s="171" t="s">
        <v>136</v>
      </c>
      <c r="Y3" s="171" t="s">
        <v>135</v>
      </c>
      <c r="Z3" s="171" t="s">
        <v>134</v>
      </c>
      <c r="AA3" s="171" t="s">
        <v>133</v>
      </c>
      <c r="AB3" s="171" t="s">
        <v>132</v>
      </c>
      <c r="AC3" s="171" t="s">
        <v>131</v>
      </c>
      <c r="AD3" s="351"/>
      <c r="AE3" s="172" t="s">
        <v>130</v>
      </c>
      <c r="AF3" s="172" t="s">
        <v>129</v>
      </c>
      <c r="AG3" s="172" t="s">
        <v>128</v>
      </c>
      <c r="AH3" s="172" t="s">
        <v>127</v>
      </c>
      <c r="AI3" s="172" t="s">
        <v>126</v>
      </c>
      <c r="AJ3" s="172" t="s">
        <v>125</v>
      </c>
      <c r="AK3" s="172" t="s">
        <v>124</v>
      </c>
      <c r="AL3" s="172" t="s">
        <v>123</v>
      </c>
      <c r="AM3" s="172" t="s">
        <v>122</v>
      </c>
      <c r="AN3" s="351"/>
      <c r="AQ3" s="171"/>
      <c r="AR3" s="171"/>
      <c r="AS3" s="171"/>
      <c r="AT3" s="171"/>
      <c r="AU3" s="171"/>
      <c r="AV3" s="171"/>
      <c r="AW3" s="171"/>
      <c r="AX3" s="171"/>
      <c r="AY3" s="351"/>
      <c r="AZ3" s="172"/>
      <c r="BA3" s="172"/>
      <c r="BB3" s="172"/>
      <c r="BC3" s="172"/>
      <c r="BD3" s="172"/>
      <c r="BE3" s="172"/>
      <c r="BF3" s="172"/>
      <c r="BG3" s="172"/>
      <c r="BH3" s="172"/>
      <c r="BI3" s="351"/>
    </row>
    <row r="4" spans="1:61" s="168" customFormat="1" ht="60" customHeight="1" x14ac:dyDescent="0.15">
      <c r="A4" s="173"/>
      <c r="B4" s="174" t="s">
        <v>121</v>
      </c>
      <c r="C4" s="174" t="s">
        <v>120</v>
      </c>
      <c r="D4" s="174" t="s">
        <v>32</v>
      </c>
      <c r="E4" s="174" t="s">
        <v>119</v>
      </c>
      <c r="F4" s="174" t="s">
        <v>118</v>
      </c>
      <c r="G4" s="171" t="s">
        <v>98</v>
      </c>
      <c r="H4" s="171" t="s">
        <v>97</v>
      </c>
      <c r="I4" s="171" t="s">
        <v>96</v>
      </c>
      <c r="J4" s="171" t="s">
        <v>95</v>
      </c>
      <c r="K4" s="171" t="s">
        <v>94</v>
      </c>
      <c r="L4" s="171" t="s">
        <v>93</v>
      </c>
      <c r="M4" s="171" t="s">
        <v>37</v>
      </c>
      <c r="N4" s="171" t="s">
        <v>92</v>
      </c>
      <c r="O4" s="171" t="s">
        <v>91</v>
      </c>
      <c r="P4" s="351"/>
      <c r="Q4" s="171" t="s">
        <v>90</v>
      </c>
      <c r="R4" s="171" t="s">
        <v>89</v>
      </c>
      <c r="S4" s="171" t="s">
        <v>88</v>
      </c>
      <c r="T4" s="171" t="s">
        <v>87</v>
      </c>
      <c r="U4" s="171" t="s">
        <v>86</v>
      </c>
      <c r="V4" s="171" t="s">
        <v>85</v>
      </c>
      <c r="W4" s="171" t="s">
        <v>84</v>
      </c>
      <c r="X4" s="171" t="s">
        <v>83</v>
      </c>
      <c r="Y4" s="171" t="s">
        <v>82</v>
      </c>
      <c r="Z4" s="171" t="s">
        <v>81</v>
      </c>
      <c r="AA4" s="171" t="s">
        <v>80</v>
      </c>
      <c r="AB4" s="171" t="s">
        <v>79</v>
      </c>
      <c r="AC4" s="171" t="s">
        <v>78</v>
      </c>
      <c r="AD4" s="351"/>
      <c r="AE4" s="172" t="s">
        <v>77</v>
      </c>
      <c r="AF4" s="172" t="s">
        <v>76</v>
      </c>
      <c r="AG4" s="172" t="s">
        <v>75</v>
      </c>
      <c r="AH4" s="172" t="s">
        <v>74</v>
      </c>
      <c r="AI4" s="172" t="s">
        <v>73</v>
      </c>
      <c r="AJ4" s="172" t="s">
        <v>72</v>
      </c>
      <c r="AK4" s="172" t="s">
        <v>71</v>
      </c>
      <c r="AL4" s="172" t="s">
        <v>70</v>
      </c>
      <c r="AM4" s="172" t="s">
        <v>69</v>
      </c>
      <c r="AN4" s="351"/>
      <c r="AQ4" s="171"/>
      <c r="AR4" s="171"/>
      <c r="AS4" s="171"/>
      <c r="AT4" s="171"/>
      <c r="AU4" s="171"/>
      <c r="AV4" s="171"/>
      <c r="AW4" s="171"/>
      <c r="AX4" s="171"/>
      <c r="AY4" s="351"/>
      <c r="AZ4" s="172"/>
      <c r="BA4" s="172"/>
      <c r="BB4" s="172"/>
      <c r="BC4" s="172"/>
      <c r="BD4" s="172"/>
      <c r="BE4" s="172"/>
      <c r="BF4" s="172"/>
      <c r="BG4" s="172"/>
      <c r="BH4" s="172"/>
      <c r="BI4" s="351"/>
    </row>
    <row r="5" spans="1:61" s="168" customFormat="1" ht="144" customHeight="1" x14ac:dyDescent="0.15">
      <c r="A5" s="175" t="s">
        <v>48</v>
      </c>
      <c r="B5" s="176"/>
      <c r="C5" s="176"/>
      <c r="D5" s="177"/>
      <c r="E5" s="177" t="s">
        <v>68</v>
      </c>
      <c r="F5" s="177" t="s">
        <v>67</v>
      </c>
      <c r="G5" s="178" t="s">
        <v>260</v>
      </c>
      <c r="H5" s="178" t="s">
        <v>261</v>
      </c>
      <c r="I5" s="180"/>
      <c r="J5" s="180"/>
      <c r="K5" s="180"/>
      <c r="L5" s="180"/>
      <c r="M5" s="181"/>
      <c r="N5" s="178" t="s">
        <v>262</v>
      </c>
      <c r="O5" s="178" t="s">
        <v>263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264</v>
      </c>
      <c r="X5" s="178" t="s">
        <v>265</v>
      </c>
      <c r="Y5" s="178" t="s">
        <v>266</v>
      </c>
      <c r="Z5" s="178" t="s">
        <v>267</v>
      </c>
      <c r="AA5" s="178" t="s">
        <v>268</v>
      </c>
      <c r="AB5" s="178" t="s">
        <v>269</v>
      </c>
      <c r="AC5" s="178" t="s">
        <v>270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48</v>
      </c>
      <c r="B6" s="176"/>
      <c r="C6" s="176"/>
      <c r="D6" s="177"/>
      <c r="E6" s="177" t="s">
        <v>66</v>
      </c>
      <c r="F6" s="177" t="s">
        <v>65</v>
      </c>
      <c r="G6" s="180"/>
      <c r="H6" s="180"/>
      <c r="I6" s="178" t="s">
        <v>271</v>
      </c>
      <c r="J6" s="178" t="s">
        <v>272</v>
      </c>
      <c r="K6" s="178" t="s">
        <v>273</v>
      </c>
      <c r="L6" s="178" t="s">
        <v>274</v>
      </c>
      <c r="M6" s="178" t="s">
        <v>275</v>
      </c>
      <c r="N6" s="178" t="s">
        <v>276</v>
      </c>
      <c r="O6" s="178" t="s">
        <v>277</v>
      </c>
      <c r="P6" s="179">
        <f>SUMIF($G$2:O$2,O$2,$G6:O6)</f>
        <v>0</v>
      </c>
      <c r="Q6" s="178" t="s">
        <v>278</v>
      </c>
      <c r="R6" s="178" t="s">
        <v>279</v>
      </c>
      <c r="S6" s="178" t="s">
        <v>280</v>
      </c>
      <c r="T6" s="178" t="s">
        <v>281</v>
      </c>
      <c r="U6" s="178" t="s">
        <v>282</v>
      </c>
      <c r="V6" s="178" t="s">
        <v>283</v>
      </c>
      <c r="W6" s="180"/>
      <c r="X6" s="180"/>
      <c r="Y6" s="180"/>
      <c r="Z6" s="180"/>
      <c r="AA6" s="180"/>
      <c r="AB6" s="178" t="s">
        <v>284</v>
      </c>
      <c r="AC6" s="178" t="s">
        <v>285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48</v>
      </c>
      <c r="B7" s="176"/>
      <c r="C7" s="176"/>
      <c r="D7" s="177"/>
      <c r="E7" s="177" t="s">
        <v>64</v>
      </c>
      <c r="F7" s="177" t="s">
        <v>63</v>
      </c>
      <c r="G7" s="185"/>
      <c r="H7" s="178" t="s">
        <v>286</v>
      </c>
      <c r="I7" s="178" t="s">
        <v>287</v>
      </c>
      <c r="J7" s="185"/>
      <c r="K7" s="185"/>
      <c r="L7" s="185"/>
      <c r="M7" s="178" t="s">
        <v>288</v>
      </c>
      <c r="N7" s="178" t="s">
        <v>289</v>
      </c>
      <c r="O7" s="178" t="s">
        <v>290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291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48</v>
      </c>
      <c r="B8" s="176"/>
      <c r="C8" s="176"/>
      <c r="D8" s="177"/>
      <c r="E8" s="177" t="s">
        <v>62</v>
      </c>
      <c r="F8" s="177" t="s">
        <v>61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48</v>
      </c>
      <c r="B9" s="176"/>
      <c r="C9" s="176"/>
      <c r="D9" s="177"/>
      <c r="E9" s="177" t="s">
        <v>60</v>
      </c>
      <c r="F9" s="177" t="s">
        <v>59</v>
      </c>
      <c r="G9" s="188"/>
      <c r="H9" s="178" t="s">
        <v>292</v>
      </c>
      <c r="I9" s="178" t="s">
        <v>293</v>
      </c>
      <c r="J9" s="189"/>
      <c r="K9" s="189"/>
      <c r="L9" s="189"/>
      <c r="M9" s="178" t="s">
        <v>294</v>
      </c>
      <c r="N9" s="178" t="s">
        <v>295</v>
      </c>
      <c r="O9" s="178" t="s">
        <v>296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297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48</v>
      </c>
      <c r="B10" s="176"/>
      <c r="C10" s="176"/>
      <c r="D10" s="177"/>
      <c r="E10" s="177" t="s">
        <v>58</v>
      </c>
      <c r="F10" s="177" t="s">
        <v>57</v>
      </c>
      <c r="G10" s="188"/>
      <c r="H10" s="178" t="s">
        <v>298</v>
      </c>
      <c r="I10" s="178" t="s">
        <v>299</v>
      </c>
      <c r="J10" s="189"/>
      <c r="K10" s="189"/>
      <c r="L10" s="189"/>
      <c r="M10" s="178" t="s">
        <v>300</v>
      </c>
      <c r="N10" s="178" t="s">
        <v>301</v>
      </c>
      <c r="O10" s="178" t="s">
        <v>302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303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48</v>
      </c>
      <c r="B11" s="176"/>
      <c r="C11" s="176"/>
      <c r="D11" s="177"/>
      <c r="E11" s="177" t="s">
        <v>56</v>
      </c>
      <c r="F11" s="177" t="s">
        <v>55</v>
      </c>
      <c r="G11" s="188"/>
      <c r="H11" s="178" t="s">
        <v>304</v>
      </c>
      <c r="I11" s="178" t="s">
        <v>305</v>
      </c>
      <c r="J11" s="188"/>
      <c r="K11" s="188"/>
      <c r="L11" s="188"/>
      <c r="M11" s="178" t="s">
        <v>306</v>
      </c>
      <c r="N11" s="178" t="s">
        <v>307</v>
      </c>
      <c r="O11" s="178" t="s">
        <v>308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309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48</v>
      </c>
      <c r="B12" s="176"/>
      <c r="C12" s="176"/>
      <c r="D12" s="177"/>
      <c r="E12" s="177" t="s">
        <v>54</v>
      </c>
      <c r="F12" s="177" t="s">
        <v>53</v>
      </c>
      <c r="G12" s="188"/>
      <c r="H12" s="178" t="s">
        <v>402</v>
      </c>
      <c r="I12" s="178" t="s">
        <v>403</v>
      </c>
      <c r="J12" s="189"/>
      <c r="K12" s="189"/>
      <c r="L12" s="189"/>
      <c r="M12" s="178" t="s">
        <v>404</v>
      </c>
      <c r="N12" s="178" t="s">
        <v>405</v>
      </c>
      <c r="O12" s="178" t="s">
        <v>406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407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48</v>
      </c>
      <c r="B13" s="176"/>
      <c r="C13" s="176"/>
      <c r="D13" s="177"/>
      <c r="E13" s="177" t="s">
        <v>52</v>
      </c>
      <c r="F13" s="177" t="s">
        <v>51</v>
      </c>
      <c r="G13" s="191"/>
      <c r="H13" s="178" t="s">
        <v>408</v>
      </c>
      <c r="I13" s="178" t="s">
        <v>409</v>
      </c>
      <c r="J13" s="189"/>
      <c r="K13" s="189"/>
      <c r="L13" s="189"/>
      <c r="M13" s="178" t="s">
        <v>410</v>
      </c>
      <c r="N13" s="178" t="s">
        <v>411</v>
      </c>
      <c r="O13" s="178" t="s">
        <v>412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413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48</v>
      </c>
      <c r="B14" s="176"/>
      <c r="C14" s="176"/>
      <c r="D14" s="177"/>
      <c r="E14" s="177" t="s">
        <v>50</v>
      </c>
      <c r="F14" s="177" t="s">
        <v>49</v>
      </c>
      <c r="G14" s="178" t="s">
        <v>310</v>
      </c>
      <c r="H14" s="178" t="s">
        <v>311</v>
      </c>
      <c r="I14" s="178" t="s">
        <v>312</v>
      </c>
      <c r="J14" s="178" t="s">
        <v>313</v>
      </c>
      <c r="K14" s="178" t="s">
        <v>314</v>
      </c>
      <c r="L14" s="178" t="s">
        <v>315</v>
      </c>
      <c r="M14" s="178" t="s">
        <v>316</v>
      </c>
      <c r="N14" s="178" t="s">
        <v>317</v>
      </c>
      <c r="O14" s="178" t="s">
        <v>318</v>
      </c>
      <c r="P14" s="179">
        <f>SUMIF($G$2:O$2,O$2,$G14:O14)</f>
        <v>0</v>
      </c>
      <c r="Q14" s="178" t="s">
        <v>319</v>
      </c>
      <c r="R14" s="178" t="s">
        <v>320</v>
      </c>
      <c r="S14" s="178" t="s">
        <v>321</v>
      </c>
      <c r="T14" s="178" t="s">
        <v>322</v>
      </c>
      <c r="U14" s="178" t="s">
        <v>323</v>
      </c>
      <c r="V14" s="178" t="s">
        <v>324</v>
      </c>
      <c r="W14" s="178" t="s">
        <v>325</v>
      </c>
      <c r="X14" s="178" t="s">
        <v>326</v>
      </c>
      <c r="Y14" s="178" t="s">
        <v>327</v>
      </c>
      <c r="Z14" s="178" t="s">
        <v>328</v>
      </c>
      <c r="AA14" s="178" t="s">
        <v>329</v>
      </c>
      <c r="AB14" s="193"/>
      <c r="AC14" s="178" t="s">
        <v>414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48</v>
      </c>
      <c r="B15" s="176"/>
      <c r="C15" s="176"/>
      <c r="D15" s="177"/>
      <c r="E15" s="177" t="s">
        <v>47</v>
      </c>
      <c r="F15" s="177" t="s">
        <v>46</v>
      </c>
      <c r="G15" s="178" t="s">
        <v>310</v>
      </c>
      <c r="H15" s="178" t="s">
        <v>311</v>
      </c>
      <c r="I15" s="178" t="s">
        <v>312</v>
      </c>
      <c r="J15" s="178" t="s">
        <v>313</v>
      </c>
      <c r="K15" s="178" t="s">
        <v>314</v>
      </c>
      <c r="L15" s="178" t="s">
        <v>315</v>
      </c>
      <c r="M15" s="178" t="s">
        <v>316</v>
      </c>
      <c r="N15" s="178" t="s">
        <v>317</v>
      </c>
      <c r="O15" s="178" t="s">
        <v>318</v>
      </c>
      <c r="P15" s="179">
        <f>SUMIF($G$2:O$2,O$2,$G15:O15)</f>
        <v>0</v>
      </c>
      <c r="Q15" s="178" t="s">
        <v>319</v>
      </c>
      <c r="R15" s="178" t="s">
        <v>320</v>
      </c>
      <c r="S15" s="178" t="s">
        <v>321</v>
      </c>
      <c r="T15" s="178" t="s">
        <v>322</v>
      </c>
      <c r="U15" s="178" t="s">
        <v>323</v>
      </c>
      <c r="V15" s="178" t="s">
        <v>324</v>
      </c>
      <c r="W15" s="178" t="s">
        <v>325</v>
      </c>
      <c r="X15" s="178" t="s">
        <v>326</v>
      </c>
      <c r="Y15" s="178" t="s">
        <v>327</v>
      </c>
      <c r="Z15" s="178" t="s">
        <v>328</v>
      </c>
      <c r="AA15" s="178" t="s">
        <v>329</v>
      </c>
      <c r="AB15" s="185"/>
      <c r="AC15" s="178" t="s">
        <v>414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45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395</v>
      </c>
      <c r="AC19" s="178" t="s">
        <v>396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3" t="s">
        <v>223</v>
      </c>
      <c r="B1" s="353"/>
      <c r="C1" s="353"/>
      <c r="D1" s="353"/>
      <c r="E1" s="353"/>
      <c r="F1" s="353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173</v>
      </c>
      <c r="H2" s="203" t="s">
        <v>173</v>
      </c>
      <c r="I2" s="203" t="s">
        <v>173</v>
      </c>
      <c r="J2" s="203" t="s">
        <v>173</v>
      </c>
      <c r="K2" s="203" t="s">
        <v>173</v>
      </c>
      <c r="L2" s="203" t="s">
        <v>173</v>
      </c>
      <c r="M2" s="204" t="s">
        <v>173</v>
      </c>
      <c r="N2" s="204" t="s">
        <v>173</v>
      </c>
      <c r="O2" s="203" t="s">
        <v>173</v>
      </c>
      <c r="P2" s="354" t="s">
        <v>222</v>
      </c>
      <c r="Q2" s="203" t="s">
        <v>221</v>
      </c>
      <c r="R2" s="203" t="s">
        <v>221</v>
      </c>
      <c r="S2" s="203" t="s">
        <v>221</v>
      </c>
      <c r="T2" s="354" t="s">
        <v>220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210</v>
      </c>
      <c r="H3" s="203" t="s">
        <v>209</v>
      </c>
      <c r="I3" s="203" t="s">
        <v>208</v>
      </c>
      <c r="J3" s="203" t="s">
        <v>207</v>
      </c>
      <c r="K3" s="203" t="s">
        <v>206</v>
      </c>
      <c r="L3" s="203" t="s">
        <v>205</v>
      </c>
      <c r="M3" s="204" t="s">
        <v>204</v>
      </c>
      <c r="N3" s="204" t="s">
        <v>203</v>
      </c>
      <c r="O3" s="203" t="s">
        <v>202</v>
      </c>
      <c r="P3" s="354"/>
      <c r="Q3" s="203" t="s">
        <v>201</v>
      </c>
      <c r="R3" s="203" t="s">
        <v>137</v>
      </c>
      <c r="S3" s="203" t="s">
        <v>131</v>
      </c>
      <c r="T3" s="354"/>
    </row>
    <row r="4" spans="1:20" ht="60" x14ac:dyDescent="0.2">
      <c r="A4" s="202"/>
      <c r="B4" s="205" t="s">
        <v>121</v>
      </c>
      <c r="C4" s="205" t="s">
        <v>120</v>
      </c>
      <c r="D4" s="205" t="s">
        <v>32</v>
      </c>
      <c r="E4" s="205" t="s">
        <v>119</v>
      </c>
      <c r="F4" s="205" t="s">
        <v>118</v>
      </c>
      <c r="G4" s="203" t="s">
        <v>191</v>
      </c>
      <c r="H4" s="203" t="s">
        <v>190</v>
      </c>
      <c r="I4" s="203" t="s">
        <v>189</v>
      </c>
      <c r="J4" s="203" t="s">
        <v>188</v>
      </c>
      <c r="K4" s="203" t="s">
        <v>187</v>
      </c>
      <c r="L4" s="203" t="s">
        <v>186</v>
      </c>
      <c r="M4" s="204" t="s">
        <v>185</v>
      </c>
      <c r="N4" s="204" t="s">
        <v>184</v>
      </c>
      <c r="O4" s="203" t="s">
        <v>183</v>
      </c>
      <c r="P4" s="354"/>
      <c r="Q4" s="203" t="s">
        <v>182</v>
      </c>
      <c r="R4" s="203" t="s">
        <v>84</v>
      </c>
      <c r="S4" s="203" t="s">
        <v>78</v>
      </c>
      <c r="T4" s="354"/>
    </row>
    <row r="5" spans="1:20" ht="317" x14ac:dyDescent="0.2">
      <c r="A5" s="206" t="s">
        <v>181</v>
      </c>
      <c r="B5" s="207"/>
      <c r="C5" s="207"/>
      <c r="D5" s="208"/>
      <c r="E5" s="207" t="s">
        <v>68</v>
      </c>
      <c r="F5" s="207" t="s">
        <v>67</v>
      </c>
      <c r="G5" s="209"/>
      <c r="H5" s="178" t="s">
        <v>330</v>
      </c>
      <c r="I5" s="178" t="s">
        <v>331</v>
      </c>
      <c r="J5" s="178" t="s">
        <v>332</v>
      </c>
      <c r="K5" s="210" t="s">
        <v>333</v>
      </c>
      <c r="L5" s="210" t="s">
        <v>333</v>
      </c>
      <c r="M5" s="210"/>
      <c r="N5" s="210"/>
      <c r="O5" s="210" t="s">
        <v>333</v>
      </c>
      <c r="P5" s="211">
        <f t="shared" ref="P5:P15" si="0">SUM(G5:O5)</f>
        <v>0</v>
      </c>
      <c r="Q5" s="210" t="s">
        <v>333</v>
      </c>
      <c r="R5" s="178" t="s">
        <v>334</v>
      </c>
      <c r="S5" s="212" t="s">
        <v>335</v>
      </c>
      <c r="T5" s="211">
        <f t="shared" ref="T5:T15" si="1">SUM(Q5:S5)</f>
        <v>0</v>
      </c>
    </row>
    <row r="6" spans="1:20" ht="48" x14ac:dyDescent="0.2">
      <c r="A6" s="213" t="s">
        <v>181</v>
      </c>
      <c r="B6" s="208"/>
      <c r="C6" s="208"/>
      <c r="D6" s="208"/>
      <c r="E6" s="208" t="s">
        <v>66</v>
      </c>
      <c r="F6" s="208" t="s">
        <v>65</v>
      </c>
      <c r="G6" s="214"/>
      <c r="H6" s="215"/>
      <c r="I6" s="215"/>
      <c r="J6" s="215"/>
      <c r="K6" s="215"/>
      <c r="L6" s="215"/>
      <c r="M6" s="210" t="s">
        <v>333</v>
      </c>
      <c r="N6" s="210" t="s">
        <v>333</v>
      </c>
      <c r="O6" s="210" t="s">
        <v>333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181</v>
      </c>
      <c r="B7" s="207"/>
      <c r="C7" s="207"/>
      <c r="D7" s="207"/>
      <c r="E7" s="207" t="s">
        <v>64</v>
      </c>
      <c r="F7" s="207" t="s">
        <v>63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181</v>
      </c>
      <c r="B8" s="207"/>
      <c r="C8" s="207"/>
      <c r="D8" s="207"/>
      <c r="E8" s="207" t="s">
        <v>62</v>
      </c>
      <c r="F8" s="207" t="s">
        <v>61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181</v>
      </c>
      <c r="B9" s="207"/>
      <c r="C9" s="207"/>
      <c r="D9" s="207"/>
      <c r="E9" s="207" t="s">
        <v>60</v>
      </c>
      <c r="F9" s="207" t="s">
        <v>59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336</v>
      </c>
      <c r="T9" s="211">
        <f t="shared" si="1"/>
        <v>0</v>
      </c>
    </row>
    <row r="10" spans="1:20" ht="96" x14ac:dyDescent="0.2">
      <c r="A10" s="206" t="s">
        <v>181</v>
      </c>
      <c r="B10" s="207"/>
      <c r="C10" s="207"/>
      <c r="D10" s="207"/>
      <c r="E10" s="207" t="s">
        <v>58</v>
      </c>
      <c r="F10" s="207" t="s">
        <v>57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337</v>
      </c>
      <c r="T10" s="211">
        <f t="shared" si="1"/>
        <v>0</v>
      </c>
    </row>
    <row r="11" spans="1:20" ht="96" x14ac:dyDescent="0.2">
      <c r="A11" s="206" t="s">
        <v>181</v>
      </c>
      <c r="B11" s="207"/>
      <c r="C11" s="207"/>
      <c r="D11" s="207"/>
      <c r="E11" s="207" t="s">
        <v>56</v>
      </c>
      <c r="F11" s="207" t="s">
        <v>55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338</v>
      </c>
      <c r="T11" s="211">
        <f t="shared" si="1"/>
        <v>0</v>
      </c>
    </row>
    <row r="12" spans="1:20" ht="120" x14ac:dyDescent="0.2">
      <c r="A12" s="206" t="s">
        <v>181</v>
      </c>
      <c r="B12" s="207"/>
      <c r="C12" s="207"/>
      <c r="D12" s="207"/>
      <c r="E12" s="207" t="s">
        <v>54</v>
      </c>
      <c r="F12" s="207" t="s">
        <v>53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415</v>
      </c>
      <c r="T12" s="211">
        <f t="shared" si="1"/>
        <v>0</v>
      </c>
    </row>
    <row r="13" spans="1:20" ht="96" x14ac:dyDescent="0.2">
      <c r="A13" s="206" t="s">
        <v>181</v>
      </c>
      <c r="B13" s="207"/>
      <c r="C13" s="207"/>
      <c r="D13" s="207"/>
      <c r="E13" s="207" t="s">
        <v>52</v>
      </c>
      <c r="F13" s="207" t="s">
        <v>51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416</v>
      </c>
      <c r="T13" s="211">
        <f t="shared" si="1"/>
        <v>0</v>
      </c>
    </row>
    <row r="14" spans="1:20" ht="132" x14ac:dyDescent="0.2">
      <c r="A14" s="206" t="s">
        <v>181</v>
      </c>
      <c r="B14" s="207"/>
      <c r="C14" s="207"/>
      <c r="D14" s="207"/>
      <c r="E14" s="207" t="s">
        <v>50</v>
      </c>
      <c r="F14" s="207" t="s">
        <v>49</v>
      </c>
      <c r="G14" s="209"/>
      <c r="H14" s="178" t="s">
        <v>339</v>
      </c>
      <c r="I14" s="178" t="s">
        <v>340</v>
      </c>
      <c r="J14" s="178" t="s">
        <v>341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342</v>
      </c>
      <c r="S14" s="212" t="s">
        <v>417</v>
      </c>
      <c r="T14" s="211">
        <f t="shared" si="1"/>
        <v>0</v>
      </c>
    </row>
    <row r="15" spans="1:20" ht="132" x14ac:dyDescent="0.2">
      <c r="A15" s="206" t="s">
        <v>181</v>
      </c>
      <c r="B15" s="207"/>
      <c r="C15" s="207"/>
      <c r="D15" s="207"/>
      <c r="E15" s="207" t="s">
        <v>47</v>
      </c>
      <c r="F15" s="207" t="s">
        <v>46</v>
      </c>
      <c r="G15" s="209"/>
      <c r="H15" s="178" t="s">
        <v>339</v>
      </c>
      <c r="I15" s="178" t="s">
        <v>340</v>
      </c>
      <c r="J15" s="178" t="s">
        <v>341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342</v>
      </c>
      <c r="S15" s="212" t="s">
        <v>417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45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395</v>
      </c>
      <c r="S19" s="178" t="s">
        <v>401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6" t="s">
        <v>179</v>
      </c>
      <c r="C1" s="356"/>
      <c r="D1" s="356"/>
      <c r="E1" s="356"/>
      <c r="F1" s="356"/>
      <c r="G1" s="356"/>
      <c r="H1" s="356"/>
      <c r="I1" s="356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178</v>
      </c>
      <c r="H2" s="355" t="s">
        <v>177</v>
      </c>
      <c r="I2" s="228" t="s">
        <v>176</v>
      </c>
      <c r="J2" s="228" t="s">
        <v>176</v>
      </c>
      <c r="K2" s="228" t="s">
        <v>176</v>
      </c>
      <c r="L2" s="228" t="s">
        <v>176</v>
      </c>
      <c r="M2" s="228" t="s">
        <v>176</v>
      </c>
      <c r="N2" s="228" t="s">
        <v>176</v>
      </c>
      <c r="O2" s="228" t="s">
        <v>176</v>
      </c>
      <c r="P2" s="228" t="s">
        <v>176</v>
      </c>
      <c r="Q2" s="228" t="s">
        <v>176</v>
      </c>
      <c r="R2" s="228" t="s">
        <v>176</v>
      </c>
      <c r="S2" s="228" t="s">
        <v>176</v>
      </c>
      <c r="T2" s="228" t="s">
        <v>176</v>
      </c>
      <c r="U2" s="228" t="s">
        <v>176</v>
      </c>
      <c r="V2" s="228" t="s">
        <v>176</v>
      </c>
      <c r="W2" s="355" t="s">
        <v>175</v>
      </c>
      <c r="X2" s="225" t="s">
        <v>40</v>
      </c>
      <c r="Y2" s="225" t="s">
        <v>40</v>
      </c>
      <c r="Z2" s="225" t="s">
        <v>40</v>
      </c>
      <c r="AA2" s="225" t="s">
        <v>40</v>
      </c>
      <c r="AB2" s="355" t="s">
        <v>174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167</v>
      </c>
      <c r="H3" s="355"/>
      <c r="I3" s="228" t="s">
        <v>166</v>
      </c>
      <c r="J3" s="228" t="s">
        <v>165</v>
      </c>
      <c r="K3" s="228" t="s">
        <v>164</v>
      </c>
      <c r="L3" s="228" t="s">
        <v>163</v>
      </c>
      <c r="M3" s="228" t="s">
        <v>162</v>
      </c>
      <c r="N3" s="228" t="s">
        <v>161</v>
      </c>
      <c r="O3" s="228" t="s">
        <v>160</v>
      </c>
      <c r="P3" s="228" t="s">
        <v>159</v>
      </c>
      <c r="Q3" s="228" t="s">
        <v>158</v>
      </c>
      <c r="R3" s="228"/>
      <c r="S3" s="228" t="s">
        <v>157</v>
      </c>
      <c r="T3" s="228" t="s">
        <v>156</v>
      </c>
      <c r="U3" s="228" t="s">
        <v>155</v>
      </c>
      <c r="V3" s="228" t="s">
        <v>154</v>
      </c>
      <c r="W3" s="355"/>
      <c r="X3" s="227"/>
      <c r="Y3" s="225" t="s">
        <v>153</v>
      </c>
      <c r="Z3" s="225" t="s">
        <v>152</v>
      </c>
      <c r="AA3" s="225" t="s">
        <v>151</v>
      </c>
      <c r="AB3" s="355"/>
    </row>
    <row r="4" spans="1:28" ht="98" x14ac:dyDescent="0.2">
      <c r="A4" s="229"/>
      <c r="B4" s="230" t="s">
        <v>121</v>
      </c>
      <c r="C4" s="230" t="s">
        <v>120</v>
      </c>
      <c r="D4" s="230" t="s">
        <v>32</v>
      </c>
      <c r="E4" s="230" t="s">
        <v>119</v>
      </c>
      <c r="F4" s="230" t="s">
        <v>118</v>
      </c>
      <c r="G4" s="225" t="s">
        <v>117</v>
      </c>
      <c r="H4" s="355"/>
      <c r="I4" s="228" t="s">
        <v>116</v>
      </c>
      <c r="J4" s="231" t="s">
        <v>115</v>
      </c>
      <c r="K4" s="228" t="s">
        <v>114</v>
      </c>
      <c r="L4" s="228" t="s">
        <v>113</v>
      </c>
      <c r="M4" s="228" t="s">
        <v>112</v>
      </c>
      <c r="N4" s="228" t="s">
        <v>111</v>
      </c>
      <c r="O4" s="228" t="s">
        <v>110</v>
      </c>
      <c r="P4" s="228" t="s">
        <v>109</v>
      </c>
      <c r="Q4" s="228" t="s">
        <v>108</v>
      </c>
      <c r="R4" s="231" t="s">
        <v>107</v>
      </c>
      <c r="S4" s="228" t="s">
        <v>106</v>
      </c>
      <c r="T4" s="228" t="s">
        <v>105</v>
      </c>
      <c r="U4" s="228" t="s">
        <v>104</v>
      </c>
      <c r="V4" s="231" t="s">
        <v>103</v>
      </c>
      <c r="W4" s="355"/>
      <c r="X4" s="232" t="s">
        <v>102</v>
      </c>
      <c r="Y4" s="232" t="s">
        <v>101</v>
      </c>
      <c r="Z4" s="232" t="s">
        <v>100</v>
      </c>
      <c r="AA4" s="232" t="s">
        <v>99</v>
      </c>
      <c r="AB4" s="355"/>
    </row>
    <row r="5" spans="1:28" ht="196" x14ac:dyDescent="0.2">
      <c r="A5" s="233" t="s">
        <v>48</v>
      </c>
      <c r="B5" s="234"/>
      <c r="C5" s="234"/>
      <c r="D5" s="235"/>
      <c r="E5" s="235" t="s">
        <v>68</v>
      </c>
      <c r="F5" s="235" t="s">
        <v>67</v>
      </c>
      <c r="G5" s="236" t="s">
        <v>343</v>
      </c>
      <c r="H5" s="237">
        <f>SUMIF($G$2:G$2,G$2,$G5:G5)</f>
        <v>0</v>
      </c>
      <c r="I5" s="236" t="s">
        <v>344</v>
      </c>
      <c r="J5" s="238"/>
      <c r="K5" s="239"/>
      <c r="L5" s="239"/>
      <c r="M5" s="239"/>
      <c r="N5" s="239"/>
      <c r="O5" s="239"/>
      <c r="P5" s="236" t="s">
        <v>345</v>
      </c>
      <c r="Q5" s="236" t="s">
        <v>346</v>
      </c>
      <c r="R5" s="236" t="s">
        <v>347</v>
      </c>
      <c r="S5" s="236" t="s">
        <v>348</v>
      </c>
      <c r="T5" s="236" t="s">
        <v>349</v>
      </c>
      <c r="U5" s="236" t="s">
        <v>350</v>
      </c>
      <c r="V5" s="236" t="s">
        <v>351</v>
      </c>
      <c r="W5" s="237">
        <f>SUMIF($G$2:V$2,V$2,$G5:V5)</f>
        <v>0</v>
      </c>
      <c r="X5" s="236" t="s">
        <v>352</v>
      </c>
      <c r="Y5" s="236" t="s">
        <v>352</v>
      </c>
      <c r="Z5" s="236" t="s">
        <v>352</v>
      </c>
      <c r="AA5" s="236" t="s">
        <v>352</v>
      </c>
      <c r="AB5" s="240">
        <f>SUMIF($G$2:AA$2,AA$2,$G5:AA5)</f>
        <v>0</v>
      </c>
    </row>
    <row r="6" spans="1:28" ht="266" x14ac:dyDescent="0.2">
      <c r="A6" s="233" t="s">
        <v>48</v>
      </c>
      <c r="B6" s="234"/>
      <c r="C6" s="234"/>
      <c r="D6" s="235"/>
      <c r="E6" s="235" t="s">
        <v>66</v>
      </c>
      <c r="F6" s="235" t="s">
        <v>65</v>
      </c>
      <c r="G6" s="236" t="s">
        <v>353</v>
      </c>
      <c r="H6" s="237">
        <f>SUMIF($G$2:G$2,G$2,$G6:G6)</f>
        <v>0</v>
      </c>
      <c r="I6" s="238"/>
      <c r="J6" s="236" t="s">
        <v>354</v>
      </c>
      <c r="K6" s="236" t="s">
        <v>355</v>
      </c>
      <c r="L6" s="236" t="s">
        <v>356</v>
      </c>
      <c r="M6" s="236" t="s">
        <v>357</v>
      </c>
      <c r="N6" s="236" t="s">
        <v>358</v>
      </c>
      <c r="O6" s="236" t="s">
        <v>359</v>
      </c>
      <c r="P6" s="239"/>
      <c r="Q6" s="239"/>
      <c r="R6" s="236" t="s">
        <v>360</v>
      </c>
      <c r="S6" s="239"/>
      <c r="T6" s="239"/>
      <c r="U6" s="239"/>
      <c r="V6" s="236" t="s">
        <v>361</v>
      </c>
      <c r="W6" s="237">
        <f>SUMIF($G$2:V$2,V$2,$G6:V6)</f>
        <v>0</v>
      </c>
      <c r="X6" s="236" t="s">
        <v>362</v>
      </c>
      <c r="Y6" s="236" t="s">
        <v>362</v>
      </c>
      <c r="Z6" s="236" t="s">
        <v>362</v>
      </c>
      <c r="AA6" s="236" t="s">
        <v>362</v>
      </c>
      <c r="AB6" s="240">
        <f>SUMIF($G$2:AA$2,AA$2,$G6:AA6)</f>
        <v>0</v>
      </c>
    </row>
    <row r="7" spans="1:28" ht="70" x14ac:dyDescent="0.2">
      <c r="A7" s="233" t="s">
        <v>48</v>
      </c>
      <c r="B7" s="234"/>
      <c r="C7" s="234"/>
      <c r="D7" s="235"/>
      <c r="E7" s="235" t="s">
        <v>64</v>
      </c>
      <c r="F7" s="235" t="s">
        <v>63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48</v>
      </c>
      <c r="B8" s="234"/>
      <c r="C8" s="234"/>
      <c r="D8" s="235"/>
      <c r="E8" s="235" t="s">
        <v>62</v>
      </c>
      <c r="F8" s="235" t="s">
        <v>61</v>
      </c>
      <c r="G8" s="236" t="s">
        <v>363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363</v>
      </c>
      <c r="W8" s="237">
        <f>SUMIF($G$2:V$2,V$2,$G8:V8)</f>
        <v>0</v>
      </c>
      <c r="X8" s="236" t="s">
        <v>363</v>
      </c>
      <c r="Y8" s="236" t="s">
        <v>363</v>
      </c>
      <c r="Z8" s="236" t="s">
        <v>363</v>
      </c>
      <c r="AA8" s="236" t="s">
        <v>363</v>
      </c>
      <c r="AB8" s="240">
        <f>SUMIF($G$2:AA$2,AA$2,$G8:AA8)</f>
        <v>0</v>
      </c>
    </row>
    <row r="9" spans="1:28" ht="238" x14ac:dyDescent="0.2">
      <c r="A9" s="233" t="s">
        <v>48</v>
      </c>
      <c r="B9" s="234"/>
      <c r="C9" s="234"/>
      <c r="D9" s="235"/>
      <c r="E9" s="235" t="s">
        <v>60</v>
      </c>
      <c r="F9" s="235" t="s">
        <v>59</v>
      </c>
      <c r="G9" s="236" t="s">
        <v>364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365</v>
      </c>
      <c r="W9" s="237">
        <f>SUMIF($G$2:V$2,V$2,$G9:V9)</f>
        <v>0</v>
      </c>
      <c r="X9" s="236" t="s">
        <v>364</v>
      </c>
      <c r="Y9" s="236" t="s">
        <v>364</v>
      </c>
      <c r="Z9" s="236" t="s">
        <v>364</v>
      </c>
      <c r="AA9" s="236" t="s">
        <v>364</v>
      </c>
      <c r="AB9" s="244">
        <f>SUMIF($G$2:AA$2,AA$2,$G9:AA9)</f>
        <v>0</v>
      </c>
    </row>
    <row r="10" spans="1:28" ht="84" x14ac:dyDescent="0.2">
      <c r="A10" s="233" t="s">
        <v>48</v>
      </c>
      <c r="B10" s="234"/>
      <c r="C10" s="234"/>
      <c r="D10" s="235"/>
      <c r="E10" s="235" t="s">
        <v>58</v>
      </c>
      <c r="F10" s="235" t="s">
        <v>57</v>
      </c>
      <c r="G10" s="236" t="s">
        <v>366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366</v>
      </c>
      <c r="W10" s="237">
        <f>SUMIF($G$2:V$2,V$2,$G10:V10)</f>
        <v>0</v>
      </c>
      <c r="X10" s="236" t="s">
        <v>367</v>
      </c>
      <c r="Y10" s="236" t="s">
        <v>367</v>
      </c>
      <c r="Z10" s="236" t="s">
        <v>367</v>
      </c>
      <c r="AA10" s="236" t="s">
        <v>367</v>
      </c>
      <c r="AB10" s="244">
        <f>SUMIF($G$2:AA$2,AA$2,$G10:AA10)</f>
        <v>0</v>
      </c>
    </row>
    <row r="11" spans="1:28" ht="70" x14ac:dyDescent="0.2">
      <c r="A11" s="233" t="s">
        <v>48</v>
      </c>
      <c r="B11" s="234"/>
      <c r="C11" s="234"/>
      <c r="D11" s="235"/>
      <c r="E11" s="235" t="s">
        <v>56</v>
      </c>
      <c r="F11" s="235" t="s">
        <v>55</v>
      </c>
      <c r="G11" s="236" t="s">
        <v>368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368</v>
      </c>
      <c r="W11" s="237">
        <f>SUMIF($G$2:V$2,V$2,$G11:V11)</f>
        <v>0</v>
      </c>
      <c r="X11" s="236" t="s">
        <v>368</v>
      </c>
      <c r="Y11" s="236" t="s">
        <v>368</v>
      </c>
      <c r="Z11" s="236" t="s">
        <v>368</v>
      </c>
      <c r="AA11" s="236" t="s">
        <v>368</v>
      </c>
      <c r="AB11" s="244">
        <f>SUMIF($G$2:AA$2,AA$2,$G11:AA11)</f>
        <v>0</v>
      </c>
    </row>
    <row r="12" spans="1:28" ht="98" x14ac:dyDescent="0.2">
      <c r="A12" s="233" t="s">
        <v>48</v>
      </c>
      <c r="B12" s="234"/>
      <c r="C12" s="234"/>
      <c r="D12" s="235"/>
      <c r="E12" s="235" t="s">
        <v>54</v>
      </c>
      <c r="F12" s="235" t="s">
        <v>53</v>
      </c>
      <c r="G12" s="236" t="s">
        <v>369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369</v>
      </c>
      <c r="W12" s="237">
        <f>SUMIF($G$2:V$2,V$2,$G12:V12)</f>
        <v>0</v>
      </c>
      <c r="X12" s="236" t="s">
        <v>369</v>
      </c>
      <c r="Y12" s="236" t="s">
        <v>369</v>
      </c>
      <c r="Z12" s="236" t="s">
        <v>369</v>
      </c>
      <c r="AA12" s="236" t="s">
        <v>369</v>
      </c>
      <c r="AB12" s="244">
        <f>SUMIF($G$2:AA$2,AA$2,$G12:AA12)</f>
        <v>0</v>
      </c>
    </row>
    <row r="13" spans="1:28" ht="112" x14ac:dyDescent="0.2">
      <c r="A13" s="233" t="s">
        <v>48</v>
      </c>
      <c r="B13" s="234"/>
      <c r="C13" s="234"/>
      <c r="D13" s="235"/>
      <c r="E13" s="235" t="s">
        <v>52</v>
      </c>
      <c r="F13" s="235" t="s">
        <v>51</v>
      </c>
      <c r="G13" s="236" t="s">
        <v>370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370</v>
      </c>
      <c r="W13" s="237">
        <f>SUMIF($G$2:V$2,V$2,$G13:V13)</f>
        <v>0</v>
      </c>
      <c r="X13" s="236" t="s">
        <v>370</v>
      </c>
      <c r="Y13" s="236" t="s">
        <v>370</v>
      </c>
      <c r="Z13" s="236" t="s">
        <v>370</v>
      </c>
      <c r="AA13" s="236" t="s">
        <v>370</v>
      </c>
      <c r="AB13" s="240">
        <f>SUMIF($G$2:AA$2,AA$2,$G13:AA13)</f>
        <v>0</v>
      </c>
    </row>
    <row r="14" spans="1:28" ht="319" x14ac:dyDescent="0.2">
      <c r="A14" s="233" t="s">
        <v>48</v>
      </c>
      <c r="B14" s="234"/>
      <c r="C14" s="234"/>
      <c r="D14" s="235"/>
      <c r="E14" s="235" t="s">
        <v>50</v>
      </c>
      <c r="F14" s="235" t="s">
        <v>49</v>
      </c>
      <c r="G14" s="236" t="s">
        <v>418</v>
      </c>
      <c r="H14" s="237">
        <f>SUMIF($G$2:G$2,G$2,$G14:G14)</f>
        <v>0</v>
      </c>
      <c r="I14" s="236" t="s">
        <v>344</v>
      </c>
      <c r="J14" s="236" t="s">
        <v>371</v>
      </c>
      <c r="K14" s="236" t="s">
        <v>372</v>
      </c>
      <c r="L14" s="236" t="s">
        <v>373</v>
      </c>
      <c r="M14" s="236" t="s">
        <v>374</v>
      </c>
      <c r="N14" s="236" t="s">
        <v>375</v>
      </c>
      <c r="O14" s="236" t="s">
        <v>376</v>
      </c>
      <c r="P14" s="236" t="s">
        <v>345</v>
      </c>
      <c r="Q14" s="236" t="s">
        <v>346</v>
      </c>
      <c r="R14" s="236" t="s">
        <v>377</v>
      </c>
      <c r="S14" s="236" t="s">
        <v>348</v>
      </c>
      <c r="T14" s="236" t="s">
        <v>349</v>
      </c>
      <c r="U14" s="236" t="s">
        <v>350</v>
      </c>
      <c r="V14" s="236" t="s">
        <v>419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48</v>
      </c>
      <c r="B15" s="234"/>
      <c r="C15" s="234"/>
      <c r="D15" s="235"/>
      <c r="E15" s="235" t="s">
        <v>47</v>
      </c>
      <c r="F15" s="235" t="s">
        <v>46</v>
      </c>
      <c r="G15" s="236" t="s">
        <v>418</v>
      </c>
      <c r="H15" s="237">
        <f>SUMIF($G$2:G$2,G$2,$G15:G15)</f>
        <v>0</v>
      </c>
      <c r="I15" s="236" t="s">
        <v>344</v>
      </c>
      <c r="J15" s="236" t="s">
        <v>371</v>
      </c>
      <c r="K15" s="236" t="s">
        <v>372</v>
      </c>
      <c r="L15" s="236" t="s">
        <v>373</v>
      </c>
      <c r="M15" s="236" t="s">
        <v>374</v>
      </c>
      <c r="N15" s="236" t="s">
        <v>375</v>
      </c>
      <c r="O15" s="236" t="s">
        <v>376</v>
      </c>
      <c r="P15" s="236" t="s">
        <v>345</v>
      </c>
      <c r="Q15" s="236" t="s">
        <v>346</v>
      </c>
      <c r="R15" s="236" t="s">
        <v>377</v>
      </c>
      <c r="S15" s="236" t="s">
        <v>348</v>
      </c>
      <c r="T15" s="236" t="s">
        <v>349</v>
      </c>
      <c r="U15" s="236" t="s">
        <v>350</v>
      </c>
      <c r="V15" s="236" t="s">
        <v>419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45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397</v>
      </c>
      <c r="G19" s="236" t="s">
        <v>398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399</v>
      </c>
      <c r="V19" s="236" t="s">
        <v>400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8" t="s">
        <v>223</v>
      </c>
      <c r="B1" s="358"/>
      <c r="C1" s="358"/>
      <c r="D1" s="358"/>
      <c r="E1" s="358"/>
      <c r="F1" s="358"/>
      <c r="G1" s="358"/>
      <c r="H1" s="358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178</v>
      </c>
      <c r="H2" s="357" t="s">
        <v>177</v>
      </c>
      <c r="I2" s="275" t="s">
        <v>176</v>
      </c>
      <c r="J2" s="275" t="s">
        <v>176</v>
      </c>
      <c r="K2" s="275" t="s">
        <v>176</v>
      </c>
      <c r="L2" s="275" t="s">
        <v>176</v>
      </c>
      <c r="M2" s="275" t="s">
        <v>176</v>
      </c>
      <c r="N2" s="275" t="s">
        <v>176</v>
      </c>
      <c r="O2" s="276" t="s">
        <v>176</v>
      </c>
      <c r="P2" s="276" t="s">
        <v>176</v>
      </c>
      <c r="Q2" s="275" t="s">
        <v>176</v>
      </c>
      <c r="R2" s="275" t="s">
        <v>176</v>
      </c>
      <c r="S2" s="357" t="s">
        <v>175</v>
      </c>
      <c r="T2" s="275" t="s">
        <v>40</v>
      </c>
      <c r="U2" s="357" t="s">
        <v>174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167</v>
      </c>
      <c r="H3" s="357"/>
      <c r="I3" s="275" t="s">
        <v>219</v>
      </c>
      <c r="J3" s="275" t="s">
        <v>218</v>
      </c>
      <c r="K3" s="275" t="s">
        <v>217</v>
      </c>
      <c r="L3" s="275" t="s">
        <v>216</v>
      </c>
      <c r="M3" s="275" t="s">
        <v>215</v>
      </c>
      <c r="N3" s="275" t="s">
        <v>214</v>
      </c>
      <c r="O3" s="276" t="s">
        <v>213</v>
      </c>
      <c r="P3" s="276" t="s">
        <v>212</v>
      </c>
      <c r="Q3" s="275" t="s">
        <v>211</v>
      </c>
      <c r="R3" s="275" t="s">
        <v>154</v>
      </c>
      <c r="S3" s="357"/>
      <c r="T3" s="275" t="s">
        <v>151</v>
      </c>
      <c r="U3" s="357"/>
    </row>
    <row r="4" spans="1:21" ht="112" x14ac:dyDescent="0.2">
      <c r="A4" s="272"/>
      <c r="B4" s="277" t="s">
        <v>121</v>
      </c>
      <c r="C4" s="277" t="s">
        <v>120</v>
      </c>
      <c r="D4" s="277" t="s">
        <v>32</v>
      </c>
      <c r="E4" s="277" t="s">
        <v>119</v>
      </c>
      <c r="F4" s="277" t="s">
        <v>118</v>
      </c>
      <c r="G4" s="275" t="s">
        <v>117</v>
      </c>
      <c r="H4" s="357"/>
      <c r="I4" s="275" t="s">
        <v>200</v>
      </c>
      <c r="J4" s="275" t="s">
        <v>199</v>
      </c>
      <c r="K4" s="275" t="s">
        <v>198</v>
      </c>
      <c r="L4" s="275" t="s">
        <v>197</v>
      </c>
      <c r="M4" s="275" t="s">
        <v>196</v>
      </c>
      <c r="N4" s="275" t="s">
        <v>195</v>
      </c>
      <c r="O4" s="276" t="s">
        <v>194</v>
      </c>
      <c r="P4" s="276" t="s">
        <v>193</v>
      </c>
      <c r="Q4" s="275" t="s">
        <v>192</v>
      </c>
      <c r="R4" s="275" t="s">
        <v>103</v>
      </c>
      <c r="S4" s="357"/>
      <c r="T4" s="275" t="s">
        <v>99</v>
      </c>
      <c r="U4" s="357"/>
    </row>
    <row r="5" spans="1:21" ht="196" x14ac:dyDescent="0.2">
      <c r="A5" s="278" t="s">
        <v>181</v>
      </c>
      <c r="B5" s="279"/>
      <c r="C5" s="279"/>
      <c r="D5" s="280"/>
      <c r="E5" s="279" t="s">
        <v>68</v>
      </c>
      <c r="F5" s="279" t="s">
        <v>67</v>
      </c>
      <c r="G5" s="236" t="s">
        <v>379</v>
      </c>
      <c r="H5" s="281">
        <f t="shared" ref="H5:H15" si="0">SUM(G5)</f>
        <v>0</v>
      </c>
      <c r="I5" s="282"/>
      <c r="J5" s="236" t="s">
        <v>380</v>
      </c>
      <c r="K5" s="236" t="s">
        <v>381</v>
      </c>
      <c r="L5" s="236" t="s">
        <v>382</v>
      </c>
      <c r="M5" s="283"/>
      <c r="N5" s="283"/>
      <c r="O5" s="284"/>
      <c r="P5" s="284"/>
      <c r="Q5" s="285"/>
      <c r="R5" s="236" t="s">
        <v>383</v>
      </c>
      <c r="S5" s="281">
        <f t="shared" ref="S5:S15" si="1">SUM(I5:R5)</f>
        <v>0</v>
      </c>
      <c r="T5" s="236" t="s">
        <v>384</v>
      </c>
      <c r="U5" s="281">
        <f t="shared" ref="U5:U15" si="2">SUM(T5)</f>
        <v>0</v>
      </c>
    </row>
    <row r="6" spans="1:21" x14ac:dyDescent="0.2">
      <c r="A6" s="286" t="s">
        <v>181</v>
      </c>
      <c r="B6" s="280"/>
      <c r="C6" s="280"/>
      <c r="D6" s="280"/>
      <c r="E6" s="280" t="s">
        <v>66</v>
      </c>
      <c r="F6" s="280" t="s">
        <v>65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181</v>
      </c>
      <c r="B7" s="279"/>
      <c r="C7" s="279"/>
      <c r="D7" s="279"/>
      <c r="E7" s="279" t="s">
        <v>64</v>
      </c>
      <c r="F7" s="279" t="s">
        <v>63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181</v>
      </c>
      <c r="B8" s="279"/>
      <c r="C8" s="279"/>
      <c r="D8" s="279"/>
      <c r="E8" s="279" t="s">
        <v>62</v>
      </c>
      <c r="F8" s="279" t="s">
        <v>61</v>
      </c>
      <c r="G8" s="236" t="s">
        <v>385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385</v>
      </c>
      <c r="S8" s="281">
        <f t="shared" si="1"/>
        <v>0</v>
      </c>
      <c r="T8" s="236" t="s">
        <v>385</v>
      </c>
      <c r="U8" s="281">
        <f t="shared" si="2"/>
        <v>0</v>
      </c>
    </row>
    <row r="9" spans="1:21" ht="238" x14ac:dyDescent="0.2">
      <c r="A9" s="278" t="s">
        <v>181</v>
      </c>
      <c r="B9" s="279"/>
      <c r="C9" s="279"/>
      <c r="D9" s="279"/>
      <c r="E9" s="279" t="s">
        <v>60</v>
      </c>
      <c r="F9" s="279" t="s">
        <v>59</v>
      </c>
      <c r="G9" s="236" t="s">
        <v>386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387</v>
      </c>
      <c r="S9" s="281">
        <f t="shared" si="1"/>
        <v>0</v>
      </c>
      <c r="T9" s="236" t="s">
        <v>386</v>
      </c>
      <c r="U9" s="281">
        <f t="shared" si="2"/>
        <v>0</v>
      </c>
    </row>
    <row r="10" spans="1:21" ht="70" x14ac:dyDescent="0.2">
      <c r="A10" s="278" t="s">
        <v>181</v>
      </c>
      <c r="B10" s="279"/>
      <c r="C10" s="279"/>
      <c r="D10" s="279"/>
      <c r="E10" s="279" t="s">
        <v>58</v>
      </c>
      <c r="F10" s="279" t="s">
        <v>57</v>
      </c>
      <c r="G10" s="236" t="s">
        <v>388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388</v>
      </c>
      <c r="S10" s="281">
        <f t="shared" si="1"/>
        <v>0</v>
      </c>
      <c r="T10" s="236" t="s">
        <v>388</v>
      </c>
      <c r="U10" s="281">
        <f t="shared" si="2"/>
        <v>0</v>
      </c>
    </row>
    <row r="11" spans="1:21" ht="70" x14ac:dyDescent="0.2">
      <c r="A11" s="278" t="s">
        <v>181</v>
      </c>
      <c r="B11" s="279"/>
      <c r="C11" s="279"/>
      <c r="D11" s="279"/>
      <c r="E11" s="279" t="s">
        <v>56</v>
      </c>
      <c r="F11" s="279" t="s">
        <v>55</v>
      </c>
      <c r="G11" s="236" t="s">
        <v>389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389</v>
      </c>
      <c r="S11" s="281">
        <f t="shared" si="1"/>
        <v>0</v>
      </c>
      <c r="T11" s="236" t="s">
        <v>389</v>
      </c>
      <c r="U11" s="281">
        <f t="shared" si="2"/>
        <v>0</v>
      </c>
    </row>
    <row r="12" spans="1:21" ht="98" x14ac:dyDescent="0.2">
      <c r="A12" s="278" t="s">
        <v>181</v>
      </c>
      <c r="B12" s="279"/>
      <c r="C12" s="279"/>
      <c r="D12" s="279"/>
      <c r="E12" s="279" t="s">
        <v>54</v>
      </c>
      <c r="F12" s="279" t="s">
        <v>53</v>
      </c>
      <c r="G12" s="236" t="s">
        <v>390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390</v>
      </c>
      <c r="S12" s="281">
        <f t="shared" si="1"/>
        <v>0</v>
      </c>
      <c r="T12" s="236" t="s">
        <v>390</v>
      </c>
      <c r="U12" s="281">
        <f t="shared" si="2"/>
        <v>0</v>
      </c>
    </row>
    <row r="13" spans="1:21" ht="112" x14ac:dyDescent="0.2">
      <c r="A13" s="278" t="s">
        <v>181</v>
      </c>
      <c r="B13" s="279"/>
      <c r="C13" s="279"/>
      <c r="D13" s="279"/>
      <c r="E13" s="279" t="s">
        <v>52</v>
      </c>
      <c r="F13" s="290" t="s">
        <v>51</v>
      </c>
      <c r="G13" s="236" t="s">
        <v>391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391</v>
      </c>
      <c r="S13" s="281">
        <f t="shared" si="1"/>
        <v>0</v>
      </c>
      <c r="T13" s="236" t="s">
        <v>391</v>
      </c>
      <c r="U13" s="281">
        <f t="shared" si="2"/>
        <v>0</v>
      </c>
    </row>
    <row r="14" spans="1:21" ht="196" x14ac:dyDescent="0.2">
      <c r="A14" s="278" t="s">
        <v>181</v>
      </c>
      <c r="B14" s="279"/>
      <c r="C14" s="279"/>
      <c r="D14" s="279"/>
      <c r="E14" s="279" t="s">
        <v>50</v>
      </c>
      <c r="F14" s="279" t="s">
        <v>49</v>
      </c>
      <c r="G14" s="236" t="s">
        <v>420</v>
      </c>
      <c r="H14" s="281">
        <f t="shared" si="0"/>
        <v>0</v>
      </c>
      <c r="I14" s="282"/>
      <c r="J14" s="236" t="s">
        <v>380</v>
      </c>
      <c r="K14" s="236" t="s">
        <v>381</v>
      </c>
      <c r="L14" s="236" t="s">
        <v>382</v>
      </c>
      <c r="M14" s="283"/>
      <c r="N14" s="283"/>
      <c r="O14" s="284"/>
      <c r="P14" s="284"/>
      <c r="Q14" s="285"/>
      <c r="R14" s="236" t="s">
        <v>421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181</v>
      </c>
      <c r="B15" s="279"/>
      <c r="C15" s="279"/>
      <c r="D15" s="279"/>
      <c r="E15" s="279" t="s">
        <v>47</v>
      </c>
      <c r="F15" s="279" t="s">
        <v>46</v>
      </c>
      <c r="G15" s="236" t="s">
        <v>420</v>
      </c>
      <c r="H15" s="281">
        <f t="shared" si="0"/>
        <v>0</v>
      </c>
      <c r="I15" s="282"/>
      <c r="J15" s="236" t="s">
        <v>380</v>
      </c>
      <c r="K15" s="236" t="s">
        <v>381</v>
      </c>
      <c r="L15" s="236" t="s">
        <v>382</v>
      </c>
      <c r="M15" s="283"/>
      <c r="N15" s="283"/>
      <c r="O15" s="284"/>
      <c r="P15" s="284"/>
      <c r="Q15" s="285"/>
      <c r="R15" s="236" t="s">
        <v>421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45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397</v>
      </c>
      <c r="G19" s="236" t="s">
        <v>398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399</v>
      </c>
      <c r="R19" s="236" t="s">
        <v>400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225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176</v>
      </c>
      <c r="L2" s="354" t="s">
        <v>175</v>
      </c>
      <c r="M2" s="203" t="s">
        <v>40</v>
      </c>
      <c r="N2" s="354" t="s">
        <v>174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154</v>
      </c>
      <c r="L3" s="354"/>
      <c r="M3" s="203" t="s">
        <v>151</v>
      </c>
      <c r="N3" s="354"/>
    </row>
    <row r="4" spans="1:14" ht="37" customHeight="1" x14ac:dyDescent="0.2">
      <c r="A4" s="256"/>
      <c r="B4" s="257"/>
      <c r="C4" s="257"/>
      <c r="D4" s="257"/>
      <c r="E4" s="256"/>
      <c r="F4" s="257" t="s">
        <v>121</v>
      </c>
      <c r="G4" s="257" t="s">
        <v>120</v>
      </c>
      <c r="H4" s="257" t="s">
        <v>32</v>
      </c>
      <c r="I4" s="257" t="s">
        <v>119</v>
      </c>
      <c r="J4" s="257" t="s">
        <v>118</v>
      </c>
      <c r="K4" s="203" t="s">
        <v>103</v>
      </c>
      <c r="L4" s="354"/>
      <c r="M4" s="203" t="s">
        <v>99</v>
      </c>
      <c r="N4" s="354"/>
    </row>
    <row r="5" spans="1:14" ht="37" customHeight="1" x14ac:dyDescent="0.2">
      <c r="A5" s="258"/>
      <c r="B5" s="259"/>
      <c r="C5" s="259"/>
      <c r="D5" s="260"/>
      <c r="E5" s="258" t="s">
        <v>224</v>
      </c>
      <c r="F5" s="259"/>
      <c r="G5" s="259"/>
      <c r="H5" s="260"/>
      <c r="I5" s="259" t="s">
        <v>68</v>
      </c>
      <c r="J5" s="259" t="s">
        <v>67</v>
      </c>
      <c r="K5" s="261" t="s">
        <v>378</v>
      </c>
      <c r="L5" s="262">
        <f t="shared" ref="L5:L13" si="0">SUM(K5)</f>
        <v>0</v>
      </c>
      <c r="M5" s="261" t="s">
        <v>378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224</v>
      </c>
      <c r="F6" s="259"/>
      <c r="G6" s="259"/>
      <c r="H6" s="208"/>
      <c r="I6" s="259" t="s">
        <v>62</v>
      </c>
      <c r="J6" s="259" t="s">
        <v>61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224</v>
      </c>
      <c r="F7" s="259"/>
      <c r="G7" s="259"/>
      <c r="H7" s="208"/>
      <c r="I7" s="259" t="s">
        <v>60</v>
      </c>
      <c r="J7" s="259" t="s">
        <v>59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224</v>
      </c>
      <c r="F8" s="259"/>
      <c r="G8" s="259"/>
      <c r="H8" s="208"/>
      <c r="I8" s="259" t="s">
        <v>58</v>
      </c>
      <c r="J8" s="259" t="s">
        <v>57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224</v>
      </c>
      <c r="F9" s="259"/>
      <c r="G9" s="259"/>
      <c r="H9" s="208"/>
      <c r="I9" s="259" t="s">
        <v>56</v>
      </c>
      <c r="J9" s="259" t="s">
        <v>55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224</v>
      </c>
      <c r="F10" s="259"/>
      <c r="G10" s="259"/>
      <c r="H10" s="208"/>
      <c r="I10" s="259" t="s">
        <v>54</v>
      </c>
      <c r="J10" s="259" t="s">
        <v>53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224</v>
      </c>
      <c r="F11" s="259"/>
      <c r="G11" s="259"/>
      <c r="H11" s="208"/>
      <c r="I11" s="259" t="s">
        <v>52</v>
      </c>
      <c r="J11" s="259" t="s">
        <v>51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224</v>
      </c>
      <c r="F12" s="259"/>
      <c r="G12" s="259"/>
      <c r="H12" s="208"/>
      <c r="I12" s="259" t="s">
        <v>50</v>
      </c>
      <c r="J12" s="259" t="s">
        <v>49</v>
      </c>
      <c r="K12" s="261" t="s">
        <v>378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224</v>
      </c>
      <c r="F13" s="259"/>
      <c r="G13" s="259"/>
      <c r="H13" s="208"/>
      <c r="I13" s="259" t="s">
        <v>47</v>
      </c>
      <c r="J13" s="259" t="s">
        <v>46</v>
      </c>
      <c r="K13" s="261" t="s">
        <v>378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45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228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E4"/>
  <sheetViews>
    <sheetView showFormulas="1" tabSelected="1" zoomScale="58" zoomScaleNormal="11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5" max="165" width="45.1640625" bestFit="1" customWidth="1"/>
    <col min="166" max="166" width="15.1640625" bestFit="1" customWidth="1"/>
  </cols>
  <sheetData>
    <row r="1" spans="1:161" s="4" customFormat="1" ht="80" customHeight="1" x14ac:dyDescent="0.25">
      <c r="A1" s="3" t="s">
        <v>227</v>
      </c>
      <c r="B1" s="5"/>
      <c r="C1" s="5"/>
      <c r="D1" s="7"/>
      <c r="E1" s="7"/>
      <c r="F1" s="6"/>
      <c r="G1" s="6" t="s">
        <v>431</v>
      </c>
      <c r="FA1" s="320" t="s">
        <v>232</v>
      </c>
      <c r="FB1" s="320"/>
      <c r="FC1"/>
      <c r="FD1"/>
      <c r="FE1" s="4" t="s">
        <v>0</v>
      </c>
    </row>
    <row r="2" spans="1:161" ht="66" customHeight="1" x14ac:dyDescent="0.2">
      <c r="A2" s="22" t="s">
        <v>8</v>
      </c>
      <c r="B2" t="s">
        <v>9</v>
      </c>
      <c r="FA2" s="126" t="s">
        <v>34</v>
      </c>
      <c r="FB2" s="126" t="s">
        <v>430</v>
      </c>
    </row>
    <row r="3" spans="1:161" x14ac:dyDescent="0.2">
      <c r="A3" s="25" t="s">
        <v>11</v>
      </c>
      <c r="B3" t="s">
        <v>10</v>
      </c>
      <c r="N3" s="359"/>
      <c r="O3" s="359"/>
      <c r="P3" s="359"/>
    </row>
    <row r="4" spans="1:161" x14ac:dyDescent="0.2">
      <c r="B4" s="27" t="s">
        <v>7</v>
      </c>
      <c r="FA4" s="21"/>
    </row>
  </sheetData>
  <autoFilter ref="A2:DT2" xr:uid="{3B89445B-6ECC-4440-B85C-E593AE209933}"/>
  <conditionalFormatting sqref="A1:FB1048576">
    <cfRule type="expression" dxfId="16" priority="1" stopIfTrue="1">
      <formula>AND(OR($N1&lt;&gt;"-",$O1&lt;&gt;0,$P1&lt;&gt;0),ROW()&gt;2,$A1&lt;&gt;"")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G6" sqref="G6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247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2" t="s">
        <v>26</v>
      </c>
      <c r="H4" s="343"/>
      <c r="I4" s="343"/>
      <c r="J4" s="343"/>
      <c r="K4" s="343"/>
      <c r="L4" s="344"/>
      <c r="M4" s="345"/>
      <c r="N4" s="346" t="s">
        <v>27</v>
      </c>
      <c r="O4" s="344"/>
      <c r="P4" s="344"/>
      <c r="Q4" s="344"/>
      <c r="R4" s="344"/>
      <c r="S4" s="344"/>
      <c r="T4" s="347"/>
      <c r="U4" s="342" t="s">
        <v>28</v>
      </c>
      <c r="V4" s="345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392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392</v>
      </c>
      <c r="N5" s="12" t="s">
        <v>16</v>
      </c>
      <c r="O5" s="300" t="s">
        <v>392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392</v>
      </c>
      <c r="U5" s="296" t="s">
        <v>29</v>
      </c>
      <c r="V5" s="297" t="s">
        <v>392</v>
      </c>
      <c r="W5" t="s">
        <v>20</v>
      </c>
    </row>
    <row r="6" spans="1:24" ht="16" x14ac:dyDescent="0.2">
      <c r="A6" s="13"/>
      <c r="C6" s="17" t="s">
        <v>23</v>
      </c>
      <c r="D6" s="17" t="s">
        <v>393</v>
      </c>
      <c r="E6" s="16" t="s">
        <v>22</v>
      </c>
      <c r="F6" s="319" t="s">
        <v>394</v>
      </c>
      <c r="G6" s="19" t="e">
        <f>SUMIFS(INDEX('ETPT Format DDG'!$A:$FB,,IFERROR(MATCH(E6,'ETPT Format DDG'!$2:$2,0),MATCH(C6,'ETPT Format DDG'!$2:$2,0))),'ETPT Format DDG'!$FB:$FB,"M-TIT",'ETPT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DDG'!$A:$FB,,IFERROR(MATCH(E6,'ETPT Format DDG'!$2:$2,0),MATCH(C6,'ETPT Format DDG'!$2:$2,0))),'ETPT Format DDG'!$FB:$FB,"M-PLAC-ADD",'ETPT Format DDG'!$C:$C,$A$3)</f>
        <v>#N/A</v>
      </c>
      <c r="J6" s="18" t="e">
        <f>SUMIFS(INDEX('ETPT Format DDG'!$A:$FB,,IFERROR(MATCH(E6,'ETPT Format DDG'!$2:$2,0),MATCH(C6,'ETPT Format DDG'!$2:$2,0))),'ETPT Format DDG'!$FB:$FB,"M-PLAC-SUB",'ETPT Format DDG'!$C:$C,$A$3)</f>
        <v>#N/A</v>
      </c>
      <c r="K6" s="18" t="e">
        <f>SUMIFS(
INDEX('ETPT Format DDG'!$A:$FB,
,
IFERROR(MATCH(E6,'ETPT Format DDG'!$2:$2,0),MATCH(C6,'ETPT Format DDG'!$2:$2,0))
),'ETPT Format DDG'!$FB:$FB,"C",
'ETPT Format DDG'!$C:$C,$A$3,
'ETPT Format DDG'!$G:$G,"Magistrat")</f>
        <v>#N/A</v>
      </c>
      <c r="L6" s="19" t="e">
        <f>ROUND(SUMIFS(
INDEX('ETPT Format DDG'!$A:$FB,
,
IFERROR(MATCH(E6,'ETPT Format DDG'!$2:$2,0),MATCH(C6,'ETPT Format DDG'!$2:$2,0))
),
'ETPT Format DDG'!$C:$C,$A$3,
'ETPT Format DDG'!$G:$G,"Magistrat"),3)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DDG'!$A:$FB,,IFERROR(MATCH(E6,'ETPT Format DDG'!$2:$2,0),MATCH(C6,'ETPT Format DDG'!$2:$2,0))),'ETPT Format DDG'!$FB:$FB,"F-TIT",'ETPT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DDG'!$A:$FB,,IFERROR(MATCH(E6,'ETPT Format DDG'!$2:$2,0),MATCH(C6,'ETPT Format DDG'!$2:$2,0))),'ETPT Format DDG'!$FB:$FB,"F-PLAC-ADD",'ETPT Format DDG'!$C:$C,$A$3)</f>
        <v>#N/A</v>
      </c>
      <c r="Q6" s="18" t="e">
        <f>SUMIFS(INDEX('ETPT Format DDG'!$A:$FB,,IFERROR(MATCH(E6,'ETPT Format DDG'!$2:$2,0),MATCH(C6,'ETPT Format DDG'!$2:$2,0))),'ETPT Format DDG'!$FB:$FB,"F-PLAC-SUB",'ETPT Format DDG'!$C:$C,$A$3)</f>
        <v>#N/A</v>
      </c>
      <c r="R6" s="18" t="e">
        <f>SUMIFS(INDEX('ETPT Format DDG'!$A:$FB,,IFERROR(MATCH(E6,'ETPT Format DDG'!$2:$2,0),MATCH(C6,'ETPT Format DDG'!$2:$2,0))),'ETPT Format DDG'!$FB:$FB,"C",'ETPT Format DDG'!$C:$C,$A$3,'ETPT Format DDG'!$G:$G,"Greffe")</f>
        <v>#N/A</v>
      </c>
      <c r="S6" s="19" t="e">
        <f>ROUND(SUMIFS(
INDEX('ETPT Format DDG'!$A:$FB,
,
IFERROR(MATCH(E6,'ETPT Format DDG'!$2:$2,0),MATCH(C6,'ETPT Format DDG'!$2:$2,0))
),
'ETPT Format DDG'!$C:$C,$A$3,
'ETPT Format DDG'!$G:$G,"Greffe"),3)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DDG'!$A:$FB,
,
IFERROR(MATCH(E6,'ETPT Format DDG'!$2:$2,0),MATCH(C6,'ETPT Format DDG'!$2:$2,0))
),'ETPT Format DDG'!$FB:$FB,"C",
'ETPT Format DDG'!$C:$C,$A$3,
'ETPT Format DDG'!$G:$G,"Autour du magistrat"),3)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5" priority="16">
      <formula>IF(LEFT($A$3,2)&lt;&gt;"TJ",TRUE,FALSE)</formula>
    </cfRule>
  </conditionalFormatting>
  <conditionalFormatting sqref="C6:V151">
    <cfRule type="expression" dxfId="14" priority="18">
      <formula>AND(ISBLANK($C6)=FALSE,ISBLANK($E6)=TRUE)</formula>
    </cfRule>
  </conditionalFormatting>
  <conditionalFormatting sqref="D1:F1048576">
    <cfRule type="expression" dxfId="13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2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1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0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9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8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7" priority="15">
      <formula>AND($D1="6. TOTAL JUGES DES ENFANTS",_xlfn.NUMBERVALUE($L1)-(_xlfn.NUMBERVALUE($L2)+_xlfn.NUMBERVALUE($L3))&lt;&gt;0)</formula>
    </cfRule>
  </conditionalFormatting>
  <conditionalFormatting sqref="G7:M7">
    <cfRule type="expression" dxfId="6" priority="5">
      <formula>_xlfn.NUMBERVALUE($L7)&lt;&gt;_xlfn.NUMBERVALUE($L6)</formula>
    </cfRule>
  </conditionalFormatting>
  <conditionalFormatting sqref="N1:T1048576">
    <cfRule type="expression" dxfId="5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4" priority="14">
      <formula>AND($D1="6. TOTAL JUGES DES ENFANTS",_xlfn.NUMBERVALUE($S1)-(_xlfn.NUMBERVALUE($S2)+_xlfn.NUMBERVALUE($S3))&lt;&gt;0)</formula>
    </cfRule>
  </conditionalFormatting>
  <conditionalFormatting sqref="N7:T7">
    <cfRule type="expression" dxfId="3" priority="4">
      <formula>_xlfn.NUMBERVALUE($S7)&lt;&gt;_xlfn.NUMBERVALUE($S6)</formula>
    </cfRule>
  </conditionalFormatting>
  <conditionalFormatting sqref="U1:V1048576">
    <cfRule type="expression" dxfId="2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1" priority="13">
      <formula>AND($D1="6. TOTAL JUGES DES ENFANTS",_xlfn.NUMBERVALUE($U1)-(_xlfn.NUMBERVALUE($U2)+_xlfn.NUMBERVALUE($U3))&lt;&gt;0)</formula>
    </cfRule>
  </conditionalFormatting>
  <conditionalFormatting sqref="U7:V7">
    <cfRule type="expression" dxfId="0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35</v>
      </c>
      <c r="B1"/>
      <c r="D1" s="34" t="s">
        <v>39</v>
      </c>
      <c r="E1"/>
      <c r="G1" s="34" t="s">
        <v>38</v>
      </c>
      <c r="H1"/>
      <c r="I1" s="127" t="s">
        <v>233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44</v>
      </c>
      <c r="B1" s="38" t="s">
        <v>33</v>
      </c>
      <c r="C1" s="38" t="s">
        <v>43</v>
      </c>
      <c r="D1" s="38" t="s">
        <v>42</v>
      </c>
      <c r="E1" s="38" t="s">
        <v>41</v>
      </c>
      <c r="F1" s="37" t="s">
        <v>34</v>
      </c>
      <c r="G1" t="s">
        <v>422</v>
      </c>
      <c r="H1"/>
    </row>
    <row r="2" spans="1:8" ht="32" x14ac:dyDescent="0.2">
      <c r="A2" s="35" t="s">
        <v>429</v>
      </c>
      <c r="B2" s="35" t="s">
        <v>428</v>
      </c>
      <c r="C2" s="35" t="s">
        <v>427</v>
      </c>
      <c r="D2" s="318" t="s">
        <v>426</v>
      </c>
      <c r="E2" s="318" t="s">
        <v>425</v>
      </c>
      <c r="F2" s="318" t="s">
        <v>424</v>
      </c>
      <c r="G2" t="s">
        <v>423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25" zoomScaleNormal="100" workbookViewId="0">
      <pane xSplit="3" ySplit="1" topLeftCell="AE2" activePane="bottomRight" state="frozen"/>
      <selection activeCell="D1" sqref="D1"/>
      <selection pane="topRight" activeCell="G1" sqref="G1"/>
      <selection pane="bottomLeft" activeCell="D2" sqref="D2"/>
      <selection pane="bottomRight" activeCell="AM6" sqref="AM6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9" t="s">
        <v>179</v>
      </c>
      <c r="C1" s="349"/>
      <c r="D1" s="349"/>
      <c r="E1" s="349"/>
      <c r="F1" s="349"/>
      <c r="G1" s="349"/>
      <c r="H1" s="349"/>
      <c r="I1" s="349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6" t="s">
        <v>176</v>
      </c>
      <c r="J2" s="86" t="s">
        <v>176</v>
      </c>
      <c r="K2" s="86" t="s">
        <v>176</v>
      </c>
      <c r="L2" s="86" t="s">
        <v>176</v>
      </c>
      <c r="M2" s="86" t="s">
        <v>176</v>
      </c>
      <c r="N2" s="86" t="s">
        <v>176</v>
      </c>
      <c r="O2" s="86" t="s">
        <v>176</v>
      </c>
      <c r="P2" s="86" t="s">
        <v>176</v>
      </c>
      <c r="Q2" s="86" t="s">
        <v>176</v>
      </c>
      <c r="R2" s="86" t="s">
        <v>176</v>
      </c>
      <c r="S2" s="86" t="s">
        <v>176</v>
      </c>
      <c r="T2" s="86" t="s">
        <v>176</v>
      </c>
      <c r="U2" s="86" t="s">
        <v>176</v>
      </c>
      <c r="V2" s="86" t="s">
        <v>176</v>
      </c>
      <c r="W2" s="348" t="s">
        <v>175</v>
      </c>
      <c r="X2" s="87" t="s">
        <v>40</v>
      </c>
      <c r="Y2" s="87" t="s">
        <v>40</v>
      </c>
      <c r="Z2" s="87" t="s">
        <v>40</v>
      </c>
      <c r="AA2" s="87" t="s">
        <v>40</v>
      </c>
      <c r="AB2" s="348" t="s">
        <v>174</v>
      </c>
      <c r="AC2" s="84" t="s">
        <v>173</v>
      </c>
      <c r="AD2" s="84" t="s">
        <v>173</v>
      </c>
      <c r="AE2" s="84" t="s">
        <v>173</v>
      </c>
      <c r="AF2" s="84" t="s">
        <v>173</v>
      </c>
      <c r="AG2" s="84" t="s">
        <v>173</v>
      </c>
      <c r="AH2" s="84" t="s">
        <v>173</v>
      </c>
      <c r="AI2" s="84" t="s">
        <v>173</v>
      </c>
      <c r="AJ2" s="84" t="s">
        <v>173</v>
      </c>
      <c r="AK2" s="84" t="s">
        <v>173</v>
      </c>
      <c r="AL2" s="348" t="s">
        <v>172</v>
      </c>
      <c r="AM2" s="84" t="s">
        <v>171</v>
      </c>
      <c r="AN2" s="84" t="s">
        <v>171</v>
      </c>
      <c r="AO2" s="84" t="s">
        <v>171</v>
      </c>
      <c r="AP2" s="84" t="s">
        <v>171</v>
      </c>
      <c r="AQ2" s="84" t="s">
        <v>171</v>
      </c>
      <c r="AR2" s="84" t="s">
        <v>171</v>
      </c>
      <c r="AS2" s="84" t="s">
        <v>171</v>
      </c>
      <c r="AT2" s="84" t="s">
        <v>171</v>
      </c>
      <c r="AU2" s="84" t="s">
        <v>171</v>
      </c>
      <c r="AV2" s="84" t="s">
        <v>171</v>
      </c>
      <c r="AW2" s="84" t="s">
        <v>171</v>
      </c>
      <c r="AX2" s="84" t="s">
        <v>171</v>
      </c>
      <c r="AY2" s="84" t="s">
        <v>171</v>
      </c>
      <c r="AZ2" s="348" t="s">
        <v>170</v>
      </c>
      <c r="BA2" s="83" t="s">
        <v>169</v>
      </c>
      <c r="BB2" s="83" t="s">
        <v>169</v>
      </c>
      <c r="BC2" s="83" t="s">
        <v>169</v>
      </c>
      <c r="BD2" s="83" t="s">
        <v>169</v>
      </c>
      <c r="BE2" s="83" t="s">
        <v>169</v>
      </c>
      <c r="BF2" s="83" t="s">
        <v>169</v>
      </c>
      <c r="BG2" s="83" t="s">
        <v>169</v>
      </c>
      <c r="BH2" s="83" t="s">
        <v>169</v>
      </c>
      <c r="BI2" s="83" t="s">
        <v>169</v>
      </c>
      <c r="BJ2" s="348" t="s">
        <v>168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167</v>
      </c>
      <c r="H3" s="348"/>
      <c r="I3" s="86" t="s">
        <v>166</v>
      </c>
      <c r="J3" s="86" t="s">
        <v>165</v>
      </c>
      <c r="K3" s="86" t="s">
        <v>164</v>
      </c>
      <c r="L3" s="86" t="s">
        <v>163</v>
      </c>
      <c r="M3" s="86" t="s">
        <v>162</v>
      </c>
      <c r="N3" s="86" t="s">
        <v>161</v>
      </c>
      <c r="O3" s="86" t="s">
        <v>160</v>
      </c>
      <c r="P3" s="86" t="s">
        <v>159</v>
      </c>
      <c r="Q3" s="86" t="s">
        <v>158</v>
      </c>
      <c r="R3" s="86"/>
      <c r="S3" s="86" t="s">
        <v>157</v>
      </c>
      <c r="T3" s="86" t="s">
        <v>156</v>
      </c>
      <c r="U3" s="86" t="s">
        <v>155</v>
      </c>
      <c r="V3" s="86" t="s">
        <v>154</v>
      </c>
      <c r="W3" s="348"/>
      <c r="X3" s="82"/>
      <c r="Y3" s="87" t="s">
        <v>153</v>
      </c>
      <c r="Z3" s="87" t="s">
        <v>152</v>
      </c>
      <c r="AA3" s="87" t="s">
        <v>151</v>
      </c>
      <c r="AB3" s="348"/>
      <c r="AC3" s="84" t="s">
        <v>150</v>
      </c>
      <c r="AD3" s="84" t="s">
        <v>149</v>
      </c>
      <c r="AE3" s="84" t="s">
        <v>148</v>
      </c>
      <c r="AF3" s="84" t="s">
        <v>147</v>
      </c>
      <c r="AG3" s="84" t="s">
        <v>146</v>
      </c>
      <c r="AH3" s="84" t="s">
        <v>145</v>
      </c>
      <c r="AI3" s="84" t="s">
        <v>37</v>
      </c>
      <c r="AJ3" s="84" t="s">
        <v>36</v>
      </c>
      <c r="AK3" s="84" t="s">
        <v>144</v>
      </c>
      <c r="AL3" s="348"/>
      <c r="AM3" s="84" t="s">
        <v>143</v>
      </c>
      <c r="AN3" s="84" t="s">
        <v>142</v>
      </c>
      <c r="AO3" s="84" t="s">
        <v>141</v>
      </c>
      <c r="AP3" s="84" t="s">
        <v>140</v>
      </c>
      <c r="AQ3" s="84" t="s">
        <v>139</v>
      </c>
      <c r="AR3" s="84" t="s">
        <v>138</v>
      </c>
      <c r="AS3" s="84" t="s">
        <v>137</v>
      </c>
      <c r="AT3" s="84" t="s">
        <v>136</v>
      </c>
      <c r="AU3" s="84" t="s">
        <v>135</v>
      </c>
      <c r="AV3" s="84" t="s">
        <v>134</v>
      </c>
      <c r="AW3" s="84" t="s">
        <v>133</v>
      </c>
      <c r="AX3" s="84" t="s">
        <v>132</v>
      </c>
      <c r="AY3" s="84" t="s">
        <v>131</v>
      </c>
      <c r="AZ3" s="348"/>
      <c r="BA3" s="83" t="s">
        <v>130</v>
      </c>
      <c r="BB3" s="83" t="s">
        <v>129</v>
      </c>
      <c r="BC3" s="83" t="s">
        <v>128</v>
      </c>
      <c r="BD3" s="83" t="s">
        <v>127</v>
      </c>
      <c r="BE3" s="83" t="s">
        <v>126</v>
      </c>
      <c r="BF3" s="83" t="s">
        <v>125</v>
      </c>
      <c r="BG3" s="83" t="s">
        <v>124</v>
      </c>
      <c r="BH3" s="83" t="s">
        <v>123</v>
      </c>
      <c r="BI3" s="83" t="s">
        <v>122</v>
      </c>
      <c r="BJ3" s="348"/>
    </row>
    <row r="4" spans="1:62" s="44" customFormat="1" ht="60" x14ac:dyDescent="0.15">
      <c r="A4" s="89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6" t="s">
        <v>116</v>
      </c>
      <c r="J4" s="86" t="s">
        <v>115</v>
      </c>
      <c r="K4" s="86" t="s">
        <v>114</v>
      </c>
      <c r="L4" s="86" t="s">
        <v>113</v>
      </c>
      <c r="M4" s="86" t="s">
        <v>112</v>
      </c>
      <c r="N4" s="86" t="s">
        <v>111</v>
      </c>
      <c r="O4" s="86" t="s">
        <v>110</v>
      </c>
      <c r="P4" s="86" t="s">
        <v>109</v>
      </c>
      <c r="Q4" s="86" t="s">
        <v>108</v>
      </c>
      <c r="R4" s="86" t="s">
        <v>107</v>
      </c>
      <c r="S4" s="86" t="s">
        <v>106</v>
      </c>
      <c r="T4" s="86" t="s">
        <v>105</v>
      </c>
      <c r="U4" s="86" t="s">
        <v>104</v>
      </c>
      <c r="V4" s="86" t="s">
        <v>103</v>
      </c>
      <c r="W4" s="348"/>
      <c r="X4" s="85" t="s">
        <v>102</v>
      </c>
      <c r="Y4" s="85" t="s">
        <v>101</v>
      </c>
      <c r="Z4" s="85" t="s">
        <v>100</v>
      </c>
      <c r="AA4" s="85" t="s">
        <v>99</v>
      </c>
      <c r="AB4" s="348"/>
      <c r="AC4" s="84" t="s">
        <v>98</v>
      </c>
      <c r="AD4" s="84" t="s">
        <v>97</v>
      </c>
      <c r="AE4" s="84" t="s">
        <v>96</v>
      </c>
      <c r="AF4" s="84" t="s">
        <v>95</v>
      </c>
      <c r="AG4" s="84" t="s">
        <v>94</v>
      </c>
      <c r="AH4" s="84" t="s">
        <v>93</v>
      </c>
      <c r="AI4" s="84" t="s">
        <v>37</v>
      </c>
      <c r="AJ4" s="84" t="s">
        <v>92</v>
      </c>
      <c r="AK4" s="84" t="s">
        <v>91</v>
      </c>
      <c r="AL4" s="348"/>
      <c r="AM4" s="84" t="s">
        <v>90</v>
      </c>
      <c r="AN4" s="84" t="s">
        <v>89</v>
      </c>
      <c r="AO4" s="84" t="s">
        <v>88</v>
      </c>
      <c r="AP4" s="84" t="s">
        <v>87</v>
      </c>
      <c r="AQ4" s="84" t="s">
        <v>86</v>
      </c>
      <c r="AR4" s="84" t="s">
        <v>85</v>
      </c>
      <c r="AS4" s="84" t="s">
        <v>84</v>
      </c>
      <c r="AT4" s="84" t="s">
        <v>83</v>
      </c>
      <c r="AU4" s="84" t="s">
        <v>82</v>
      </c>
      <c r="AV4" s="84" t="s">
        <v>81</v>
      </c>
      <c r="AW4" s="84" t="s">
        <v>80</v>
      </c>
      <c r="AX4" s="84" t="s">
        <v>79</v>
      </c>
      <c r="AY4" s="84" t="s">
        <v>78</v>
      </c>
      <c r="AZ4" s="348"/>
      <c r="BA4" s="83" t="s">
        <v>77</v>
      </c>
      <c r="BB4" s="83" t="s">
        <v>76</v>
      </c>
      <c r="BC4" s="83" t="s">
        <v>75</v>
      </c>
      <c r="BD4" s="83" t="s">
        <v>74</v>
      </c>
      <c r="BE4" s="83" t="s">
        <v>73</v>
      </c>
      <c r="BF4" s="83" t="s">
        <v>72</v>
      </c>
      <c r="BG4" s="83" t="s">
        <v>71</v>
      </c>
      <c r="BH4" s="83" t="s">
        <v>70</v>
      </c>
      <c r="BI4" s="83" t="s">
        <v>69</v>
      </c>
      <c r="BJ4" s="348"/>
    </row>
    <row r="5" spans="1:62" s="44" customFormat="1" ht="11" customHeight="1" x14ac:dyDescent="0.15">
      <c r="A5" s="54" t="s">
        <v>48</v>
      </c>
      <c r="B5" s="64"/>
      <c r="C5" s="64"/>
      <c r="D5" s="81" t="str">
        <f>IF(ETPT_TJ_DDG!$D$5="","",ETPT_TJ_DDG!$D$5)</f>
        <v/>
      </c>
      <c r="E5" s="64" t="s">
        <v>68</v>
      </c>
      <c r="F5" s="64" t="s">
        <v>67</v>
      </c>
      <c r="G5" s="113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62" t="e">
        <f t="shared" ref="H5:H15" si="0">SUM(G5)</f>
        <v>#N/A</v>
      </c>
      <c r="I5" s="61" t="e">
        <f>SUMIFS( INDEX( 'ETPT Format DDG'!$A:$FA,,MATCH("11.8.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DDG'!$A:$FA,,MATCH("3.2. PROTECTION DES MAJEURS",'ETPT Format DDG'!2:2,0)),'ETPT Format DDG'!$C:$C,$D$5,'ETPT Format DDG'!$FA:$FA,"Fonctionnaire A-B-CBUR")</f>
        <v>#N/A</v>
      </c>
      <c r="Q5" s="61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R5" s="61" t="e">
        <f>SUMIFS( INDEX( 'ETPT Format DDG'!$A:$FA,,MATCH("5. TOTAL JLD CIVIL",'ETPT Format DDG'!2:2,0)),'ETPT Format DDG'!$C:$C,$D$5,'ETPT Format DDG'!$FA:$FA,"Fonctionnaire A-B-CBUR")
+SUMIFS( INDEX( 'ETPT Format DDG'!$A:$FA,,MATCH("6.1. ACTIVITÉ CIVILE",'ETPT Format DDG'!2:2,0)),'ETPT Format DDG'!$C:$C,$D$5,'ETPT Format DDG'!$FA:$FA,"Fonctionnaire A-B-CBUR")</f>
        <v>#N/A</v>
      </c>
      <c r="S5" s="61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T5" s="61" t="e">
        <f>SUMIFS( INDEX( 'ETPT Format DDG'!$A:$FA,,MATCH("4.0. CONTENTIEUX GÉNÉRAL &lt;10.000€",'ETPT Format DDG'!2:2,0)),'ETPT Format DDG'!$C:$C,$D$5,'ETPT Format DDG'!$FA:$FA,"Fonctionnaire A-B-CBUR")</f>
        <v>#N/A</v>
      </c>
      <c r="U5" s="61" t="e">
        <f>SUMIFS( INDEX( 'ETPT Format DDG'!$A:$FA,,MATCH("1. TOTAL CONTENTIEUX SOCIAL",'ETPT Format DDG'!2:2,0)),'ETPT Format DDG'!$C:$C,$D$5,'ETPT Format DDG'!$FA:$FA,"Fonctionnaire A-B-CBUR")</f>
        <v>#N/A</v>
      </c>
      <c r="V5" s="61" t="e">
        <f>SUMIFS( INDEX( 'ETPT Format DDG'!$A:$FA,,MATCH("Temps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 t="e">
        <f>SUMIFS( INDEX( 'ETPT Format DDG'!$A:$FA,,MATCH("Temps ventilés sur la période (contentieux civils et sociaux)",'ETPT Format DDG'!2:2,0)),'ETPT Format DDG'!$C:$C,$D$5,'ETPT Format DDG'!$FA:$FA,"CONT A JP Autour du Juge")</f>
        <v>#N/A</v>
      </c>
      <c r="Y5" s="80" t="e">
        <f>SUMIFS( INDEX( 'ETPT Format DDG'!$A:$FA,,MATCH("Temps ventilés sur la période (contentieux civils et sociaux)",'ETPT Format DDG'!2:2,0)),'ETPT Format DDG'!$C:$C,$D$5,'ETPT Format DDG'!$FA:$FA,"JURISTE AS Parquet")</f>
        <v>#N/A</v>
      </c>
      <c r="Z5" s="80" t="e">
        <f>SUMIFS( INDEX( 'ETPT Format DDG'!$A:$FA,,MATCH("Temps ventilés sur la période (contentieux civils et sociaux)",'ETPT Format DDG'!2:2,0)),'ETPT Format DDG'!$C:$C,$D$5,'ETPT Format DDG'!$FA:$FA,"JURISTE AS Pôle social")</f>
        <v>#N/A</v>
      </c>
      <c r="AA5" s="79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AB5" s="49" t="e">
        <f t="shared" ref="AB5:AB15" si="1">SUM(X5:AA5)</f>
        <v>#N/A</v>
      </c>
      <c r="AC5" s="58" t="e">
        <f>SUMIFS( INDEX( 'ETPT Format DDG'!$A:$FA,,MATCH("3.2. PROTECTION DES MAJEURS",'ETPT Format DDG'!2:2,0)),'ETPT Format DDG'!$C:$C,$D$5,'ETPT Format DDG'!$FA:$FA,"Magistrat SIEGE NS")+
SUMIFS( INDEX( 'ETPT Format DDG'!$A:$FA,,MATCH("3.2. PROTECTION DES MAJEURS",'ETPT Format DDG'!2:2,0)),'ETPT Format DDG'!$C:$C,$D$5,'ETPT Format DDG'!$FA:$FA,"Magistrat SIEGE S")</f>
        <v>#N/A</v>
      </c>
      <c r="AD5" s="56" t="e">
        <f>SUMIFS( INDEX( 'ETPT Format DDG'!$A:$FA,,MATCH("3. TOTAL CONTENTIEUX DE LA PROTECTION",'ETPT Format DDG'!2:2,0)),'ETPT Format DDG'!$C:$C,$D$5,'ETPT Format DDG'!$FA:$FA,"Magistrat SIEGE NS")+
SUMIFS( INDEX( 'ETPT Format DDG'!$A:$FA,,MATCH("3. TOTAL CONTENTIEUX DE LA PROTECTION",'ETPT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DDG'!$A:$FA,,MATCH("6.1. ACTIVITÉ CIVILE",'ETPT Format DDG'!2:2,0)),'ETPT Format DDG'!$FA:$FA,"Magistrat SIEGE NS")+
SUMIFS( INDEX( 'ETPT Format DDG'!$A:$FA,,MATCH("6.1. ACTIVITÉ CIVILE",'ETPT Format DDG'!2:2,0)),'ETPT Format DDG'!$FA:$FA,"Magistrat SIEGE S")</f>
        <v>#N/A</v>
      </c>
      <c r="AK5" s="56" t="e">
        <f>SUMIFS( INDEX( 'ETPT Format DDG'!$A:$FA,,MATCH("5. TOTAL JLD CIVIL",'ETPT Format DDG'!2:2,0)),'ETPT Format DDG'!$FA:$FA,"Magistrat SIEGE NS")+
SUMIFS( INDEX( 'ETPT Format DDG'!$A:$FA,,MATCH("5.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DDG'!$A:$FA,,MATCH("1.1. DÉPARTAGE PRUD'HOMAL",'ETPT Format DDG'!2:2,0)),'ETPT Format DDG'!$C:$C,$D$5,'ETPT Format DDG'!$FA:$FA,"Magistrat SIEGE NS")+
SUMIFS( INDEX( 'ETPT Format DDG'!$A:$FA,,MATCH("1.1. DÉPARTAGE PRUD'HOMAL",'ETPT Format DDG'!2:2,0)),'ETPT Format DDG'!$C:$C,$D$5,'ETPT Format DDG'!$FA:$FA,"Magistrat SIEGE S")</f>
        <v>#N/A</v>
      </c>
      <c r="AT5" s="56" t="e">
        <f>SUMIFS( INDEX( 'ETPT Format DDG'!$A:$FA,,MATCH("4.0. CONTENTIEUX GÉNÉRAL &lt;10.000€",'ETPT Format DDG'!2:2,0)),'ETPT Format DDG'!$C:$C,$D$5,'ETPT Format DDG'!$FA:$FA,"Magistrat SIEGE NS")+
SUMIFS( INDEX( 'ETPT Format DDG'!$A:$FA,,MATCH("4.0. CONTENTIEUX GÉNÉRAL &lt;10.000€",'ETPT Format DDG'!2:2,0)),'ETPT Format DDG'!$C:$C,$D$5,'ETPT Format DDG'!$FA:$FA,"Magistrat SIEGE S")</f>
        <v>#N/A</v>
      </c>
      <c r="AU5" s="56" t="e">
        <f>SUMIFS( INDEX( 'ETPT Format DDG'!$A:$FA,,MATCH("3.43. INJONCTIONS DE PAYER",'ETPT Format DDG'!2:2,0)),'ETPT Format DDG'!$C:$C,$D$5,'ETPT Format DDG'!$FA:$FA,"Magistrat SIEGE NS")+
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S")</f>
        <v>#N/A</v>
      </c>
      <c r="AV5" s="56" t="e">
        <f>SUMIFS( INDEX( 'ETPT Format DDG'!$A:$FA,,MATCH("1. TOTAL CONTENTIEUX SOCIAL",'ETPT Format DDG'!2:2,0)),'ETPT Format DDG'!$C:$C,$D$5,'ETPT Format DDG'!$FA:$FA,"Magistrat SIEGE NS")+
SUMIFS( INDEX( 'ETPT Format DDG'!$A:$FA,,MATCH("1. TOTAL CONTENTIEUX SOCIAL",'ETPT Format DDG'!2:2,0)),'ETPT Format DDG'!$C:$C,$D$5,'ETPT Format DDG'!$FA:$FA,"Magistrat SIEGE S")-
SUMIFS( INDEX( 'ETPT Format DDG'!$A:$FA,,MATCH("1.1. DÉPARTAGE PRUD'HOMAL",'ETPT Format DDG'!2:2,0)),'ETPT Format DDG'!$C:$C,$D$5,'ETPT Format DDG'!$FA:$FA,"Magistrat SIEGE NS")-
SUMIFS( INDEX( 'ETPT Format DDG'!$A:$FA,,MATCH("1.1. DÉPARTAGE PRUD'HOMAL",'ETPT Format DDG'!2:2,0)),'ETPT Format DDG'!$C:$C,$D$5,'ETPT Format DDG'!$FA:$FA,"Magistrat SIEGE S")</f>
        <v>#N/A</v>
      </c>
      <c r="AW5" s="165" t="e">
        <f>SUMIFS( INDEX( 'ETPT Format DDG'!$A:$FA,,MATCH("2. TOTAL CONTENTIEUX JAF",'ETPT Format DDG'!2:2,0)),'ETPT Format DDG'!$FA:$FA,"Magistrat SIEGE NS")+
SUMIFS( INDEX( 'ETPT Format DDG'!$A:$FA,,MATCH("2. TOTAL CONTENTIEUX JAF",'ETPT Format DDG'!2:2,0)),'ETPT Format DDG'!$FA:$FA,"Magistrat SIEGE S")</f>
        <v>#N/A</v>
      </c>
      <c r="AX5" s="58" t="e">
        <f>SUMIFS( INDEX( 'ETPT Format DDG'!$A:$FA,,MATCH("4. TOTAL CIVIL NON SPÉCIALISÉ",'ETPT Format DDG'!2:2,0)),'ETPT Format DDG'!$C:$C,$D$5,'ETPT Format DDG'!$FA:$FA,"Magistrat SIEGE S")-
SUMIFS( INDEX( 'ETPT Format DDG'!$A:$FA,,MATCH("4.0. CONTENTIEUX GÉNÉRAL &lt;10.000€",'ETPT Format DDG'!2:2,0)),'ETPT Format DDG'!$C:$C,$D$5,'ETPT Format DDG'!$FA:$FA,"Magistrat SIEGE S")</f>
        <v>#N/A</v>
      </c>
      <c r="AY5" s="58" t="e">
        <f>SUMIFS( INDEX( 'ETPT Format DDG'!$A:$FA,,MATCH("4. TOTAL CIVIL NON SPÉCIALISÉ",'ETPT Format DDG'!2:2,0)),'ETPT Format DDG'!$C:$C,$D$5,'ETPT Format DDG'!$FA:$FA,"Magistrat SIEGE NS")-
SUMIFS( INDEX( 'ETPT Format DDG'!$A:$FA,,MATCH("4.0. CONTENTIEUX GÉNÉRAL &lt;10.000€",'ETPT Format DDG'!2:2,0)),'ETPT Format DDG'!$C:$C,$D$5,'ETPT Format DDG'!$FA:$FA,"Magistrat SIEGE NS")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48</v>
      </c>
      <c r="B6" s="64"/>
      <c r="C6" s="64"/>
      <c r="D6" s="65" t="str">
        <f t="shared" ref="D6:D15" si="5">$D$5</f>
        <v/>
      </c>
      <c r="E6" s="64" t="s">
        <v>66</v>
      </c>
      <c r="F6" s="64" t="s">
        <v>65</v>
      </c>
      <c r="G6" s="69" t="e">
        <f>SUMIFS( INDEX( 'ETPT Format DDG'!$A:$FA,,MATCH("Temps ventilés sur la période (affaires pénales)",'ETPT Format DDG'!2:2,0)),'ETPT Format DDG'!$FA:$FA,"Fonctionnaire CTECH")</f>
        <v>#N/A</v>
      </c>
      <c r="H6" s="62" t="e">
        <f t="shared" si="0"/>
        <v>#N/A</v>
      </c>
      <c r="I6" s="78"/>
      <c r="J6" s="61" t="e">
        <f>SUMIFS( INDEX( 'ETPT Format DDG'!$A:$FA,,MATCH("11.9. FONCTIONNAIRES AFFECTÉS À L'EXÉCUTION DES PEINES",'ETPT Format DDG'!2:2,0)),'ETPT Format DDG'!$FA:$FA,"Fonctionnaire A-B-CBUR")</f>
        <v>#N/A</v>
      </c>
      <c r="K6" s="61" t="e">
        <f>SUMIFS( INDEX( 'ETPT Format DDG'!$A:$FA,,MATCH("7.5. COUR D'ASSISES HORS JIRS",'ETPT Format DDG'!2:2,0)),'ETPT Format DDG'!$FA:$FA,"Fonctionnaire A-B-CBUR")+
SUMIFS( INDEX( 'ETPT Format DDG'!$A:$FA,,MATCH("7.51. COUR D'ASSISES JIRS",'ETPT Format DDG'!2:2,0)),'ETPT Format DDG'!$FA:$FA,"Fonctionnaire A-B-CBUR")</f>
        <v>#N/A</v>
      </c>
      <c r="L6" s="61" t="e">
        <f>SUMIFS( INDEX( 'ETPT Format DDG'!$A:$FA,,MATCH("7.52. COUR CRIMINELLE",'ETPT Format DDG'!2:2,0)),'ETPT Format DDG'!$FA:$FA,"Fonctionnaire A-B-CBUR")</f>
        <v>#N/A</v>
      </c>
      <c r="M6" s="61" t="e">
        <f>SUMIFS( INDEX( 'ETPT Format DDG'!$A:$FA,,MATCH("8.2. JIRS ÉCO-FI",'ETPT Format DDG'!2:2,0)),'ETPT Format DDG'!$FA:$FA,"Fonctionnaire A-B-CBUR")</f>
        <v>#N/A</v>
      </c>
      <c r="N6" s="61" t="e">
        <f>SUMIFS( INDEX( 'ETPT Format DDG'!$A:$FA,,MATCH("8.3. JIRS CRIM-ORG",'ETPT Format DDG'!2:2,0)),'ETPT Format DDG'!$FA:$FA,"Fonctionnaire A-B-CBUR")</f>
        <v>#N/A</v>
      </c>
      <c r="O6" s="61" t="e">
        <f>SUMIFS( INDEX( 'ETPT Format DDG'!$A:$FA,,MATCH("8.4.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DDG'!$A:$FA,,MATCH("6.2. ACTIVITÉ PÉNALE",'ETPT Format DDG'!2:2,0)),'ETPT Format DDG'!$FA:$FA,"Fonctionnaire A-B-CBUR")+
(SUMIFS( INDEX( 'ETPT Format DDG'!$A:$FA,,MATCH("8. TOTAL JUGES D'INSTRUCTION",'ETPT Format DDG'!2:2,0)),'ETPT Format DDG'!$FA:$FA,"Fonctionnaire A-B-CBUR")-
SUMIFS( INDEX( 'ETPT Format DDG'!$A:$FA,,MATCH("8.2. JIRS ÉCO-FI",'ETPT Format DDG'!2:2,0)),'ETPT Format DDG'!$FA:$FA,"Fonctionnaire A-B-CBUR")-
SUMIFS( INDEX( 'ETPT Format DDG'!$A:$FA,,MATCH("8.3. JIRS CRIM-ORG",'ETPT Format DDG'!2:2,0)),'ETPT Format DDG'!$FA:$FA,"Fonctionnaire A-B-CBUR")-
SUMIFS( INDEX( 'ETPT Format DDG'!$A:$FA,,MATCH("8.4. AUTRES SECTIONS SPÉCIALISÉES",'ETPT Format DDG'!2:2,0)),'ETPT Format DDG'!$FA:$FA,"Fonctionnaire A-B-CBUR"))+
SUMIFS( INDEX( 'ETPT Format DDG'!$A:$FA,,MATCH("9. TOTAL JAP",'ETPT Format DDG'!2:2,0)),'ETPT Format DDG'!$FA:$FA,"Fonctionnaire A-B-CBUR")+
SUMIFS( INDEX( 'ETPT Format DDG'!$A:$FA,,MATCH("10.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DDG'!$A:$FA,,MATCH("Temps ventilés sur la période (affaires pénales)",'ETPT Format DDG'!2:2,0)),'ETPT Format DDG'!$FA:$FA,"Fonctionnaire A-B-CBUR")+
SUMIFS( INDEX( 'ETPT Format DDG'!$A:$FA,,MATCH("11.10.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DDG'!$A:$FA,,MATCH("Temps ventilés sur la période (affaires pénales)",'ETPT Format DDG'!2:2,0)),'ETPT Format DDG'!$FA:$FA,"CONT A JP Autour du Juge")+
SUMIFS( INDEX( 'ETPT Format DDG'!$A:$FA,,MATCH("11.10. AUTRES FONCTIONNAIRES AFFECTÉS AU PARQUET",'ETPT Format DDG'!2:2,0)),'ETPT Format DDG'!$FA:$FA,"CONT A JP Autour du Juge")</f>
        <v>#N/A</v>
      </c>
      <c r="Y6" s="67" t="e">
        <f>SUMIFS( INDEX( 'ETPT Format DDG'!$A:$FA,,MATCH("Temps ventilés sur la période (affaires pénales)",'ETPT Format DDG'!2:2,0)),'ETPT Format DDG'!$FA:$FA,"JURISTE AS Parquet")+
SUMIFS( INDEX( 'ETPT Format DDG'!$A:$FA,,MATCH("11.10. AUTRES FONCTIONNAIRES AFFECTÉS AU PARQUET",'ETPT Format DDG'!2:2,0)),'ETPT Format DDG'!$FA:$FA,"JURISTE AS Parquet")</f>
        <v>#N/A</v>
      </c>
      <c r="Z6" s="67" t="e">
        <f>SUMIFS( INDEX( 'ETPT Format DDG'!$A:$FA,,MATCH("Temps ventilés sur la période (affaires pénales)",'ETPT Format DDG'!2:2,0)),'ETPT Format DDG'!$FA:$FA,"JURISTE AS Pôle social")+
SUMIFS( INDEX( 'ETPT Format DDG'!$A:$FA,,MATCH("11.10. AUTRES FONCTIONNAIRES AFFECTÉS AU PARQUET",'ETPT Format DDG'!2:2,0)),'ETPT Format DDG'!$FA:$FA,"JURISTE AS Pôle social")</f>
        <v>#N/A</v>
      </c>
      <c r="AA6" s="67" t="e">
        <f>SUMIFS( INDEX( 'ETPT Format DDG'!$A:$FA,,MATCH("Temps ventilés sur la période (affaires pénales)",'ETPT Format DDG'!2:2,0)),'ETPT Format DDG'!$FA:$FA,"JURISTE AS siège Autres")+
SUMIFS( INDEX( 'ETPT Format DDG'!$A:$FA,,MATCH("11.10.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DDG'!$A:$FA,,MATCH("8.1. SERVICE GÉNÉRAL",'ETPT Format DDG'!2:2,0)),'ETPT Format DDG'!$FA:$FA,"Magistrat SIEGE NS")+
SUMIFS( INDEX( 'ETPT Format DDG'!$A:$FA,,MATCH("8.1. SERVICE GÉNÉRAL",'ETPT Format DDG'!2:2,0)),'ETPT Format DDG'!$FA:$FA,"Magistrat SIEGE S")</f>
        <v>#N/A</v>
      </c>
      <c r="AF6" s="56" t="e">
        <f>SUMIFS( INDEX( 'ETPT Format DDG'!$A:$FA,,MATCH("8.2. JIRS ÉCO-FI",'ETPT Format DDG'!2:2,0)),'ETPT Format DDG'!$FA:$FA,"Magistrat SIEGE NS")+
SUMIFS( INDEX( 'ETPT Format DDG'!$A:$FA,,MATCH("8.2. JIRS ÉCO-FI",'ETPT Format DDG'!2:2,0)),'ETPT Format DDG'!$FA:$FA,"Magistrat SIEGE S")</f>
        <v>#N/A</v>
      </c>
      <c r="AG6" s="56" t="e">
        <f>SUMIFS( INDEX( 'ETPT Format DDG'!$A:$FA,,MATCH("8.3. JIRS CRIM-ORG",'ETPT Format DDG'!2:2,0)),'ETPT Format DDG'!$FA:$FA,"Magistrat SIEGE NS")+
SUMIFS( INDEX( 'ETPT Format DDG'!$A:$FA,,MATCH("8.3. JIRS CRIM-ORG",'ETPT Format DDG'!2:2,0)),'ETPT Format DDG'!$FA:$FA,"Magistrat SIEGE S")</f>
        <v>#N/A</v>
      </c>
      <c r="AH6" s="56" t="e">
        <f>SUMIFS( INDEX( 'ETPT Format DDG'!$A:$FA,,MATCH("8.4. AUTRES SECTIONS SPÉCIALISÉES",'ETPT Format DDG'!2:2,0)),'ETPT Format DDG'!$FA:$FA,"Magistrat SIEGE NS")+
SUMIFS( INDEX( 'ETPT Format DDG'!$A:$FA,,MATCH("8.4. AUTRES SECTIONS SPÉCIALISÉES",'ETPT Format DDG'!2:2,0)),'ETPT Format DDG'!$FA:$FA,"Magistrat SIEGE S")</f>
        <v>#N/A</v>
      </c>
      <c r="AI6" s="56" t="e">
        <f>SUMIFS( INDEX( 'ETPT Format DDG'!$A:$FA,,MATCH("9. TOTAL JAP",'ETPT Format DDG'!2:2,0)),'ETPT Format DDG'!$FA:$FA,"Magistrat SIEGE NS")+
SUMIFS( INDEX( 'ETPT Format DDG'!$A:$FA,,MATCH("9. TOTAL JAP",'ETPT Format DDG'!2:2,0)),'ETPT Format DDG'!$FA:$FA,"Magistrat SIEGE S")</f>
        <v>#N/A</v>
      </c>
      <c r="AJ6" s="56" t="e">
        <f>SUMIFS( INDEX( 'ETPT Format DDG'!$A:$FA,,MATCH("6.2. ACTIVITÉ PÉNALE",'ETPT Format DDG'!2:2,0)),'ETPT Format DDG'!$FA:$FA,"Magistrat SIEGE NS")+
SUMIFS( INDEX( 'ETPT Format DDG'!$A:$FA,,MATCH("6.2. ACTIVITÉ PÉNALE",'ETPT Format DDG'!2:2,0)),'ETPT Format DDG'!$FA:$FA,"Magistrat SIEGE S")</f>
        <v>#N/A</v>
      </c>
      <c r="AK6" s="56" t="e">
        <f>SUMIFS( INDEX( 'ETPT Format DDG'!$A:$FA,,MATCH("10. TOTAL JLD PÉNAL",'ETPT Format DDG'!2:2,0)),'ETPT Format DDG'!$FA:$FA,"Magistrat SIEGE NS")+
SUMIFS( INDEX( 'ETPT Format DDG'!$A:$FA,,MATCH("10.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DDG'!$A:$FA,,MATCH("7.5. COUR D'ASSISES HORS JIRS",'ETPT Format DDG'!2:2,0)),'ETPT Format DDG'!$FA:$FA,"Magistrat SIEGE NS")+
SUMIFS( INDEX( 'ETPT Format DDG'!$A:$FA,,MATCH("7.51. COUR D'ASSISES JIRS",'ETPT Format DDG'!2:2,0)),'ETPT Format DDG'!$FA:$FA,"Magistrat SIEGE NS")</f>
        <v>#N/A</v>
      </c>
      <c r="AN6" s="56" t="e">
        <f>SUMIFS( INDEX( 'ETPT Format DDG'!$A:$FA,,MATCH("7.52. COUR CRIMINELLE",'ETPT Format DDG'!2:2,0)),'ETPT Format DDG'!$FA:$FA,"Magistrat SIEGE NS")</f>
        <v>#N/A</v>
      </c>
      <c r="AO6" s="56" t="e">
        <f>SUMIFS( INDEX( 'ETPT Format DDG'!$A:$FA,,MATCH("7.121. COLLÉGIALES JIRS ECO-FI",'ETPT Format DDG'!2:2,0)),'ETPT Format DDG'!$FA:$FA,"Magistrat SIEGE NS")</f>
        <v>#N/A</v>
      </c>
      <c r="AP6" s="56" t="e">
        <f>SUMIFS( INDEX( 'ETPT Format DDG'!$A:$FA,,MATCH("7.12. COLLÉGIALES JIRS CRIM-ORG",'ETPT Format DDG'!2:2,0)),'ETPT Format DDG'!$FA:$FA,"Magistrat SIEGE NS")</f>
        <v>#N/A</v>
      </c>
      <c r="AQ6" s="56" t="e">
        <f>SUMIFS( INDEX( 'ETPT Format DDG'!$A:$FA,,MATCH("7.122. COLLÉGIALES AUTRES SECTIONS SPÉCIALISÉES",'ETPT Format DDG'!2:2,0)),'ETPT Format DDG'!$FA:$FA,"Magistrat SIEGE NS")</f>
        <v>#N/A</v>
      </c>
      <c r="AR6" s="58" t="e">
        <f>SUMIFS( INDEX( 'ETPT Format DDG'!$A:$FA,,MATCH("7.6. TRIBUNAL DE POLICE",'ETPT Format DDG'!2:2,0)),'ETPT Format DDG'!$FA:$FA,"Magistrat SIEGE NS")+
SUMIFS( INDEX( 'ETPT Format DDG'!$A:$FA,,MATCH("7.7.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DDG'!$A:$FA,,MATCH("Temps ventilés sur la période (affaires pénales)",'ETPT Format DDG'!2:2,0)),'ETPT Format DDG'!$FA:$FA,"Magistrat SIEGE S")-
SUMIFS( INDEX( 'ETPT Format DDG'!$A:$FA,,MATCH("8.1. SERVICE GÉNÉRAL",'ETPT Format DDG'!2:2,0)),'ETPT Format DDG'!$FA:$FA,"Magistrat SIEGE S")-
SUMIFS( INDEX( 'ETPT Format DDG'!$A:$FA,,MATCH("8.2. JIRS ÉCO-FI",'ETPT Format DDG'!2:2,0)),'ETPT Format DDG'!$FA:$FA,"Magistrat SIEGE S")-
SUMIFS( INDEX( 'ETPT Format DDG'!$A:$FA,,MATCH("8.3. JIRS CRIM-ORG",'ETPT Format DDG'!2:2,0)),'ETPT Format DDG'!$FA:$FA,"Magistrat SIEGE S")-
SUMIFS( INDEX( 'ETPT Format DDG'!$A:$FA,,MATCH("8.4. AUTRES SECTIONS SPÉCIALISÉES",'ETPT Format DDG'!2:2,0)),'ETPT Format DDG'!$FA:$FA,"Magistrat SIEGE S")-
SUMIFS( INDEX( 'ETPT Format DDG'!$A:$FA,,MATCH("9. TOTAL JAP",'ETPT Format DDG'!2:2,0)),'ETPT Format DDG'!$FA:$FA,"Magistrat SIEGE S")-
SUMIFS( INDEX( 'ETPT Format DDG'!$A:$FA,,MATCH("6.2. ACTIVITÉ PÉNALE",'ETPT Format DDG'!2:2,0)),'ETPT Format DDG'!$FA:$FA,"Magistrat SIEGE S")-
SUMIFS( INDEX( 'ETPT Format DDG'!$A:$FA,,MATCH("10. TOTAL JLD PÉNAL",'ETPT Format DDG'!2:2,0)),'ETPT Format DDG'!$FA:$FA,"Magistrat SIEGE S")-
SUMIFS( INDEX( 'ETPT Format DDG'!$A:$FA,,MATCH("7.5. COUR D'ASSISES HORS JIRS",'ETPT Format DDG'!2:2,0)),'ETPT Format DDG'!$FA:$FA,"Magistrat SIEGE S")-
SUMIFS( INDEX( 'ETPT Format DDG'!$A:$FA,,MATCH("7.51. COUR D'ASSISES JIRS",'ETPT Format DDG'!2:2,0)),'ETPT Format DDG'!$FA:$FA,"Magistrat SIEGE S")-
SUMIFS( INDEX( 'ETPT Format DDG'!$A:$FA,,MATCH("7.52. COUR CRIMINELLE",'ETPT Format DDG'!2:2,0)),'ETPT Format DDG'!$FA:$FA,"Magistrat SIEGE S")-
SUMIFS( INDEX( 'ETPT Format DDG'!$A:$FA,,MATCH("7.121. COLLÉGIALES JIRS ECO-FI",'ETPT Format DDG'!2:2,0)),'ETPT Format DDG'!$FA:$FA,"Magistrat SIEGE S")-
SUMIFS( INDEX( 'ETPT Format DDG'!$A:$FA,,MATCH("7.12. COLLÉGIALES JIRS CRIM-ORG",'ETPT Format DDG'!2:2,0)),'ETPT Format DDG'!$FA:$FA,"Magistrat SIEGE S")-
SUMIFS( INDEX( 'ETPT Format DDG'!$A:$FA,,MATCH("7.122. COLLÉGIALES AUTRES SECTIONS SPÉCIALISÉES",'ETPT Format DDG'!2:2,0)),'ETPT Format DDG'!$FA:$FA,"Magistrat SIEGE S")-
SUMIFS( INDEX( 'ETPT Format DDG'!$A:$FA,,MATCH("7.6. TRIBUNAL DE POLICE",'ETPT Format DDG'!2:2,0)),'ETPT Format DDG'!$FA:$FA,"Magistrat SIEGE S")-
SUMIFS( INDEX( 'ETPT Format DDG'!$A:$FA,,MATCH("7.7. OP CONTRAVENTIONNELLES",'ETPT Format DDG'!2:2,0)),'ETPT Format DDG'!$FA:$FA,"Magistrat SIEGE S")</f>
        <v>#N/A</v>
      </c>
      <c r="AY6" s="74" t="e">
        <f>SUMIFS( INDEX( 'ETPT Format DDG'!$A:$FA,,MATCH("Temps ventilés sur la période (affaires pénales)",'ETPT Format DDG'!2:2,0)),'ETPT Format DDG'!$FA:$FA,"Magistrat SIEGE NS")-
SUMIFS( INDEX( 'ETPT Format DDG'!$A:$FA,,MATCH("8.1. SERVICE GÉNÉRAL",'ETPT Format DDG'!2:2,0)),'ETPT Format DDG'!$FA:$FA,"Magistrat SIEGE NS")-
SUMIFS( INDEX( 'ETPT Format DDG'!$A:$FA,,MATCH("8.2. JIRS ÉCO-FI",'ETPT Format DDG'!2:2,0)),'ETPT Format DDG'!$FA:$FA,"Magistrat SIEGE NS")-
SUMIFS( INDEX( 'ETPT Format DDG'!$A:$FA,,MATCH("8.3. JIRS CRIM-ORG",'ETPT Format DDG'!2:2,0)),'ETPT Format DDG'!$FA:$FA,"Magistrat SIEGE NS")-
SUMIFS( INDEX( 'ETPT Format DDG'!$A:$FA,,MATCH("8.4. AUTRES SECTIONS SPÉCIALISÉES",'ETPT Format DDG'!2:2,0)),'ETPT Format DDG'!$FA:$FA,"Magistrat SIEGE NS")-
SUMIFS( INDEX( 'ETPT Format DDG'!$A:$FA,,MATCH("9. TOTAL JAP",'ETPT Format DDG'!2:2,0)),'ETPT Format DDG'!$FA:$FA,"Magistrat SIEGE NS")-
SUMIFS( INDEX( 'ETPT Format DDG'!$A:$FA,,MATCH("6.2. ACTIVITÉ PÉNALE",'ETPT Format DDG'!2:2,0)),'ETPT Format DDG'!$FA:$FA,"Magistrat SIEGE NS")-
SUMIFS( INDEX( 'ETPT Format DDG'!$A:$FA,,MATCH("10. TOTAL JLD PÉNAL",'ETPT Format DDG'!2:2,0)),'ETPT Format DDG'!$FA:$FA,"Magistrat SIEGE NS")-
SUMIFS( INDEX( 'ETPT Format DDG'!$A:$FA,,MATCH("7.5. COUR D'ASSISES HORS JIRS",'ETPT Format DDG'!2:2,0)),'ETPT Format DDG'!$FA:$FA,"Magistrat SIEGE NS")-
SUMIFS( INDEX( 'ETPT Format DDG'!$A:$FA,,MATCH("7.51. COUR D'ASSISES JIRS",'ETPT Format DDG'!2:2,0)),'ETPT Format DDG'!$FA:$FA,"Magistrat SIEGE NS")-
SUMIFS( INDEX( 'ETPT Format DDG'!$A:$FA,,MATCH("7.52. COUR CRIMINELLE",'ETPT Format DDG'!2:2,0)),'ETPT Format DDG'!$FA:$FA,"Magistrat SIEGE NS")-
SUMIFS( INDEX( 'ETPT Format DDG'!$A:$FA,,MATCH("7.121. COLLÉGIALES JIRS ECO-FI",'ETPT Format DDG'!2:2,0)),'ETPT Format DDG'!$FA:$FA,"Magistrat SIEGE NS")-
SUMIFS( INDEX( 'ETPT Format DDG'!$A:$FA,,MATCH("7.12. COLLÉGIALES JIRS CRIM-ORG",'ETPT Format DDG'!2:2,0)),'ETPT Format DDG'!$FA:$FA,"Magistrat SIEGE NS")-
SUMIFS( INDEX( 'ETPT Format DDG'!$A:$FA,,MATCH("7.122. COLLÉGIALES AUTRES SECTIONS SPÉCIALISÉES",'ETPT Format DDG'!2:2,0)),'ETPT Format DDG'!$FA:$FA,"Magistrat SIEGE NS")-
SUMIFS( INDEX( 'ETPT Format DDG'!$A:$FA,,MATCH("7.6. TRIBUNAL DE POLICE",'ETPT Format DDG'!2:2,0)),'ETPT Format DDG'!$FA:$FA,"Magistrat SIEGE NS")-
SUMIFS( INDEX( 'ETPT Format DDG'!$A:$FA,,MATCH("7.7. OP CONTRAVENTIONNELLES",'ETPT Format DDG'!2:2,0)),'ETPT Format DDG'!$FA:$FA,"Magistrat SIEGE NS")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48</v>
      </c>
      <c r="B7" s="64"/>
      <c r="C7" s="64"/>
      <c r="D7" s="65" t="str">
        <f t="shared" si="5"/>
        <v/>
      </c>
      <c r="E7" s="64" t="s">
        <v>64</v>
      </c>
      <c r="F7" s="64" t="s">
        <v>63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DDG'!$A:$FA,,MATCH("11.5. CSM",'ETPT Format DDG'!2:2,0)),'ETPT Format DDG'!$C:$C,$D$5,'ETPT Format DDG'!H:H,"JCP")+
SUMIFS( INDEX( 'ETPT Format DDG'!$A:$FA,,MATCH("11.5. CSM",'ETPT Format DDG'!2:2,0)),'ETPT Format DDG'!$C:$C,$D$5,'ETPT Format DDG'!H:H,"VPCP")+
SUMIFS( INDEX( 'ETPT Format DDG'!$A:$FA,,MATCH("11.5. CSM",'ETPT Format DDG'!2:2,0)),'ETPT Format DDG'!$C:$C,$D$5,'ETPT Format DDG'!H:H,"1VPCP")</f>
        <v>#N/A</v>
      </c>
      <c r="AE7" s="56" t="e">
        <f>SUMIFS( INDEX( 'ETPT Format DDG'!$A:$FA,,MATCH("11.5. CSM",'ETPT Format DDG'!2:2,0)),'ETPT Format DDG'!$C:$C,$D$5,'ETPT Format DDG'!H:H,"JI")+
SUMIFS( INDEX( 'ETPT Format DDG'!$A:$FA,,MATCH("11.5. CSM",'ETPT Format DDG'!2:2,0)),'ETPT Format DDG'!$C:$C,$D$5,'ETPT Format DDG'!H:H,"VPI")+
SUMIFS( INDEX( 'ETPT Format DDG'!$A:$FA,,MATCH("11.5.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DDG'!$A:$FA,,MATCH("11.5. CSM",'ETPT Format DDG'!2:2,0)),'ETPT Format DDG'!$C:$C,$D$5,'ETPT Format DDG'!H:H,"JAP")+
SUMIFS( INDEX( 'ETPT Format DDG'!$A:$FA,,MATCH("11.5. CSM",'ETPT Format DDG'!2:2,0)),'ETPT Format DDG'!$C:$C,$D$5,'ETPT Format DDG'!H:H,"VPAP")+
SUMIFS( INDEX( 'ETPT Format DDG'!$A:$FA,,MATCH("11.5. CSM",'ETPT Format DDG'!2:2,0)),'ETPT Format DDG'!$C:$C,$D$5,'ETPT Format DDG'!H:H,"1VPAP")</f>
        <v>#N/A</v>
      </c>
      <c r="AJ7" s="56" t="e">
        <f>SUMIFS( INDEX( 'ETPT Format DDG'!$A:$FA,,MATCH("11.5. CSM",'ETPT Format DDG'!2:2,0)),'ETPT Format DDG'!$C:$C,$D$5,'ETPT Format DDG'!H:H,"JE")+
SUMIFS( INDEX( 'ETPT Format DDG'!$A:$FA,,MATCH("11.5. CSM",'ETPT Format DDG'!2:2,0)),'ETPT Format DDG'!$C:$C,$D$5,'ETPT Format DDG'!H:H,"VPE")+
SUMIFS( INDEX( 'ETPT Format DDG'!$A:$FA,,MATCH("11.5. CSM",'ETPT Format DDG'!2:2,0)),'ETPT Format DDG'!$C:$C,$D$5,'ETPT Format DDG'!H:H,"1VPE")</f>
        <v>#N/A</v>
      </c>
      <c r="AK7" s="56" t="e">
        <f>SUMIFS( INDEX( 'ETPT Format DDG'!$A:$FA,,MATCH("11.5. CSM",'ETPT Format DDG'!2:2,0)),'ETPT Format DDG'!$C:$C,$D$5,'ETPT Format DDG'!H:H,"VPLD")+
SUMIFS( INDEX( 'ETPT Format DDG'!$A:$FA,,MATCH("11.5.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DDG'!$A:$FA,,MATCH("11.5.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48</v>
      </c>
      <c r="B8" s="64"/>
      <c r="C8" s="64"/>
      <c r="D8" s="65" t="str">
        <f t="shared" si="5"/>
        <v/>
      </c>
      <c r="E8" s="64" t="s">
        <v>62</v>
      </c>
      <c r="F8" s="64" t="s">
        <v>61</v>
      </c>
      <c r="G8" s="69" t="e">
        <f>SUMIFS( INDEX( 'ETPT Format DDG'!$A:$FA,,MATCH("11.51.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DDG'!$A:$FA,,MATCH("11.51.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DDG'!$A:$FA,,MATCH("11.51. ACCUEIL DU JUSTICIABLE (DONT SAUJ)",'ETPT Format DDG'!2:2,0)),'ETPT Format DDG'!$C:$C,$D$5,'ETPT Format DDG'!$FA:$FA,"CONT A JP Autour du Juge")</f>
        <v>#N/A</v>
      </c>
      <c r="Y8" s="68" t="e">
        <f>SUMIFS( INDEX( 'ETPT Format DDG'!$A:$FA,,MATCH("11.51. ACCUEIL DU JUSTICIABLE (DONT SAUJ)",'ETPT Format DDG'!2:2,0)),'ETPT Format DDG'!$C:$C,$D$5,'ETPT Format DDG'!$FA:$FA,"JURISTE AS Parquet")</f>
        <v>#N/A</v>
      </c>
      <c r="Z8" s="68" t="e">
        <f>SUMIFS( INDEX( 'ETPT Format DDG'!$A:$FA,,MATCH("11.51. ACCUEIL DU JUSTICIABLE (DONT SAUJ)",'ETPT Format DDG'!2:2,0)),'ETPT Format DDG'!$C:$C,$D$5,'ETPT Format DDG'!$FA:$FA,"JURISTE AS Pôle social")</f>
        <v>#N/A</v>
      </c>
      <c r="AA8" s="68" t="e">
        <f>SUMIFS( INDEX( 'ETPT Format DDG'!$A:$FA,,MATCH("11.51.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48</v>
      </c>
      <c r="B9" s="64"/>
      <c r="C9" s="64"/>
      <c r="D9" s="65" t="str">
        <f t="shared" si="5"/>
        <v/>
      </c>
      <c r="E9" s="64" t="s">
        <v>60</v>
      </c>
      <c r="F9" s="64" t="s">
        <v>59</v>
      </c>
      <c r="G9" s="69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DDG'!$A:$FA,,MATCH("11.1. SOUTIEN (HORS FORMATIONS SUIVIES)",'ETPT Format DDG'!2:2,0)),'ETPT Format DDG'!$C:$C,$D$5,'ETPT Format DDG'!$FA:$FA,"CONT A JP Autour du Juge")+
SUMIFS( INDEX( 'ETPT Format DDG'!$A:$FA,,MATCH("11.2. FORMATIONS SUIVIES",'ETPT Format DDG'!2:2,0)),'ETPT Format DDG'!$C:$C,$D$5,'ETPT Format DDG'!$FA:$FA,"CONT A JP Autour du Juge")+
SUMIFS( INDEX( 'ETPT Format DDG'!$A:$FA,,MATCH("11.6. AUTRES ACTIVITÉS NON JURIDICTIONNELLES",'ETPT Format DDG'!2:2,0)),'ETPT Format DDG'!$C:$C,$D$5,'ETPT Format DDG'!$FA:$FA,"CONT A JP Autour du Juge")</f>
        <v>#N/A</v>
      </c>
      <c r="Y9" s="68" t="e">
        <f>SUMIFS( INDEX( 'ETPT Format DDG'!$A:$FA,,MATCH("11.1. SOUTIEN (HORS FORMATIONS SUIVIES)",'ETPT Format DDG'!2:2,0)),'ETPT Format DDG'!$C:$C,$D$5,'ETPT Format DDG'!$FA:$FA,"JURISTE AS Parquet")+
SUMIFS( INDEX( 'ETPT Format DDG'!$A:$FA,,MATCH("11.2. FORMATIONS SUIVIES",'ETPT Format DDG'!2:2,0)),'ETPT Format DDG'!$C:$C,$D$5,'ETPT Format DDG'!$FA:$FA,"JURISTE AS Parquet")+
SUMIFS( INDEX( 'ETPT Format DDG'!$A:$FA,,MATCH("11.6. AUTRES ACTIVITÉS NON JURIDICTIONNELLES",'ETPT Format DDG'!2:2,0)),'ETPT Format DDG'!$C:$C,$D$5,'ETPT Format DDG'!$FA:$FA,"JURISTE AS Parquet")</f>
        <v>#N/A</v>
      </c>
      <c r="Z9" s="68" t="e">
        <f>SUMIFS( INDEX( 'ETPT Format DDG'!$A:$FA,,MATCH("11.1. SOUTIEN (HORS FORMATIONS SUIVIES)",'ETPT Format DDG'!2:2,0)),'ETPT Format DDG'!$C:$C,$D$5,'ETPT Format DDG'!$FA:$FA,"JURISTE AS Pôle social")+
SUMIFS( INDEX( 'ETPT Format DDG'!$A:$FA,,MATCH("11.2. FORMATIONS SUIVIES",'ETPT Format DDG'!2:2,0)),'ETPT Format DDG'!$C:$C,$D$5,'ETPT Format DDG'!$FA:$FA,"JURISTE AS Pôle social")+
SUMIFS( INDEX( 'ETPT Format DDG'!$A:$FA,,MATCH("11.6. AUTRES ACTIVITÉS NON JURIDICTIONNELLES",'ETPT Format DDG'!2:2,0)),'ETPT Format DDG'!$C:$C,$D$5,'ETPT Format DDG'!$FA:$FA,"JURISTE AS Pôle social")</f>
        <v>#N/A</v>
      </c>
      <c r="AA9" s="68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DDG'!$A:$FA,,MATCH("11.1. SOUTIEN (HORS FORMATIONS SUIVIES)",'ETPT Format DDG'!2:2,0)),'ETPT Format DDG'!$C:$C,$D$5,'ETPT Format DDG'!$H:$H,"JCP")+
SUMIFS( INDEX( 'ETPT Format DDG'!$A:$FA,,MATCH("11.1. SOUTIEN (HORS FORMATIONS SUIVIES)",'ETPT Format DDG'!2:2,0)),'ETPT Format DDG'!$C:$C,$D$5,'ETPT Format DDG'!$H:$H,"VPCP")+
SUMIFS( INDEX( 'ETPT Format DDG'!$A:$FA,,MATCH("11.1. SOUTIEN (HORS FORMATIONS SUIVIES)",'ETPT Format DDG'!2:2,0)),'ETPT Format DDG'!$C:$C,$D$5,'ETPT Format DDG'!$H:$H,"1VPCP")+
SUMIFS( INDEX( 'ETPT Format DDG'!$A:$FA,,MATCH("11.2. FORMATIONS SUIVIES",'ETPT Format DDG'!2:2,0)),'ETPT Format DDG'!$C:$C,$D$5,'ETPT Format DDG'!$H:$H,"JCP")+
SUMIFS( INDEX( 'ETPT Format DDG'!$A:$FA,,MATCH("11.2. FORMATIONS SUIVIES",'ETPT Format DDG'!2:2,0)),'ETPT Format DDG'!$C:$C,$D$5,'ETPT Format DDG'!$H:$H,"VPCP")+
SUMIFS( INDEX( 'ETPT Format DDG'!$A:$FA,,MATCH("11.2. FORMATIONS SUIVIES",'ETPT Format DDG'!2:2,0)),'ETPT Format DDG'!$C:$C,$D$5,'ETPT Format DDG'!$H:$H,"1VPCP")+
SUMIFS( INDEX( 'ETPT Format DDG'!$A:$FA,,MATCH("11.6. AUTRES ACTIVITÉS NON JURIDICTIONNELLES",'ETPT Format DDG'!2:2,0)),'ETPT Format DDG'!$C:$C,$D$5,'ETPT Format DDG'!$H:$H,"JCP")+
SUMIFS( INDEX( 'ETPT Format DDG'!$A:$FA,,MATCH("11.6. AUTRES ACTIVITÉS NON JURIDICTIONNELLES",'ETPT Format DDG'!2:2,0)),'ETPT Format DDG'!$C:$C,$D$5,'ETPT Format DDG'!$H:$H,"VPCP")+
SUMIFS( INDEX( 'ETPT Format DDG'!$A:$FA,,MATCH("11.6. AUTRES ACTIVITÉS NON JURIDICTIONNELLES",'ETPT Format DDG'!2:2,0)),'ETPT Format DDG'!$C:$C,$D$5,'ETPT Format DDG'!$H:$H,"1VPCP")</f>
        <v>#N/A</v>
      </c>
      <c r="AE9" s="56" t="e">
        <f>SUMIFS( INDEX( 'ETPT Format DDG'!$A:$FA,,MATCH("11.1. SOUTIEN (HORS FORMATIONS SUIVIES)",'ETPT Format DDG'!2:2,0)),'ETPT Format DDG'!$C:$C,$D$5,'ETPT Format DDG'!$H:$H,"JI")+
SUMIFS( INDEX( 'ETPT Format DDG'!$A:$FA,,MATCH("11.1. SOUTIEN (HORS FORMATIONS SUIVIES)",'ETPT Format DDG'!2:2,0)),'ETPT Format DDG'!$C:$C,$D$5,'ETPT Format DDG'!$H:$H,"VPI")+
SUMIFS( INDEX( 'ETPT Format DDG'!$A:$FA,,MATCH("11.1. SOUTIEN (HORS FORMATIONS SUIVIES)",'ETPT Format DDG'!2:2,0)),'ETPT Format DDG'!$C:$C,$D$5,'ETPT Format DDG'!$H:$H,"1VPI")+
SUMIFS( INDEX( 'ETPT Format DDG'!$A:$FA,,MATCH("11.2. FORMATIONS SUIVIES",'ETPT Format DDG'!2:2,0)),'ETPT Format DDG'!$C:$C,$D$5,'ETPT Format DDG'!$H:$H,"JI")+
SUMIFS( INDEX( 'ETPT Format DDG'!$A:$FA,,MATCH("11.2. FORMATIONS SUIVIES",'ETPT Format DDG'!2:2,0)),'ETPT Format DDG'!$C:$C,$D$5,'ETPT Format DDG'!$H:$H,"VPI")+
SUMIFS( INDEX( 'ETPT Format DDG'!$A:$FA,,MATCH("11.2. FORMATIONS SUIVIES",'ETPT Format DDG'!2:2,0)),'ETPT Format DDG'!$C:$C,$D$5,'ETPT Format DDG'!$H:$H,"1VPI")+
SUMIFS( INDEX( 'ETPT Format DDG'!$A:$FA,,MATCH("11.6. AUTRES ACTIVITÉS NON JURIDICTIONNELLES",'ETPT Format DDG'!2:2,0)),'ETPT Format DDG'!$C:$C,$D$5,'ETPT Format DDG'!$H:$H,"JI")+
SUMIFS( INDEX( 'ETPT Format DDG'!$A:$FA,,MATCH("11.6. AUTRES ACTIVITÉS NON JURIDICTIONNELLES",'ETPT Format DDG'!2:2,0)),'ETPT Format DDG'!$C:$C,$D$5,'ETPT Format DDG'!$H:$H,"VPI")+
SUMIFS( INDEX( 'ETPT Format DDG'!$A:$FA,,MATCH("11.6.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DDG'!$A:$FA,,MATCH("11.1. SOUTIEN (HORS FORMATIONS SUIVIES)",'ETPT Format DDG'!2:2,0)),'ETPT Format DDG'!$C:$C,$D$5,'ETPT Format DDG'!H:H,"JAP")+
SUMIFS( INDEX( 'ETPT Format DDG'!$A:$FA,,MATCH("11.1. SOUTIEN (HORS FORMATIONS SUIVIES)",'ETPT Format DDG'!2:2,0)),'ETPT Format DDG'!$C:$C,$D$5,'ETPT Format DDG'!H:H,"VPAP")+
SUMIFS( INDEX( 'ETPT Format DDG'!$A:$FA,,MATCH("11.1. SOUTIEN (HORS FORMATIONS SUIVIES)",'ETPT Format DDG'!2:2,0)),'ETPT Format DDG'!$C:$C,$D$5,'ETPT Format DDG'!H:H,"1VPAP")+
SUMIFS( INDEX( 'ETPT Format DDG'!$A:$FA,,MATCH("11.2. FORMATIONS SUIVIES",'ETPT Format DDG'!2:2,0)),'ETPT Format DDG'!$C:$C,$D$5,'ETPT Format DDG'!H:H,"JAP")+
SUMIFS( INDEX( 'ETPT Format DDG'!$A:$FA,,MATCH("11.2. FORMATIONS SUIVIES",'ETPT Format DDG'!2:2,0)),'ETPT Format DDG'!$C:$C,$D$5,'ETPT Format DDG'!H:H,"VPAP")+
SUMIFS( INDEX( 'ETPT Format DDG'!$A:$FA,,MATCH("11.2. FORMATIONS SUIVIES",'ETPT Format DDG'!2:2,0)),'ETPT Format DDG'!$C:$C,$D$5,'ETPT Format DDG'!H:H,"1VPAP")+
SUMIFS( INDEX( 'ETPT Format DDG'!$A:$FA,,MATCH("11.6. AUTRES ACTIVITÉS NON JURIDICTIONNELLES",'ETPT Format DDG'!2:2,0)),'ETPT Format DDG'!$C:$C,$D$5,'ETPT Format DDG'!H:H,"JAP")+
SUMIFS( INDEX( 'ETPT Format DDG'!$A:$FA,,MATCH("11.6. AUTRES ACTIVITÉS NON JURIDICTIONNELLES",'ETPT Format DDG'!2:2,0)),'ETPT Format DDG'!$C:$C,$D$5,'ETPT Format DDG'!H:H,"VPAP")+
SUMIFS( INDEX( 'ETPT Format DDG'!$A:$FA,,MATCH("11.6. AUTRES ACTIVITÉS NON JURIDICTIONNELLES",'ETPT Format DDG'!2:2,0)),'ETPT Format DDG'!$C:$C,$D$5,'ETPT Format DDG'!H:H,"1VPAP")</f>
        <v>#N/A</v>
      </c>
      <c r="AJ9" s="56" t="e">
        <f>SUMIFS( INDEX( 'ETPT Format DDG'!$A:$FA,,MATCH("11.1. SOUTIEN (HORS FORMATIONS SUIVIES)",'ETPT Format DDG'!2:2,0)),'ETPT Format DDG'!$C:$C,$D$5,'ETPT Format DDG'!H:H,"JE")+
SUMIFS( INDEX( 'ETPT Format DDG'!$A:$FA,,MATCH("11.1. SOUTIEN (HORS FORMATIONS SUIVIES)",'ETPT Format DDG'!2:2,0)),'ETPT Format DDG'!$C:$C,$D$5,'ETPT Format DDG'!H:H,"VPE")+
SUMIFS( INDEX( 'ETPT Format DDG'!$A:$FA,,MATCH("11.1. SOUTIEN (HORS FORMATIONS SUIVIES)",'ETPT Format DDG'!2:2,0)),'ETPT Format DDG'!$C:$C,$D$5,'ETPT Format DDG'!H:H,"1VPE")+
SUMIFS( INDEX( 'ETPT Format DDG'!$A:$FA,,MATCH("11.2. FORMATIONS SUIVIES",'ETPT Format DDG'!2:2,0)),'ETPT Format DDG'!$C:$C,$D$5,'ETPT Format DDG'!H:H,"JE")+
SUMIFS( INDEX( 'ETPT Format DDG'!$A:$FA,,MATCH("11.2. FORMATIONS SUIVIES",'ETPT Format DDG'!2:2,0)),'ETPT Format DDG'!$C:$C,$D$5,'ETPT Format DDG'!H:H,"VPE")+
SUMIFS( INDEX( 'ETPT Format DDG'!$A:$FA,,MATCH("11.2. FORMATIONS SUIVIES",'ETPT Format DDG'!2:2,0)),'ETPT Format DDG'!$C:$C,$D$5,'ETPT Format DDG'!H:H,"1VPE")+
SUMIFS( INDEX( 'ETPT Format DDG'!$A:$FA,,MATCH("11.6. AUTRES ACTIVITÉS NON JURIDICTIONNELLES",'ETPT Format DDG'!2:2,0)),'ETPT Format DDG'!$C:$C,$D$5,'ETPT Format DDG'!H:H,"JE")+
SUMIFS( INDEX( 'ETPT Format DDG'!$A:$FA,,MATCH("11.6. AUTRES ACTIVITÉS NON JURIDICTIONNELLES",'ETPT Format DDG'!2:2,0)),'ETPT Format DDG'!$C:$C,$D$5,'ETPT Format DDG'!H:H,"VPE")+
SUMIFS( INDEX( 'ETPT Format DDG'!$A:$FA,,MATCH("11.6. AUTRES ACTIVITÉS NON JURIDICTIONNELLES",'ETPT Format DDG'!2:2,0)),'ETPT Format DDG'!$C:$C,$D$5,'ETPT Format DDG'!H:H,"1VPE")</f>
        <v>#N/A</v>
      </c>
      <c r="AK9" s="56" t="e">
        <f>SUMIFS( INDEX( 'ETPT Format DDG'!$A:$FA,,MATCH("11.1. SOUTIEN (HORS FORMATIONS SUIVIES)",'ETPT Format DDG'!2:2,0)),'ETPT Format DDG'!$C:$C,$D$5,'ETPT Format DDG'!H:H,"VPLD")+
SUMIFS( INDEX( 'ETPT Format DDG'!$A:$FA,,MATCH("11.1. SOUTIEN (HORS FORMATIONS SUIVIES)",'ETPT Format DDG'!2:2,0)),'ETPT Format DDG'!$C:$C,$D$5,'ETPT Format DDG'!H:H,"1VPLD")+
SUMIFS( INDEX( 'ETPT Format DDG'!$A:$FA,,MATCH("11.2. FORMATIONS SUIVIES",'ETPT Format DDG'!2:2,0)),'ETPT Format DDG'!$C:$C,$D$5,'ETPT Format DDG'!H:H,"VPLD")+
SUMIFS( INDEX( 'ETPT Format DDG'!$A:$FA,,MATCH("11.2. FORMATIONS SUIVIES",'ETPT Format DDG'!2:2,0)),'ETPT Format DDG'!$C:$C,$D$5,'ETPT Format DDG'!H:H,"1VPLD")+
SUMIFS( INDEX( 'ETPT Format DDG'!$A:$FA,,MATCH("11.6. AUTRES ACTIVITÉS NON JURIDICTIONNELLES",'ETPT Format DDG'!2:2,0)),'ETPT Format DDG'!$C:$C,$D$5,'ETPT Format DDG'!H:H,"VPLD")+
SUMIFS( INDEX( 'ETPT Format DDG'!$A:$FA,,MATCH("11.6.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DDG'!$A:$FA,,MATCH("11.1. SOUTIEN (HORS FORMATIONS SUIVIES)",'ETPT Format DDG'!2:2,0)),'ETPT Format DDG'!$C:$C,$D$5,'ETPT Format DDG'!$FA:$FA,"Magistrat SIEGE NS")+
SUMIFS( INDEX( 'ETPT Format DDG'!$A:$FA,,MATCH("11.2. FORMATIONS SUIVIES",'ETPT Format DDG'!2:2,0)),'ETPT Format DDG'!$C:$C,$D$5,'ETPT Format DDG'!$FA:$FA,"Magistrat SIEGE NS")+
SUMIFS( INDEX( 'ETPT Format DDG'!$A:$FA,,MATCH("11.6.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48</v>
      </c>
      <c r="B10" s="64"/>
      <c r="C10" s="64"/>
      <c r="D10" s="65" t="str">
        <f t="shared" si="5"/>
        <v/>
      </c>
      <c r="E10" s="64" t="s">
        <v>58</v>
      </c>
      <c r="F10" s="64" t="s">
        <v>57</v>
      </c>
      <c r="G10" s="69" t="e">
        <f>SUMIFS( INDEX( 'ETPT Format DDG'!$A:$FA,,MATCH("11.3.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DDG'!$A:$FA,,MATCH("11.3.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DDG'!$A:$FA,,MATCH("11.3. FORMATIONS DISPENSÉES",'ETPT Format DDG'!2:2,0)),'ETPT Format DDG'!$C:$C,$D$5,'ETPT Format DDG'!$FA:$FA,"CONT A JP Autour du Juge")</f>
        <v>#N/A</v>
      </c>
      <c r="Y10" s="68" t="e">
        <f>SUMIFS( INDEX( 'ETPT Format DDG'!$A:$FA,,MATCH("11.3. FORMATIONS DISPENSÉES",'ETPT Format DDG'!2:2,0)),'ETPT Format DDG'!$C:$C,$D$5,'ETPT Format DDG'!$FA:$FA,"JURISTE AS Parquet")</f>
        <v>#N/A</v>
      </c>
      <c r="Z10" s="68" t="e">
        <f>SUMIFS( INDEX( 'ETPT Format DDG'!$A:$FA,,MATCH("11.3. FORMATIONS DISPENSÉES",'ETPT Format DDG'!2:2,0)),'ETPT Format DDG'!$C:$C,$D$5,'ETPT Format DDG'!$FA:$FA,"JURISTE AS Pôle social")</f>
        <v>#N/A</v>
      </c>
      <c r="AA10" s="68" t="e">
        <f>SUMIFS( INDEX( 'ETPT Format DDG'!$A:$FA,,MATCH("11.3.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DDG'!$A:$FA,,MATCH("11.3. FORMATIONS DISPENSÉES",'ETPT Format DDG'!2:2,0)),'ETPT Format DDG'!$C:$C,$D$5,'ETPT Format DDG'!$H:$H,"JCP")+
SUMIFS( INDEX( 'ETPT Format DDG'!$A:$FA,,MATCH("11.3. FORMATIONS DISPENSÉES",'ETPT Format DDG'!2:2,0)),'ETPT Format DDG'!$C:$C,$D$5,'ETPT Format DDG'!$H:$H,"VPCP")+
SUMIFS( INDEX( 'ETPT Format DDG'!$A:$FA,,MATCH("11.3. FORMATIONS DISPENSÉES",'ETPT Format DDG'!2:2,0)),'ETPT Format DDG'!$C:$C,$D$5,'ETPT Format DDG'!$H:$H,"1VPCP")</f>
        <v>#N/A</v>
      </c>
      <c r="AE10" s="56" t="e">
        <f>SUMIFS( INDEX( 'ETPT Format DDG'!$A:$FA,,MATCH("11.3. FORMATIONS DISPENSÉES",'ETPT Format DDG'!2:2,0)),'ETPT Format DDG'!$C:$C,$D$5,'ETPT Format DDG'!$H:$H,"JI")+
SUMIFS( INDEX( 'ETPT Format DDG'!$A:$FA,,MATCH("11.3. FORMATIONS DISPENSÉES",'ETPT Format DDG'!2:2,0)),'ETPT Format DDG'!$C:$C,$D$5,'ETPT Format DDG'!$H:$H,"VPI")+
SUMIFS( INDEX( 'ETPT Format DDG'!$A:$FA,,MATCH("11.3.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DDG'!$A:$FA,,MATCH("11.3. FORMATIONS DISPENSÉES",'ETPT Format DDG'!2:2,0)),'ETPT Format DDG'!$C:$C,$D$5,'ETPT Format DDG'!$H:$H,"JAP")+
SUMIFS( INDEX( 'ETPT Format DDG'!$A:$FA,,MATCH("11.3. FORMATIONS DISPENSÉES",'ETPT Format DDG'!2:2,0)),'ETPT Format DDG'!$C:$C,$D$5,'ETPT Format DDG'!$H:$H,"VPAP")+
SUMIFS( INDEX( 'ETPT Format DDG'!$A:$FA,,MATCH("11.3. FORMATIONS DISPENSÉES",'ETPT Format DDG'!2:2,0)),'ETPT Format DDG'!$C:$C,$D$5,'ETPT Format DDG'!$H:$H,"1VPAP")</f>
        <v>#N/A</v>
      </c>
      <c r="AJ10" s="56" t="e">
        <f>SUMIFS( INDEX( 'ETPT Format DDG'!$A:$FA,,MATCH("11.3. FORMATIONS DISPENSÉES",'ETPT Format DDG'!2:2,0)),'ETPT Format DDG'!$C:$C,$D$5,'ETPT Format DDG'!$H:$H,"JE")+
SUMIFS( INDEX( 'ETPT Format DDG'!$A:$FA,,MATCH("11.3. FORMATIONS DISPENSÉES",'ETPT Format DDG'!2:2,0)),'ETPT Format DDG'!$C:$C,$D$5,'ETPT Format DDG'!$H:$H,"VPE")+
SUMIFS( INDEX( 'ETPT Format DDG'!$A:$FA,,MATCH("11.3. FORMATIONS DISPENSÉES",'ETPT Format DDG'!2:2,0)),'ETPT Format DDG'!$C:$C,$D$5,'ETPT Format DDG'!$H:$H,"1VPE")</f>
        <v>#N/A</v>
      </c>
      <c r="AK10" s="56" t="e">
        <f>SUMIFS( INDEX( 'ETPT Format DDG'!$A:$FA,,MATCH("11.3. FORMATIONS DISPENSÉES",'ETPT Format DDG'!2:2,0)),'ETPT Format DDG'!$C:$C,$D$5,'ETPT Format DDG'!$H:$H,"VPLD")+
SUMIFS( INDEX( 'ETPT Format DDG'!$A:$FA,,MATCH("11.3.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DDG'!$A:$FA,,MATCH("11.3.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48</v>
      </c>
      <c r="B11" s="64"/>
      <c r="C11" s="64"/>
      <c r="D11" s="65" t="str">
        <f t="shared" si="5"/>
        <v/>
      </c>
      <c r="E11" s="64" t="s">
        <v>56</v>
      </c>
      <c r="F11" s="64" t="s">
        <v>55</v>
      </c>
      <c r="G11" s="69" t="e">
        <f>SUMIFS( INDEX( 'ETPT Format DDG'!$A:$FA,,MATCH("11.4.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DDG'!$A:$FA,,MATCH("11.4.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DDG'!$A:$FA,,MATCH("11.4. ACCÈS AU DROIT ET À LA JUSTICE",'ETPT Format DDG'!2:2,0)),'ETPT Format DDG'!$C:$C,$D$5,'ETPT Format DDG'!$FA:$FA,"CONT A JP Autour du Juge")</f>
        <v>#N/A</v>
      </c>
      <c r="Y11" s="68" t="e">
        <f>SUMIFS( INDEX( 'ETPT Format DDG'!$A:$FA,,MATCH("11.4. ACCÈS AU DROIT ET À LA JUSTICE",'ETPT Format DDG'!2:2,0)),'ETPT Format DDG'!$C:$C,$D$5,'ETPT Format DDG'!$FA:$FA,"JURISTE AS Parquet")</f>
        <v>#N/A</v>
      </c>
      <c r="Z11" s="68" t="e">
        <f>SUMIFS( INDEX( 'ETPT Format DDG'!$A:$FA,,MATCH("11.4. ACCÈS AU DROIT ET À LA JUSTICE",'ETPT Format DDG'!2:2,0)),'ETPT Format DDG'!$C:$C,$D$5,'ETPT Format DDG'!$FA:$FA,"JURISTE AS Pôle social")</f>
        <v>#N/A</v>
      </c>
      <c r="AA11" s="68" t="e">
        <f>SUMIFS( INDEX( 'ETPT Format DDG'!$A:$FA,,MATCH("11.4.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DDG'!$A:$FA,,MATCH("11.4. ACCÈS AU DROIT ET À LA JUSTICE",'ETPT Format DDG'!2:2,0)),'ETPT Format DDG'!$C:$C,$D$5,'ETPT Format DDG'!$H:$H,"JCP")+
SUMIFS( INDEX( 'ETPT Format DDG'!$A:$FA,,MATCH("11.4. ACCÈS AU DROIT ET À LA JUSTICE",'ETPT Format DDG'!2:2,0)),'ETPT Format DDG'!$C:$C,$D$5,'ETPT Format DDG'!$H:$H,"VPCP")+
SUMIFS( INDEX( 'ETPT Format DDG'!$A:$FA,,MATCH("11.4. ACCÈS AU DROIT ET À LA JUSTICE",'ETPT Format DDG'!2:2,0)),'ETPT Format DDG'!$C:$C,$D$5,'ETPT Format DDG'!$H:$H,"1VPCP")</f>
        <v>#N/A</v>
      </c>
      <c r="AE11" s="56" t="e">
        <f>SUMIFS( INDEX( 'ETPT Format DDG'!$A:$FA,,MATCH("11.4. ACCÈS AU DROIT ET À LA JUSTICE",'ETPT Format DDG'!2:2,0)),'ETPT Format DDG'!$C:$C,$D$5,'ETPT Format DDG'!$H:$H,"JI")+
SUMIFS( INDEX( 'ETPT Format DDG'!$A:$FA,,MATCH("11.4. ACCÈS AU DROIT ET À LA JUSTICE",'ETPT Format DDG'!2:2,0)),'ETPT Format DDG'!$C:$C,$D$5,'ETPT Format DDG'!$H:$H,"VPI")+
SUMIFS( INDEX( 'ETPT Format DDG'!$A:$FA,,MATCH("11.4.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DDG'!$A:$FA,,MATCH("11.4. ACCÈS AU DROIT ET À LA JUSTICE",'ETPT Format DDG'!2:2,0)),'ETPT Format DDG'!$C:$C,$D$5,'ETPT Format DDG'!$H:$H,"JAP")+
SUMIFS( INDEX( 'ETPT Format DDG'!$A:$FA,,MATCH("11.4. ACCÈS AU DROIT ET À LA JUSTICE",'ETPT Format DDG'!2:2,0)),'ETPT Format DDG'!$C:$C,$D$5,'ETPT Format DDG'!$H:$H,"VPAP")+
SUMIFS( INDEX( 'ETPT Format DDG'!$A:$FA,,MATCH("11.4. ACCÈS AU DROIT ET À LA JUSTICE",'ETPT Format DDG'!2:2,0)),'ETPT Format DDG'!$C:$C,$D$5,'ETPT Format DDG'!$H:$H,"1VPAP")</f>
        <v>#N/A</v>
      </c>
      <c r="AJ11" s="56" t="e">
        <f>SUMIFS( INDEX( 'ETPT Format DDG'!$A:$FA,,MATCH("11.4. ACCÈS AU DROIT ET À LA JUSTICE",'ETPT Format DDG'!2:2,0)),'ETPT Format DDG'!$C:$C,$D$5,'ETPT Format DDG'!$H:$H,"JE")+
SUMIFS( INDEX( 'ETPT Format DDG'!$A:$FA,,MATCH("11.4. ACCÈS AU DROIT ET À LA JUSTICE",'ETPT Format DDG'!2:2,0)),'ETPT Format DDG'!$C:$C,$D$5,'ETPT Format DDG'!$H:$H,"VPE")+
SUMIFS( INDEX( 'ETPT Format DDG'!$A:$FA,,MATCH("11.4. ACCÈS AU DROIT ET À LA JUSTICE",'ETPT Format DDG'!2:2,0)),'ETPT Format DDG'!$C:$C,$D$5,'ETPT Format DDG'!$H:$H,"1VPE")</f>
        <v>#N/A</v>
      </c>
      <c r="AK11" s="56" t="e">
        <f>SUMIFS( INDEX( 'ETPT Format DDG'!$A:$FA,,MATCH("11.4. ACCÈS AU DROIT ET À LA JUSTICE",'ETPT Format DDG'!2:2,0)),'ETPT Format DDG'!$C:$C,$D$5,'ETPT Format DDG'!$H:$H,"VPLD")+
SUMIFS( INDEX( 'ETPT Format DDG'!$A:$FA,,MATCH("11.4.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DDG'!$A:$FA,,MATCH("11.4.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48</v>
      </c>
      <c r="B12" s="64"/>
      <c r="C12" s="64"/>
      <c r="D12" s="65" t="str">
        <f t="shared" si="5"/>
        <v/>
      </c>
      <c r="E12" s="64" t="s">
        <v>54</v>
      </c>
      <c r="F12" s="64" t="s">
        <v>53</v>
      </c>
      <c r="G12" s="69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DDG'!$A:$FA,,MATCH("12. TOTAL des INDISPONIBILITÉS relevant de l'action 99",'ETPT Format DDG'!2:2,0)),'ETPT Format DDG'!$C:$C,$D$5,'ETPT Format DDG'!$FA:$FA,"CONT A JP Autour du Juge")-
SUMIFS( INDEX( 'ETPT Format DDG'!$A:$FA,,MATCH("12.5. MISE À DISPOSITION",'ETPT Format DDG'!2:2,0)),'ETPT Format DDG'!$C:$C,$D$5,'ETPT Format DDG'!$FA:$FA,"CONT A JP Autour du Juge")</f>
        <v>#N/A</v>
      </c>
      <c r="Y12" s="68" t="e">
        <f>SUMIFS( INDEX( 'ETPT Format DDG'!$A:$FA,,MATCH("12. TOTAL des INDISPONIBILITÉS relevant de l'action 99",'ETPT Format DDG'!2:2,0)),'ETPT Format DDG'!$C:$C,$D$5,'ETPT Format DDG'!$FA:$FA,"JURISTE AS Parquet")-
SUMIFS( INDEX( 'ETPT Format DDG'!$A:$FA,,MATCH("12.5. MISE À DISPOSITION",'ETPT Format DDG'!2:2,0)),'ETPT Format DDG'!$C:$C,$D$5,'ETPT Format DDG'!$FA:$FA,"JURISTE AS Parquet")</f>
        <v>#N/A</v>
      </c>
      <c r="Z12" s="68" t="e">
        <f>SUMIFS( INDEX( 'ETPT Format DDG'!$A:$FA,,MATCH("12. TOTAL des INDISPONIBILITÉS relevant de l'action 99",'ETPT Format DDG'!2:2,0)),'ETPT Format DDG'!$C:$C,$D$5,'ETPT Format DDG'!$FA:$FA,"JURISTE AS Pôle social")-
SUMIFS( INDEX( 'ETPT Format DDG'!$A:$FA,,MATCH("12.5. MISE À DISPOSITION",'ETPT Format DDG'!2:2,0)),'ETPT Format DDG'!$C:$C,$D$5,'ETPT Format DDG'!$FA:$FA,"JURISTE AS Pôle social")</f>
        <v>#N/A</v>
      </c>
      <c r="AA12" s="68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DDG'!$A:$FA,,MATCH("12. TOTAL des INDISPONIBILITÉS relevant de l'action 99",'ETPT Format DDG'!2:2,0)),'ETPT Format DDG'!$C:$C,$D$5,'ETPT Format DDG'!$H:$H,"JCP")+
SUMIFS( INDEX( 'ETPT Format DDG'!$A:$FA,,MATCH("12. TOTAL des INDISPONIBILITÉS relevant de l'action 99",'ETPT Format DDG'!2:2,0)),'ETPT Format DDG'!$C:$C,$D$5,'ETPT Format DDG'!$H:$H,"VPCP")+
SUMIFS( INDEX( 'ETPT Format DDG'!$A:$FA,,MATCH("12. TOTAL des INDISPONIBILITÉS relevant de l'action 99",'ETPT Format DDG'!2:2,0)),'ETPT Format DDG'!$C:$C,$D$5,'ETPT Format DDG'!$H:$H,"1VPCP")-
(SUMIFS(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DDG'!$H:$H,"1VPCP"))</f>
        <v>#N/A</v>
      </c>
      <c r="AE12" s="56" t="e">
        <f>SUMIFS( INDEX( 'ETPT Format DDG'!$A:$FA,,MATCH("12. TOTAL des INDISPONIBILITÉS relevant de l'action 99",'ETPT Format DDG'!2:2,0)),'ETPT Format DDG'!$C:$C,$D$5,'ETPT Format DDG'!$H:$H,"JI")+
SUMIFS( INDEX( 'ETPT Format DDG'!$A:$FA,,MATCH("12. TOTAL des INDISPONIBILITÉS relevant de l'action 99",'ETPT Format DDG'!2:2,0)),'ETPT Format DDG'!$C:$C,$D$5,'ETPT Format DDG'!$H:$H,"VPI")+
SUMIFS( INDEX( 'ETPT Format DDG'!$A:$FA,,MATCH("12. TOTAL des INDISPONIBILITÉS relevant de l'action 99",'ETPT Format DDG'!2:2,0)),'ETPT Format DDG'!$C:$C,$D$5,'ETPT Format DDG'!$H:$H,"1VPI")-
(SUMIFS(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DDG'!$H:$H,"1VPI"))</f>
        <v>#N/A</v>
      </c>
      <c r="AF12" s="66"/>
      <c r="AG12" s="66"/>
      <c r="AH12" s="66"/>
      <c r="AI12" s="56" t="e">
        <f>SUMIFS( INDEX( 'ETPT Format DDG'!$A:$FA,,MATCH("12. TOTAL des INDISPONIBILITÉS relevant de l'action 99",'ETPT Format DDG'!2:2,0)),'ETPT Format DDG'!$C:$C,$D$5,'ETPT Format DDG'!$H:$H,"JAP")+
SUMIFS( INDEX( 'ETPT Format DDG'!$A:$FA,,MATCH("12. TOTAL des INDISPONIBILITÉS relevant de l'action 99",'ETPT Format DDG'!2:2,0)),'ETPT Format DDG'!$C:$C,$D$5,'ETPT Format DDG'!$H:$H,"VPAP")+
SUMIFS( INDEX( 'ETPT Format DDG'!$A:$FA,,MATCH("12. TOTAL des INDISPONIBILITÉS relevant de l'action 99",'ETPT Format DDG'!2:2,0)),'ETPT Format DDG'!$C:$C,$D$5,'ETPT Format DDG'!$H:$H,"1VPAP")-
(SUMIFS(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DDG'!$H:$H,"1VPAP"))</f>
        <v>#N/A</v>
      </c>
      <c r="AJ12" s="56" t="e">
        <f>SUMIFS( INDEX( 'ETPT Format DDG'!$A:$FA,,MATCH("12. TOTAL des INDISPONIBILITÉS relevant de l'action 99",'ETPT Format DDG'!2:2,0)),'ETPT Format DDG'!$C:$C,$D$5,'ETPT Format DDG'!$H:$H,"JE")+
SUMIFS( INDEX( 'ETPT Format DDG'!$A:$FA,,MATCH("12. TOTAL des INDISPONIBILITÉS relevant de l'action 99",'ETPT Format DDG'!2:2,0)),'ETPT Format DDG'!$C:$C,$D$5,'ETPT Format DDG'!$H:$H,"VPE")+
SUMIFS( INDEX( 'ETPT Format DDG'!$A:$FA,,MATCH("12. TOTAL des INDISPONIBILITÉS relevant de l'action 99",'ETPT Format DDG'!2:2,0)),'ETPT Format DDG'!$C:$C,$D$5,'ETPT Format DDG'!$H:$H,"1VPE")-
(SUMIFS(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DDG'!$H:$H,"1VPE"))</f>
        <v>#N/A</v>
      </c>
      <c r="AK12" s="56" t="e">
        <f>SUMIFS( INDEX( 'ETPT Format DDG'!$A:$FA,,MATCH("12. TOTAL des INDISPONIBILITÉS relevant de l'action 99",'ETPT Format DDG'!2:2,0)),'ETPT Format DDG'!$C:$C,$D$5,'ETPT Format DDG'!$H:$H,"VPLD")+
SUMIFS( INDEX( 'ETPT Format DDG'!$A:$FA,,MATCH("12. TOTAL des INDISPONIBILITÉS relevant de l'action 99",'ETPT Format DDG'!2:2,0)),'ETPT Format DDG'!$C:$C,$D$5,'ETPT Format DDG'!$H:$H,"1VPLD")-
(SUMIFS(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DDG'!$A:$FA,,MATCH("12. TOTAL des INDISPONIBILITÉS relevant de l'action 99",'ETPT Format DDG'!2:2,0)),'ETPT Format DDG'!$C:$C,$D$5,'ETPT Format DDG'!$FA:$FA,"Magistrat SIEGE NS")-
SUMIFS( INDEX( 'ETPT Format DDG'!$A:$FA,,MATCH("12.5. MISE À DISPOSITION",'ETPT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48</v>
      </c>
      <c r="B13" s="64"/>
      <c r="C13" s="64"/>
      <c r="D13" s="65" t="str">
        <f t="shared" si="5"/>
        <v/>
      </c>
      <c r="E13" s="64" t="s">
        <v>52</v>
      </c>
      <c r="F13" s="64" t="s">
        <v>51</v>
      </c>
      <c r="G13" s="63" t="e">
        <f>SUMIFS( INDEX( 'ETPT Format DDG'!$A:$FA,,MATCH("12.5.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DDG'!$A:$FA,,MATCH("12.5.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DDG'!$A:$FA,,MATCH("12.5. MISE À DISPOSITION",'ETPT Format DDG'!2:2,0)),'ETPT Format DDG'!$C:$C,$D$5,'ETPT Format DDG'!$FA:$FA,"CONT A JP Autour du Juge")</f>
        <v>#N/A</v>
      </c>
      <c r="Y13" s="67" t="e">
        <f>SUMIFS( INDEX( 'ETPT Format DDG'!$A:$FA,,MATCH("12.5. MISE À DISPOSITION",'ETPT Format DDG'!2:2,0)),'ETPT Format DDG'!$C:$C,$D$5,'ETPT Format DDG'!$FA:$FA,"JURISTE AS Parquet")</f>
        <v>#N/A</v>
      </c>
      <c r="Z13" s="67" t="e">
        <f>SUMIFS( INDEX( 'ETPT Format DDG'!$A:$FA,,MATCH("12.5. MISE À DISPOSITION",'ETPT Format DDG'!2:2,0)),'ETPT Format DDG'!$C:$C,$D$5,'ETPT Format DDG'!$FA:$FA,"JURISTE AS Pôle social")</f>
        <v>#N/A</v>
      </c>
      <c r="AA13" s="67" t="e">
        <f>SUMIFS( INDEX( 'ETPT Format DDG'!$A:$FA,,MATCH("12.5.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DDG'!$A:$FA,,MATCH("12.5. MISE À DISPOSITION",'ETPT Format DDG'!2:2,0)),'ETPT Format DDG'!$C:$C,$D$5,'ETPT Format DDG'!$H:$H,"JCP")+
SUMIFS( INDEX( 'ETPT Format DDG'!$A:$FA,,MATCH("12.5. MISE À DISPOSITION",'ETPT Format DDG'!2:2,0)),'ETPT Format DDG'!$C:$C,$D$5,'ETPT Format DDG'!$H:$H,"VPCP")+
SUMIFS( INDEX( 'ETPT Format DDG'!$A:$FA,,MATCH("12.5. MISE À DISPOSITION",'ETPT Format DDG'!2:2,0)),'ETPT Format DDG'!$C:$C,$D$5,'ETPT Format DDG'!$H:$H,"1VPCP")</f>
        <v>#N/A</v>
      </c>
      <c r="AE13" s="303" t="e">
        <f>SUMIFS( INDEX( 'ETPT Format DDG'!$A:$FA,,MATCH("12.5. MISE À DISPOSITION",'ETPT Format DDG'!2:2,0)),'ETPT Format DDG'!$C:$C,$D$5,'ETPT Format DDG'!$H:$H,"JI")+
SUMIFS( INDEX( 'ETPT Format DDG'!$A:$FA,,MATCH("12.5. MISE À DISPOSITION",'ETPT Format DDG'!2:2,0)),'ETPT Format DDG'!$C:$C,$D$5,'ETPT Format DDG'!$H:$H,"VPI")+
SUMIFS( INDEX( 'ETPT Format DDG'!$A:$FA,,MATCH("12.5.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DDG'!$A:$FA,,MATCH("12.5. MISE À DISPOSITION",'ETPT Format DDG'!2:2,0)),'ETPT Format DDG'!$C:$C,$D$5,'ETPT Format DDG'!$H:$H,"JAP")+
SUMIFS( INDEX( 'ETPT Format DDG'!$A:$FA,,MATCH("12.5. MISE À DISPOSITION",'ETPT Format DDG'!2:2,0)),'ETPT Format DDG'!$C:$C,$D$5,'ETPT Format DDG'!$H:$H,"VPAP")+
SUMIFS( INDEX( 'ETPT Format DDG'!$A:$FA,,MATCH("12.5. MISE À DISPOSITION",'ETPT Format DDG'!2:2,0)),'ETPT Format DDG'!$C:$C,$D$5,'ETPT Format DDG'!$H:$H,"1VPAP")</f>
        <v>#N/A</v>
      </c>
      <c r="AJ13" s="303" t="e">
        <f>SUMIFS( INDEX( 'ETPT Format DDG'!$A:$FA,,MATCH("12.5. MISE À DISPOSITION",'ETPT Format DDG'!2:2,0)),'ETPT Format DDG'!$C:$C,$D$5,'ETPT Format DDG'!$H:$H,"JE")+
SUMIFS( INDEX( 'ETPT Format DDG'!$A:$FA,,MATCH("12.5. MISE À DISPOSITION",'ETPT Format DDG'!2:2,0)),'ETPT Format DDG'!$C:$C,$D$5,'ETPT Format DDG'!$H:$H,"VPE")+
SUMIFS( INDEX( 'ETPT Format DDG'!$A:$FA,,MATCH("12.5. MISE À DISPOSITION",'ETPT Format DDG'!2:2,0)),'ETPT Format DDG'!$C:$C,$D$5,'ETPT Format DDG'!$H:$H,"1VPE")</f>
        <v>#N/A</v>
      </c>
      <c r="AK13" s="303" t="e">
        <f>SUMIFS( INDEX( 'ETPT Format DDG'!$A:$FA,,MATCH("12.5. MISE À DISPOSITION",'ETPT Format DDG'!2:2,0)),'ETPT Format DDG'!$C:$C,$D$5,'ETPT Format DDG'!$H:$H,"VPLD")+
SUMIFS( INDEX( 'ETPT Format DDG'!$A:$FA,,MATCH("12.5.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DDG'!$A:$FA,,MATCH("12.5. MISE À DISPOSITION",'ETPT Format DDG'!2:2,0)),'ETPT Format DDG'!$C:$C,$D$5,'ETPT Format DDG'!$FA:$FA,"Magistrat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48</v>
      </c>
      <c r="B14" s="64"/>
      <c r="C14" s="64"/>
      <c r="D14" s="65" t="str">
        <f t="shared" si="5"/>
        <v/>
      </c>
      <c r="E14" s="64" t="s">
        <v>50</v>
      </c>
      <c r="F14" s="64" t="s">
        <v>49</v>
      </c>
      <c r="G14" s="63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62" t="e">
        <f t="shared" si="0"/>
        <v>#N/A</v>
      </c>
      <c r="I14" s="61" t="e">
        <f>SUMIFS( INDEX( 'ETPT Format DDG'!$A:$FA,,MATCH("11.8.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DDG'!$A:$FA,,MATCH("11.9.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DDG'!$A:$FA,,MATCH("7.5. COUR D'ASSISES HORS JIRS",'ETPT Format DDG'!2:2,0)),'ETPT Format DDG'!$C:$C,$D$5,'ETPT Format DDG'!$FA:$FA,"Fonctionnaire A-B-CBUR placé ADD")+
SUMIFS( INDEX( 'ETPT Format DDG'!$A:$FA,,MATCH("7.51. COUR D'ASSISES JIRS",'ETPT Format DDG'!2:2,0)),'ETPT Format DDG'!$C:$C,$D$5,'ETPT Format DDG'!$FA:$FA,"Fonctionnaire A-B-CBUR placé ADD")</f>
        <v>#N/A</v>
      </c>
      <c r="L14" s="61" t="e">
        <f>SUMIFS( INDEX( 'ETPT Format DDG'!$A:$FA,,MATCH("7.52. COUR CRIMINELLE",'ETPT Format DDG'!2:2,0)),'ETPT Format DDG'!$C:$C,$D$5,'ETPT Format DDG'!$FA:$FA,"Fonctionnaire A-B-CBUR placé ADD")</f>
        <v>#N/A</v>
      </c>
      <c r="M14" s="61" t="e">
        <f>SUMIFS( INDEX( 'ETPT Format DDG'!$A:$FA,,MATCH("8.2. JIRS ÉCO-FI",'ETPT Format DDG'!2:2,0)),'ETPT Format DDG'!$C:$C,$D$5,'ETPT Format DDG'!$FA:$FA,"Fonctionnaire A-B-CBUR placé ADD")</f>
        <v>#N/A</v>
      </c>
      <c r="N14" s="61" t="e">
        <f>SUMIFS( INDEX( 'ETPT Format DDG'!$A:$FA,,MATCH("8.3. JIRS CRIM-ORG",'ETPT Format DDG'!2:2,0)),'ETPT Format DDG'!$C:$C,$D$5,'ETPT Format DDG'!$FA:$FA,"Fonctionnaire A-B-CBUR placé ADD")</f>
        <v>#N/A</v>
      </c>
      <c r="O14" s="61" t="e">
        <f>SUMIFS( INDEX( 'ETPT Format DDG'!$A:$FA,,MATCH("8.4. AUTRES SECTIONS SPÉCIALISÉES",'ETPT Format DDG'!2:2,0)),'ETPT Format DDG'!$C:$C,$D$5,'ETPT Format DDG'!$FA:$FA,"Fonctionnaire A-B-CBUR placé ADD")</f>
        <v>#N/A</v>
      </c>
      <c r="P14" s="61" t="e">
        <f>SUMIFS( INDEX( 'ETPT Format DDG'!$A:$FA,,MATCH("3.2. PROTECTION DES MAJEURS",'ETPT Format DDG'!2:2,0)),'ETPT Format DDG'!$C:$C,$D$5,'ETPT Format DDG'!$FA:$FA,"Fonctionnaire A-B-CBUR placé ADD")</f>
        <v>#N/A</v>
      </c>
      <c r="Q14" s="61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R14" s="61" t="e">
        <f>SUMIFS( INDEX( 'ETPT Format DDG'!$A:$FA,,MATCH("5. TOTAL JLD CIVIL",'ETPT Format DDG'!2:2,0)),'ETPT Format DDG'!$C:$C,$D$5,'ETPT Format DDG'!$FA:$FA,"Fonctionnaire A-B-CBUR placé ADD")+
SUMIFS( INDEX( 'ETPT Format DDG'!$A:$FA,,MATCH("6.1. ACTIVITÉ CIVILE",'ETPT Format DDG'!2:2,0)),'ETPT Format DDG'!$C:$C,$D$5,'ETPT Format DDG'!$FA:$FA,"Fonctionnaire A-B-CBUR placé ADD")+
SUMIFS( INDEX( 'ETPT Format DDG'!$A:$FA,,MATCH("6.2. ACTIVITÉ PÉNALE",'ETPT Format DDG'!2:2,0)),'ETPT Format DDG'!$C:$C,$D$5,'ETPT Format DDG'!$FA:$FA,"Fonctionnaire A-B-CBUR placé ADD")+
(SUMIFS( INDEX( 'ETPT Format DDG'!$A:$FA,,MATCH("8. TOTAL JUGES D'INSTRUCTION",'ETPT Format DDG'!2:2,0)),'ETPT Format DDG'!$C:$C,$D$5,'ETPT Format DDG'!$FA:$FA,"Fonctionnaire A-B-CBUR placé ADD")-
SUMIFS( INDEX( 'ETPT Format DDG'!$A:$FA,,MATCH("8.2. JIRS ÉCO-FI",'ETPT Format DDG'!2:2,0)),'ETPT Format DDG'!$C:$C,$D$5,'ETPT Format DDG'!$FA:$FA,"Fonctionnaire A-B-CBUR placé ADD")-
SUMIFS( INDEX( 'ETPT Format DDG'!$A:$FA,,MATCH("8.3. JIRS CRIM-ORG",'ETPT Format DDG'!2:2,0)),'ETPT Format DDG'!$C:$C,$D$5,'ETPT Format DDG'!$FA:$FA,"Fonctionnaire A-B-CBUR placé ADD")-
SUMIFS( INDEX( 'ETPT Format DDG'!$A:$FA,,MATCH("8.4. AUTRES SECTIONS SPÉCIALISÉES",'ETPT Format DDG'!2:2,0)),'ETPT Format DDG'!$C:$C,$D$5,'ETPT Format DDG'!$FA:$FA,"Fonctionnaire A-B-CBUR placé ADD"))+
SUMIFS( INDEX( 'ETPT Format DDG'!$A:$FA,,MATCH("9. TOTAL JAP",'ETPT Format DDG'!2:2,0)),'ETPT Format DDG'!$C:$C,$D$5,'ETPT Format DDG'!$FA:$FA,"Fonctionnaire A-B-CBUR placé ADD")+
SUMIFS( INDEX( 'ETPT Format DDG'!$A:$FA,,MATCH("10. TOTAL JLD PÉNAL",'ETPT Format DDG'!2:2,0)),'ETPT Format DDG'!$C:$C,$D$5,'ETPT Format DDG'!$FA:$FA,"Fonctionnaire A-B-CBUR placé ADD")</f>
        <v>#N/A</v>
      </c>
      <c r="S14" s="61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T14" s="61" t="e">
        <f>SUMIFS( INDEX( 'ETPT Format DDG'!$A:$FA,,MATCH("4.0.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DDG'!$A:$FA,,MATCH("1. TOTAL CONTENTIEUX SOCIAL",'ETPT Format DDG'!2:2,0)),'ETPT Format DDG'!$C:$C,$D$5,'ETPT Format DDG'!$FA:$FA,"Fonctionnaire A-B-CBUR placé ADD")</f>
        <v>#N/A</v>
      </c>
      <c r="V14" s="166" t="e">
        <f>SUMIFS( INDEX( 'ETPT Format DDG'!$A:$FA,,MATCH("ETPT sur la période hors indisponibilités",'ETPT Format DDG'!2:2,0)),'ETPT Format DDG'!$C:$C,$D$5,'ETPT Format DDG'!$FA:$FA,"Fonctionnaire A-B-CBUR placé ADD")-
SUM(I14:U14)-SUMIFS( INDEX( 'ETPT Format DDG'!$A:$FA,,MATCH("11.7.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DDG'!$A:$FA,,MATCH("3.2. PROTECTION DES MAJEURS",'ETPT Format DDG'!2:2,0)),'ETPT Format DDG'!$C:$C,$D$5,'ETPT Format DDG'!$FA:$FA,"Magistrat placé ADD")</f>
        <v>#N/A</v>
      </c>
      <c r="AD14" s="56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AE14" s="165" t="e">
        <f>SUMIFS( INDEX( 'ETPT Format DDG'!$A:$FA,,MATCH("8.1. SERVICE GÉNÉRAL",'ETPT Format DDG'!2:2,0)),'ETPT Format DDG'!$C:$C,$D$5,'ETPT Format DDG'!$FA:$FA,"Magistrat placé ADD")</f>
        <v>#N/A</v>
      </c>
      <c r="AF14" s="165" t="e">
        <f>SUMIFS( INDEX( 'ETPT Format DDG'!$A:$FA,,MATCH("8.2. JIRS ÉCO-FI",'ETPT Format DDG'!2:2,0)),'ETPT Format DDG'!$C:$C,$D$5,'ETPT Format DDG'!$FA:$FA,"Magistrat placé ADD")</f>
        <v>#N/A</v>
      </c>
      <c r="AG14" s="165" t="e">
        <f>SUMIFS( INDEX( 'ETPT Format DDG'!$A:$FA,,MATCH("8.3. JIRS CRIM-ORG",'ETPT Format DDG'!2:2,0)),'ETPT Format DDG'!$C:$C,$D$5,'ETPT Format DDG'!$FA:$FA,"Magistrat placé ADD")</f>
        <v>#N/A</v>
      </c>
      <c r="AH14" s="165" t="e">
        <f>SUMIFS( INDEX( 'ETPT Format DDG'!$A:$FA,,MATCH("8.4. AUTRES SECTIONS SPÉCIALISÉES",'ETPT Format DDG'!2:2,0)),'ETPT Format DDG'!$C:$C,$D$5,'ETPT Format DDG'!$FA:$FA,"Magistrat placé ADD")</f>
        <v>#N/A</v>
      </c>
      <c r="AI14" s="165" t="e">
        <f>SUMIFS( INDEX( 'ETPT Format DDG'!$A:$FA,,MATCH("9. TOTAL JAP",'ETPT Format DDG'!2:2,0)),'ETPT Format DDG'!$C:$C,$D$5,'ETPT Format DDG'!$FA:$FA,"Magistrat placé ADD")</f>
        <v>#N/A</v>
      </c>
      <c r="AJ14" s="165" t="e">
        <f>SUMIFS( INDEX( 'ETPT Format DDG'!$A:$FA,,MATCH("6.1. ACTIVITÉ CIVILE",'ETPT Format DDG'!2:2,0)),'ETPT Format DDG'!$C:$C,$D$5,'ETPT Format DDG'!$FA:$FA,"Magistrat placé ADD")+
SUMIFS( INDEX( 'ETPT Format DDG'!$A:$FA,,MATCH("6.2. ACTIVITÉ PÉNALE",'ETPT Format DDG'!2:2,0)),'ETPT Format DDG'!$C:$C,$D$5,'ETPT Format DDG'!$FA:$FA,"Magistrat placé ADD")</f>
        <v>#N/A</v>
      </c>
      <c r="AK14" s="165" t="e">
        <f>SUMIFS( INDEX( 'ETPT Format DDG'!$A:$FA,,MATCH("5. TOTAL JLD CIVIL",'ETPT Format DDG'!2:2,0)),'ETPT Format DDG'!$C:$C,$D$5,'ETPT Format DDG'!$FA:$FA,"Magistrat placé ADD")+
SUMIFS( INDEX( 'ETPT Format DDG'!$A:$FA,,MATCH("10.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DDG'!$A:$FA,,MATCH("7.5. COUR D'ASSISES HORS JIRS",'ETPT Format DDG'!2:2,0)),'ETPT Format DDG'!$C:$C,$D$5,'ETPT Format DDG'!$FA:$FA,"Magistrat placé ADD")+
SUMIFS( INDEX( 'ETPT Format DDG'!$A:$FA,,MATCH("7.51. COUR D'ASSISES JIRS",'ETPT Format DDG'!2:2,0)),'ETPT Format DDG'!$C:$C,$D$5,'ETPT Format DDG'!$FA:$FA,"Magistrat placé ADD")</f>
        <v>#N/A</v>
      </c>
      <c r="AN14" s="165" t="e">
        <f>SUMIFS( INDEX( 'ETPT Format DDG'!$A:$FA,,MATCH("7.52. COUR CRIMINELLE",'ETPT Format DDG'!2:2,0)),'ETPT Format DDG'!$C:$C,$D$5,'ETPT Format DDG'!$FA:$FA,"Magistrat placé ADD")</f>
        <v>#N/A</v>
      </c>
      <c r="AO14" s="165" t="e">
        <f>SUMIFS( INDEX( 'ETPT Format DDG'!$A:$FA,,MATCH("7.121. COLLÉGIALES JIRS ECO-FI",'ETPT Format DDG'!2:2,0)),'ETPT Format DDG'!$C:$C,$D$5,'ETPT Format DDG'!$FA:$FA,"Magistrat placé ADD")</f>
        <v>#N/A</v>
      </c>
      <c r="AP14" s="165" t="e">
        <f>SUMIFS( INDEX( 'ETPT Format DDG'!$A:$FA,,MATCH("7.12. COLLÉGIALES JIRS CRIM-ORG",'ETPT Format DDG'!2:2,0)),'ETPT Format DDG'!$C:$C,$D$5,'ETPT Format DDG'!$FA:$FA,"Magistrat placé ADD")</f>
        <v>#N/A</v>
      </c>
      <c r="AQ14" s="165" t="e">
        <f>SUMIFS( INDEX( 'ETPT Format DDG'!$A:$FA,,MATCH("7.122.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DDG'!$A:$FA,,MATCH("7.6. TRIBUNAL DE POLICE",'ETPT Format DDG'!2:2,0)),'ETPT Format DDG'!$C:$C,$D$5,'ETPT Format DDG'!$FA:$FA,"Magistrat placé ADD")+
SUMIFS( INDEX( 'ETPT Format DDG'!$A:$FA,,MATCH("7.7. OP CONTRAVENTIONNELLES",'ETPT Format DDG'!2:2,0)),'ETPT Format DDG'!$C:$C,$D$5,'ETPT Format DDG'!$FA:$FA,"Magistrat placé ADD")</f>
        <v>#N/A</v>
      </c>
      <c r="AS14" s="56" t="e">
        <f>SUMIFS( INDEX( 'ETPT Format DDG'!$A:$FA,,MATCH("1.1. DÉPARTAGE PRUD'HOMAL",'ETPT Format DDG'!2:2,0)),'ETPT Format DDG'!$C:$C,$D$5,'ETPT Format DDG'!$FA:$FA,"Magistrat placé ADD")</f>
        <v>#N/A</v>
      </c>
      <c r="AT14" s="56" t="e">
        <f>SUMIFS( INDEX( 'ETPT Format DDG'!$A:$FA,,MATCH("4.0. CONTENTIEUX GÉNÉRAL &lt;10.000€",'ETPT Format DDG'!2:2,0)),'ETPT Format DDG'!$C:$C,$D$5,'ETPT Format DDG'!$FA:$FA,"Magistrat placé ADD")</f>
        <v>#N/A</v>
      </c>
      <c r="AU14" s="56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AV14" s="56" t="e">
        <f>SUMIFS( INDEX( 'ETPT Format DDG'!$A:$FA,,MATCH("1. TOTAL CONTENTIEUX SOCIAL",'ETPT Format DDG'!2:2,0)),'ETPT Format DDG'!$C:$C,$D$5,'ETPT Format DDG'!$FA:$FA,"Magistrat placé ADD")-
SUMIFS( INDEX( 'ETPT Format DDG'!$A:$FA,,MATCH("1.1. DÉPARTAGE PRUD'HOMAL",'ETPT Format DDG'!2:2,0)),'ETPT Format DDG'!$C:$C,$D$5,'ETPT Format DDG'!$FA:$FA,"Magistrat placé ADD")</f>
        <v>#N/A</v>
      </c>
      <c r="AW14" s="165" t="e">
        <f>SUMIFS( INDEX( 'ETPT Format DDG'!$A:$FA,,MATCH("2.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DDG'!$A:$FA,,MATCH("ETPT sur la période hors indisponibilités",'ETPT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48</v>
      </c>
      <c r="B15" s="64"/>
      <c r="C15" s="64"/>
      <c r="D15" s="65" t="str">
        <f t="shared" si="5"/>
        <v/>
      </c>
      <c r="E15" s="64" t="s">
        <v>47</v>
      </c>
      <c r="F15" s="64" t="s">
        <v>46</v>
      </c>
      <c r="G15" s="63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62" t="e">
        <f t="shared" si="0"/>
        <v>#N/A</v>
      </c>
      <c r="I15" s="61" t="e">
        <f>SUMIFS( INDEX( 'ETPT Format DDG'!$A:$FA,,MATCH("11.8.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DDG'!$A:$FA,,MATCH("11.9.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DDG'!$A:$FA,,MATCH("7.5. COUR D'ASSISES HORS JIRS",'ETPT Format DDG'!2:2,0)),'ETPT Format DDG'!$C:$C,$D$5,'ETPT Format DDG'!$FA:$FA,"Fonctionnaire A-B-CBUR placé SUB")+
SUMIFS( INDEX( 'ETPT Format DDG'!$A:$FA,,MATCH("7.51. COUR D'ASSISES JIRS",'ETPT Format DDG'!2:2,0)),'ETPT Format DDG'!$C:$C,$D$5,'ETPT Format DDG'!$FA:$FA,"Fonctionnaire A-B-CBUR placé SUB")</f>
        <v>#N/A</v>
      </c>
      <c r="L15" s="61" t="e">
        <f>SUMIFS( INDEX( 'ETPT Format DDG'!$A:$FA,,MATCH("7.52. COUR CRIMINELLE",'ETPT Format DDG'!2:2,0)),'ETPT Format DDG'!$C:$C,$D$5,'ETPT Format DDG'!$FA:$FA,"Fonctionnaire A-B-CBUR placé SUB")</f>
        <v>#N/A</v>
      </c>
      <c r="M15" s="61" t="e">
        <f>SUMIFS( INDEX( 'ETPT Format DDG'!$A:$FA,,MATCH("8.2. JIRS ÉCO-FI",'ETPT Format DDG'!2:2,0)),'ETPT Format DDG'!$C:$C,$D$5,'ETPT Format DDG'!$FA:$FA,"Fonctionnaire A-B-CBUR placé SUB")</f>
        <v>#N/A</v>
      </c>
      <c r="N15" s="61" t="e">
        <f>SUMIFS( INDEX( 'ETPT Format DDG'!$A:$FA,,MATCH("8.3. JIRS CRIM-ORG",'ETPT Format DDG'!2:2,0)),'ETPT Format DDG'!$C:$C,$D$5,'ETPT Format DDG'!$FA:$FA,"Fonctionnaire A-B-CBUR placé SUB")</f>
        <v>#N/A</v>
      </c>
      <c r="O15" s="61" t="e">
        <f>SUMIFS( INDEX( 'ETPT Format DDG'!$A:$FA,,MATCH("8.4. AUTRES SECTIONS SPÉCIALISÉES",'ETPT Format DDG'!2:2,0)),'ETPT Format DDG'!$C:$C,$D$5,'ETPT Format DDG'!$FA:$FA,"Fonctionnaire A-B-CBUR placé SUB")</f>
        <v>#N/A</v>
      </c>
      <c r="P15" s="61" t="e">
        <f>SUMIFS( INDEX( 'ETPT Format DDG'!$A:$FA,,MATCH("3.2. PROTECTION DES MAJEURS",'ETPT Format DDG'!2:2,0)),'ETPT Format DDG'!$C:$C,$D$5,'ETPT Format DDG'!$FA:$FA,"Fonctionnaire A-B-CBUR placé SUB")</f>
        <v>#N/A</v>
      </c>
      <c r="Q15" s="61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R15" s="61" t="e">
        <f>SUMIFS( INDEX( 'ETPT Format DDG'!$A:$FA,,MATCH("5. TOTAL JLD CIVIL",'ETPT Format DDG'!2:2,0)),'ETPT Format DDG'!$C:$C,$D$5,'ETPT Format DDG'!$FA:$FA,"Fonctionnaire A-B-CBUR placé SUB")+
SUMIFS( INDEX( 'ETPT Format DDG'!$A:$FA,,MATCH("6.1. ACTIVITÉ CIVILE",'ETPT Format DDG'!2:2,0)),'ETPT Format DDG'!$C:$C,$D$5,'ETPT Format DDG'!$FA:$FA,"Fonctionnaire A-B-CBUR placé SUB")+
SUMIFS( INDEX( 'ETPT Format DDG'!$A:$FA,,MATCH("6.2. ACTIVITÉ PÉNALE",'ETPT Format DDG'!2:2,0)),'ETPT Format DDG'!$C:$C,$D$5,'ETPT Format DDG'!$FA:$FA,"Fonctionnaire A-B-CBUR placé SUB")+
(SUMIFS( INDEX( 'ETPT Format DDG'!$A:$FA,,MATCH("8. TOTAL JUGES D'INSTRUCTION",'ETPT Format DDG'!2:2,0)),'ETPT Format DDG'!$C:$C,$D$5,'ETPT Format DDG'!$FA:$FA,"Fonctionnaire A-B-CBUR placé SUB")-
SUMIFS( INDEX( 'ETPT Format DDG'!$A:$FA,,MATCH("8.2. JIRS ÉCO-FI",'ETPT Format DDG'!2:2,0)),'ETPT Format DDG'!$C:$C,$D$5,'ETPT Format DDG'!$FA:$FA,"Fonctionnaire A-B-CBUR placé SUB")-
SUMIFS( INDEX( 'ETPT Format DDG'!$A:$FA,,MATCH("8.3. JIRS CRIM-ORG",'ETPT Format DDG'!2:2,0)),'ETPT Format DDG'!$C:$C,$D$5,'ETPT Format DDG'!$FA:$FA,"Fonctionnaire A-B-CBUR placé SUB")-
SUMIFS( INDEX( 'ETPT Format DDG'!$A:$FA,,MATCH("8.4. AUTRES SECTIONS SPÉCIALISÉES",'ETPT Format DDG'!2:2,0)),'ETPT Format DDG'!$C:$C,$D$5,'ETPT Format DDG'!$FA:$FA,"Fonctionnaire A-B-CBUR placé SUB"))+
SUMIFS( INDEX( 'ETPT Format DDG'!$A:$FA,,MATCH("9. TOTAL JAP",'ETPT Format DDG'!2:2,0)),'ETPT Format DDG'!$C:$C,$D$5,'ETPT Format DDG'!$FA:$FA,"Fonctionnaire A-B-CBUR placé SUB")+
SUMIFS( INDEX( 'ETPT Format DDG'!$A:$FA,,MATCH("10. TOTAL JLD PÉNAL",'ETPT Format DDG'!2:2,0)),'ETPT Format DDG'!$C:$C,$D$5,'ETPT Format DDG'!$FA:$FA,"Fonctionnaire A-B-CBUR placé SUB")</f>
        <v>#N/A</v>
      </c>
      <c r="S15" s="61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T15" s="61" t="e">
        <f>SUMIFS( INDEX( 'ETPT Format DDG'!$A:$FA,,MATCH("4.0.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DDG'!$A:$FA,,MATCH("1. TOTAL CONTENTIEUX SOCIAL",'ETPT Format DDG'!2:2,0)),'ETPT Format DDG'!$C:$C,$D$5,'ETPT Format DDG'!$FA:$FA,"Fonctionnaire A-B-CBUR placé SUB")</f>
        <v>#N/A</v>
      </c>
      <c r="V15" s="166" t="e">
        <f>SUMIFS( INDEX( 'ETPT Format DDG'!$A:$FA,,MATCH("ETPT sur la période hors indisponibilités",'ETPT Format DDG'!2:2,0)),'ETPT Format DDG'!$C:$C,$D$5,'ETPT Format DDG'!$FA:$FA,"Fonctionnaire A-B-CBUR placé SUB")-
SUM(I15:U15)-SUMIFS( INDEX( 'ETPT Format DDG'!$A:$FA,,MATCH("11.7.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DDG'!$A:$FA,,MATCH("3.2. PROTECTION DES MAJEURS",'ETPT Format DDG'!2:2,0)),'ETPT Format DDG'!$C:$C,$D$5,'ETPT Format DDG'!$FA:$FA,"Magistrat placé SUB")</f>
        <v>#N/A</v>
      </c>
      <c r="AD15" s="56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AE15" s="165" t="e">
        <f>SUMIFS( INDEX( 'ETPT Format DDG'!$A:$FA,,MATCH("8.1. SERVICE GÉNÉRAL",'ETPT Format DDG'!2:2,0)),'ETPT Format DDG'!$C:$C,$D$5,'ETPT Format DDG'!$FA:$FA,"Magistrat placé SUB")</f>
        <v>#N/A</v>
      </c>
      <c r="AF15" s="165" t="e">
        <f>SUMIFS( INDEX( 'ETPT Format DDG'!$A:$FA,,MATCH("8.2. JIRS ÉCO-FI",'ETPT Format DDG'!2:2,0)),'ETPT Format DDG'!$C:$C,$D$5,'ETPT Format DDG'!$FA:$FA,"Magistrat placé SUB")</f>
        <v>#N/A</v>
      </c>
      <c r="AG15" s="165" t="e">
        <f>SUMIFS( INDEX( 'ETPT Format DDG'!$A:$FA,,MATCH("8.3. JIRS CRIM-ORG",'ETPT Format DDG'!2:2,0)),'ETPT Format DDG'!$C:$C,$D$5,'ETPT Format DDG'!$FA:$FA,"Magistrat placé SUB")</f>
        <v>#N/A</v>
      </c>
      <c r="AH15" s="165" t="e">
        <f>SUMIFS( INDEX( 'ETPT Format DDG'!$A:$FA,,MATCH("8.4. AUTRES SECTIONS SPÉCIALISÉES",'ETPT Format DDG'!2:2,0)),'ETPT Format DDG'!$C:$C,$D$5,'ETPT Format DDG'!$FA:$FA,"Magistrat placé SUB")</f>
        <v>#N/A</v>
      </c>
      <c r="AI15" s="165" t="e">
        <f>SUMIFS( INDEX( 'ETPT Format DDG'!$A:$FA,,MATCH("9. TOTAL JAP",'ETPT Format DDG'!2:2,0)),'ETPT Format DDG'!$C:$C,$D$5,'ETPT Format DDG'!$FA:$FA,"Magistrat placé SUB")</f>
        <v>#N/A</v>
      </c>
      <c r="AJ15" s="165" t="e">
        <f>SUMIFS( INDEX( 'ETPT Format DDG'!$A:$FA,,MATCH("6.1. ACTIVITÉ CIVILE",'ETPT Format DDG'!2:2,0)),'ETPT Format DDG'!$C:$C,$D$5,'ETPT Format DDG'!$FA:$FA,"Magistrat placé SUB")+
SUMIFS( INDEX( 'ETPT Format DDG'!$A:$FA,,MATCH("6.2. ACTIVITÉ PÉNALE",'ETPT Format DDG'!2:2,0)),'ETPT Format DDG'!$C:$C,$D$5,'ETPT Format DDG'!$FA:$FA,"Magistrat placé SUB")</f>
        <v>#N/A</v>
      </c>
      <c r="AK15" s="165" t="e">
        <f>SUMIFS( INDEX( 'ETPT Format DDG'!$A:$FA,,MATCH("5. TOTAL JLD CIVIL",'ETPT Format DDG'!2:2,0)),'ETPT Format DDG'!$C:$C,$D$5,'ETPT Format DDG'!$FA:$FA,"Magistrat placé SUB")+
SUMIFS( INDEX( 'ETPT Format DDG'!$A:$FA,,MATCH("10.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DDG'!$A:$FA,,MATCH("7.5. COUR D'ASSISES HORS JIRS",'ETPT Format DDG'!2:2,0)),'ETPT Format DDG'!$C:$C,$D$5,'ETPT Format DDG'!$FA:$FA,"Magistrat placé SUB")+
SUMIFS( INDEX( 'ETPT Format DDG'!$A:$FA,,MATCH("7.51. COUR D'ASSISES JIRS",'ETPT Format DDG'!2:2,0)),'ETPT Format DDG'!$C:$C,$D$5,'ETPT Format DDG'!$FA:$FA,"Magistrat placé SUB")</f>
        <v>#N/A</v>
      </c>
      <c r="AN15" s="165" t="e">
        <f>SUMIFS( INDEX( 'ETPT Format DDG'!$A:$FA,,MATCH("7.52. COUR CRIMINELLE",'ETPT Format DDG'!2:2,0)),'ETPT Format DDG'!$C:$C,$D$5,'ETPT Format DDG'!$FA:$FA,"Magistrat placé SUB")</f>
        <v>#N/A</v>
      </c>
      <c r="AO15" s="165" t="e">
        <f>SUMIFS( INDEX( 'ETPT Format DDG'!$A:$FA,,MATCH("7.121. COLLÉGIALES JIRS ECO-FI",'ETPT Format DDG'!2:2,0)),'ETPT Format DDG'!$C:$C,$D$5,'ETPT Format DDG'!$FA:$FA,"Magistrat placé SUB")</f>
        <v>#N/A</v>
      </c>
      <c r="AP15" s="165" t="e">
        <f>SUMIFS( INDEX( 'ETPT Format DDG'!$A:$FA,,MATCH("7.12. COLLÉGIALES JIRS CRIM-ORG",'ETPT Format DDG'!2:2,0)),'ETPT Format DDG'!$C:$C,$D$5,'ETPT Format DDG'!$FA:$FA,"Magistrat placé SUB")</f>
        <v>#N/A</v>
      </c>
      <c r="AQ15" s="165" t="e">
        <f>SUMIFS( INDEX( 'ETPT Format DDG'!$A:$FA,,MATCH("7.122.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DDG'!$A:$FA,,MATCH("7.6. TRIBUNAL DE POLICE",'ETPT Format DDG'!2:2,0)),'ETPT Format DDG'!$C:$C,$D$5,'ETPT Format DDG'!$FA:$FA,"Magistrat placé SUB")+
SUMIFS( INDEX( 'ETPT Format DDG'!$A:$FA,,MATCH("7.7. OP CONTRAVENTIONNELLES",'ETPT Format DDG'!2:2,0)),'ETPT Format DDG'!$C:$C,$D$5,'ETPT Format DDG'!$FA:$FA,"Magistrat placé SUB")</f>
        <v>#N/A</v>
      </c>
      <c r="AS15" s="56" t="e">
        <f>SUMIFS( INDEX( 'ETPT Format DDG'!$A:$FA,,MATCH("1.1. DÉPARTAGE PRUD'HOMAL",'ETPT Format DDG'!2:2,0)),'ETPT Format DDG'!$C:$C,$D$5,'ETPT Format DDG'!$FA:$FA,"Magistrat placé SUB")</f>
        <v>#N/A</v>
      </c>
      <c r="AT15" s="56" t="e">
        <f>SUMIFS( INDEX( 'ETPT Format DDG'!$A:$FA,,MATCH("4.0. CONTENTIEUX GÉNÉRAL &lt;10.000€",'ETPT Format DDG'!2:2,0)),'ETPT Format DDG'!$C:$C,$D$5,'ETPT Format DDG'!$FA:$FA,"Magistrat placé SUB")</f>
        <v>#N/A</v>
      </c>
      <c r="AU15" s="56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AV15" s="56" t="e">
        <f>SUMIFS( INDEX( 'ETPT Format DDG'!$A:$FA,,MATCH("1. TOTAL CONTENTIEUX SOCIAL",'ETPT Format DDG'!2:2,0)),'ETPT Format DDG'!$C:$C,$D$5,'ETPT Format DDG'!$FA:$FA,"Magistrat placé SUB")-
SUMIFS( INDEX( 'ETPT Format DDG'!$A:$FA,,MATCH("1.1. DÉPARTAGE PRUD'HOMAL",'ETPT Format DDG'!2:2,0)),'ETPT Format DDG'!$C:$C,$D$5,'ETPT Format DDG'!$FA:$FA,"Magistrat placé SUB")</f>
        <v>#N/A</v>
      </c>
      <c r="AW15" s="165" t="e">
        <f>SUMIFS( INDEX( 'ETPT Format DDG'!$A:$FA,,MATCH("2.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DDG'!$A:$FA,,MATCH("ETPT sur la période hors indisponibilités",'ETPT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45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180</v>
      </c>
      <c r="AZ19" s="41"/>
    </row>
    <row r="20" spans="1:62" ht="28" x14ac:dyDescent="0.2">
      <c r="F20" s="305" t="s">
        <v>397</v>
      </c>
      <c r="G20" s="236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U20" s="306" t="s">
        <v>399</v>
      </c>
      <c r="V20" s="236" t="e">
        <f>SUMIFS( INDEX( 'ETPT Format DDG'!$A:$FA,,MATCH("12. TOTAL des INDISPONIBILITÉS relevant de l'action 99",'ETPT Format DDG'!2:2,0)),'ETPT Format DDG'!$C:$C,$D$5,'ETPT Format DDG'!$FA:$FA,"Fonctionnaire A-B-CBUR placé SUB")+
SUMIFS( INDEX( 'ETPT Format DDG'!$A:$FA,,MATCH("12. TOTAL des INDISPONIBILITÉS relevant de l'action 99",'ETPT Format DDG'!2:2,0)),'ETPT Format DDG'!$C:$C,$D$5,'ETPT Format DDG'!$FA:$FA,"Fonctionnaire A-B-CBUR placé ADD")</f>
        <v>#N/A</v>
      </c>
      <c r="W20" s="41"/>
      <c r="AX20" s="304" t="s">
        <v>395</v>
      </c>
      <c r="AY20" s="178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41" zoomScaleNormal="100" workbookViewId="0">
      <pane xSplit="6" ySplit="1" topLeftCell="AD2" activePane="bottomRight" state="frozen"/>
      <selection pane="topRight" activeCell="G1" sqref="G1"/>
      <selection pane="bottomLeft" activeCell="A2" sqref="A2"/>
      <selection pane="bottomRight" activeCell="AG10" sqref="AG1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50" t="s">
        <v>223</v>
      </c>
      <c r="B1" s="350"/>
      <c r="C1" s="350"/>
      <c r="D1" s="350"/>
      <c r="E1" s="350"/>
      <c r="F1" s="350"/>
      <c r="G1" s="350"/>
      <c r="H1" s="350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178</v>
      </c>
      <c r="H2" s="348" t="s">
        <v>177</v>
      </c>
      <c r="I2" s="87" t="s">
        <v>176</v>
      </c>
      <c r="J2" s="87" t="s">
        <v>176</v>
      </c>
      <c r="K2" s="87" t="s">
        <v>176</v>
      </c>
      <c r="L2" s="87" t="s">
        <v>176</v>
      </c>
      <c r="M2" s="87" t="s">
        <v>176</v>
      </c>
      <c r="N2" s="87" t="s">
        <v>176</v>
      </c>
      <c r="O2" s="123" t="s">
        <v>176</v>
      </c>
      <c r="P2" s="123" t="s">
        <v>176</v>
      </c>
      <c r="Q2" s="87" t="s">
        <v>176</v>
      </c>
      <c r="R2" s="87" t="s">
        <v>176</v>
      </c>
      <c r="S2" s="348" t="s">
        <v>175</v>
      </c>
      <c r="T2" s="87" t="s">
        <v>40</v>
      </c>
      <c r="U2" s="348" t="s">
        <v>174</v>
      </c>
      <c r="V2" s="87" t="s">
        <v>173</v>
      </c>
      <c r="W2" s="87" t="s">
        <v>173</v>
      </c>
      <c r="X2" s="87" t="s">
        <v>173</v>
      </c>
      <c r="Y2" s="87" t="s">
        <v>173</v>
      </c>
      <c r="Z2" s="87" t="s">
        <v>173</v>
      </c>
      <c r="AA2" s="87" t="s">
        <v>173</v>
      </c>
      <c r="AB2" s="123" t="s">
        <v>173</v>
      </c>
      <c r="AC2" s="123" t="s">
        <v>173</v>
      </c>
      <c r="AD2" s="87" t="s">
        <v>173</v>
      </c>
      <c r="AE2" s="348" t="s">
        <v>222</v>
      </c>
      <c r="AF2" s="87" t="s">
        <v>221</v>
      </c>
      <c r="AG2" s="87" t="s">
        <v>221</v>
      </c>
      <c r="AH2" s="87" t="s">
        <v>221</v>
      </c>
      <c r="AI2" s="348" t="s">
        <v>220</v>
      </c>
    </row>
    <row r="3" spans="1:35" ht="36" x14ac:dyDescent="0.2">
      <c r="A3" s="90"/>
      <c r="B3" s="90"/>
      <c r="C3" s="90"/>
      <c r="D3" s="90"/>
      <c r="E3" s="90"/>
      <c r="F3" s="90"/>
      <c r="G3" s="87" t="s">
        <v>167</v>
      </c>
      <c r="H3" s="348"/>
      <c r="I3" s="87" t="s">
        <v>219</v>
      </c>
      <c r="J3" s="87" t="s">
        <v>218</v>
      </c>
      <c r="K3" s="87" t="s">
        <v>217</v>
      </c>
      <c r="L3" s="87" t="s">
        <v>216</v>
      </c>
      <c r="M3" s="87" t="s">
        <v>215</v>
      </c>
      <c r="N3" s="87" t="s">
        <v>214</v>
      </c>
      <c r="O3" s="123" t="s">
        <v>213</v>
      </c>
      <c r="P3" s="123" t="s">
        <v>212</v>
      </c>
      <c r="Q3" s="87" t="s">
        <v>211</v>
      </c>
      <c r="R3" s="87" t="s">
        <v>154</v>
      </c>
      <c r="S3" s="348"/>
      <c r="T3" s="87" t="s">
        <v>151</v>
      </c>
      <c r="U3" s="348"/>
      <c r="V3" s="87" t="s">
        <v>210</v>
      </c>
      <c r="W3" s="87" t="s">
        <v>209</v>
      </c>
      <c r="X3" s="87" t="s">
        <v>208</v>
      </c>
      <c r="Y3" s="87" t="s">
        <v>207</v>
      </c>
      <c r="Z3" s="87" t="s">
        <v>206</v>
      </c>
      <c r="AA3" s="87" t="s">
        <v>205</v>
      </c>
      <c r="AB3" s="123" t="s">
        <v>204</v>
      </c>
      <c r="AC3" s="123" t="s">
        <v>203</v>
      </c>
      <c r="AD3" s="87" t="s">
        <v>202</v>
      </c>
      <c r="AE3" s="348"/>
      <c r="AF3" s="87" t="s">
        <v>201</v>
      </c>
      <c r="AG3" s="87" t="s">
        <v>137</v>
      </c>
      <c r="AH3" s="87" t="s">
        <v>131</v>
      </c>
      <c r="AI3" s="348"/>
    </row>
    <row r="4" spans="1:35" ht="60" x14ac:dyDescent="0.2">
      <c r="A4" s="90"/>
      <c r="B4" s="88" t="s">
        <v>121</v>
      </c>
      <c r="C4" s="88" t="s">
        <v>120</v>
      </c>
      <c r="D4" s="88" t="s">
        <v>32</v>
      </c>
      <c r="E4" s="88" t="s">
        <v>119</v>
      </c>
      <c r="F4" s="88" t="s">
        <v>118</v>
      </c>
      <c r="G4" s="87" t="s">
        <v>117</v>
      </c>
      <c r="H4" s="348"/>
      <c r="I4" s="87" t="s">
        <v>200</v>
      </c>
      <c r="J4" s="87" t="s">
        <v>199</v>
      </c>
      <c r="K4" s="87" t="s">
        <v>198</v>
      </c>
      <c r="L4" s="87" t="s">
        <v>197</v>
      </c>
      <c r="M4" s="87" t="s">
        <v>196</v>
      </c>
      <c r="N4" s="87" t="s">
        <v>195</v>
      </c>
      <c r="O4" s="123" t="s">
        <v>194</v>
      </c>
      <c r="P4" s="123" t="s">
        <v>193</v>
      </c>
      <c r="Q4" s="87" t="s">
        <v>192</v>
      </c>
      <c r="R4" s="87" t="s">
        <v>103</v>
      </c>
      <c r="S4" s="348"/>
      <c r="T4" s="87" t="s">
        <v>99</v>
      </c>
      <c r="U4" s="348"/>
      <c r="V4" s="87" t="s">
        <v>191</v>
      </c>
      <c r="W4" s="87" t="s">
        <v>190</v>
      </c>
      <c r="X4" s="87" t="s">
        <v>189</v>
      </c>
      <c r="Y4" s="87" t="s">
        <v>188</v>
      </c>
      <c r="Z4" s="87" t="s">
        <v>187</v>
      </c>
      <c r="AA4" s="87" t="s">
        <v>186</v>
      </c>
      <c r="AB4" s="123" t="s">
        <v>185</v>
      </c>
      <c r="AC4" s="123" t="s">
        <v>184</v>
      </c>
      <c r="AD4" s="87" t="s">
        <v>183</v>
      </c>
      <c r="AE4" s="348"/>
      <c r="AF4" s="87" t="s">
        <v>182</v>
      </c>
      <c r="AG4" s="87" t="s">
        <v>84</v>
      </c>
      <c r="AH4" s="87" t="s">
        <v>78</v>
      </c>
      <c r="AI4" s="348"/>
    </row>
    <row r="5" spans="1:35" x14ac:dyDescent="0.2">
      <c r="A5" s="93" t="s">
        <v>181</v>
      </c>
      <c r="B5" s="65"/>
      <c r="C5" s="65"/>
      <c r="D5" s="81">
        <f>ETPT_TPRX_DDG!$D$5</f>
        <v>0</v>
      </c>
      <c r="E5" s="65" t="s">
        <v>68</v>
      </c>
      <c r="F5" s="65" t="s">
        <v>67</v>
      </c>
      <c r="G5" s="69" t="e">
        <f>SUMIFS( INDEX( 'ETPT Format DDG'!$A:$FA,,MATCH("Temps ventilés sur la période (contentieux civils et sociaux)",'ETPT Format DDG'!2:2,0)),'ETPT Format DDG'!$C:$C,$D$5,'ETPT Format DDG'!$FA:$FA,"Fonctionnaire CTECH")</f>
        <v>#N/A</v>
      </c>
      <c r="H5" s="94" t="e">
        <f t="shared" ref="H5:H15" si="0">SUM(G5)</f>
        <v>#N/A</v>
      </c>
      <c r="I5" s="95"/>
      <c r="J5" s="61" t="e">
        <f>SUMIFS( INDEX( 'ETPT Format DDG'!$A:$FA,,MATCH("3.43. INJONCTIONS DE PAYER",'ETPT Format DDG'!2:2,0)),'ETPT Format DDG'!$C:$C,$D$5,'ETPT Format DDG'!$FA:$FA,"Fonctionnaire A-B-CBUR")+
SUMIFS( INDEX( 'ETPT Format DDG'!$A:$FA,,MATCH("3.44. SAISIE DES RÉMUNÉRATIONS",'ETPT Format DDG'!2:2,0)),'ETPT Format DDG'!$C:$C,$D$5,'ETPT Format DDG'!$FA:$FA,"Fonctionnaire A-B-CBUR")</f>
        <v>#N/A</v>
      </c>
      <c r="K5" s="61" t="e">
        <f>SUMIFS( INDEX( 'ETPT Format DDG'!$A:$FA,,MATCH("3. TOTAL CONTENTIEUX DE LA PROTECTION",'ETPT Format DDG'!2:2,0)),'ETPT Format DDG'!$C:$C,$D$5,'ETPT Format DDG'!$FA:$FA,"Fonctionnaire A-B-CBUR")-
SUMIFS( INDEX( 'ETPT Format DDG'!$A:$FA,,MATCH("3.2. PROTECTION DES MAJEURS",'ETPT Format DDG'!2:2,0)),'ETPT Format DDG'!$C:$C,$D$5,'ETPT Format DDG'!$FA:$FA,"Fonctionnaire A-B-CBUR")-
SUMIFS( INDEX( 'ETPT Format DDG'!$A:$FA,,MATCH("3.43. INJONCTIONS DE PAYER",'ETPT Format DDG'!2:2,0)),'ETPT Format DDG'!$C:$C,$D$5,'ETPT Format DDG'!$FA:$FA,"Fonctionnaire A-B-CBUR")-
SUMIFS( INDEX( 'ETPT Format DDG'!$A:$FA,,MATCH("3.44. SAISIE DES RÉMUNÉRATIONS",'ETPT Format DDG'!2:2,0)),'ETPT Format DDG'!$C:$C,$D$5,'ETPT Format DDG'!$FA:$FA,"Fonctionnaire A-B-CBUR")</f>
        <v>#N/A</v>
      </c>
      <c r="L5" s="61" t="e">
        <f>SUMIFS( INDEX( 'ETPT Format DDG'!$A:$FA,,MATCH("3.2.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DDG'!$A:$FA,,MATCH("Temps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 t="e">
        <f>SUMIFS( INDEX( 'ETPT Format DDG'!$A:$FA,,MATCH("Temps ventilés sur la période (contentieux civils et sociaux)",'ETPT Format DDG'!2:2,0)),'ETPT Format DDG'!$C:$C,$D$5,'ETPT Format DDG'!$FA:$FA,"JURISTE AS siège Autres")</f>
        <v>#N/A</v>
      </c>
      <c r="U5" s="49" t="e">
        <f t="shared" ref="U5:U15" si="2">SUM(T5)</f>
        <v>#N/A</v>
      </c>
      <c r="V5" s="60"/>
      <c r="W5" s="61" t="e">
        <f>SUMIFS( INDEX( 'ETPT Format DDG'!$A:$FA,,MATCH("3.43. INJONCTIONS DE PAYER",'ETPT Format DDG'!2:2,0)),'ETPT Format DDG'!$C:$C,$D$5,'ETPT Format DDG'!$FA:$FA,"Magistrat SIEGE S")+
SUMIFS( INDEX( 'ETPT Format DDG'!$A:$FA,,MATCH("3.44. SAISIE DES RÉMUNÉRATIONS",'ETPT Format DDG'!2:2,0)),'ETPT Format DDG'!$C:$C,$D$5,'ETPT Format DDG'!$FA:$FA,"Magistrat SIEGE S")+
SUMIFS( INDEX( 'ETPT Format DDG'!$A:$FA,,MATCH("3.43. INJONCTIONS DE PAYER",'ETPT Format DDG'!2:2,0)),'ETPT Format DDG'!$C:$C,$D$5,'ETPT Format DDG'!$FA:$FA,"Magistrat SIEGE NS")+
SUMIFS( INDEX( 'ETPT Format DDG'!$A:$FA,,MATCH("3.44. SAISIE DES RÉMUNÉRATIONS",'ETPT Format DDG'!2:2,0)),'ETPT Format DDG'!$C:$C,$D$5,'ETPT Format DDG'!$FA:$FA,"Magistrat SIEGE NS")</f>
        <v>#N/A</v>
      </c>
      <c r="X5" s="61" t="e">
        <f>SUMIFS( INDEX( 'ETPT Format DDG'!$A:$FA,,MATCH("3. TOTAL CONTENTIEUX DE LA PROTECTION",'ETPT Format DDG'!2:2,0)),'ETPT Format DDG'!$C:$C,$D$5,'ETPT Format DDG'!$FA:$FA,"Magistrat SIEGE S")+
SUMIFS( INDEX( 'ETPT Format DDG'!$A:$FA,,MATCH("3. TOTAL CONTENTIEUX DE LA PROTECTION",'ETPT Format DDG'!2:2,0)),'ETPT Format DDG'!$C:$C,$D$5,'ETPT Format DDG'!$FA:$FA,"Magistrat SIEGE NS")-
SUMIFS( INDEX( 'ETPT Format DDG'!$A:$FA,,MATCH("3.2. PROTECTION DES MAJEURS",'ETPT Format DDG'!2:2,0)),'ETPT Format DDG'!$C:$C,$D$5,'ETPT Format DDG'!$FA:$FA,"Magistrat SIEGE S")-
SUMIFS( INDEX( 'ETPT Format DDG'!$A:$FA,,MATCH("3.2. PROTECTION DES MAJEURS",'ETPT Format DDG'!2:2,0)),'ETPT Format DDG'!$C:$C,$D$5,'ETPT Format DDG'!$FA:$FA,"Magistrat SIEGE NS")-
SUMIFS( INDEX( 'ETPT Format DDG'!$A:$FA,,MATCH("3.43. INJONCTIONS DE PAYER",'ETPT Format DDG'!2:2,0)),'ETPT Format DDG'!$C:$C,$D$5,'ETPT Format DDG'!$FA:$FA,"Magistrat SIEGE S")-
SUMIFS( INDEX( 'ETPT Format DDG'!$A:$FA,,MATCH("3.43. INJONCTIONS DE PAYER",'ETPT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NS")-
SUMIFS( INDEX( 'ETPT Format DDG'!$A:$FA,,MATCH("3.44. SAISIE DES RÉMUNÉRATIONS",'ETPT Format DDG'!2:2,0)),'ETPT Format DDG'!$C:$C,$D$5,'ETPT Format DDG'!$FA:$FA,"Magistrat SIEGE S")</f>
        <v>#N/A</v>
      </c>
      <c r="Y5" s="61" t="e">
        <f>SUMIFS( INDEX( 'ETPT Format DDG'!$A:$FA,,MATCH("3.2. PROTECTION DES MAJEURS",'ETPT Format DDG'!2:2,0)),'ETPT Format DDG'!$C:$C,$D$5,'ETPT Format DDG'!$FA:$FA,"Magistrat SIEGE S")+
SUMIFS( INDEX( 'ETPT Format DDG'!$A:$FA,,MATCH("3.2. PROTECTION DES MAJEURS",'ETPT Format DDG'!2:2,0)),'ETPT Format DDG'!$C:$C,$D$5,'ETPT Format DDG'!$FA:$FA,"Magistrat SIEGE NS")</f>
        <v>#N/A</v>
      </c>
      <c r="Z5" s="57"/>
      <c r="AA5" s="57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DDG'!$A:$FA,,MATCH("1.1. DÉPARTAGE PRUD'HOMAL",'ETPT Format DDG'!2:2,0)),'ETPT Format DDG'!$C:$C,$D$5,'ETPT Format DDG'!$FA:$FA,"Magistrat SIEGE S")</f>
        <v>#N/A</v>
      </c>
      <c r="AH5" s="56" t="e">
        <f>SUMIFS( INDEX( 'ETPT Format DDG'!$A:$FA,,MATCH("Temps ventilés sur la période (contentieux civils et sociaux)",'ETPT Format DDG'!2:2,0)),'ETPT Format DDG'!$C:$C,$D$5,'ETPT Format DDG'!$FA:$FA,"Magistrat SIEGE S")-SUMIFS( INDEX( 'ETPT Format DDG'!$A:$FA,,MATCH("3. TOTAL CONTENTIEUX DE LA PROTECTION",'ETPT Format DDG'!2:2,0)),'ETPT Format DDG'!$C:$C,$D$5,'ETPT Format DDG'!$FA:$FA,"Magistrat SIEGE S")-
SUMIFS( INDEX( 'ETPT Format DDG'!$A:$FA,,MATCH("1.1. DÉPARTAGE PRUD'HOMAL",'ETPT Format DDG'!2:2,0)),'ETPT Format DDG'!$C:$C,$D$5,'ETPT Format DDG'!$FA:$FA,"Magistrat SIEGE S")-
SUMIFS( INDEX( 'ETPT Format DDG'!$A:$FA,,MATCH("6.1. ACTIVITÉ CIVILE",'ETPT Format DDG'!2:2,0)),'ETPT Format DDG'!$C:$C,$D$5,'ETPT Format DDG'!$FA:$FA,"Magistrat SIEGE S")-
SUMIFS( INDEX( 'ETPT Format DDG'!$A:$FA,,MATCH("5. TOTAL JLD CIVIL",'ETPT Format DDG'!2:2,0)),'ETPT Format DDG'!$C:$C,$D$5,'ETPT Format DDG'!$FA:$FA,"Magistrat SIEGE S")-
SUMIFS( INDEX( 'ETPT Format DDG'!$A:$FA,,MATCH("2. TOTAL CONTENTIEUX JAF",'ETPT Format DDG'!2:2,0)),'ETPT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181</v>
      </c>
      <c r="B6" s="115"/>
      <c r="C6" s="115"/>
      <c r="D6" s="115">
        <f t="shared" ref="D6:D15" si="5">$D$5</f>
        <v>0</v>
      </c>
      <c r="E6" s="115" t="s">
        <v>66</v>
      </c>
      <c r="F6" s="115" t="s">
        <v>65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181</v>
      </c>
      <c r="B7" s="65"/>
      <c r="C7" s="65"/>
      <c r="D7" s="65">
        <f t="shared" si="5"/>
        <v>0</v>
      </c>
      <c r="E7" s="65" t="s">
        <v>64</v>
      </c>
      <c r="F7" s="65" t="s">
        <v>63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57"/>
      <c r="AA7" s="57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181</v>
      </c>
      <c r="B8" s="65"/>
      <c r="C8" s="65"/>
      <c r="D8" s="65">
        <f t="shared" si="5"/>
        <v>0</v>
      </c>
      <c r="E8" s="65" t="s">
        <v>62</v>
      </c>
      <c r="F8" s="65" t="s">
        <v>61</v>
      </c>
      <c r="G8" s="69" t="e">
        <f>SUMIFS( INDEX( 'ETPT Format DDG'!$A:$FA,,MATCH("11.51.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DDG'!$A:$FA,,MATCH("11.51.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DDG'!$A:$FA,,MATCH("11.51.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57"/>
      <c r="AA8" s="57"/>
      <c r="AB8" s="57"/>
      <c r="AC8" s="57"/>
      <c r="AD8" s="57"/>
      <c r="AE8" s="94">
        <f t="shared" si="3"/>
        <v>0</v>
      </c>
      <c r="AF8" s="66"/>
      <c r="AG8" s="66"/>
      <c r="AH8" s="66"/>
      <c r="AI8" s="94">
        <f t="shared" si="4"/>
        <v>0</v>
      </c>
    </row>
    <row r="9" spans="1:35" x14ac:dyDescent="0.2">
      <c r="A9" s="93" t="s">
        <v>181</v>
      </c>
      <c r="B9" s="65"/>
      <c r="C9" s="65"/>
      <c r="D9" s="65">
        <f t="shared" si="5"/>
        <v>0</v>
      </c>
      <c r="E9" s="65" t="s">
        <v>60</v>
      </c>
      <c r="F9" s="65" t="s">
        <v>59</v>
      </c>
      <c r="G9" s="69" t="e">
        <f>SUMIFS( INDEX( 'ETPT Format DDG'!$A:$FA,,MATCH("11.1. SOUTIEN (HORS FORMATIONS SUIVIES)",'ETPT Format DDG'!2:2,0)),'ETPT Format DDG'!$C:$C,$D$5,'ETPT Format DDG'!$FA:$FA,"Fonctionnaire CTECH")+
SUMIFS( INDEX( 'ETPT Format DDG'!$A:$FA,,MATCH("11.2. FORMATIONS SUIVIES",'ETPT Format DDG'!2:2,0)),'ETPT Format DDG'!$C:$C,$D$5,'ETPT Format DDG'!$FA:$FA,"Fonctionnaire CTECH")+
SUMIFS( INDEX( 'ETPT Format DDG'!$A:$FA,,MATCH("11.6.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DDG'!$A:$FA,,MATCH("11.1. SOUTIEN (HORS FORMATIONS SUIVIES)",'ETPT Format DDG'!2:2,0)),'ETPT Format DDG'!$C:$C,$D$5,'ETPT Format DDG'!$FA:$FA,"Fonctionnaire A-B-CBUR")+
SUMIFS( INDEX( 'ETPT Format DDG'!$A:$FA,,MATCH("11.2. FORMATIONS SUIVIES",'ETPT Format DDG'!2:2,0)),'ETPT Format DDG'!$C:$C,$D$5,'ETPT Format DDG'!$FA:$FA,"Fonctionnaire A-B-CBUR")+
SUMIFS( INDEX( 'ETPT Format DDG'!$A:$FA,,MATCH("11.6. AUTRES ACTIVITÉS NON JURIDICTIONNELLES",'ETPT Format DDG'!2:2,0)),'ETPT Format DDG'!$C:$C,$D$5,'ETPT Format DDG'!$FA:$FA,"Fonctionnaire A-B-CBUR")+
SUMIFS( INDEX( 'ETPT Format DDG'!$A:$FA,,MATCH("Temps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DDG'!$A:$FA,,MATCH("11.1. SOUTIEN (HORS FORMATIONS SUIVIES)",'ETPT Format DDG'!2:2,0)),'ETPT Format DDG'!$C:$C,$D$5,'ETPT Format DDG'!$FA:$FA,"JURISTE AS siège Autres")+
SUMIFS( INDEX( 'ETPT Format DDG'!$A:$FA,,MATCH("11.2. FORMATIONS SUIVIES",'ETPT Format DDG'!2:2,0)),'ETPT Format DDG'!$C:$C,$D$5,'ETPT Format DDG'!$FA:$FA,"JURISTE AS siège Autres")+
SUMIFS( INDEX( 'ETPT Format DDG'!$A:$FA,,MATCH("11.6.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57"/>
      <c r="AA9" s="57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DDG'!$A:$FA,,MATCH("11.1. SOUTIEN (HORS FORMATIONS SUIVIES)",'ETPT Format DDG'!2:2,0)),'ETPT Format DDG'!$C:$C,$D$5,'ETPT Format DDG'!$FA:$FA,"Magistrat SIEGE S")+
SUMIFS( INDEX( 'ETPT Format DDG'!$A:$FA,,MATCH("11.2. FORMATIONS SUIVIES",'ETPT Format DDG'!2:2,0)),'ETPT Format DDG'!$C:$C,$D$5,'ETPT Format DDG'!$FA:$FA,"Magistrat SIEGE S")+
SUMIFS( INDEX( 'ETPT Format DDG'!$A:$FA,,MATCH("11.6.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181</v>
      </c>
      <c r="B10" s="65"/>
      <c r="C10" s="65"/>
      <c r="D10" s="65">
        <f t="shared" si="5"/>
        <v>0</v>
      </c>
      <c r="E10" s="65" t="s">
        <v>58</v>
      </c>
      <c r="F10" s="65" t="s">
        <v>57</v>
      </c>
      <c r="G10" s="69" t="e">
        <f>SUMIFS( INDEX( 'ETPT Format DDG'!$A:$FA,,MATCH("11.3.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DDG'!$A:$FA,,MATCH("11.3.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DDG'!$A:$FA,,MATCH("11.3.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57"/>
      <c r="AA10" s="57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DDG'!$A:$FA,,MATCH("11.3.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181</v>
      </c>
      <c r="B11" s="65"/>
      <c r="C11" s="65"/>
      <c r="D11" s="65">
        <f t="shared" si="5"/>
        <v>0</v>
      </c>
      <c r="E11" s="65" t="s">
        <v>56</v>
      </c>
      <c r="F11" s="65" t="s">
        <v>55</v>
      </c>
      <c r="G11" s="69" t="e">
        <f>SUMIFS( INDEX( 'ETPT Format DDG'!$A:$FA,,MATCH("11.4.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DDG'!$A:$FA,,MATCH("11.4.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DDG'!$A:$FA,,MATCH("11.4.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57"/>
      <c r="AA11" s="57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DDG'!$A:$FA,,MATCH("11.4.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181</v>
      </c>
      <c r="B12" s="65"/>
      <c r="C12" s="65"/>
      <c r="D12" s="65">
        <f t="shared" si="5"/>
        <v>0</v>
      </c>
      <c r="E12" s="65" t="s">
        <v>54</v>
      </c>
      <c r="F12" s="65" t="s">
        <v>53</v>
      </c>
      <c r="G12" s="69" t="e">
        <f>SUMIFS( INDEX( 'ETPT Format DDG'!$A:$FA,,MATCH("12. TOTAL des INDISPONIBILITÉS relevant de l'action 99",'ETPT Format DDG'!2:2,0)),'ETPT Format DDG'!$C:$C,$D$5,'ETPT Format DDG'!$FA:$FA,"Fonctionnaire CTECH")-
SUMIFS( INDEX( 'ETPT Format DDG'!$A:$FA,,MATCH("12.5.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DDG'!$A:$FA,,MATCH("12. TOTAL des INDISPONIBILITÉS relevant de l'action 99",'ETPT Format DDG'!2:2,0)),'ETPT Format DDG'!$C:$C,$D$5,'ETPT Format DDG'!$FA:$FA,"Fonctionnaire A-B-CBUR")-
SUMIFS( INDEX( 'ETPT Format DDG'!$A:$FA,,MATCH("12.5.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DDG'!$A:$FA,,MATCH("12. TOTAL des INDISPONIBILITÉS relevant de l'action 99",'ETPT Format DDG'!2:2,0)),'ETPT Format DDG'!$C:$C,$D$5,'ETPT Format DDG'!$FA:$FA,"JURISTE AS siège Autres")-
SUMIFS( INDEX( 'ETPT Format DDG'!$A:$FA,,MATCH("12.5.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57"/>
      <c r="AA12" s="57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DDG'!$A:$FA,,MATCH("12. TOTAL des INDISPONIBILITÉS relevant de l'action 99",'ETPT Format DDG'!2:2,0)),'ETPT Format DDG'!$C:$C,$D$5,'ETPT Format DDG'!$FA:$FA,"Magistrat SIEGE S")-
SUMIFS( INDEX( 'ETPT Format DDG'!$A:$FA,,MATCH("12.5. MISE À DISPOSITION",'ETPT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181</v>
      </c>
      <c r="B13" s="65"/>
      <c r="C13" s="65"/>
      <c r="D13" s="65">
        <f t="shared" si="5"/>
        <v>0</v>
      </c>
      <c r="E13" s="65" t="s">
        <v>52</v>
      </c>
      <c r="F13" s="65" t="s">
        <v>51</v>
      </c>
      <c r="G13" s="63" t="e">
        <f>SUMIFS( INDEX( 'ETPT Format DDG'!$A:$FA,,MATCH("12.5.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DDG'!$A:$FA,,MATCH("12.5.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DDG'!$A:$FA,,MATCH("12.5.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57"/>
      <c r="AA13" s="57"/>
      <c r="AB13" s="57"/>
      <c r="AC13" s="57"/>
      <c r="AD13" s="57"/>
      <c r="AE13" s="94">
        <f t="shared" si="3"/>
        <v>0</v>
      </c>
      <c r="AF13" s="66"/>
      <c r="AG13" s="66"/>
      <c r="AH13" s="322" t="e">
        <f>SUMIFS( INDEX( 'ETPT Format DDG'!$A:$FA,,MATCH("12.5.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181</v>
      </c>
      <c r="B14" s="65"/>
      <c r="C14" s="65"/>
      <c r="D14" s="65">
        <f t="shared" si="5"/>
        <v>0</v>
      </c>
      <c r="E14" s="65" t="s">
        <v>50</v>
      </c>
      <c r="F14" s="65" t="s">
        <v>49</v>
      </c>
      <c r="G14" s="63" t="e">
        <f>SUMIFS( INDEX( 'ETPT Format DDG'!$A:$FA,,MATCH("ETPT sur la période hors indisponibilités",'ETPT Format DDG'!2:2,0)),'ETPT Format DDG'!$C:$C,$D$5,'ETPT Format DDG'!$FA:$FA,"Fonctionnaire CTECH placé ADD")</f>
        <v>#N/A</v>
      </c>
      <c r="H14" s="94" t="e">
        <f t="shared" si="0"/>
        <v>#N/A</v>
      </c>
      <c r="I14" s="95"/>
      <c r="J14" s="61" t="e">
        <f>SUMIFS( INDEX( 'ETPT Format DDG'!$A:$FA,,MATCH("3.43. INJONCTIONS DE PAYER",'ETPT Format DDG'!2:2,0)),'ETPT Format DDG'!$C:$C,$D$5,'ETPT Format DDG'!$FA:$FA,"Fonctionnaire A-B-CBUR placé ADD")+
SUMIFS( INDEX( 'ETPT Format DDG'!$A:$FA,,MATCH("3.44. SAISIE DES RÉMUNÉRATIONS",'ETPT Format DDG'!2:2,0)),'ETPT Format DDG'!$C:$C,$D$5,'ETPT Format DDG'!$FA:$FA,"Fonctionnaire A-B-CBUR placé ADD")</f>
        <v>#N/A</v>
      </c>
      <c r="K14" s="61" t="e">
        <f>SUMIFS( INDEX( 'ETPT Format DDG'!$A:$FA,,MATCH("3. TOTAL CONTENTIEUX DE LA PROTECTION",'ETPT Format DDG'!2:2,0)),'ETPT Format DDG'!$C:$C,$D$5,'ETPT Format DDG'!$FA:$FA,"Fonctionnaire A-B-CBUR placé ADD")-
SUMIFS( INDEX( 'ETPT Format DDG'!$A:$FA,,MATCH("3.2. PROTECTION DES MAJEURS",'ETPT Format DDG'!2:2,0)),'ETPT Format DDG'!$C:$C,$D$5,'ETPT Format DDG'!$FA:$FA,"Fonctionnaire A-B-CBUR placé ADD")-
SUMIFS( INDEX( 'ETPT Format DDG'!$A:$FA,,MATCH("3.43. INJONCTIONS DE PAYER",'ETPT Format DDG'!2:2,0)),'ETPT Format DDG'!$C:$C,$D$5,'ETPT Format DDG'!$FA:$FA,"Fonctionnaire A-B-CBUR placé ADD")-
SUMIFS( INDEX( 'ETPT Format DDG'!$A:$FA,,MATCH("3.44. SAISIE DES RÉMUNÉRATIONS",'ETPT Format DDG'!2:2,0)),'ETPT Format DDG'!$C:$C,$D$5,'ETPT Format DDG'!$FA:$FA,"Fonctionnaire A-B-CBUR placé ADD")</f>
        <v>#N/A</v>
      </c>
      <c r="L14" s="61" t="e">
        <f>SUMIFS( INDEX( 'ETPT Format DDG'!$A:$FA,,MATCH("3.2.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321" t="e">
        <f>SUMIFS( INDEX( 'ETPT Format DDG'!$A:$FA,,MATCH("ETPT sur la période hors indisponibilités",'ETPT Format DDG'!2:2,0)),'ETPT Format DDG'!$C:$C,$D$5,'ETPT Format DDG'!$FA:$FA,"Fonctionnaire A-B-CBUR placé ADD")-SUM(I14:Q14)-
SUMIFS( INDEX( 'ETPT Format DDG'!$A:$FA,,MATCH("11.7.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DDG'!$A:$FA,,MATCH("3.43. INJONCTIONS DE PAYER",'ETPT Format DDG'!2:2,0)),'ETPT Format DDG'!$C:$C,$D$5,'ETPT Format DDG'!$FA:$FA,"Magistrat placé ADD")+
SUMIFS( INDEX( 'ETPT Format DDG'!$A:$FA,,MATCH("3.44. SAISIE DES RÉMUNÉRATIONS",'ETPT Format DDG'!2:2,0)),'ETPT Format DDG'!$C:$C,$D$5,'ETPT Format DDG'!$FA:$FA,"Magistrat placé ADD")</f>
        <v>#N/A</v>
      </c>
      <c r="X14" s="61" t="e">
        <f>SUMIFS( INDEX( 'ETPT Format DDG'!$A:$FA,,MATCH("3. TOTAL CONTENTIEUX DE LA PROTECTION",'ETPT Format DDG'!2:2,0)),'ETPT Format DDG'!$C:$C,$D$5,'ETPT Format DDG'!$FA:$FA,"Magistrat placé ADD")-
SUMIFS( INDEX( 'ETPT Format DDG'!$A:$FA,,MATCH("3.2. PROTECTION DES MAJEURS",'ETPT Format DDG'!2:2,0)),'ETPT Format DDG'!$C:$C,$D$5,'ETPT Format DDG'!$FA:$FA,"Magistrat placé ADD")-
SUMIFS( INDEX( 'ETPT Format DDG'!$A:$FA,,MATCH("3.43. INJONCTIONS DE PAYER",'ETPT Format DDG'!2:2,0)),'ETPT Format DDG'!$C:$C,$D$5,'ETPT Format DDG'!$FA:$FA,"Magistrat placé ADD")-
SUMIFS( INDEX( 'ETPT Format DDG'!$A:$FA,,MATCH("3.44. SAISIE DES RÉMUNÉRATIONS",'ETPT Format DDG'!2:2,0)),'ETPT Format DDG'!$C:$C,$D$5,'ETPT Format DDG'!$FA:$FA,"Magistrat placé ADD")</f>
        <v>#N/A</v>
      </c>
      <c r="Y14" s="61" t="e">
        <f>SUMIFS( INDEX( 'ETPT Format DDG'!$A:$FA,,MATCH("3.2. PROTECTION DES MAJEURS",'ETPT Format DDG'!2:2,0)),'ETPT Format DDG'!$C:$C,$D$5,'ETPT Format DDG'!$FA:$FA,"Magistrat placé ADD")</f>
        <v>#N/A</v>
      </c>
      <c r="Z14" s="57"/>
      <c r="AA14" s="57"/>
      <c r="AB14" s="57"/>
      <c r="AC14" s="57"/>
      <c r="AD14" s="57"/>
      <c r="AE14" s="94" t="e">
        <f>SUM(V14:AD14)</f>
        <v>#N/A</v>
      </c>
      <c r="AF14" s="57"/>
      <c r="AG14" s="56" t="e">
        <f>SUMIFS( INDEX( 'ETPT Format DDG'!$A:$FA,,MATCH("1.1. DÉPARTAGE PRUD'HOMAL",'ETPT Format DDG'!2:2,0)),'ETPT Format DDG'!$C:$C,$D$5,'ETPT Format DDG'!$FA:$FA,"Magistrat placé ADD")</f>
        <v>#N/A</v>
      </c>
      <c r="AH14" s="56" t="e">
        <f>SUMIFS( INDEX( 'ETPT Format DDG'!$A:$FA,,MATCH("ETPT sur la période hors indisponibilités",'ETPT Format DDG'!2:2,0)),'ETPT Format DDG'!$C:$C,$D$5,'ETPT Format DDG'!$FA:$FA,"Magistrat placé ADD")-SUM(V14:AD14)-SUM(AF14:AG14)</f>
        <v>#N/A</v>
      </c>
      <c r="AI14" s="94" t="e">
        <f t="shared" si="4"/>
        <v>#N/A</v>
      </c>
    </row>
    <row r="15" spans="1:35" x14ac:dyDescent="0.2">
      <c r="A15" s="93" t="s">
        <v>181</v>
      </c>
      <c r="B15" s="65"/>
      <c r="C15" s="65"/>
      <c r="D15" s="65">
        <f t="shared" si="5"/>
        <v>0</v>
      </c>
      <c r="E15" s="65" t="s">
        <v>47</v>
      </c>
      <c r="F15" s="65" t="s">
        <v>46</v>
      </c>
      <c r="G15" s="63" t="e">
        <f>SUMIFS( INDEX( 'ETPT Format DDG'!$A:$FA,,MATCH("ETPT sur la période hors indisponibilités",'ETPT Format DDG'!2:2,0)),'ETPT Format DDG'!$C:$C,$D$5,'ETPT Format DDG'!$FA:$FA,"Fonctionnaire CTECH placé SUB")</f>
        <v>#N/A</v>
      </c>
      <c r="H15" s="94" t="e">
        <f t="shared" si="0"/>
        <v>#N/A</v>
      </c>
      <c r="I15" s="95"/>
      <c r="J15" s="61" t="e">
        <f>SUMIFS( INDEX( 'ETPT Format DDG'!$A:$FA,,MATCH("3.43. INJONCTIONS DE PAYER",'ETPT Format DDG'!2:2,0)),'ETPT Format DDG'!$C:$C,$D$5,'ETPT Format DDG'!$FA:$FA,"Fonctionnaire A-B-CBUR placé SUB")+
SUMIFS( INDEX( 'ETPT Format DDG'!$A:$FA,,MATCH("3.44. SAISIE DES RÉMUNÉRATIONS",'ETPT Format DDG'!2:2,0)),'ETPT Format DDG'!$C:$C,$D$5,'ETPT Format DDG'!$FA:$FA,"Fonctionnaire A-B-CBUR placé SUB")</f>
        <v>#N/A</v>
      </c>
      <c r="K15" s="61" t="e">
        <f>SUMIFS( INDEX( 'ETPT Format DDG'!$A:$FA,,MATCH("3. TOTAL CONTENTIEUX DE LA PROTECTION",'ETPT Format DDG'!2:2,0)),'ETPT Format DDG'!$C:$C,$D$5,'ETPT Format DDG'!$FA:$FA,"Fonctionnaire A-B-CBUR placé SUB")-
SUMIFS( INDEX( 'ETPT Format DDG'!$A:$FA,,MATCH("3.2. PROTECTION DES MAJEURS",'ETPT Format DDG'!2:2,0)),'ETPT Format DDG'!$C:$C,$D$5,'ETPT Format DDG'!$FA:$FA,"Fonctionnaire A-B-CBUR placé SUB")-
SUMIFS( INDEX( 'ETPT Format DDG'!$A:$FA,,MATCH("3.43. INJONCTIONS DE PAYER",'ETPT Format DDG'!2:2,0)),'ETPT Format DDG'!$C:$C,$D$5,'ETPT Format DDG'!$FA:$FA,"Fonctionnaire A-B-CBUR placé SUB")-
SUMIFS( INDEX( 'ETPT Format DDG'!$A:$FA,,MATCH("3.44. SAISIE DES RÉMUNÉRATIONS",'ETPT Format DDG'!2:2,0)),'ETPT Format DDG'!$C:$C,$D$5,'ETPT Format DDG'!$FA:$FA,"Fonctionnaire A-B-CBUR placé SUB")</f>
        <v>#N/A</v>
      </c>
      <c r="L15" s="61" t="e">
        <f>SUMIFS( INDEX( 'ETPT Format DDG'!$A:$FA,,MATCH("3.2.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321" t="e">
        <f>SUMIFS( INDEX( 'ETPT Format DDG'!$A:$FA,,MATCH("ETPT sur la période hors indisponibilités",'ETPT Format DDG'!2:2,0)),'ETPT Format DDG'!$C:$C,$D$5,'ETPT Format DDG'!$FA:$FA,"Fonctionnaire A-B-CBUR placé SUB")-SUM(I15:Q15)-
SUMIFS( INDEX( 'ETPT Format DDG'!$A:$FA,,MATCH("11.7.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DDG'!$A:$FA,,MATCH("3.43. INJONCTIONS DE PAYER",'ETPT Format DDG'!2:2,0)),'ETPT Format DDG'!$C:$C,$D$5,'ETPT Format DDG'!$FA:$FA,"Magistrat placé SUB")+
SUMIFS( INDEX( 'ETPT Format DDG'!$A:$FA,,MATCH("3.44. SAISIE DES RÉMUNÉRATIONS",'ETPT Format DDG'!2:2,0)),'ETPT Format DDG'!$C:$C,$D$5,'ETPT Format DDG'!$FA:$FA,"Magistrat placé SUB")</f>
        <v>#N/A</v>
      </c>
      <c r="X15" s="61" t="e">
        <f>SUMIFS( INDEX( 'ETPT Format DDG'!$A:$FA,,MATCH("3. TOTAL CONTENTIEUX DE LA PROTECTION",'ETPT Format DDG'!2:2,0)),'ETPT Format DDG'!$C:$C,$D$5,'ETPT Format DDG'!$FA:$FA,"Magistrat placé SUB")-
SUMIFS( INDEX( 'ETPT Format DDG'!$A:$FA,,MATCH("3.2. PROTECTION DES MAJEURS",'ETPT Format DDG'!2:2,0)),'ETPT Format DDG'!$C:$C,$D$5,'ETPT Format DDG'!$FA:$FA,"Magistrat placé SUB")-
SUMIFS( INDEX( 'ETPT Format DDG'!$A:$FA,,MATCH("3.43. INJONCTIONS DE PAYER",'ETPT Format DDG'!2:2,0)),'ETPT Format DDG'!$C:$C,$D$5,'ETPT Format DDG'!$FA:$FA,"Magistrat placé SUB")-
SUMIFS( INDEX( 'ETPT Format DDG'!$A:$FA,,MATCH("3.44. SAISIE DES RÉMUNÉRATIONS",'ETPT Format DDG'!2:2,0)),'ETPT Format DDG'!$C:$C,$D$5,'ETPT Format DDG'!$FA:$FA,"Magistrat placé SUB")</f>
        <v>#N/A</v>
      </c>
      <c r="Y15" s="61" t="e">
        <f>SUMIFS( INDEX( 'ETPT Format DDG'!$A:$FA,,MATCH("3.2. PROTECTION DES MAJEURS",'ETPT Format DDG'!2:2,0)),'ETPT Format DDG'!$C:$C,$D$5,'ETPT Format DDG'!$FA:$FA,"Magistrat placé SUB")</f>
        <v>#N/A</v>
      </c>
      <c r="Z15" s="57"/>
      <c r="AA15" s="57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DDG'!$A:$FA,,MATCH("1.1. DÉPARTAGE PRUD'HOMAL",'ETPT Format DDG'!2:2,0)),'ETPT Format DDG'!$C:$C,$D$5,'ETPT Format DDG'!$FA:$FA,"Magistrat placé SUB")</f>
        <v>#N/A</v>
      </c>
      <c r="AH15" s="56" t="e">
        <f>SUMIFS( INDEX( 'ETPT Format DDG'!$A:$FA,,MATCH("ETPT sur la période hors indisponibilités",'ETPT Format DDG'!2:2,0)),'ETPT Format DDG'!$C:$C,$D$5,'ETPT Format DDG'!$FA:$FA,"Magistrat placé SUB")-SUM(V15:AD15)-SUM(AF15:AG15)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45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397</v>
      </c>
      <c r="G18" s="236" t="e">
        <f>SUMIFS( INDEX( 'ETPT Format DDG'!$A:$FA,,MATCH("12. TOTAL des INDISPONIBILITÉS relevant de l'action 99",'ETPT Format DDG'!2:2,0)),'ETPT Format DDG'!$C:$C,$D$5,'ETPT Format DDG'!$FA:$FA,"Fonctionnaire CTECH placé ADD")+
SUMIFS( INDEX( 'ETPT Format DDG'!$A:$FA,,MATCH("12. TOTAL des INDISPONIBILITÉS relevant de l'action 99",'ETPT Format DDG'!2:2,0)),'ETPT Format DDG'!$C:$C,$D$5,'ETPT Format DDG'!$FA:$FA,"Fonctionnaire CTECH placé SUB")</f>
        <v>#N/A</v>
      </c>
      <c r="Q18" s="306" t="s">
        <v>399</v>
      </c>
      <c r="R18" s="236" t="e">
        <f>SUMIFS( INDEX( 'ETPT Format DDG'!$A:$FA,,MATCH("12. TOTAL des INDISPONIBILITÉS relevant de l'action 99",'ETPT Format DDG'!2:2,0)),'ETPT Format DDG'!$C:$C,$D$5,'ETPT Format DDG'!$FA:$FA,"Fonctionnaire A-B-CBUR placé ADD")+
SUMIFS( INDEX( 'ETPT Format DDG'!$A:$FA,,MATCH("12. TOTAL des INDISPONIBILITÉS relevant de l'action 99",'ETPT Format DDG'!2:2,0)),'ETPT Format DDG'!$C:$C,$D$5,'ETPT Format DDG'!$FA:$FA,"Fonctionnaire A-B-CBUR placé SUB")</f>
        <v>#N/A</v>
      </c>
      <c r="S18" s="41"/>
      <c r="AF18" s="307"/>
      <c r="AG18" s="304" t="s">
        <v>395</v>
      </c>
      <c r="AH18" s="56" t="e">
        <f>SUMIFS( INDEX( 'ETPT Format DDG'!$A:$FA,,MATCH("12. TOTAL des INDISPONIBILITÉS relevant de l'action 99",'ETPT Format DDG'!2:2,0)),'ETPT Format DDG'!$C:$C,$D$5,'ETPT Format DDG'!$FA:$FA,"Magistrat placé ADD")+
SUMIFS( INDEX( 'ETPT Format DDG'!$A:$FA,,MATCH("12. TOTAL des INDISPONIBILITÉS relevant de l'action 99",'ETPT Format DDG'!2:2,0)),'ETPT Format DDG'!$C:$C,$D$5,'ETPT Format DDG'!$FA:$FA,"Magistrat placé SUB")</f>
        <v>#N/A</v>
      </c>
    </row>
    <row r="19" spans="4:34" x14ac:dyDescent="0.2">
      <c r="D19" s="42" t="s">
        <v>180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2025-01-30T16:21:05Z</dcterms:modified>
  <cp:category/>
</cp:coreProperties>
</file>