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71A4DF08-A0BA-A74B-A3A3-DB14EF00192D}" xr6:coauthVersionLast="47" xr6:coauthVersionMax="47" xr10:uidLastSave="{00000000-0000-0000-0000-000000000000}"/>
  <bookViews>
    <workbookView xWindow="0" yWindow="760" windowWidth="30240" windowHeight="17780" xr2:uid="{50CB0F02-73D8-432D-BA19-0D33B1FE1838}"/>
  </bookViews>
  <sheets>
    <sheet name="ACCUEIL" sheetId="33" r:id="rId1"/>
    <sheet name="ETPT A-JUST" sheetId="1" r:id="rId2"/>
    <sheet name="ETPT Format DDG" sheetId="9" r:id="rId3"/>
    <sheet name="Agrégats DDG" sheetId="10" r:id="rId4"/>
    <sheet name="Table_Fonctions" sheetId="19" state="hidden" r:id="rId5"/>
    <sheet name="ETPT_TJ" sheetId="25" state="hidden" r:id="rId6"/>
    <sheet name="ETPT_TPRX" sheetId="26" state="hidden" r:id="rId7"/>
    <sheet name="ETPT_CPH" sheetId="27" state="hidden" r:id="rId8"/>
    <sheet name="ETPT_JUR_ASS" sheetId="38" state="hidden" r:id="rId9"/>
    <sheet name="ETPT_TJ_DDG" sheetId="28" r:id="rId10"/>
    <sheet name="ETPT_TPRX_DDG" sheetId="29" r:id="rId11"/>
    <sheet name="ETPT_CPH_DDG" sheetId="30" r:id="rId12"/>
    <sheet name="ETPT_JUR_ASS_DDG" sheetId="39" r:id="rId13"/>
    <sheet name="Juridictions" sheetId="17" state="hidden" r:id="rId14"/>
    <sheet name="ETPT_TJ_corresp-SIEGE-TJ" sheetId="24" state="hidden" r:id="rId15"/>
    <sheet name="ETPT_TPROX_corresp-SIEGE-TPROX" sheetId="34" state="hidden" r:id="rId16"/>
    <sheet name="ETPT_TJ_corresp-GREFFE-TJ" sheetId="35" state="hidden" r:id="rId17"/>
    <sheet name="ETPT_TROX_corresp-GREFFE-TPROX" sheetId="36" state="hidden" r:id="rId18"/>
    <sheet name="ETPT_CPH_corresp-GREFFE-CPH" sheetId="37" state="hidden" r:id="rId19"/>
    <sheet name="ETPT_ATTACHES_JUSTICE  corresp" sheetId="40" state="hidden" r:id="rId20"/>
  </sheets>
  <definedNames>
    <definedName name="_xlnm._FilterDatabase" localSheetId="1" hidden="1">'ETPT A-JUST'!$A$2:$DN$2</definedName>
    <definedName name="_xlnm._FilterDatabase" localSheetId="2" hidden="1">'ETPT Format DDG'!$A$2:$DT$2</definedName>
    <definedName name="_xlnm._FilterDatabase" localSheetId="4" hidden="1">Table_Fonctions!$A$1:$G$1</definedName>
    <definedName name="TJCPH">Juridictions!$J$1:$J$10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6" i="24" l="1"/>
  <c r="AC16" i="24"/>
  <c r="AB16" i="24"/>
  <c r="AA16" i="24"/>
  <c r="Z16" i="24"/>
  <c r="Y16" i="24"/>
  <c r="X16" i="24"/>
  <c r="W16" i="24"/>
  <c r="V16" i="24"/>
  <c r="U16" i="24"/>
  <c r="T16" i="24"/>
  <c r="S16" i="24"/>
  <c r="R16" i="24"/>
  <c r="Q16" i="24"/>
  <c r="P16" i="24"/>
  <c r="O16" i="24"/>
  <c r="N16" i="24"/>
  <c r="M16" i="24"/>
  <c r="L16" i="24"/>
  <c r="K16" i="24"/>
  <c r="J16" i="24"/>
  <c r="I16" i="24"/>
  <c r="H16" i="24"/>
  <c r="G16" i="24"/>
  <c r="AD15" i="24"/>
  <c r="P15" i="24"/>
  <c r="AD14" i="24"/>
  <c r="P14" i="24"/>
  <c r="AD13" i="24"/>
  <c r="P13" i="24"/>
  <c r="AD12" i="24"/>
  <c r="P12" i="24"/>
  <c r="AD11" i="24"/>
  <c r="P11" i="24"/>
  <c r="AD10" i="24"/>
  <c r="P10" i="24"/>
  <c r="AD9" i="24"/>
  <c r="P9" i="24"/>
  <c r="AD8" i="24"/>
  <c r="P8" i="24"/>
  <c r="AD7" i="24"/>
  <c r="P7" i="24"/>
  <c r="AD6" i="24"/>
  <c r="P6" i="24"/>
  <c r="AD5" i="24"/>
  <c r="P5" i="24"/>
  <c r="S16" i="34"/>
  <c r="R16" i="34"/>
  <c r="Q16" i="34"/>
  <c r="O16" i="34"/>
  <c r="N16" i="34"/>
  <c r="M16" i="34"/>
  <c r="L16" i="34"/>
  <c r="K16" i="34"/>
  <c r="J16" i="34"/>
  <c r="I16" i="34"/>
  <c r="H16" i="34"/>
  <c r="G16" i="34"/>
  <c r="T15" i="34"/>
  <c r="P15" i="34"/>
  <c r="T14" i="34"/>
  <c r="P14" i="34"/>
  <c r="T13" i="34"/>
  <c r="P13" i="34"/>
  <c r="T12" i="34"/>
  <c r="P12" i="34"/>
  <c r="T11" i="34"/>
  <c r="P11" i="34"/>
  <c r="T10" i="34"/>
  <c r="P10" i="34"/>
  <c r="T9" i="34"/>
  <c r="P9" i="34"/>
  <c r="T8" i="34"/>
  <c r="P8" i="34"/>
  <c r="T7" i="34"/>
  <c r="P7" i="34"/>
  <c r="T6" i="34"/>
  <c r="P6" i="34"/>
  <c r="T5" i="34"/>
  <c r="T16" i="34" s="1"/>
  <c r="P5" i="34"/>
  <c r="P16" i="34" s="1"/>
  <c r="W16" i="35"/>
  <c r="V16" i="35"/>
  <c r="U16" i="35"/>
  <c r="T16" i="35"/>
  <c r="S16" i="35"/>
  <c r="Q16" i="35"/>
  <c r="P16" i="35"/>
  <c r="O16" i="35"/>
  <c r="N16" i="35"/>
  <c r="M16" i="35"/>
  <c r="L16" i="35"/>
  <c r="K16" i="35"/>
  <c r="J16" i="35"/>
  <c r="I16" i="35"/>
  <c r="H16" i="35"/>
  <c r="G16" i="35"/>
  <c r="W15" i="35"/>
  <c r="H15" i="35"/>
  <c r="W14" i="35"/>
  <c r="H14" i="35"/>
  <c r="W13" i="35"/>
  <c r="H13" i="35"/>
  <c r="W12" i="35"/>
  <c r="H12" i="35"/>
  <c r="W11" i="35"/>
  <c r="H11" i="35"/>
  <c r="W10" i="35"/>
  <c r="H10" i="35"/>
  <c r="W9" i="35"/>
  <c r="H9" i="35"/>
  <c r="W8" i="35"/>
  <c r="H8" i="35"/>
  <c r="W7" i="35"/>
  <c r="H7" i="35"/>
  <c r="W6" i="35"/>
  <c r="H6" i="35"/>
  <c r="W5" i="35"/>
  <c r="H5" i="35"/>
  <c r="R16" i="36"/>
  <c r="Q16" i="36"/>
  <c r="P16" i="36"/>
  <c r="O16" i="36"/>
  <c r="N16" i="36"/>
  <c r="M16" i="36"/>
  <c r="L16" i="36"/>
  <c r="K16" i="36"/>
  <c r="J16" i="36"/>
  <c r="I16" i="36"/>
  <c r="H16" i="36"/>
  <c r="G16" i="36"/>
  <c r="S15" i="36"/>
  <c r="H15" i="36"/>
  <c r="S14" i="36"/>
  <c r="H14" i="36"/>
  <c r="S13" i="36"/>
  <c r="H13" i="36"/>
  <c r="S12" i="36"/>
  <c r="H12" i="36"/>
  <c r="S11" i="36"/>
  <c r="H11" i="36"/>
  <c r="S10" i="36"/>
  <c r="H10" i="36"/>
  <c r="S9" i="36"/>
  <c r="H9" i="36"/>
  <c r="S8" i="36"/>
  <c r="H8" i="36"/>
  <c r="S7" i="36"/>
  <c r="H7" i="36"/>
  <c r="S6" i="36"/>
  <c r="H6" i="36"/>
  <c r="S5" i="36"/>
  <c r="S16" i="36" s="1"/>
  <c r="H5" i="36"/>
  <c r="T15" i="25" l="1" a="1"/>
  <c r="T15" i="25" s="1"/>
  <c r="T14" i="25" a="1"/>
  <c r="T14" i="25" s="1"/>
  <c r="T5" i="25" a="1"/>
  <c r="T5" i="25" s="1"/>
  <c r="Q13" i="40"/>
  <c r="P13" i="40"/>
  <c r="O13" i="40"/>
  <c r="N13" i="40"/>
  <c r="M13" i="40"/>
  <c r="L13" i="40"/>
  <c r="K13" i="40"/>
  <c r="J13" i="40"/>
  <c r="I13" i="40"/>
  <c r="H13" i="40"/>
  <c r="G13" i="40"/>
  <c r="Q12" i="40"/>
  <c r="Q11" i="40"/>
  <c r="Q10" i="40"/>
  <c r="Q9" i="40"/>
  <c r="Q8" i="40"/>
  <c r="Q7" i="40"/>
  <c r="Q6" i="40"/>
  <c r="Q5" i="40"/>
  <c r="O5" i="39" l="1"/>
  <c r="M5" i="39"/>
  <c r="J6" i="39"/>
  <c r="D12" i="39"/>
  <c r="D11" i="39"/>
  <c r="D10" i="39"/>
  <c r="D9" i="39"/>
  <c r="D8" i="39"/>
  <c r="D7" i="39"/>
  <c r="D6" i="39"/>
  <c r="P12" i="38"/>
  <c r="P12" i="39" s="1"/>
  <c r="P11" i="38"/>
  <c r="P11" i="39" s="1"/>
  <c r="P10" i="38"/>
  <c r="P10" i="39" s="1"/>
  <c r="P9" i="38"/>
  <c r="P9" i="39" s="1"/>
  <c r="P8" i="38"/>
  <c r="P8" i="39" s="1"/>
  <c r="P7" i="38"/>
  <c r="P7" i="39" s="1"/>
  <c r="O12" i="38"/>
  <c r="O12" i="39" s="1"/>
  <c r="O11" i="38"/>
  <c r="O11" i="39" s="1"/>
  <c r="O10" i="38"/>
  <c r="O10" i="39" s="1"/>
  <c r="O9" i="38"/>
  <c r="O9" i="39" s="1"/>
  <c r="O8" i="38"/>
  <c r="O8" i="39" s="1"/>
  <c r="O7" i="38"/>
  <c r="O7" i="39" s="1"/>
  <c r="N12" i="38"/>
  <c r="N12" i="39" s="1"/>
  <c r="N11" i="38"/>
  <c r="N11" i="39" s="1"/>
  <c r="N10" i="38"/>
  <c r="N10" i="39" s="1"/>
  <c r="N9" i="38"/>
  <c r="N9" i="39" s="1"/>
  <c r="N8" i="38"/>
  <c r="N8" i="39" s="1"/>
  <c r="N7" i="38"/>
  <c r="N7" i="39" s="1"/>
  <c r="M12" i="38"/>
  <c r="M12" i="39" s="1"/>
  <c r="M11" i="38"/>
  <c r="M11" i="39" s="1"/>
  <c r="M10" i="38"/>
  <c r="M10" i="39" s="1"/>
  <c r="M9" i="38"/>
  <c r="M9" i="39" s="1"/>
  <c r="M8" i="38"/>
  <c r="M8" i="39" s="1"/>
  <c r="M7" i="38"/>
  <c r="M7" i="39" s="1"/>
  <c r="L12" i="38" a="1"/>
  <c r="L12" i="38" s="1"/>
  <c r="L12" i="39" s="1"/>
  <c r="L11" i="38" a="1"/>
  <c r="L11" i="38" s="1"/>
  <c r="L11" i="39" s="1"/>
  <c r="L10" i="38" a="1"/>
  <c r="L10" i="38" s="1"/>
  <c r="L10" i="39" s="1"/>
  <c r="L9" i="38" a="1"/>
  <c r="L9" i="38" s="1"/>
  <c r="L9" i="39" s="1"/>
  <c r="L8" i="38" a="1"/>
  <c r="L8" i="38" s="1"/>
  <c r="L8" i="39" s="1"/>
  <c r="L7" i="38" a="1"/>
  <c r="L7" i="38" s="1"/>
  <c r="L7" i="39" s="1"/>
  <c r="L5" i="38" a="1"/>
  <c r="L5" i="38" s="1"/>
  <c r="L5" i="39" s="1"/>
  <c r="K12" i="38"/>
  <c r="K12" i="39" s="1"/>
  <c r="K11" i="38"/>
  <c r="K11" i="39" s="1"/>
  <c r="K10" i="38"/>
  <c r="K10" i="39" s="1"/>
  <c r="K9" i="38"/>
  <c r="K9" i="39" s="1"/>
  <c r="K8" i="38"/>
  <c r="K8" i="39" s="1"/>
  <c r="K7" i="38"/>
  <c r="K7" i="39" s="1"/>
  <c r="J12" i="38"/>
  <c r="J12" i="39" s="1"/>
  <c r="J11" i="38"/>
  <c r="J11" i="39" s="1"/>
  <c r="J10" i="38"/>
  <c r="J10" i="39" s="1"/>
  <c r="J9" i="38"/>
  <c r="J9" i="39" s="1"/>
  <c r="J8" i="38"/>
  <c r="J8" i="39" s="1"/>
  <c r="J7" i="38"/>
  <c r="J7" i="39" s="1"/>
  <c r="I12" i="38"/>
  <c r="I12" i="39" s="1"/>
  <c r="I11" i="38"/>
  <c r="I11" i="39" s="1"/>
  <c r="I10" i="38"/>
  <c r="I10" i="39" s="1"/>
  <c r="I9" i="38"/>
  <c r="I9" i="39" s="1"/>
  <c r="I8" i="38"/>
  <c r="I8" i="39" s="1"/>
  <c r="I7" i="38"/>
  <c r="I7" i="39" s="1"/>
  <c r="H12" i="38" a="1"/>
  <c r="H12" i="38" s="1"/>
  <c r="Q12" i="38" s="1"/>
  <c r="H11" i="38" a="1"/>
  <c r="H11" i="38" s="1"/>
  <c r="Q11" i="38" s="1"/>
  <c r="H10" i="38" a="1"/>
  <c r="H10" i="38" s="1"/>
  <c r="Q10" i="38" s="1"/>
  <c r="H8" i="38" a="1"/>
  <c r="H8" i="38" s="1"/>
  <c r="Q8" i="38" s="1"/>
  <c r="H9" i="38" a="1"/>
  <c r="H9" i="38" s="1"/>
  <c r="Q9" i="38" s="1"/>
  <c r="H7" i="38" a="1"/>
  <c r="H7" i="38" s="1"/>
  <c r="Q7" i="38" s="1"/>
  <c r="P6" i="38" a="1"/>
  <c r="P6" i="38" s="1"/>
  <c r="P6" i="39" s="1"/>
  <c r="O6" i="38" a="1"/>
  <c r="O6" i="38" s="1"/>
  <c r="O6" i="39" s="1"/>
  <c r="N6" i="38" a="1"/>
  <c r="N6" i="38" s="1"/>
  <c r="N6" i="39" s="1"/>
  <c r="M6" i="38" a="1"/>
  <c r="M6" i="38" s="1"/>
  <c r="M6" i="39" s="1"/>
  <c r="L6" i="38" a="1"/>
  <c r="L6" i="38" s="1"/>
  <c r="L6" i="39" s="1"/>
  <c r="K6" i="38" a="1"/>
  <c r="K6" i="38" s="1"/>
  <c r="K6" i="39" s="1"/>
  <c r="I6" i="38" a="1"/>
  <c r="I6" i="38" s="1"/>
  <c r="I6" i="39" s="1"/>
  <c r="H6" i="38" a="1"/>
  <c r="H6" i="38" s="1"/>
  <c r="Q6" i="38" s="1"/>
  <c r="P5" i="38" a="1"/>
  <c r="P5" i="38" s="1"/>
  <c r="P5" i="39" s="1"/>
  <c r="N5" i="38" a="1"/>
  <c r="N5" i="38" s="1"/>
  <c r="N5" i="39" s="1"/>
  <c r="K5" i="38" a="1"/>
  <c r="K5" i="38" s="1"/>
  <c r="K5" i="39" s="1"/>
  <c r="J5" i="38" a="1"/>
  <c r="J5" i="38" s="1"/>
  <c r="J5" i="39" s="1"/>
  <c r="H5" i="38" a="1"/>
  <c r="H5" i="38" s="1"/>
  <c r="Q5" i="38" s="1"/>
  <c r="I5" i="38" a="1"/>
  <c r="I5" i="38" s="1"/>
  <c r="I5" i="39" s="1"/>
  <c r="D12" i="38"/>
  <c r="D11" i="38"/>
  <c r="D10" i="38"/>
  <c r="D9" i="38"/>
  <c r="D8" i="38"/>
  <c r="D7" i="38"/>
  <c r="D6" i="38"/>
  <c r="D5" i="38"/>
  <c r="G13" i="39"/>
  <c r="H13" i="39"/>
  <c r="P13" i="39"/>
  <c r="Q13" i="39"/>
  <c r="G5" i="28"/>
  <c r="G6" i="25"/>
  <c r="O13" i="39"/>
  <c r="N13" i="39"/>
  <c r="M13" i="39"/>
  <c r="L13" i="39"/>
  <c r="K13" i="39"/>
  <c r="J13" i="39"/>
  <c r="I13" i="39"/>
  <c r="Q13" i="38"/>
  <c r="P13" i="38"/>
  <c r="O13" i="38"/>
  <c r="N13" i="38"/>
  <c r="M13" i="38"/>
  <c r="L13" i="38"/>
  <c r="K13" i="38"/>
  <c r="J13" i="38"/>
  <c r="I13" i="38"/>
  <c r="H13" i="38"/>
  <c r="G13" i="38"/>
  <c r="H5" i="39" l="1"/>
  <c r="Q5" i="39" s="1"/>
  <c r="H12" i="39"/>
  <c r="Q12" i="39" s="1"/>
  <c r="H11" i="39"/>
  <c r="Q11" i="39" s="1"/>
  <c r="H10" i="39"/>
  <c r="Q10" i="39" s="1"/>
  <c r="H9" i="39"/>
  <c r="Q9" i="39" s="1"/>
  <c r="H8" i="39"/>
  <c r="Q8" i="39" s="1"/>
  <c r="H7" i="39"/>
  <c r="Q7" i="39" s="1"/>
  <c r="H6" i="39"/>
  <c r="Q6" i="39"/>
  <c r="G13" i="27" l="1"/>
  <c r="G12" i="27"/>
  <c r="G5" i="27"/>
  <c r="G20" i="25" a="1"/>
  <c r="G20" i="25" s="1"/>
  <c r="V20" i="25" a="1"/>
  <c r="V20" i="25" s="1"/>
  <c r="AT20" i="25" a="1"/>
  <c r="AT20" i="25" s="1"/>
  <c r="AT7" i="25" a="1"/>
  <c r="AT7" i="25" s="1"/>
  <c r="AN5" i="25" a="1"/>
  <c r="AN5" i="25" s="1"/>
  <c r="AQ5" i="25" a="1"/>
  <c r="AQ5" i="25" s="1"/>
  <c r="Y14" i="25" a="1"/>
  <c r="Y14" i="25" s="1"/>
  <c r="Z6" i="25" a="1"/>
  <c r="Z6" i="25" s="1"/>
  <c r="G5" i="25" a="1"/>
  <c r="G5" i="25" s="1"/>
  <c r="I5" i="25" a="1"/>
  <c r="I5" i="25" s="1"/>
  <c r="AE5" i="25" a="1"/>
  <c r="AE5" i="25" s="1"/>
  <c r="AF5" i="25" a="1"/>
  <c r="AF5" i="25" s="1"/>
  <c r="V5" i="25" a="1"/>
  <c r="V5" i="25" s="1"/>
  <c r="U5" i="25" a="1"/>
  <c r="U5" i="25" s="1"/>
  <c r="Q5" i="25" a="1"/>
  <c r="Q5" i="25" s="1"/>
  <c r="G15" i="25" a="1"/>
  <c r="G15" i="25" s="1"/>
  <c r="U14" i="25" a="1"/>
  <c r="U14" i="25" s="1"/>
  <c r="V15" i="25" a="1"/>
  <c r="V15" i="25" s="1"/>
  <c r="U15" i="25" a="1"/>
  <c r="U15" i="25" s="1"/>
  <c r="V14" i="25" a="1"/>
  <c r="V14" i="25" s="1"/>
  <c r="V6" i="25"/>
  <c r="AT13" i="25" a="1"/>
  <c r="AT13" i="25" s="1"/>
  <c r="R15" i="25"/>
  <c r="Q15" i="25" a="1"/>
  <c r="Q15" i="25" s="1"/>
  <c r="R14" i="25"/>
  <c r="R5" i="25" a="1"/>
  <c r="R5" i="25" s="1"/>
  <c r="Q14" i="25" a="1"/>
  <c r="Q14" i="25" s="1"/>
  <c r="S15" i="25" a="1"/>
  <c r="S15" i="25" s="1"/>
  <c r="P15" i="25" a="1"/>
  <c r="P15" i="25" s="1"/>
  <c r="O15" i="25"/>
  <c r="N15" i="25"/>
  <c r="M15" i="25"/>
  <c r="L15" i="25"/>
  <c r="K15" i="25"/>
  <c r="J15" i="25"/>
  <c r="S14" i="25" a="1"/>
  <c r="S14" i="25" s="1"/>
  <c r="P14" i="25" a="1"/>
  <c r="P14" i="25" s="1"/>
  <c r="O14" i="25"/>
  <c r="N14" i="25"/>
  <c r="M14" i="25"/>
  <c r="L14" i="25"/>
  <c r="K14" i="25"/>
  <c r="J14" i="25"/>
  <c r="S5" i="25" a="1"/>
  <c r="S5" i="25" s="1"/>
  <c r="P5" i="25" a="1"/>
  <c r="P5" i="25" s="1"/>
  <c r="O6" i="25"/>
  <c r="N6" i="25"/>
  <c r="M6" i="25"/>
  <c r="L6" i="25"/>
  <c r="K6" i="25"/>
  <c r="I14" i="25" a="1"/>
  <c r="I14" i="25" s="1"/>
  <c r="J6" i="25"/>
  <c r="I15" i="25" a="1"/>
  <c r="I15" i="25" s="1"/>
  <c r="V13" i="25" a="1"/>
  <c r="V13" i="25" s="1"/>
  <c r="G13" i="25" a="1"/>
  <c r="G13" i="25" s="1"/>
  <c r="V12" i="25" a="1"/>
  <c r="V12" i="25" s="1"/>
  <c r="V11" i="25" a="1"/>
  <c r="V11" i="25" s="1"/>
  <c r="V10" i="25" a="1"/>
  <c r="V10" i="25" s="1"/>
  <c r="V9" i="25" a="1"/>
  <c r="V9" i="25" s="1"/>
  <c r="V8" i="25" a="1"/>
  <c r="V8" i="25" s="1"/>
  <c r="AT6" i="25"/>
  <c r="R6" i="25"/>
  <c r="G14" i="25" a="1"/>
  <c r="G14" i="25" s="1"/>
  <c r="AS13" i="25" a="1"/>
  <c r="AS13" i="25" s="1"/>
  <c r="G9" i="25" a="1"/>
  <c r="G9" i="25" s="1"/>
  <c r="G12" i="25" a="1"/>
  <c r="G12" i="25" s="1"/>
  <c r="G11" i="25" a="1"/>
  <c r="G11" i="25" s="1"/>
  <c r="G10" i="25" a="1"/>
  <c r="G10" i="25" s="1"/>
  <c r="G8" i="25" a="1"/>
  <c r="G8" i="25" s="1"/>
  <c r="X5" i="25" a="1"/>
  <c r="X5" i="25" s="1"/>
  <c r="Y15" i="25" a="1"/>
  <c r="Y15" i="25" s="1"/>
  <c r="Y5" i="25" a="1"/>
  <c r="Y5" i="25" s="1"/>
  <c r="AT15" i="25" l="1" a="1"/>
  <c r="AT15" i="25" s="1"/>
  <c r="AT12" i="25" a="1"/>
  <c r="AT12" i="25" s="1"/>
  <c r="AR15" i="25"/>
  <c r="AQ15" i="25" a="1"/>
  <c r="AQ15" i="25" s="1"/>
  <c r="AP15" i="25" a="1"/>
  <c r="AP15" i="25" s="1"/>
  <c r="AO15" i="25" a="1"/>
  <c r="AO15" i="25" s="1"/>
  <c r="AN15" i="25" a="1"/>
  <c r="AN15" i="25" s="1"/>
  <c r="AM15" i="25"/>
  <c r="AL15" i="25"/>
  <c r="AK15" i="25"/>
  <c r="AJ15" i="25"/>
  <c r="AI15" i="25"/>
  <c r="AH15" i="25"/>
  <c r="AF15" i="25"/>
  <c r="AH14" i="25"/>
  <c r="AT14" i="25" a="1"/>
  <c r="AT14" i="25" s="1"/>
  <c r="AR14" i="25"/>
  <c r="AQ14" i="25" a="1"/>
  <c r="AQ14" i="25" s="1"/>
  <c r="AP14" i="25" a="1"/>
  <c r="AP14" i="25" s="1"/>
  <c r="AO14" i="25" a="1"/>
  <c r="AO14" i="25" s="1"/>
  <c r="AN14" i="25" a="1"/>
  <c r="AN14" i="25" s="1"/>
  <c r="AM14" i="25"/>
  <c r="AL14" i="25"/>
  <c r="AK14" i="25"/>
  <c r="AJ14" i="25"/>
  <c r="AI14" i="25"/>
  <c r="AF14" i="25"/>
  <c r="AT5" i="25" a="1"/>
  <c r="AT5" i="25" s="1"/>
  <c r="AR5" i="25" a="1"/>
  <c r="AR5" i="25" s="1"/>
  <c r="AP5" i="25" a="1"/>
  <c r="AP5" i="25" s="1"/>
  <c r="AO5" i="25" a="1"/>
  <c r="AO5" i="25" s="1"/>
  <c r="AM6" i="25" a="1"/>
  <c r="AM6" i="25" s="1"/>
  <c r="AL6" i="25" a="1"/>
  <c r="AL6" i="25" s="1"/>
  <c r="AK6" i="25" a="1"/>
  <c r="AK6" i="25" s="1"/>
  <c r="AJ6" i="25" a="1"/>
  <c r="AJ6" i="25" s="1"/>
  <c r="AI6" i="25" a="1"/>
  <c r="AI6" i="25" s="1"/>
  <c r="AH6" i="25" a="1"/>
  <c r="AH6" i="25" s="1"/>
  <c r="AE15" i="25"/>
  <c r="AD15" i="25"/>
  <c r="AC15" i="25"/>
  <c r="AB15" i="25"/>
  <c r="AA15" i="25"/>
  <c r="Z15" i="25"/>
  <c r="X15" i="25" a="1"/>
  <c r="X15" i="25" s="1"/>
  <c r="AE14" i="25"/>
  <c r="AD14" i="25"/>
  <c r="AC14" i="25"/>
  <c r="AB14" i="25"/>
  <c r="AA14" i="25"/>
  <c r="Z14" i="25"/>
  <c r="X14" i="25" a="1"/>
  <c r="X14" i="25" s="1"/>
  <c r="AF6" i="25" a="1"/>
  <c r="AF6" i="25" s="1"/>
  <c r="AE6" i="25" a="1"/>
  <c r="AE6" i="25" s="1"/>
  <c r="AD6" i="25" a="1"/>
  <c r="AD6" i="25" s="1"/>
  <c r="AC6" i="25" a="1"/>
  <c r="AC6" i="25" s="1"/>
  <c r="AB6" i="25" a="1"/>
  <c r="AB6" i="25" s="1"/>
  <c r="AA6" i="25" a="1"/>
  <c r="AA6" i="25" s="1"/>
  <c r="AF13" i="25" a="1"/>
  <c r="AF13" i="25" s="1"/>
  <c r="AF12" i="25" a="1"/>
  <c r="AF12" i="25" s="1"/>
  <c r="AE13" i="25" a="1"/>
  <c r="AE13" i="25" s="1"/>
  <c r="AE12" i="25" a="1"/>
  <c r="AE12" i="25" s="1"/>
  <c r="AD13" i="25" a="1"/>
  <c r="AD13" i="25" s="1"/>
  <c r="AD12" i="25" a="1"/>
  <c r="AD12" i="25" s="1"/>
  <c r="Z13" i="25" a="1"/>
  <c r="Z13" i="25" s="1"/>
  <c r="Z12" i="25" a="1"/>
  <c r="Z12" i="25" s="1"/>
  <c r="Y13" i="25" a="1"/>
  <c r="Y13" i="25" s="1"/>
  <c r="AT11" i="25" a="1"/>
  <c r="AT11" i="25" s="1"/>
  <c r="AF11" i="25" a="1"/>
  <c r="AF11" i="25" s="1"/>
  <c r="AE11" i="25" a="1"/>
  <c r="AE11" i="25" s="1"/>
  <c r="AD11" i="25" a="1"/>
  <c r="AD11" i="25" s="1"/>
  <c r="Z11" i="25" a="1"/>
  <c r="Z11" i="25" s="1"/>
  <c r="Y12" i="25" a="1"/>
  <c r="Y12" i="25" s="1"/>
  <c r="AT10" i="25" a="1"/>
  <c r="AT10" i="25" s="1"/>
  <c r="AF10" i="25" a="1"/>
  <c r="AF10" i="25" s="1"/>
  <c r="AE10" i="25" a="1"/>
  <c r="AE10" i="25" s="1"/>
  <c r="AD10" i="25" a="1"/>
  <c r="AD10" i="25" s="1"/>
  <c r="Y11" i="25" a="1"/>
  <c r="Y11" i="25" s="1"/>
  <c r="Z10" i="25" a="1"/>
  <c r="Z10" i="25" s="1"/>
  <c r="Y10" i="25" a="1"/>
  <c r="Y10" i="25" s="1"/>
  <c r="AT9" i="25" a="1"/>
  <c r="AT9" i="25" s="1"/>
  <c r="AF9" i="25" a="1"/>
  <c r="AF9" i="25" s="1"/>
  <c r="AE9" i="25" a="1"/>
  <c r="AE9" i="25" s="1"/>
  <c r="AD9" i="25" a="1"/>
  <c r="AD9" i="25" s="1"/>
  <c r="Z9" i="25" a="1"/>
  <c r="Z9" i="25" s="1"/>
  <c r="Y7" i="25" a="1"/>
  <c r="Y7" i="25" s="1"/>
  <c r="AT8" i="25" a="1"/>
  <c r="AT8" i="25" s="1"/>
  <c r="AF8" i="25" a="1"/>
  <c r="AF8" i="25" s="1"/>
  <c r="AE8" i="25" a="1"/>
  <c r="AE8" i="25" s="1"/>
  <c r="AD8" i="25" a="1"/>
  <c r="AD8" i="25" s="1"/>
  <c r="Z8" i="25" a="1"/>
  <c r="Z8" i="25" s="1"/>
  <c r="Y9" i="25" a="1"/>
  <c r="Y9" i="25" s="1"/>
  <c r="Y8" i="25" a="1"/>
  <c r="Y8" i="25" s="1"/>
  <c r="AF7" i="25" a="1"/>
  <c r="AF7" i="25" s="1"/>
  <c r="AE7" i="25" a="1"/>
  <c r="AE7" i="25" s="1"/>
  <c r="AD7" i="25" a="1"/>
  <c r="AD7" i="25" s="1"/>
  <c r="Z7" i="25" a="1"/>
  <c r="Z7" i="25" s="1"/>
  <c r="AS6" i="25"/>
  <c r="AS5" i="25" a="1"/>
  <c r="AS5" i="25" s="1"/>
  <c r="U6" i="10" l="1"/>
  <c r="S6" i="10"/>
  <c r="L6" i="10"/>
  <c r="R6" i="10"/>
  <c r="Q6" i="10"/>
  <c r="P6" i="10"/>
  <c r="N6" i="10"/>
  <c r="K6" i="10"/>
  <c r="J6" i="10"/>
  <c r="I6" i="10"/>
  <c r="G6" i="10"/>
  <c r="H6" i="10" s="1"/>
  <c r="O6" i="10" l="1"/>
  <c r="M6" i="10"/>
  <c r="T6" i="10"/>
  <c r="V6" i="10"/>
  <c r="M14" i="37"/>
  <c r="K14" i="37"/>
  <c r="N13" i="37"/>
  <c r="L13" i="37"/>
  <c r="N12" i="37"/>
  <c r="L12" i="37"/>
  <c r="N11" i="37"/>
  <c r="L11" i="37"/>
  <c r="N10" i="37"/>
  <c r="L10" i="37"/>
  <c r="N9" i="37"/>
  <c r="L9" i="37"/>
  <c r="N8" i="37"/>
  <c r="L8" i="37"/>
  <c r="N7" i="37"/>
  <c r="L7" i="37"/>
  <c r="N6" i="37"/>
  <c r="L6" i="37"/>
  <c r="N5" i="37"/>
  <c r="N14" i="37" s="1"/>
  <c r="L5" i="37"/>
  <c r="L14" i="37" s="1"/>
  <c r="AN16" i="24"/>
  <c r="AM16" i="24"/>
  <c r="AL16" i="24"/>
  <c r="AK16" i="24"/>
  <c r="AJ16" i="24"/>
  <c r="AI16" i="24"/>
  <c r="AH16" i="24"/>
  <c r="AG16" i="24"/>
  <c r="AF16" i="24"/>
  <c r="AE16" i="24"/>
  <c r="AN15" i="24"/>
  <c r="AN14" i="24"/>
  <c r="AN13" i="24"/>
  <c r="AN12" i="24"/>
  <c r="AN11" i="24"/>
  <c r="AN10" i="24"/>
  <c r="AN9" i="24"/>
  <c r="AN8" i="24"/>
  <c r="AN7" i="24"/>
  <c r="AN6" i="24"/>
  <c r="AN5" i="24"/>
  <c r="AF18" i="29"/>
  <c r="AF13" i="29"/>
  <c r="R18" i="29"/>
  <c r="R14" i="29"/>
  <c r="G18" i="29"/>
  <c r="G14" i="29"/>
  <c r="AT20" i="28"/>
  <c r="AT15" i="28"/>
  <c r="G20" i="28"/>
  <c r="G15" i="28"/>
  <c r="V20" i="28"/>
  <c r="V15" i="28"/>
  <c r="BE6" i="25" l="1"/>
  <c r="D6" i="30" l="1"/>
  <c r="G6" i="30"/>
  <c r="H6" i="30" s="1"/>
  <c r="D7" i="30"/>
  <c r="G7" i="30"/>
  <c r="H7" i="30" s="1"/>
  <c r="D8" i="30"/>
  <c r="G8" i="30"/>
  <c r="H8" i="30"/>
  <c r="D9" i="30"/>
  <c r="G9" i="30"/>
  <c r="H9" i="30"/>
  <c r="D10" i="30"/>
  <c r="G10" i="30"/>
  <c r="H10" i="30" s="1"/>
  <c r="D11" i="30"/>
  <c r="G11" i="30"/>
  <c r="H11" i="30"/>
  <c r="D12" i="30"/>
  <c r="D13" i="30"/>
  <c r="I5" i="29"/>
  <c r="O5" i="29"/>
  <c r="P5" i="29"/>
  <c r="Q5" i="29"/>
  <c r="T5" i="29"/>
  <c r="Z5" i="29"/>
  <c r="AA5" i="29"/>
  <c r="AB5" i="29"/>
  <c r="AD5" i="29"/>
  <c r="D6" i="29"/>
  <c r="G6" i="29"/>
  <c r="H6" i="29" s="1"/>
  <c r="I6" i="29"/>
  <c r="J6" i="29"/>
  <c r="K6" i="29"/>
  <c r="L6" i="29"/>
  <c r="M6" i="29"/>
  <c r="N6" i="29"/>
  <c r="O6" i="29"/>
  <c r="P6" i="29"/>
  <c r="Q6" i="29"/>
  <c r="R6" i="29"/>
  <c r="T6" i="29"/>
  <c r="U6" i="29"/>
  <c r="V6" i="29"/>
  <c r="W6" i="29"/>
  <c r="X6" i="29"/>
  <c r="Y6" i="29"/>
  <c r="Z6" i="29"/>
  <c r="AA6" i="29"/>
  <c r="AB6" i="29"/>
  <c r="AD6" i="29"/>
  <c r="AE6" i="29"/>
  <c r="AF6" i="29"/>
  <c r="D7" i="29"/>
  <c r="G7" i="29"/>
  <c r="H7" i="29" s="1"/>
  <c r="I7" i="29"/>
  <c r="J7" i="29"/>
  <c r="K7" i="29"/>
  <c r="L7" i="29"/>
  <c r="M7" i="29"/>
  <c r="N7" i="29"/>
  <c r="O7" i="29"/>
  <c r="P7" i="29"/>
  <c r="Q7" i="29"/>
  <c r="R7" i="29"/>
  <c r="T7" i="29"/>
  <c r="U7" i="29"/>
  <c r="V7" i="29"/>
  <c r="W7" i="29"/>
  <c r="X7" i="29"/>
  <c r="Y7" i="29"/>
  <c r="Z7" i="29"/>
  <c r="AA7" i="29"/>
  <c r="AB7" i="29"/>
  <c r="AD7" i="29"/>
  <c r="AE7" i="29"/>
  <c r="AF7" i="29"/>
  <c r="D8" i="29"/>
  <c r="I8" i="29"/>
  <c r="J8" i="29"/>
  <c r="K8" i="29"/>
  <c r="L8" i="29"/>
  <c r="M8" i="29"/>
  <c r="N8" i="29"/>
  <c r="O8" i="29"/>
  <c r="P8" i="29"/>
  <c r="Q8" i="29"/>
  <c r="T8" i="29"/>
  <c r="U8" i="29"/>
  <c r="V8" i="29"/>
  <c r="W8" i="29"/>
  <c r="X8" i="29"/>
  <c r="Y8" i="29"/>
  <c r="Z8" i="29"/>
  <c r="AA8" i="29"/>
  <c r="AB8" i="29"/>
  <c r="AD8" i="29"/>
  <c r="AE8" i="29"/>
  <c r="D9" i="29"/>
  <c r="I9" i="29"/>
  <c r="J9" i="29"/>
  <c r="K9" i="29"/>
  <c r="L9" i="29"/>
  <c r="M9" i="29"/>
  <c r="N9" i="29"/>
  <c r="O9" i="29"/>
  <c r="P9" i="29"/>
  <c r="Q9" i="29"/>
  <c r="T9" i="29"/>
  <c r="U9" i="29"/>
  <c r="V9" i="29"/>
  <c r="W9" i="29"/>
  <c r="X9" i="29"/>
  <c r="Y9" i="29"/>
  <c r="Z9" i="29"/>
  <c r="AA9" i="29"/>
  <c r="AB9" i="29"/>
  <c r="AD9" i="29"/>
  <c r="AE9" i="29"/>
  <c r="D10" i="29"/>
  <c r="I10" i="29"/>
  <c r="J10" i="29"/>
  <c r="K10" i="29"/>
  <c r="L10" i="29"/>
  <c r="M10" i="29"/>
  <c r="N10" i="29"/>
  <c r="O10" i="29"/>
  <c r="P10" i="29"/>
  <c r="Q10" i="29"/>
  <c r="T10" i="29"/>
  <c r="U10" i="29"/>
  <c r="V10" i="29"/>
  <c r="W10" i="29"/>
  <c r="X10" i="29"/>
  <c r="Y10" i="29"/>
  <c r="Z10" i="29"/>
  <c r="AA10" i="29"/>
  <c r="AB10" i="29"/>
  <c r="AD10" i="29"/>
  <c r="AE10" i="29"/>
  <c r="D11" i="29"/>
  <c r="I11" i="29"/>
  <c r="J11" i="29"/>
  <c r="K11" i="29"/>
  <c r="L11" i="29"/>
  <c r="M11" i="29"/>
  <c r="N11" i="29"/>
  <c r="O11" i="29"/>
  <c r="P11" i="29"/>
  <c r="Q11" i="29"/>
  <c r="T11" i="29"/>
  <c r="U11" i="29"/>
  <c r="V11" i="29"/>
  <c r="W11" i="29"/>
  <c r="X11" i="29"/>
  <c r="Y11" i="29"/>
  <c r="Z11" i="29"/>
  <c r="AA11" i="29"/>
  <c r="AB11" i="29"/>
  <c r="AD11" i="29"/>
  <c r="AE11" i="29"/>
  <c r="D12" i="29"/>
  <c r="I12" i="29"/>
  <c r="J12" i="29"/>
  <c r="K12" i="29"/>
  <c r="L12" i="29"/>
  <c r="M12" i="29"/>
  <c r="N12" i="29"/>
  <c r="O12" i="29"/>
  <c r="P12" i="29"/>
  <c r="Q12" i="29"/>
  <c r="T12" i="29"/>
  <c r="U12" i="29"/>
  <c r="V12" i="29"/>
  <c r="W12" i="29"/>
  <c r="X12" i="29"/>
  <c r="Y12" i="29"/>
  <c r="Z12" i="29"/>
  <c r="AA12" i="29"/>
  <c r="AB12" i="29"/>
  <c r="AD12" i="29"/>
  <c r="AE12" i="29"/>
  <c r="D13" i="29"/>
  <c r="I13" i="29"/>
  <c r="J13" i="29"/>
  <c r="K13" i="29"/>
  <c r="L13" i="29"/>
  <c r="M13" i="29"/>
  <c r="N13" i="29"/>
  <c r="O13" i="29"/>
  <c r="P13" i="29"/>
  <c r="Q13" i="29"/>
  <c r="T13" i="29"/>
  <c r="U13" i="29"/>
  <c r="V13" i="29"/>
  <c r="W13" i="29"/>
  <c r="X13" i="29"/>
  <c r="Y13" i="29"/>
  <c r="Z13" i="29"/>
  <c r="AA13" i="29"/>
  <c r="AB13" i="29"/>
  <c r="AD13" i="29"/>
  <c r="AE13" i="29"/>
  <c r="D14" i="29"/>
  <c r="I14" i="29"/>
  <c r="O14" i="29"/>
  <c r="P14" i="29"/>
  <c r="Q14" i="29"/>
  <c r="T14" i="29"/>
  <c r="Z14" i="29"/>
  <c r="AA14" i="29"/>
  <c r="AB14" i="29"/>
  <c r="AD14" i="29"/>
  <c r="D15" i="29"/>
  <c r="I15" i="29"/>
  <c r="O15" i="29"/>
  <c r="P15" i="29"/>
  <c r="Q15" i="29"/>
  <c r="T15" i="29"/>
  <c r="Z15" i="29"/>
  <c r="AA15" i="29"/>
  <c r="AB15" i="29"/>
  <c r="AD15" i="29"/>
  <c r="J5" i="28"/>
  <c r="K5" i="28"/>
  <c r="L5" i="28"/>
  <c r="M5" i="28"/>
  <c r="N5" i="28"/>
  <c r="O5" i="28"/>
  <c r="Z5" i="28"/>
  <c r="AA5" i="28"/>
  <c r="AB5" i="28"/>
  <c r="AC5" i="28"/>
  <c r="AD5" i="28"/>
  <c r="AH5" i="28"/>
  <c r="AI5" i="28"/>
  <c r="AJ5" i="28"/>
  <c r="AK5" i="28"/>
  <c r="AL5" i="28"/>
  <c r="AM5" i="28"/>
  <c r="BE5" i="28"/>
  <c r="D6" i="28"/>
  <c r="I6" i="28"/>
  <c r="P6" i="28"/>
  <c r="Q6" i="28"/>
  <c r="S6" i="28"/>
  <c r="T6" i="28"/>
  <c r="U6" i="28"/>
  <c r="X6" i="28"/>
  <c r="Y6" i="28"/>
  <c r="AN6" i="28"/>
  <c r="AO6" i="28"/>
  <c r="AP6" i="28"/>
  <c r="AQ6" i="28"/>
  <c r="AR6" i="28"/>
  <c r="BE6" i="28"/>
  <c r="D7" i="28"/>
  <c r="G7" i="28"/>
  <c r="H7" i="28" s="1"/>
  <c r="I7" i="28"/>
  <c r="J7" i="28"/>
  <c r="K7" i="28"/>
  <c r="L7" i="28"/>
  <c r="M7" i="28"/>
  <c r="N7" i="28"/>
  <c r="O7" i="28"/>
  <c r="P7" i="28"/>
  <c r="Q7" i="28"/>
  <c r="R7" i="28"/>
  <c r="S7" i="28"/>
  <c r="T7" i="28"/>
  <c r="U7" i="28"/>
  <c r="V7" i="28"/>
  <c r="X7" i="28"/>
  <c r="AA7" i="28"/>
  <c r="AB7" i="28"/>
  <c r="AC7" i="28"/>
  <c r="AH7" i="28"/>
  <c r="AI7" i="28"/>
  <c r="AJ7" i="28"/>
  <c r="AK7" i="28"/>
  <c r="AL7" i="28"/>
  <c r="AM7" i="28"/>
  <c r="AN7" i="28"/>
  <c r="AO7" i="28"/>
  <c r="AP7" i="28"/>
  <c r="AQ7" i="28"/>
  <c r="AR7" i="28"/>
  <c r="AS7" i="28"/>
  <c r="BE7" i="28"/>
  <c r="D8" i="28"/>
  <c r="I8" i="28"/>
  <c r="J8" i="28"/>
  <c r="K8" i="28"/>
  <c r="L8" i="28"/>
  <c r="M8" i="28"/>
  <c r="N8" i="28"/>
  <c r="O8" i="28"/>
  <c r="P8" i="28"/>
  <c r="Q8" i="28"/>
  <c r="R8" i="28"/>
  <c r="S8" i="28"/>
  <c r="T8" i="28"/>
  <c r="U8" i="28"/>
  <c r="X8" i="28"/>
  <c r="Y8" i="28"/>
  <c r="Z8" i="28"/>
  <c r="AA8" i="28"/>
  <c r="AB8" i="28"/>
  <c r="AC8" i="28"/>
  <c r="AD8" i="28"/>
  <c r="AE8" i="28"/>
  <c r="AF8" i="28"/>
  <c r="AH8" i="28"/>
  <c r="AI8" i="28"/>
  <c r="AJ8" i="28"/>
  <c r="AK8" i="28"/>
  <c r="AL8" i="28"/>
  <c r="AM8" i="28"/>
  <c r="AN8" i="28"/>
  <c r="AO8" i="28"/>
  <c r="AP8" i="28"/>
  <c r="AQ8" i="28"/>
  <c r="AR8" i="28"/>
  <c r="AS8" i="28"/>
  <c r="AT8" i="28"/>
  <c r="BE8" i="28"/>
  <c r="D9" i="28"/>
  <c r="I9" i="28"/>
  <c r="J9" i="28"/>
  <c r="K9" i="28"/>
  <c r="L9" i="28"/>
  <c r="M9" i="28"/>
  <c r="N9" i="28"/>
  <c r="O9" i="28"/>
  <c r="P9" i="28"/>
  <c r="Q9" i="28"/>
  <c r="R9" i="28"/>
  <c r="S9" i="28"/>
  <c r="T9" i="28"/>
  <c r="U9" i="28"/>
  <c r="X9" i="28"/>
  <c r="AA9" i="28"/>
  <c r="AB9" i="28"/>
  <c r="AC9" i="28"/>
  <c r="AH9" i="28"/>
  <c r="AI9" i="28"/>
  <c r="AJ9" i="28"/>
  <c r="AK9" i="28"/>
  <c r="AL9" i="28"/>
  <c r="AM9" i="28"/>
  <c r="AN9" i="28"/>
  <c r="AO9" i="28"/>
  <c r="AP9" i="28"/>
  <c r="AQ9" i="28"/>
  <c r="AR9" i="28"/>
  <c r="AS9" i="28"/>
  <c r="BE9" i="28"/>
  <c r="D10" i="28"/>
  <c r="I10" i="28"/>
  <c r="J10" i="28"/>
  <c r="K10" i="28"/>
  <c r="L10" i="28"/>
  <c r="M10" i="28"/>
  <c r="N10" i="28"/>
  <c r="O10" i="28"/>
  <c r="P10" i="28"/>
  <c r="Q10" i="28"/>
  <c r="R10" i="28"/>
  <c r="S10" i="28"/>
  <c r="T10" i="28"/>
  <c r="U10" i="28"/>
  <c r="X10" i="28"/>
  <c r="AA10" i="28"/>
  <c r="AB10" i="28"/>
  <c r="AC10" i="28"/>
  <c r="AH10" i="28"/>
  <c r="AI10" i="28"/>
  <c r="AJ10" i="28"/>
  <c r="AK10" i="28"/>
  <c r="AL10" i="28"/>
  <c r="AM10" i="28"/>
  <c r="AN10" i="28"/>
  <c r="AO10" i="28"/>
  <c r="AP10" i="28"/>
  <c r="AQ10" i="28"/>
  <c r="AR10" i="28"/>
  <c r="AS10" i="28"/>
  <c r="BE10" i="28"/>
  <c r="D11" i="28"/>
  <c r="I11" i="28"/>
  <c r="J11" i="28"/>
  <c r="K11" i="28"/>
  <c r="L11" i="28"/>
  <c r="M11" i="28"/>
  <c r="N11" i="28"/>
  <c r="O11" i="28"/>
  <c r="P11" i="28"/>
  <c r="Q11" i="28"/>
  <c r="R11" i="28"/>
  <c r="S11" i="28"/>
  <c r="T11" i="28"/>
  <c r="U11" i="28"/>
  <c r="X11" i="28"/>
  <c r="AA11" i="28"/>
  <c r="AB11" i="28"/>
  <c r="AC11" i="28"/>
  <c r="AH11" i="28"/>
  <c r="AI11" i="28"/>
  <c r="AJ11" i="28"/>
  <c r="AK11" i="28"/>
  <c r="AL11" i="28"/>
  <c r="AM11" i="28"/>
  <c r="AN11" i="28"/>
  <c r="AO11" i="28"/>
  <c r="AP11" i="28"/>
  <c r="AQ11" i="28"/>
  <c r="AR11" i="28"/>
  <c r="AS11" i="28"/>
  <c r="BE11" i="28"/>
  <c r="D12" i="28"/>
  <c r="I12" i="28"/>
  <c r="J12" i="28"/>
  <c r="K12" i="28"/>
  <c r="L12" i="28"/>
  <c r="M12" i="28"/>
  <c r="N12" i="28"/>
  <c r="O12" i="28"/>
  <c r="P12" i="28"/>
  <c r="Q12" i="28"/>
  <c r="R12" i="28"/>
  <c r="S12" i="28"/>
  <c r="T12" i="28"/>
  <c r="U12" i="28"/>
  <c r="X12" i="28"/>
  <c r="AA12" i="28"/>
  <c r="AB12" i="28"/>
  <c r="AC12" i="28"/>
  <c r="AH12" i="28"/>
  <c r="AI12" i="28"/>
  <c r="AJ12" i="28"/>
  <c r="AK12" i="28"/>
  <c r="AL12" i="28"/>
  <c r="AM12" i="28"/>
  <c r="AN12" i="28"/>
  <c r="AO12" i="28"/>
  <c r="AP12" i="28"/>
  <c r="AQ12" i="28"/>
  <c r="AR12" i="28"/>
  <c r="AS12" i="28"/>
  <c r="BE12" i="28"/>
  <c r="D13" i="28"/>
  <c r="I13" i="28"/>
  <c r="J13" i="28"/>
  <c r="K13" i="28"/>
  <c r="L13" i="28"/>
  <c r="M13" i="28"/>
  <c r="N13" i="28"/>
  <c r="O13" i="28"/>
  <c r="P13" i="28"/>
  <c r="Q13" i="28"/>
  <c r="R13" i="28"/>
  <c r="S13" i="28"/>
  <c r="T13" i="28"/>
  <c r="U13" i="28"/>
  <c r="X13" i="28"/>
  <c r="Y13" i="28"/>
  <c r="Z13" i="28"/>
  <c r="AA13" i="28"/>
  <c r="AB13" i="28"/>
  <c r="AC13" i="28"/>
  <c r="AD13" i="28"/>
  <c r="AE13" i="28"/>
  <c r="AF13" i="28"/>
  <c r="AH13" i="28"/>
  <c r="AI13" i="28"/>
  <c r="AJ13" i="28"/>
  <c r="AK13" i="28"/>
  <c r="AL13" i="28"/>
  <c r="AM13" i="28"/>
  <c r="AN13" i="28"/>
  <c r="AO13" i="28"/>
  <c r="AP13" i="28"/>
  <c r="AQ13" i="28"/>
  <c r="AR13" i="28"/>
  <c r="AS13" i="28"/>
  <c r="AT13" i="28"/>
  <c r="BE13" i="28"/>
  <c r="D14" i="28"/>
  <c r="AS14" i="28"/>
  <c r="BE14" i="28"/>
  <c r="D15" i="28"/>
  <c r="AS15" i="28"/>
  <c r="BE15" i="28"/>
  <c r="AV16" i="28"/>
  <c r="AW16" i="28"/>
  <c r="AX16" i="28"/>
  <c r="AY16" i="28"/>
  <c r="AZ16" i="28"/>
  <c r="BA16" i="28"/>
  <c r="BB16" i="28"/>
  <c r="BC16" i="28"/>
  <c r="BD16" i="28"/>
  <c r="D5" i="27"/>
  <c r="AG13" i="29" l="1"/>
  <c r="AC10" i="29"/>
  <c r="BE16" i="28"/>
  <c r="AG7" i="29"/>
  <c r="AG6" i="29"/>
  <c r="AC6" i="29"/>
  <c r="AB16" i="29"/>
  <c r="AA16" i="29"/>
  <c r="Z16" i="29"/>
  <c r="AC7" i="29"/>
  <c r="S7" i="29"/>
  <c r="AC12" i="29"/>
  <c r="AC8" i="29"/>
  <c r="Q16" i="29"/>
  <c r="AC11" i="29"/>
  <c r="P16" i="29"/>
  <c r="O16" i="29"/>
  <c r="AC13" i="29"/>
  <c r="AC9" i="29"/>
  <c r="T16" i="29"/>
  <c r="S6" i="29"/>
  <c r="AD16" i="29"/>
  <c r="AU13" i="28"/>
  <c r="AG13" i="28"/>
  <c r="W7" i="28"/>
  <c r="AG8" i="28"/>
  <c r="AU8" i="28"/>
  <c r="G5" i="30"/>
  <c r="I16" i="29"/>
  <c r="H5" i="30" l="1"/>
  <c r="D6" i="27"/>
  <c r="H6" i="27"/>
  <c r="J6" i="27"/>
  <c r="D7" i="27"/>
  <c r="H7" i="27"/>
  <c r="J7" i="27"/>
  <c r="D8" i="27"/>
  <c r="H8" i="27"/>
  <c r="J8" i="27"/>
  <c r="D9" i="27"/>
  <c r="H9" i="27"/>
  <c r="J9" i="27"/>
  <c r="D10" i="27"/>
  <c r="H10" i="27"/>
  <c r="J10" i="27"/>
  <c r="D11" i="27"/>
  <c r="H11" i="27"/>
  <c r="J11" i="27"/>
  <c r="D12" i="27"/>
  <c r="G12" i="30" l="1"/>
  <c r="J12" i="27"/>
  <c r="D13" i="27"/>
  <c r="G13" i="30" l="1"/>
  <c r="H13" i="30" s="1"/>
  <c r="H12" i="30"/>
  <c r="J13" i="27"/>
  <c r="D5" i="26"/>
  <c r="T13" i="26" l="1" a="1"/>
  <c r="T13" i="26" s="1"/>
  <c r="AF5" i="26" a="1"/>
  <c r="AF5" i="26" s="1"/>
  <c r="R5" i="26"/>
  <c r="W14" i="26"/>
  <c r="AE15" i="26"/>
  <c r="G14" i="26"/>
  <c r="G5" i="26"/>
  <c r="J14" i="26"/>
  <c r="G12" i="26"/>
  <c r="G11" i="26"/>
  <c r="G9" i="26"/>
  <c r="W15" i="26"/>
  <c r="R10" i="26"/>
  <c r="W5" i="26" a="1"/>
  <c r="W5" i="26" s="1"/>
  <c r="U5" i="26" a="1"/>
  <c r="U5" i="26" s="1"/>
  <c r="R13" i="26"/>
  <c r="R12" i="26"/>
  <c r="R11" i="26"/>
  <c r="G8" i="26"/>
  <c r="J15" i="26"/>
  <c r="AE14" i="26"/>
  <c r="I13" i="26"/>
  <c r="G10" i="26"/>
  <c r="V5" i="26" a="1"/>
  <c r="V5" i="26" s="1"/>
  <c r="AF13" i="26" a="1"/>
  <c r="AF13" i="26" s="1"/>
  <c r="J5" i="26"/>
  <c r="V15" i="26"/>
  <c r="R9" i="26"/>
  <c r="AF9" i="26" a="1"/>
  <c r="AF9" i="26" s="1"/>
  <c r="AF7" i="26" a="1"/>
  <c r="AF7" i="26" s="1"/>
  <c r="G18" i="26" a="1"/>
  <c r="G18" i="26" s="1"/>
  <c r="R14" i="26"/>
  <c r="L15" i="26"/>
  <c r="K5" i="26"/>
  <c r="G15" i="26"/>
  <c r="AF12" i="26" a="1"/>
  <c r="AF12" i="26" s="1"/>
  <c r="R8" i="26"/>
  <c r="AF11" i="26" a="1"/>
  <c r="AF11" i="26" s="1"/>
  <c r="R18" i="26" a="1"/>
  <c r="R18" i="26" s="1"/>
  <c r="AF10" i="26" a="1"/>
  <c r="AF10" i="26" s="1"/>
  <c r="U15" i="26"/>
  <c r="AF15" i="26" s="1"/>
  <c r="R15" i="26"/>
  <c r="U14" i="26"/>
  <c r="AF18" i="26" a="1"/>
  <c r="AF18" i="26" s="1"/>
  <c r="AF8" i="26" a="1"/>
  <c r="AF8" i="26" s="1"/>
  <c r="V14" i="26"/>
  <c r="L14" i="26"/>
  <c r="L5" i="26"/>
  <c r="AE5" i="26" a="1"/>
  <c r="AE5" i="26" s="1"/>
  <c r="K14" i="26"/>
  <c r="G13" i="26"/>
  <c r="K15" i="26"/>
  <c r="H14" i="30"/>
  <c r="G14" i="30"/>
  <c r="G5" i="29"/>
  <c r="AF14" i="26" l="1"/>
  <c r="AC14" i="26"/>
  <c r="R5" i="29"/>
  <c r="N5" i="29"/>
  <c r="M5" i="29"/>
  <c r="L5" i="29"/>
  <c r="K5" i="29"/>
  <c r="J5" i="29"/>
  <c r="H5" i="29"/>
  <c r="S5" i="29" l="1"/>
  <c r="Y5" i="29" l="1"/>
  <c r="X5" i="29"/>
  <c r="W5" i="29"/>
  <c r="V5" i="29"/>
  <c r="U5" i="29"/>
  <c r="AF5" i="29" l="1"/>
  <c r="AE5" i="29"/>
  <c r="AC5" i="29"/>
  <c r="D6" i="26"/>
  <c r="H6" i="26"/>
  <c r="S6" i="26"/>
  <c r="AC6" i="26"/>
  <c r="AG6" i="26"/>
  <c r="D7" i="26"/>
  <c r="H7" i="26"/>
  <c r="S7" i="26"/>
  <c r="AC7" i="26"/>
  <c r="AG7" i="26"/>
  <c r="D8" i="26"/>
  <c r="G8" i="29" l="1"/>
  <c r="AG5" i="29"/>
  <c r="R8" i="29" l="1"/>
  <c r="H8" i="29"/>
  <c r="S8" i="29" l="1"/>
  <c r="AC8" i="26"/>
  <c r="AF8" i="29" l="1"/>
  <c r="D9" i="26"/>
  <c r="G9" i="29" l="1"/>
  <c r="AG8" i="29"/>
  <c r="R9" i="29" l="1"/>
  <c r="H9" i="29"/>
  <c r="S9" i="29" l="1"/>
  <c r="AC9" i="26"/>
  <c r="AF9" i="29" l="1"/>
  <c r="D10" i="26"/>
  <c r="G10" i="29" l="1"/>
  <c r="AG9" i="29"/>
  <c r="R10" i="29" l="1"/>
  <c r="H10" i="29"/>
  <c r="S10" i="29" l="1"/>
  <c r="AC10" i="26"/>
  <c r="AF10" i="29" l="1"/>
  <c r="D11" i="26"/>
  <c r="G11" i="29" l="1"/>
  <c r="AG10" i="29"/>
  <c r="R11" i="29" l="1"/>
  <c r="S11" i="29" s="1"/>
  <c r="H11" i="29"/>
  <c r="AC11" i="26" l="1"/>
  <c r="AF11" i="29" l="1"/>
  <c r="AG11" i="29" s="1"/>
  <c r="D12" i="26"/>
  <c r="G12" i="29" l="1"/>
  <c r="H12" i="29" s="1"/>
  <c r="R12" i="29" l="1"/>
  <c r="S12" i="29" s="1"/>
  <c r="AC12" i="26" l="1"/>
  <c r="AF12" i="29" l="1"/>
  <c r="AG12" i="29" s="1"/>
  <c r="D13" i="26"/>
  <c r="G13" i="29" l="1"/>
  <c r="H13" i="29" s="1"/>
  <c r="R13" i="29" l="1"/>
  <c r="S13" i="29" s="1"/>
  <c r="AC13" i="26" l="1"/>
  <c r="AG13" i="26"/>
  <c r="D14" i="26"/>
  <c r="H14" i="29" l="1"/>
  <c r="N14" i="29" l="1"/>
  <c r="M14" i="29"/>
  <c r="L14" i="29"/>
  <c r="K14" i="29"/>
  <c r="J14" i="29"/>
  <c r="Y14" i="29" l="1"/>
  <c r="X14" i="29"/>
  <c r="W14" i="29"/>
  <c r="V14" i="29"/>
  <c r="U14" i="29"/>
  <c r="S14" i="29"/>
  <c r="AF14" i="29" l="1"/>
  <c r="AE14" i="29"/>
  <c r="AC14" i="29"/>
  <c r="D15" i="26"/>
  <c r="G15" i="29" l="1"/>
  <c r="AG14" i="29"/>
  <c r="R15" i="29" l="1"/>
  <c r="R16" i="29" s="1"/>
  <c r="N15" i="29"/>
  <c r="N16" i="29" s="1"/>
  <c r="M15" i="29"/>
  <c r="M16" i="29" s="1"/>
  <c r="L15" i="29"/>
  <c r="L16" i="29" s="1"/>
  <c r="K15" i="29"/>
  <c r="K16" i="29" s="1"/>
  <c r="J15" i="29"/>
  <c r="H15" i="29"/>
  <c r="H16" i="29" s="1"/>
  <c r="G16" i="29"/>
  <c r="Y15" i="29" l="1"/>
  <c r="Y16" i="29" s="1"/>
  <c r="X15" i="29"/>
  <c r="X16" i="29" s="1"/>
  <c r="W15" i="29"/>
  <c r="W16" i="29" s="1"/>
  <c r="V15" i="29"/>
  <c r="V16" i="29" s="1"/>
  <c r="U15" i="29"/>
  <c r="S15" i="29"/>
  <c r="S16" i="29" s="1"/>
  <c r="J16" i="29"/>
  <c r="AF15" i="29" l="1"/>
  <c r="AF16" i="29" s="1"/>
  <c r="AE15" i="29"/>
  <c r="AC15" i="29"/>
  <c r="AC16" i="29" s="1"/>
  <c r="U16" i="29"/>
  <c r="I16" i="26"/>
  <c r="O16" i="26"/>
  <c r="P16" i="26"/>
  <c r="Q16" i="26"/>
  <c r="T16" i="26"/>
  <c r="Z16" i="26"/>
  <c r="AA16" i="26"/>
  <c r="AB16" i="26"/>
  <c r="AD16" i="26"/>
  <c r="D5" i="25"/>
  <c r="AG15" i="29" l="1"/>
  <c r="AG16" i="29" s="1"/>
  <c r="AE16" i="29"/>
  <c r="V5" i="28" l="1"/>
  <c r="U5" i="28"/>
  <c r="T5" i="28"/>
  <c r="S5" i="28"/>
  <c r="R5" i="28"/>
  <c r="Q5" i="28"/>
  <c r="P5" i="28"/>
  <c r="I5" i="28"/>
  <c r="H5" i="28"/>
  <c r="W5" i="28" l="1"/>
  <c r="Y5" i="28" l="1"/>
  <c r="X5" i="28"/>
  <c r="AT5" i="28" l="1"/>
  <c r="AS5" i="28"/>
  <c r="AR5" i="28"/>
  <c r="AQ5" i="28"/>
  <c r="AP5" i="28"/>
  <c r="AO5" i="28"/>
  <c r="AN5" i="28"/>
  <c r="BE5" i="25"/>
  <c r="D6" i="25"/>
  <c r="AU5" i="28" l="1"/>
  <c r="D7" i="25" l="1"/>
  <c r="H7" i="25"/>
  <c r="W7" i="25"/>
  <c r="AF7" i="28" l="1"/>
  <c r="AE7" i="28"/>
  <c r="AD7" i="28"/>
  <c r="Z7" i="28"/>
  <c r="Y7" i="28"/>
  <c r="AT7" i="28" l="1"/>
  <c r="AG7" i="28"/>
  <c r="BE7" i="25"/>
  <c r="D8" i="25"/>
  <c r="G8" i="28" l="1"/>
  <c r="AU7" i="28"/>
  <c r="V8" i="28" l="1"/>
  <c r="H8" i="28"/>
  <c r="W8" i="28" l="1"/>
  <c r="AG8" i="25"/>
  <c r="AU8" i="25"/>
  <c r="BE8" i="25"/>
  <c r="D9" i="25"/>
  <c r="G9" i="28" l="1"/>
  <c r="V9" i="28" l="1"/>
  <c r="H9" i="28"/>
  <c r="W9" i="28" l="1"/>
  <c r="AF9" i="28" l="1"/>
  <c r="AE9" i="28"/>
  <c r="AD9" i="28"/>
  <c r="Z9" i="28"/>
  <c r="Y9" i="28"/>
  <c r="AT9" i="28" l="1"/>
  <c r="AG9" i="28"/>
  <c r="BE9" i="25"/>
  <c r="D10" i="25"/>
  <c r="G10" i="28" l="1"/>
  <c r="AU9" i="28"/>
  <c r="V10" i="28" l="1"/>
  <c r="H10" i="28"/>
  <c r="W10" i="28" l="1"/>
  <c r="AF10" i="28" l="1"/>
  <c r="AE10" i="28"/>
  <c r="AD10" i="28"/>
  <c r="Z10" i="28"/>
  <c r="Y10" i="28"/>
  <c r="AT10" i="28" l="1"/>
  <c r="AG10" i="28"/>
  <c r="BE10" i="25"/>
  <c r="D11" i="25"/>
  <c r="G11" i="28" l="1"/>
  <c r="AU10" i="28"/>
  <c r="V11" i="28" l="1"/>
  <c r="W11" i="28" s="1"/>
  <c r="H11" i="28"/>
  <c r="AF11" i="28" l="1"/>
  <c r="AE11" i="28"/>
  <c r="AD11" i="28"/>
  <c r="Z11" i="28"/>
  <c r="Y11" i="28"/>
  <c r="AT11" i="28" l="1"/>
  <c r="AU11" i="28" s="1"/>
  <c r="AG11" i="28"/>
  <c r="BE11" i="25"/>
  <c r="D12" i="25"/>
  <c r="G12" i="28" l="1"/>
  <c r="H12" i="28" s="1"/>
  <c r="V12" i="28" l="1"/>
  <c r="W12" i="28" s="1"/>
  <c r="AF12" i="28" l="1"/>
  <c r="AE12" i="28"/>
  <c r="AD12" i="28"/>
  <c r="Z12" i="28"/>
  <c r="Y12" i="28"/>
  <c r="AT12" i="28" l="1"/>
  <c r="AU12" i="28" s="1"/>
  <c r="AG12" i="28"/>
  <c r="BE12" i="25"/>
  <c r="D13" i="25"/>
  <c r="G13" i="28" l="1"/>
  <c r="H13" i="28" s="1"/>
  <c r="V13" i="28" l="1"/>
  <c r="W13" i="28" s="1"/>
  <c r="AG13" i="25" l="1"/>
  <c r="AU13" i="25"/>
  <c r="BE13" i="25"/>
  <c r="D14" i="25"/>
  <c r="G14" i="28" l="1"/>
  <c r="H14" i="28" s="1"/>
  <c r="V14" i="28" l="1"/>
  <c r="U14" i="28"/>
  <c r="T14" i="28"/>
  <c r="S14" i="28"/>
  <c r="R14" i="28"/>
  <c r="Q14" i="28"/>
  <c r="P14" i="28"/>
  <c r="O14" i="28"/>
  <c r="N14" i="28"/>
  <c r="M14" i="28"/>
  <c r="L14" i="28"/>
  <c r="K14" i="28"/>
  <c r="J14" i="28"/>
  <c r="I14" i="28"/>
  <c r="Y14" i="28" l="1"/>
  <c r="X14" i="28"/>
  <c r="W14" i="28"/>
  <c r="AR14" i="28" l="1"/>
  <c r="AQ14" i="28"/>
  <c r="AP14" i="28"/>
  <c r="AO14" i="28"/>
  <c r="AN14" i="28"/>
  <c r="BE14" i="25"/>
  <c r="D15" i="25"/>
  <c r="U15" i="28" l="1"/>
  <c r="U16" i="28" s="1"/>
  <c r="T15" i="28"/>
  <c r="T16" i="28" s="1"/>
  <c r="S15" i="28"/>
  <c r="S16" i="28" s="1"/>
  <c r="R15" i="28"/>
  <c r="Q15" i="28"/>
  <c r="Q16" i="28" s="1"/>
  <c r="P15" i="28"/>
  <c r="P16" i="28" s="1"/>
  <c r="O15" i="28"/>
  <c r="N15" i="28"/>
  <c r="M15" i="28"/>
  <c r="L15" i="28"/>
  <c r="K15" i="28"/>
  <c r="J15" i="28"/>
  <c r="I15" i="28"/>
  <c r="H15" i="28"/>
  <c r="Y15" i="28" l="1"/>
  <c r="Y16" i="28" s="1"/>
  <c r="X15" i="28"/>
  <c r="W15" i="28"/>
  <c r="I16" i="28"/>
  <c r="AR15" i="28" l="1"/>
  <c r="AR16" i="28" s="1"/>
  <c r="AQ15" i="28"/>
  <c r="AQ16" i="28" s="1"/>
  <c r="AP15" i="28"/>
  <c r="AP16" i="28" s="1"/>
  <c r="AO15" i="28"/>
  <c r="AO16" i="28" s="1"/>
  <c r="AN15" i="28"/>
  <c r="X16" i="28"/>
  <c r="BE15" i="25"/>
  <c r="BE16" i="25" s="1"/>
  <c r="AV16" i="25"/>
  <c r="AW16" i="25"/>
  <c r="AX16" i="25"/>
  <c r="AY16" i="25"/>
  <c r="AZ16" i="25"/>
  <c r="BA16" i="25"/>
  <c r="BB16" i="25"/>
  <c r="BC16" i="25"/>
  <c r="BD16" i="25"/>
  <c r="H12" i="27" l="1"/>
  <c r="H13" i="27"/>
  <c r="H13" i="26"/>
  <c r="AG9" i="26"/>
  <c r="H9" i="26"/>
  <c r="S8" i="26"/>
  <c r="S13" i="26"/>
  <c r="H12" i="26"/>
  <c r="S12" i="26"/>
  <c r="H10" i="26"/>
  <c r="H8" i="26"/>
  <c r="H15" i="26"/>
  <c r="AG11" i="26"/>
  <c r="H14" i="26"/>
  <c r="AG10" i="26"/>
  <c r="S9" i="26"/>
  <c r="AG12" i="26"/>
  <c r="AG8" i="26"/>
  <c r="S10" i="26"/>
  <c r="S11" i="26"/>
  <c r="H11" i="26"/>
  <c r="W11" i="25"/>
  <c r="W13" i="25"/>
  <c r="H8" i="25"/>
  <c r="H11" i="25"/>
  <c r="H13" i="25"/>
  <c r="H15" i="25"/>
  <c r="AU7" i="25"/>
  <c r="AU9" i="25"/>
  <c r="AU10" i="25"/>
  <c r="W8" i="25"/>
  <c r="H14" i="25"/>
  <c r="W10" i="25"/>
  <c r="H12" i="25"/>
  <c r="W9" i="25"/>
  <c r="H10" i="25"/>
  <c r="AU11" i="25"/>
  <c r="H5" i="25"/>
  <c r="H9" i="25"/>
  <c r="W12" i="25"/>
  <c r="AU12" i="25"/>
  <c r="AN16" i="28"/>
  <c r="M16" i="26" l="1"/>
  <c r="X16" i="25"/>
  <c r="S14" i="26"/>
  <c r="AU5" i="25"/>
  <c r="L16" i="26"/>
  <c r="K16" i="26"/>
  <c r="AR16" i="25"/>
  <c r="AI15" i="28"/>
  <c r="AG11" i="25"/>
  <c r="T16" i="25"/>
  <c r="AG10" i="25"/>
  <c r="X16" i="26"/>
  <c r="Y16" i="25"/>
  <c r="W14" i="25"/>
  <c r="AQ16" i="25"/>
  <c r="AC15" i="26"/>
  <c r="W5" i="25"/>
  <c r="P16" i="25"/>
  <c r="AO16" i="25"/>
  <c r="W15" i="25"/>
  <c r="U16" i="25"/>
  <c r="AC5" i="26"/>
  <c r="U16" i="26"/>
  <c r="AG7" i="25"/>
  <c r="W16" i="26"/>
  <c r="H5" i="27"/>
  <c r="H14" i="27" s="1"/>
  <c r="G14" i="27"/>
  <c r="J16" i="26"/>
  <c r="AG5" i="26"/>
  <c r="AE16" i="26"/>
  <c r="S16" i="25"/>
  <c r="AP16" i="25"/>
  <c r="H5" i="26"/>
  <c r="H16" i="26" s="1"/>
  <c r="G16" i="26"/>
  <c r="AN16" i="25"/>
  <c r="N16" i="26"/>
  <c r="I16" i="25"/>
  <c r="Q16" i="25"/>
  <c r="AG12" i="25"/>
  <c r="S15" i="26"/>
  <c r="Y16" i="26"/>
  <c r="J5" i="27"/>
  <c r="J14" i="27" s="1"/>
  <c r="I14" i="27"/>
  <c r="AG9" i="25"/>
  <c r="V16" i="26"/>
  <c r="AE14" i="28"/>
  <c r="AL15" i="28"/>
  <c r="AC15" i="28"/>
  <c r="AJ14" i="28"/>
  <c r="AF6" i="28"/>
  <c r="AA15" i="28"/>
  <c r="AB15" i="28"/>
  <c r="AE15" i="28"/>
  <c r="AI14" i="28"/>
  <c r="AD14" i="28"/>
  <c r="AL14" i="28"/>
  <c r="AC14" i="28"/>
  <c r="AK15" i="28"/>
  <c r="AJ15" i="28"/>
  <c r="AE6" i="28"/>
  <c r="AF14" i="28"/>
  <c r="AD15" i="28"/>
  <c r="AM15" i="28"/>
  <c r="AB14" i="28"/>
  <c r="AK14" i="28"/>
  <c r="AF15" i="28"/>
  <c r="AA14" i="28"/>
  <c r="AG14" i="26" l="1"/>
  <c r="AG15" i="26"/>
  <c r="AU6" i="25"/>
  <c r="R16" i="26"/>
  <c r="AC16" i="26"/>
  <c r="S5" i="26"/>
  <c r="S16" i="26" s="1"/>
  <c r="AM14" i="28"/>
  <c r="AT14" i="28"/>
  <c r="G6" i="28"/>
  <c r="H6" i="25"/>
  <c r="H16" i="25" s="1"/>
  <c r="G16" i="25"/>
  <c r="M6" i="28"/>
  <c r="M16" i="28" s="1"/>
  <c r="M16" i="25"/>
  <c r="AE5" i="28"/>
  <c r="AG5" i="25"/>
  <c r="AE16" i="25"/>
  <c r="AA6" i="28"/>
  <c r="AA16" i="28" s="1"/>
  <c r="AA16" i="25"/>
  <c r="N6" i="28"/>
  <c r="N16" i="28" s="1"/>
  <c r="N16" i="25"/>
  <c r="AT6" i="28"/>
  <c r="AC6" i="28"/>
  <c r="AC16" i="28" s="1"/>
  <c r="AC16" i="25"/>
  <c r="K6" i="28"/>
  <c r="K16" i="28" s="1"/>
  <c r="K16" i="25"/>
  <c r="AI6" i="28"/>
  <c r="AI16" i="28" s="1"/>
  <c r="AI16" i="25"/>
  <c r="AM6" i="28"/>
  <c r="AM16" i="25"/>
  <c r="AH6" i="28"/>
  <c r="AH16" i="25"/>
  <c r="J6" i="28"/>
  <c r="J16" i="28" s="1"/>
  <c r="J16" i="25"/>
  <c r="AK6" i="28"/>
  <c r="AK16" i="28" s="1"/>
  <c r="AK16" i="25"/>
  <c r="AJ6" i="28"/>
  <c r="AJ16" i="28" s="1"/>
  <c r="AJ16" i="25"/>
  <c r="AS6" i="28"/>
  <c r="AS16" i="28" s="1"/>
  <c r="AS16" i="25"/>
  <c r="L6" i="28"/>
  <c r="L16" i="28" s="1"/>
  <c r="L16" i="25"/>
  <c r="Z6" i="28"/>
  <c r="AG6" i="25"/>
  <c r="Z16" i="25"/>
  <c r="AB6" i="28"/>
  <c r="AB16" i="28" s="1"/>
  <c r="AB16" i="25"/>
  <c r="Z15" i="28"/>
  <c r="AG15" i="28" s="1"/>
  <c r="AG15" i="25"/>
  <c r="AL6" i="28"/>
  <c r="AL16" i="28" s="1"/>
  <c r="AL16" i="25"/>
  <c r="AH15" i="28"/>
  <c r="O6" i="28"/>
  <c r="O16" i="28" s="1"/>
  <c r="O16" i="25"/>
  <c r="R6" i="28"/>
  <c r="R16" i="28" s="1"/>
  <c r="R16" i="25"/>
  <c r="AD6" i="28"/>
  <c r="AD16" i="28" s="1"/>
  <c r="AD16" i="25"/>
  <c r="AH14" i="28"/>
  <c r="Z14" i="28"/>
  <c r="AG14" i="28" s="1"/>
  <c r="AG14" i="25"/>
  <c r="AF5" i="28"/>
  <c r="AF16" i="28" s="1"/>
  <c r="AF16" i="25"/>
  <c r="B3" i="10"/>
  <c r="AG16" i="26" l="1"/>
  <c r="AF16" i="26"/>
  <c r="AM16" i="28"/>
  <c r="AG16" i="25"/>
  <c r="AT16" i="28"/>
  <c r="AU15" i="25"/>
  <c r="AU14" i="25"/>
  <c r="AG5" i="28"/>
  <c r="AE16" i="28"/>
  <c r="V6" i="28"/>
  <c r="V16" i="25"/>
  <c r="W6" i="25"/>
  <c r="W16" i="25" s="1"/>
  <c r="AT16" i="25"/>
  <c r="AH16" i="28"/>
  <c r="AU6" i="28"/>
  <c r="H6" i="28"/>
  <c r="H16" i="28" s="1"/>
  <c r="G16" i="28"/>
  <c r="AG6" i="28"/>
  <c r="Z16" i="28"/>
  <c r="AU15" i="28"/>
  <c r="AU14" i="28"/>
  <c r="AU16" i="25" l="1"/>
  <c r="AG16" i="28"/>
  <c r="AU16" i="28"/>
  <c r="W6" i="28"/>
  <c r="W16" i="28" s="1"/>
  <c r="V16" i="28"/>
  <c r="AU18" i="2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H5" authorId="0" shapeId="0" xr:uid="{3FF6CDD0-4DBC-014F-8D0F-569644CE1C84}">
      <text>
        <r>
          <rPr>
            <b/>
            <sz val="9"/>
            <color rgb="FF000000"/>
            <rFont val="Tahoma"/>
            <family val="2"/>
          </rPr>
          <t>Dans cet onglet aussi, il y a un sélecteur de juridiction permettant de choisir TJ, TPROX ou CPH</t>
        </r>
        <r>
          <rPr>
            <sz val="9"/>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<sst xmlns="http://schemas.openxmlformats.org/spreadsheetml/2006/main" count="1771" uniqueCount="618">
  <si>
    <t>#! END_ROW</t>
  </si>
  <si>
    <t>#! FOR_EACH w stats</t>
  </si>
  <si>
    <t>#! DUMP_COLS days</t>
  </si>
  <si>
    <t>#! DUMP_COLS w.actions</t>
  </si>
  <si>
    <t>#! CONTINUE w</t>
  </si>
  <si>
    <t>#! END_LOOP w</t>
  </si>
  <si>
    <t>#! DUMP_COLS subtitles</t>
  </si>
  <si>
    <t>#! FINISH</t>
  </si>
  <si>
    <t>#! DUMP_COLS days1</t>
  </si>
  <si>
    <t>#! FOR_EACH x stats1</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</si>
  <si>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</si>
  <si>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</si>
  <si>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</si>
  <si>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</si>
  <si>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</si>
  <si>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</si>
  <si>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</si>
  <si>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</si>
  <si>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</si>
  <si>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</si>
  <si>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</si>
  <si>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</si>
  <si>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</si>
  <si>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</si>
  <si>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</si>
  <si>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Pour toute question, n'hésitez pas à contacter l'équipe A-JUST : support-utilisateurs@a-just.fr</t>
  </si>
  <si>
    <t>SIEGE</t>
  </si>
  <si>
    <t>GREFFE</t>
  </si>
  <si>
    <t>EQUIPE AUTOUR DU MAGISTRAT</t>
  </si>
  <si>
    <t>Contractuels et vacataires</t>
  </si>
  <si>
    <t>TOTAL SIEGE</t>
  </si>
  <si>
    <t>TOTAL GREFFE</t>
  </si>
  <si>
    <t>Juridiction</t>
  </si>
  <si>
    <t>TJ</t>
  </si>
  <si>
    <t>JE</t>
  </si>
  <si>
    <t>JAP</t>
  </si>
  <si>
    <t>CPH</t>
  </si>
  <si>
    <t>TPROX</t>
  </si>
  <si>
    <t>JURISTE AS</t>
  </si>
  <si>
    <t>TOTAL ETPT</t>
  </si>
  <si>
    <t>Etpt placés de substitution</t>
  </si>
  <si>
    <t>166-PS-NC</t>
  </si>
  <si>
    <t>ETPT_TJ</t>
  </si>
  <si>
    <t>Etpt placés additionnels</t>
  </si>
  <si>
    <t>166-PA-NC</t>
  </si>
  <si>
    <t>Etpt autres personnels à reventiler (dont droit local,commercial- rcs, mise à disposition)</t>
  </si>
  <si>
    <t>166-NC-NC</t>
  </si>
  <si>
    <t>Action 99 - Personnel concourant au programme - à reventiler</t>
  </si>
  <si>
    <t>166-99-NC</t>
  </si>
  <si>
    <t>Action 8 - Support à l'accès au droit et à la justice</t>
  </si>
  <si>
    <t>166-08-NC</t>
  </si>
  <si>
    <t>Action 7 - Formation dispensée</t>
  </si>
  <si>
    <t>166-07-NC</t>
  </si>
  <si>
    <t>Action 6 - Soutien (Hors accueil du justiciable)</t>
  </si>
  <si>
    <t>166-06-NC</t>
  </si>
  <si>
    <t>Action 6 - Accueil du justiciable (inclus SAUJ)</t>
  </si>
  <si>
    <t>166-06-99</t>
  </si>
  <si>
    <t>Action 4 - Conseil supérieur de la magistrature</t>
  </si>
  <si>
    <t>166-04-NC</t>
  </si>
  <si>
    <t>Action 2 - Traitement et jugement des affaires pénales</t>
  </si>
  <si>
    <t>166-02-NC</t>
  </si>
  <si>
    <t>Action 1 - Traitement et jugement des contentieux civils</t>
  </si>
  <si>
    <t>166-01-NC</t>
  </si>
  <si>
    <t>Autres Magistrats du Parquet</t>
  </si>
  <si>
    <t>Magistrats du Parquet - activité contraventionnelle</t>
  </si>
  <si>
    <t>Magistrats du Parquet Cour criminelle</t>
  </si>
  <si>
    <t>Magistrats du Parquet assises</t>
  </si>
  <si>
    <t>Magistrats du Parquet JIRS sections spécialisées</t>
  </si>
  <si>
    <t>Magistrats du Parquet JIRS crim-org</t>
  </si>
  <si>
    <t>Magistrats du Parquet JIRS éco-fi</t>
  </si>
  <si>
    <t>Magistrats du Parquet - exécution et appl. des peines</t>
  </si>
  <si>
    <t>Magistrats du Parquet - activité civile et commerciale</t>
  </si>
  <si>
    <t>Autres Magistrats du Siège non spécialisés</t>
  </si>
  <si>
    <t>Activités non spécialisés des juges spécialisés</t>
  </si>
  <si>
    <t>JAF</t>
  </si>
  <si>
    <t>Juges du Pôle social</t>
  </si>
  <si>
    <t>Juges TJ  IP et Saisies Rém</t>
  </si>
  <si>
    <t>Juges TJ Contentieux général &lt; 10 000 EUR</t>
  </si>
  <si>
    <t>Magistrats activité juge départiteur</t>
  </si>
  <si>
    <t>Magistrats du Siège activité contraventionnelle</t>
  </si>
  <si>
    <t>Magistrat du siège sections spécialisées</t>
  </si>
  <si>
    <t>Magistrat du siège JIRS crim-org</t>
  </si>
  <si>
    <t>Magistrat du siège JIRS éco-fi</t>
  </si>
  <si>
    <t>Magistrats du siège Cour criminelle</t>
  </si>
  <si>
    <t>Magistrats du Siège assises</t>
  </si>
  <si>
    <t>JLD</t>
  </si>
  <si>
    <t>Juges des Enfants</t>
  </si>
  <si>
    <t>Juges Instruction sections spécialisées</t>
  </si>
  <si>
    <t>Juges Instruction JIRS crim-org</t>
  </si>
  <si>
    <t>Juges Instruction JIRS éco-fi</t>
  </si>
  <si>
    <t>Juges Instruction - service général</t>
  </si>
  <si>
    <t>JCP TJ surendettement et hors surendettement</t>
  </si>
  <si>
    <t>JCP TJ Tutelles majeurs</t>
  </si>
  <si>
    <t>Juristes assistants siège Autres</t>
  </si>
  <si>
    <t xml:space="preserve">Fonctionnaires hors fonctions spécifiques </t>
  </si>
  <si>
    <t>Fonctionnaires affectés aux pôles sociaux</t>
  </si>
  <si>
    <t>Fonctionnaires TJ Contentieux général &lt; 10 000 EUR</t>
  </si>
  <si>
    <t>Fonctionnaires TJ  IP_Saisies Rém</t>
  </si>
  <si>
    <t>Fonctionnaires affectés aux fonctions JI, JE, JAP, JLD</t>
  </si>
  <si>
    <t>Fonctionnaires TJ au surendettement et au hors surendettement</t>
  </si>
  <si>
    <t>Fonctionnaires TJ Tutelles majeurs</t>
  </si>
  <si>
    <t>Fonctionnaires sections spécialisées</t>
  </si>
  <si>
    <t>Fonctionnaires JIRS crim-org</t>
  </si>
  <si>
    <t>Fonctionnaires JIRS éco-fi</t>
  </si>
  <si>
    <t>Fonctionnaires Cour criminelle</t>
  </si>
  <si>
    <t>Fonctionnaires Assises</t>
  </si>
  <si>
    <t>Fonctionnaires exécution des peines</t>
  </si>
  <si>
    <t>Fonctionnaires activité civile et commerciale du parquet</t>
  </si>
  <si>
    <t>Fonctionnaires Catégorie C Technique spécialisés</t>
  </si>
  <si>
    <t>Action</t>
  </si>
  <si>
    <t>Code sous action</t>
  </si>
  <si>
    <t>Code de la juridiction</t>
  </si>
  <si>
    <t>UO</t>
  </si>
  <si>
    <t>AUTRES_PARQUET</t>
  </si>
  <si>
    <t>PARQUET_TI</t>
  </si>
  <si>
    <t>PQT_COUR_CRIM</t>
  </si>
  <si>
    <t>PARQUET_ASSISES</t>
  </si>
  <si>
    <t>PARQUET_JIRS_SS</t>
  </si>
  <si>
    <t>PARQUET_JIRS_CRIMO</t>
  </si>
  <si>
    <t>PARQUET_JIRS_ECOFI</t>
  </si>
  <si>
    <t>PARQUET_EXE_APP_PEINES</t>
  </si>
  <si>
    <t>PARQUET_ACTIVITE_CIV_COM</t>
  </si>
  <si>
    <t>AUTRES_JNS</t>
  </si>
  <si>
    <t>J_SPEC_ACT_NON_SPEC</t>
  </si>
  <si>
    <t>JAF_JNS</t>
  </si>
  <si>
    <t>JUGE_TASS_JNS</t>
  </si>
  <si>
    <t>JUGE_TJ_IP_SR</t>
  </si>
  <si>
    <t>JUGE_CTX_GEN_INF_DIX_MIL</t>
  </si>
  <si>
    <t>TI_ACT_J_DEPARTITEUR</t>
  </si>
  <si>
    <t>MAG_SIEGE_CONTRAV</t>
  </si>
  <si>
    <t>MAG_SIEGE_JIRS_SS</t>
  </si>
  <si>
    <t>MAG_SIEGE_JIRS_CRIMO</t>
  </si>
  <si>
    <t>MAG_SIEGE_JIRS_ECOFI</t>
  </si>
  <si>
    <t>JNS_COUR_CRIM</t>
  </si>
  <si>
    <t>MAG_SIEGE_ASSISES</t>
  </si>
  <si>
    <t>JLD_JNS</t>
  </si>
  <si>
    <t>J_INSTRUCTION_JIRS_SS</t>
  </si>
  <si>
    <t>J_INSTRUCTION_JIRS_CRIMO</t>
  </si>
  <si>
    <t>J_INSTRUCTION_JIRS_ECOFI</t>
  </si>
  <si>
    <t>J_INSTRUCTION</t>
  </si>
  <si>
    <t>JCP_TJ_SURENDETTEMENT</t>
  </si>
  <si>
    <t>JCP_TJ_TUT_MAJ</t>
  </si>
  <si>
    <t>JUR_ASS_SIEGE</t>
  </si>
  <si>
    <t>JUR_ASS_TASS</t>
  </si>
  <si>
    <t>JUR_ASS_PARQUET</t>
  </si>
  <si>
    <t>FONCTIONNAIRES_HORS_FONCT_SPEC</t>
  </si>
  <si>
    <t>FONC_P_SOC</t>
  </si>
  <si>
    <t>FONC_CTX_GEN_INF_DIX_MIL</t>
  </si>
  <si>
    <t>FONC_TJ_IP_SR</t>
  </si>
  <si>
    <t>FONC_TJ_SURENDETTEMENT</t>
  </si>
  <si>
    <t>FONC_TJ_TUT_MAJ</t>
  </si>
  <si>
    <t>FONCTIONNAIRES_JIRS_SS</t>
  </si>
  <si>
    <t>FONCTIONNAIRES_JIRS_CRIMO</t>
  </si>
  <si>
    <t>FONCTIONNAIRES_JIRS_ECOFI</t>
  </si>
  <si>
    <t>FONC_COUR_CRIM</t>
  </si>
  <si>
    <t>FONCTIONNAIRES_ASSISES</t>
  </si>
  <si>
    <t>FONCTIONNAIRES_BEX_APP</t>
  </si>
  <si>
    <t>FONCTIONNAIRES_ACTIVITE_CIV_PRQT</t>
  </si>
  <si>
    <t>FONCTIONNAIRES_C_TECHNIQUES_SPEC</t>
  </si>
  <si>
    <t>Total magistrats du parquet</t>
  </si>
  <si>
    <t>PRQT</t>
  </si>
  <si>
    <t>Total magistrats du siège non spécialisés</t>
  </si>
  <si>
    <t>SIEGE NS</t>
  </si>
  <si>
    <t>Total magistrats du siège spécialisés</t>
  </si>
  <si>
    <t>SIEGE S</t>
  </si>
  <si>
    <t>Total juristes assistants</t>
  </si>
  <si>
    <t>Total fonctionnaires administratifs</t>
  </si>
  <si>
    <t>A-B-CBUR</t>
  </si>
  <si>
    <t>Total fonctionnaires techniques</t>
  </si>
  <si>
    <t>CTECH</t>
  </si>
  <si>
    <t>DÉCLARATION ETPT TJ</t>
  </si>
  <si>
    <t>Attention : par défaut, l'activité pénale recensée au niveau des TPR est comptabilisée sur le TJ</t>
  </si>
  <si>
    <t>ETPT_TPRX</t>
  </si>
  <si>
    <t>Magistrats du TJ affectés au TPRX</t>
  </si>
  <si>
    <t>Magistrat TPRX sur activité déléguée du TJ : Autres contentieux</t>
  </si>
  <si>
    <t>Magistrat TPRX sur activité déléguée du TJ en matière de police</t>
  </si>
  <si>
    <t>Magistrat TPRX sur activité déléguée du TJ en matière correctionnelle</t>
  </si>
  <si>
    <t>Magistrat TPRX sur activité déléguée du TJ en matière : Tutelles mineurs</t>
  </si>
  <si>
    <t>Magistrat TPRX sur activité déléguée du TJ en matière : JAF</t>
  </si>
  <si>
    <t>Magistrats suivi tutelles majeurs et comptes</t>
  </si>
  <si>
    <t xml:space="preserve">Magistrats TPRX affectés au surendettement et au Hors surendettement </t>
  </si>
  <si>
    <t>Magistrats TPRX affectés aux saisies sur rémunération et IP</t>
  </si>
  <si>
    <t>Juges du Livre Foncier + Juge d'Instance RCS et Droit Local</t>
  </si>
  <si>
    <t>Fonctionnaires TPRX sur activité déléguèe du TJ : Autres contentieux</t>
  </si>
  <si>
    <t>Fonctionnaires TPRX sur activité déléguée du TJ en matière de police</t>
  </si>
  <si>
    <t>Fonctionnaires TPRX sur activité déléguée du TJ en matière  correctionnelle</t>
  </si>
  <si>
    <t>Fonctionnaires TPRX sur activité déléguée du TJ en matière : Tutelles mineurs</t>
  </si>
  <si>
    <t>Fonctionnaires TPRX sur activité déléguée du TJ en matière : JAF</t>
  </si>
  <si>
    <t>Fonctionnaires TPRX tutelles majeurs et vérification des comptes</t>
  </si>
  <si>
    <t>Fonctionnaires TPRX affectés au surendettement et au Hors surendettement</t>
  </si>
  <si>
    <t>Fonctionnaires TPRX IP, Saisies rém, Nationalité, actes de greffe, etc.</t>
  </si>
  <si>
    <t>Fonctionnaires TPRX, Droit Local, Livre foncier, RCS,etc.</t>
  </si>
  <si>
    <t>MAGISTRATS_TGI_TI</t>
  </si>
  <si>
    <t>MAGISTRAT_TPRX_AUT_CTX_TJ</t>
  </si>
  <si>
    <t>MAGISTRAT_TPRX_POLICE</t>
  </si>
  <si>
    <t>MAGISTRAT_TPRX_CORREC</t>
  </si>
  <si>
    <t>MAGISTRAT_TPRX_TUT_MIN</t>
  </si>
  <si>
    <t>MAGISTRAT_TPRX_JAF</t>
  </si>
  <si>
    <t>MAGISTRATS_TI_TUTELLES</t>
  </si>
  <si>
    <t>MAGISTRATS_TI_SURENDET</t>
  </si>
  <si>
    <t>MAGISTRATS_TI_SR_IP</t>
  </si>
  <si>
    <t>JUGE_LIVRE_FONCIER_JNS</t>
  </si>
  <si>
    <t>FONC_TPRX_AUT_CTX_TJ</t>
  </si>
  <si>
    <t>FONC_TPRX_POLICE</t>
  </si>
  <si>
    <t>FONC_TPRX_CORREC</t>
  </si>
  <si>
    <t>FONC_TPRX_TUT_MIN</t>
  </si>
  <si>
    <t>FONC_TPRX_JAF</t>
  </si>
  <si>
    <t>FONCTIONNAIRES_TI_TUTELLES</t>
  </si>
  <si>
    <t>FONCTIONNAIRES_TI_SURENDET</t>
  </si>
  <si>
    <t>FONCTIONNAIRES_TI_AG_PACS_NAT</t>
  </si>
  <si>
    <t>FONCTIONNAIRES_TI_DRT_LOCAL_RCS</t>
  </si>
  <si>
    <t>Total magistrats du siège autres activités</t>
  </si>
  <si>
    <t>SIEGE  S</t>
  </si>
  <si>
    <t>Total magistrats du siège activités spécifiques</t>
  </si>
  <si>
    <t xml:space="preserve">DÉCLARATION ETPT TPRX
</t>
  </si>
  <si>
    <t>ETPT_CPH</t>
  </si>
  <si>
    <t>DÉCLARATION ETPT CPH</t>
  </si>
  <si>
    <t xml:space="preserve">                Agrégats DDG</t>
  </si>
  <si>
    <t xml:space="preserve">                  Extracteur de données d'effectifs</t>
  </si>
  <si>
    <t xml:space="preserve">                 Déclaration des ETPT TJ</t>
  </si>
  <si>
    <t xml:space="preserve">                 Déclaration des ETPT TPROX</t>
  </si>
  <si>
    <t xml:space="preserve">                 Déclaration des ETPT CPH</t>
  </si>
  <si>
    <t>CPH détachés</t>
  </si>
  <si>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</si>
  <si>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</si>
  <si>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</si>
  <si>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</si>
  <si>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</si>
  <si>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</si>
  <si>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</si>
  <si>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</si>
  <si>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</si>
  <si>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</si>
  <si>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</si>
  <si>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</si>
  <si>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</si>
  <si>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</si>
  <si>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</si>
  <si>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</si>
  <si>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</si>
  <si>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</si>
  <si>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</si>
  <si>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ETPT_TPRX-DDG</t>
  </si>
  <si>
    <t>ETPT_CPH_DDG</t>
  </si>
  <si>
    <r>
      <rPr>
        <b/>
        <sz val="11"/>
        <color theme="1"/>
        <rFont val="Calibri"/>
        <family val="2"/>
        <scheme val="minor"/>
      </rPr>
      <t>Ce fichier</t>
    </r>
    <r>
      <rPr>
        <sz val="11"/>
        <color theme="1"/>
        <rFont val="Calibri"/>
        <family val="2"/>
        <scheme val="minor"/>
      </rPr>
      <t>, permettant de remplir automatiquement les tableaux de collecte d'ETPT de la Chancellerie à partir des données A-JUST,</t>
    </r>
    <r>
      <rPr>
        <b/>
        <sz val="11"/>
        <color theme="1"/>
        <rFont val="Calibri"/>
        <family val="2"/>
        <scheme val="minor"/>
      </rPr>
      <t xml:space="preserve"> résulte de la collaboration de l'équipe de la start-up d'Etat A-JUST avec Mme Nathalie DE JONG</t>
    </r>
    <r>
      <rPr>
        <sz val="11"/>
        <color theme="1"/>
        <rFont val="Calibri"/>
        <family val="2"/>
        <scheme val="minor"/>
      </rPr>
      <t xml:space="preserve">, statisticienne du SAIR de la </t>
    </r>
    <r>
      <rPr>
        <b/>
        <sz val="11"/>
        <color theme="1"/>
        <rFont val="Calibri"/>
        <family val="2"/>
        <scheme val="minor"/>
      </rPr>
      <t>Cour d'Appel de LYON</t>
    </r>
    <r>
      <rPr>
        <sz val="11"/>
        <color theme="1"/>
        <rFont val="Calibri"/>
        <family val="2"/>
        <scheme val="minor"/>
      </rPr>
      <t xml:space="preserve">. </t>
    </r>
    <r>
      <rPr>
        <b/>
        <sz val="11"/>
        <color theme="1"/>
        <rFont val="Calibri"/>
        <family val="2"/>
        <scheme val="minor"/>
      </rPr>
      <t>Qu'elle soit ici vivement remerciée</t>
    </r>
    <r>
      <rPr>
        <sz val="11"/>
        <color theme="1"/>
        <rFont val="Calibri"/>
        <family val="2"/>
        <scheme val="minor"/>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</si>
  <si>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 HYPERLINK firstLink.label firstLink.url</t>
  </si>
  <si>
    <t>#! HYPERLINK secondLink.label secondLink.url</t>
  </si>
  <si>
    <t>#! HYPERLINK thirdLink.label thirdLink.url</t>
  </si>
  <si>
    <r>
      <rPr>
        <b/>
        <sz val="12"/>
        <color rgb="FF2D46E0"/>
        <rFont val="Calibri"/>
        <family val="2"/>
        <scheme val="minor"/>
      </rPr>
      <t>→ Sélectionner la juridiction souhaitée à partir du menu déroulant qui se trouve dans la cellule D5 identifiée en</t>
    </r>
    <r>
      <rPr>
        <b/>
        <sz val="12"/>
        <color rgb="FF860000"/>
        <rFont val="Calibri"/>
        <family val="2"/>
        <scheme val="minor"/>
      </rPr>
      <t xml:space="preserve"> </t>
    </r>
    <r>
      <rPr>
        <b/>
        <sz val="12"/>
        <color theme="5"/>
        <rFont val="Calibri"/>
        <family val="2"/>
        <scheme val="minor"/>
      </rPr>
      <t>orange.</t>
    </r>
  </si>
  <si>
    <t>%age de l'ETPT</t>
  </si>
  <si>
    <t>## y.global1</t>
  </si>
  <si>
    <t>## y.sub1</t>
  </si>
  <si>
    <t>Indisponibilité des placés à reporter sur la cour, ligne "Etpt placés absents non affectés", colonne "Autres Magistrats du Siège non spécialisés"</t>
  </si>
  <si>
    <t>Indisponibilité des placés à reporter sur le SAR, ligne "Etpt placés absents non affectés", colonne C-TECH</t>
  </si>
  <si>
    <t>Indisponibilité des placés à reporter sur le SAR, ligne "Etpt placés absents non affectés", colonne ABC-BUR</t>
  </si>
  <si>
    <t>#! FOR_EACH f fonctions</t>
  </si>
  <si>
    <t>#! END_LOOP f</t>
  </si>
  <si>
    <t>## f.recodedFunction</t>
  </si>
  <si>
    <t>## f.category_detail</t>
  </si>
  <si>
    <t>## f.position</t>
  </si>
  <si>
    <t>## f.code</t>
  </si>
  <si>
    <t>## f.label</t>
  </si>
  <si>
    <t>## f.category_label</t>
  </si>
  <si>
    <t>#! DUMP_COLS subtitles1</t>
  </si>
  <si>
    <t>## f.CONCAT</t>
  </si>
  <si>
    <t>CONCAT</t>
  </si>
  <si>
    <t>Catégorie</t>
  </si>
  <si>
    <t>Label</t>
  </si>
  <si>
    <t>Position</t>
  </si>
  <si>
    <t>Fonction recodée DDG</t>
  </si>
  <si>
    <t>Fonction onglet agrégat</t>
  </si>
  <si>
    <t xml:space="preserve">
</t>
  </si>
  <si>
    <t xml:space="preserve">
</t>
  </si>
  <si>
    <t xml:space="preserve">
</t>
  </si>
  <si>
    <t>Total ETPT AJ_JA</t>
  </si>
  <si>
    <t>JUR_ASS_CH_SOC</t>
  </si>
  <si>
    <t>JA_CONT_A_JP</t>
  </si>
  <si>
    <t>CONT_A_JP_VIF_PARQUET</t>
  </si>
  <si>
    <t>JUR_ASS_JAP</t>
  </si>
  <si>
    <t>JUR_ASS_JE</t>
  </si>
  <si>
    <t>JUR_ASS_JINST</t>
  </si>
  <si>
    <t>JUR_ASS_JLD</t>
  </si>
  <si>
    <t>Sous action</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</si>
  <si>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</si>
  <si>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</si>
  <si>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</si>
  <si>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</si>
  <si>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</si>
  <si>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</si>
  <si>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</si>
  <si>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</si>
  <si>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</si>
  <si>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</si>
  <si>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ETPT_ATTACHES_JUSTICE</t>
  </si>
  <si>
    <t xml:space="preserve">                 Déclaration des ETPT Attachés de Justice</t>
  </si>
  <si>
    <t>DÉCLARATION ETPT ATTACHES DE JUSTICE (JURISTES ASSISTANTS)</t>
  </si>
  <si>
    <t>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</si>
  <si>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sz val="10"/>
        <color rgb="FF0070C0"/>
        <rFont val="Arial"/>
        <family val="2"/>
      </rPr>
      <t xml:space="preserve">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</si>
  <si>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2. TOTAL CONTENTIEUX JAF + 3. TOTAL CONTENTIEUX DE LA PROTECTION + 4. TOTAL CIVIL NON SPÉCIALISÉ + 11.7. FONCTIONNAIRES AFFECTÉS AU CPH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 xml:space="preserve">
Critère sur le TJ ou le TPROX ou le CPH</t>
    </r>
  </si>
  <si>
    <r>
      <t xml:space="preserve">1. TOTAL CONTENTIEUX SOCIAL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</si>
  <si>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11.8. FONCTIONNAIRES AFFECTÉS AUX ACTIVITÉS CIVILES ET COMMERCIALES DU PARQUET
</t>
    </r>
    <r>
      <rPr>
        <b/>
        <sz val="10"/>
        <color rgb="FF0070C0"/>
        <rFont val="Arial"/>
        <family val="2"/>
      </rPr>
      <t xml:space="preserve">Fonction recodée = Att.J/JA PARQUET + Att.J/JA SIEGE AUTRES + Att.J/JA SOCIAL + Att.J/JA JAP + Att.J/JA JE + Att.J/JA JI + Att.J/AJ JLD </t>
    </r>
    <r>
      <rPr>
        <sz val="10"/>
        <color theme="1"/>
        <rFont val="Arial"/>
        <family val="2"/>
      </rPr>
      <t xml:space="preserve">
</t>
    </r>
    <r>
      <rPr>
        <b/>
        <sz val="10"/>
        <color rgb="FFFF0000"/>
        <rFont val="Arial"/>
        <family val="2"/>
      </rPr>
      <t xml:space="preserve">
Critère sur le TJ ou le TPROX ou le CPH</t>
    </r>
  </si>
  <si>
    <r>
      <t xml:space="preserve">11.8. FONCTIONNAIRES AFFECTÉS AUX ACTIVITÉS CIVILES ET COMMERCIALES DU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 xml:space="preserve">
Critère sur le TJ ou le TPROX ou le CPH</t>
    </r>
  </si>
  <si>
    <r>
      <t xml:space="preserve">6.1. ACTIVITÉ CIVILE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</si>
  <si>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5. TOTAL JLD CIVIL
</t>
    </r>
    <r>
      <rPr>
        <b/>
        <sz val="10"/>
        <color rgb="FF0070C0"/>
        <rFont val="Arial"/>
        <family val="2"/>
      </rPr>
      <t xml:space="preserve">Fonction recodée = Att.J/JA PARQUET + Att.J/JA SIEGE AUTRES + Att.J/JA SOCIAL + Att.J/JA JAP + Att.J/JA JE + Att.J/JA JI + Att.J/AJ JLD
</t>
    </r>
    <r>
      <rPr>
        <b/>
        <sz val="10"/>
        <color rgb="FFFF0000"/>
        <rFont val="Arial"/>
        <family val="2"/>
      </rPr>
      <t>Critère sur le TJ ou le TPROX ou le CPH</t>
    </r>
  </si>
  <si>
    <r>
      <t xml:space="preserve">6.2. ACTIVITÉ PÉNALE + 7. TOTAL SIÈGE PÉNAL + 8. TOTAL JUGES D'INSTRUCTION + 
9. TOTAL JAP + 10. TOTAL JLD PÉNAL 
</t>
    </r>
    <r>
      <rPr>
        <b/>
        <sz val="10"/>
        <color rgb="FF0070C0"/>
        <rFont val="Arial"/>
        <family val="2"/>
      </rPr>
      <t xml:space="preserve">
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</si>
  <si>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7. TOTAL SIÈGE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</si>
  <si>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 11.9. FONCTIONNAIRES AFFECTÉS À L'EXÉCUTION DES PEINES + 11.10 AUTRES FONCTIONNAIRES AFFECTÉS AU PARQUET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</si>
  <si>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11.9. FONCTIONNAIRES AFFECTÉS À L'EXÉCUTION DES PEINES + 11.10 AUTRES FONCTIONNAIRES AFFECTÉS AU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Critère sur le TJ ou le TPROX ou le CPH</t>
    </r>
  </si>
  <si>
    <r>
      <t xml:space="preserve">9. TOTAL JAP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</si>
  <si>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6.2. ACTIVITÉ PÉNALE
</t>
    </r>
    <r>
      <rPr>
        <b/>
        <sz val="10"/>
        <color rgb="FF0070C0"/>
        <rFont val="Arial"/>
        <family val="2"/>
      </rPr>
      <t xml:space="preserve">
Fonction recodée = Att.J/JA PARQUET + Att.J/JA SIEGE AUTRES + Att.J/JA SOCIAL + Att.J/JA JAP + Att.J/JA JE + Att.J/JA JI + Att.J/AJ JLD
</t>
    </r>
    <r>
      <rPr>
        <sz val="10"/>
        <color theme="1"/>
        <rFont val="Arial"/>
        <family val="2"/>
      </rPr>
      <t xml:space="preserve">
</t>
    </r>
    <r>
      <rPr>
        <b/>
        <sz val="10"/>
        <color rgb="FFFF0000"/>
        <rFont val="Arial"/>
        <family val="2"/>
      </rPr>
      <t>Critère sur le TJ ou le TPROX ou le CPH</t>
    </r>
  </si>
  <si>
    <r>
      <t xml:space="preserve"> 8. TOTAL JUGES D'INSTRUCTION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</si>
  <si>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10. TOTAL JLD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</si>
  <si>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SIEGE + CONT A VIF SIEGE</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</si>
  <si>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</si>
  <si>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</si>
  <si>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</si>
  <si>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PARQUET + CONT A VIF PARQUET</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</si>
  <si>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</si>
  <si>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</si>
  <si>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</si>
  <si>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</si>
  <si>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</si>
  <si>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</si>
  <si>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</si>
  <si>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</si>
  <si>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</si>
  <si>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</si>
  <si>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</si>
  <si>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</si>
  <si>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</si>
  <si>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</si>
  <si>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</si>
  <si>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</si>
  <si>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</si>
  <si>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</si>
  <si>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</si>
  <si>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</si>
  <si>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</si>
  <si>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</si>
  <si>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</si>
  <si>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</si>
  <si>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</si>
  <si>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</si>
  <si>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</si>
  <si>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</si>
  <si>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</si>
  <si>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</si>
  <si>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</si>
  <si>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</si>
  <si>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</si>
  <si>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</si>
  <si>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</si>
  <si>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</si>
  <si>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</si>
  <si>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</si>
  <si>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</si>
  <si>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</si>
  <si>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</si>
  <si>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</si>
  <si>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</si>
  <si>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</si>
  <si>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</si>
  <si>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</si>
  <si>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</si>
  <si>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</si>
  <si>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</si>
  <si>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t>Les lignes à fond rouge invitent à des vérifications lors de l'établissement des tableaux de collecte pour les DDG. Pour plus d'informations sur les agents concernés, se référer à l'onglet ETPT Format DDG.</t>
  </si>
  <si>
    <t>ETPT_ATTACHES_JUSTICE_DDG</t>
  </si>
  <si>
    <r>
      <t xml:space="preserve">                  Extracteur de données d'effectifs - Format DDG (avec réintégration de l'absentéisme)
                  </t>
    </r>
    <r>
      <rPr>
        <b/>
        <sz val="14"/>
        <color rgb="FFFF0000"/>
        <rFont val="Calibri (Corps)"/>
      </rPr>
      <t>Les lignes en rouge invitent à des vérifications dans les colonnes Q, R et S</t>
    </r>
  </si>
  <si>
    <t xml:space="preserve">                     Agrégats DDG</t>
  </si>
  <si>
    <r>
      <t>Attention : 
- par défaut, l'activité pénale recensée au niveau des TPRX est comptabilisée sur le TJ, tout comme les activités éventuellement déléguées dans les TPRX et le soutien des agents affectés au CPH</t>
    </r>
    <r>
      <rPr>
        <b/>
        <sz val="10"/>
        <color rgb="FF002060"/>
        <rFont val="Arial"/>
        <family val="2"/>
      </rPr>
      <t xml:space="preserve"> </t>
    </r>
    <r>
      <rPr>
        <sz val="10"/>
        <color rgb="FF002060"/>
        <rFont val="Arial"/>
        <family val="2"/>
      </rPr>
      <t>: si vous souhaitez affiner à ce niveau de détail, il vous appartient de déduire les ETPT concernés des rubriques afférentes du TJ pour les reporter manuellement dans les cases ad hoc du TPRX ou du CPH.</t>
    </r>
    <r>
      <rPr>
        <b/>
        <sz val="10"/>
        <color rgb="FFFF0000"/>
        <rFont val="Arial"/>
        <family val="2"/>
      </rPr>
      <t xml:space="preserve">
- les indisponibilités des fonctionnaires et magistrats placés figurant dans les cases vertes supra ne sont calculées qu'à titre indicatif </t>
    </r>
    <r>
      <rPr>
        <sz val="10"/>
        <color rgb="FF002060"/>
        <rFont val="Arial"/>
        <family val="2"/>
      </rPr>
      <t>pour pouvoir être éventuellement communiquées à la CA et au SAR, en charge de ces effectifs.</t>
    </r>
  </si>
  <si>
    <r>
      <t xml:space="preserve">Attention : par défaut, l'activité pénale recensée au niveau des TPRX est comptabilisée sur le TJ, tout comme les activités éventuellement déléguées dans les TPRX. 
</t>
    </r>
    <r>
      <rPr>
        <sz val="11"/>
        <color rgb="FF002060"/>
        <rFont val="Arial"/>
        <family val="2"/>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</si>
  <si>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t>Attention : 
Les actions 6, 7, 8 et 99 des agents affectés au CPH ne peuvent être automatiquement reportées dans ce tableau et figurent par défaut dans l'onglet ETPT-TJ-DDG.
Si vous souhaitez détailler ces actions pour les agents affectés au CPH, il convient de les reporter manuellement dans le tableau ci-dessus et de les soustraire corrélativement des ETPT du TJ</t>
  </si>
  <si>
    <r>
      <t xml:space="preserve">11.7 Fonctionnaires affectés au CPH
</t>
    </r>
    <r>
      <rPr>
        <b/>
        <sz val="7"/>
        <color rgb="FF0070C0"/>
        <rFont val="Arial"/>
        <family val="2"/>
      </rPr>
      <t>(Pour Fonction recodée = Fonctionnaire A-B-CBUR)</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</si>
  <si>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FF0000"/>
        <rFont val="Arial"/>
        <family val="2"/>
      </rPr>
      <t xml:space="preserve">
</t>
    </r>
    <r>
      <rPr>
        <b/>
        <sz val="7"/>
        <color rgb="FF0070C0"/>
        <rFont val="Arial"/>
        <family val="2"/>
      </rPr>
      <t>(Pour fonction recodée =Fonctionnaire A-B-CBUR placé ADD)</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</si>
  <si>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0070C0"/>
        <rFont val="Arial"/>
        <family val="2"/>
      </rPr>
      <t>(Pour fonction recodée =Fonctionnaire A-B-CBUR placé SUB)</t>
    </r>
    <r>
      <rPr>
        <b/>
        <sz val="7"/>
        <color rgb="FFFF0000"/>
        <rFont val="Arial"/>
        <family val="2"/>
      </rPr>
      <t xml:space="preserve">
</t>
    </r>
    <r>
      <rPr>
        <sz val="7"/>
        <color rgb="FF333333"/>
        <rFont val="Arial"/>
        <family val="2"/>
      </rPr>
      <t xml:space="preserve">
</t>
    </r>
    <r>
      <rPr>
        <b/>
        <sz val="7"/>
        <color rgb="FFFF0000"/>
        <rFont val="Arial"/>
        <family val="2"/>
      </rPr>
      <t>Critère sur le TJ OU TPRX OU CPH</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</si>
  <si>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</si>
  <si>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</si>
  <si>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</si>
  <si>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</si>
  <si>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t>Pas identifiable avec A-JUST (à reporter à la la main s'il existe une délégation formelle - dans ce cas, penser à les ôter des ETPT du TJ dans la rubrique correspondante)</t>
  </si>
  <si>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TPRX</t>
    </r>
  </si>
  <si>
    <r>
      <t xml:space="preserve">11.51 Accueil du justiciable
</t>
    </r>
    <r>
      <rPr>
        <sz val="10"/>
        <color rgb="FF0070C0"/>
        <rFont val="Arial"/>
        <family val="2"/>
      </rPr>
      <t xml:space="preserve">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TPRX</t>
    </r>
  </si>
  <si>
    <r>
      <t xml:space="preserve">11.51 Accueil du justiciable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</si>
  <si>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</si>
  <si>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 xml:space="preserve">(Pour Fonction recodée = Fonctionnaire A-B-CBUR )
</t>
    </r>
    <r>
      <rPr>
        <b/>
        <sz val="10"/>
        <color rgb="FFFF0000"/>
        <rFont val="Arial"/>
        <family val="2"/>
      </rPr>
      <t>Critère sur le TPRX</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</si>
  <si>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</si>
  <si>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</si>
  <si>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</si>
  <si>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11.4 Accès au droit et à la justice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</si>
  <si>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12. TOTAL INDISPONIBILITÉ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t>
    </r>
  </si>
  <si>
    <r>
      <t xml:space="preserve">12. TOTAL INDISPONIBILITÉ - 12.5 Mise à disposition
</t>
    </r>
    <r>
      <rPr>
        <b/>
        <sz val="10"/>
        <color rgb="FFFF0000"/>
        <rFont val="Arial"/>
        <family val="2"/>
      </rPr>
      <t xml:space="preserve">
(Pour Fonction recodée = Fonctionnaire A-B-CBUR )
Critère sur le TPRX</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</si>
  <si>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</si>
  <si>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13. Contentieux locaux spécifiques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</si>
  <si>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</si>
  <si>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</si>
  <si>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</si>
  <si>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</si>
  <si>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</si>
  <si>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ADD)</t>
    </r>
    <r>
      <rPr>
        <b/>
        <u/>
        <sz val="10"/>
        <rFont val="Arial"/>
        <family val="2"/>
      </rPr>
      <t xml:space="preserve">
</t>
    </r>
    <r>
      <rPr>
        <sz val="10"/>
        <rFont val="Arial"/>
        <family val="2"/>
      </rPr>
      <t xml:space="preserve">
</t>
    </r>
    <r>
      <rPr>
        <b/>
        <sz val="10"/>
        <color rgb="FFFF0000"/>
        <rFont val="Arial"/>
        <family val="2"/>
      </rPr>
      <t>Critère sur le TPRX</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</si>
  <si>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</si>
  <si>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SUB)</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</si>
  <si>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 xml:space="preserve">(Pour fonction recodée =Fonctionnaire A-B-CBUR placé SUB)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</si>
  <si>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</si>
  <si>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SUB)</t>
    </r>
    <r>
      <rPr>
        <b/>
        <u/>
        <sz val="10"/>
        <rFont val="Arial"/>
        <family val="2"/>
      </rPr>
      <t xml:space="preserve">
</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</si>
  <si>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</si>
  <si>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</si>
  <si>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</si>
  <si>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</si>
  <si>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</si>
  <si>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</si>
  <si>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5. TOTAL JLD CIVIL + 6.1. ACTIVITÉ CIVILE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</si>
  <si>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</si>
  <si>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</si>
  <si>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OU CPH</t>
    </r>
  </si>
  <si>
    <r>
      <t xml:space="preserve">2. TOTAL CONTENTIEUX JAF  + 4. TOTAL CIVIL NON SPÉCIALISÉ 
-
4.0. Contentieux général &lt; 10000 euros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</si>
  <si>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sz val="10"/>
        <color rgb="FF0070C0"/>
        <rFont val="Arial"/>
        <family val="2"/>
      </rPr>
      <t>(Pour Fonction recodée = Fonctionnaire CTECH)</t>
    </r>
    <r>
      <rPr>
        <b/>
        <sz val="10"/>
        <color rgb="FFFF0000"/>
        <rFont val="Arial"/>
        <family val="2"/>
      </rPr>
      <t xml:space="preserve">
TJ et TPR et CPH (donc pas de critère sur le TJ)</t>
    </r>
  </si>
  <si>
    <r>
      <t xml:space="preserve">11.9 Fonctionnaires affectés à l'exécution des peines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</si>
  <si>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 + 7.51 Cour d'assises JIRS et hors JIRS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</si>
  <si>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7.52 cour criminelle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</si>
  <si>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7.121. COLLÉGIALES JIRS ÉCO-FI POUR LES JURIDICTIONS JIRS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</si>
  <si>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 xml:space="preserve"> 7.12 Collégiales JIRS crim-org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</si>
  <si>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7.122 Collégiales autres sections spécialisées + 7.121 Collégiales eco-fi POUR LES JURIDICTIONS NON JIRS</t>
    </r>
    <r>
      <rPr>
        <b/>
        <sz val="10"/>
        <color rgb="FFFF0000"/>
        <rFont val="Arial"/>
        <family val="2"/>
      </rPr>
      <t xml:space="preserve">
</t>
    </r>
    <r>
      <rPr>
        <sz val="10"/>
        <rFont val="Arial"/>
        <family val="2"/>
      </rPr>
      <t xml:space="preserve">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</si>
  <si>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6.2 Activité pénale + 8. Juge d'instruction + 9. JAP + 10. JLD pénal</t>
    </r>
    <r>
      <rPr>
        <b/>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TJ et TPR et CPH (donc pas de critère sur le TJ)</t>
    </r>
  </si>
  <si>
    <r>
      <rPr>
        <sz val="10"/>
        <rFont val="Arial"/>
        <family val="2"/>
      </rPr>
      <t xml:space="preserve">7.1. Collégiales hors JIRS + 7.14. CI + 7.13. Juge unique + 7.2. CRPC + 7.15. CPPV + 7.4. Compositions pénales + 7.3. OP correctionnelles +7.6. Tribunal de police + 7.7 OP contraventionnelles 7.8. Autre siège pénal + 11.10 AUTRES FONCTIONNAIRES AFFECTÉS AU PARQUET </t>
    </r>
    <r>
      <rPr>
        <u/>
        <sz val="10"/>
        <rFont val="Arial"/>
        <family val="2"/>
      </rPr>
      <t xml:space="preserve">
</t>
    </r>
    <r>
      <rPr>
        <b/>
        <u/>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TJ et TPR et CPH (donc pas de critère sur le TJ)</t>
    </r>
  </si>
  <si>
    <r>
      <t xml:space="preserve">11.51 Accueil du justiciable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</si>
  <si>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11.51 Accueil du justiciable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et CPH</t>
    </r>
  </si>
  <si>
    <r>
      <t xml:space="preserve">11.1 Soutien + 11.2 Formations suivies + 1.6 Autres activités non juridictionnelles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TJ OU CPH</t>
    </r>
  </si>
  <si>
    <r>
      <t xml:space="preserve">11.1 Soutien + 11.2 Formations suivies + 1.6 Autres activités non juridictionnelles
</t>
    </r>
    <r>
      <rPr>
        <b/>
        <sz val="10"/>
        <color rgb="FF0070C0"/>
        <rFont val="Arial"/>
        <family val="2"/>
      </rPr>
      <t>(Pour Fonction recodée = Fonctionnaire A-B-CBUR )</t>
    </r>
    <r>
      <rPr>
        <sz val="10"/>
        <rFont val="Arial"/>
        <family val="2"/>
      </rPr>
      <t xml:space="preserve">
</t>
    </r>
    <r>
      <rPr>
        <b/>
        <sz val="10"/>
        <color rgb="FFFF0000"/>
        <rFont val="Arial"/>
        <family val="2"/>
      </rPr>
      <t>Critère sur le TJ et CPH</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</si>
  <si>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</si>
  <si>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11.3 Formations dispensées
</t>
    </r>
    <r>
      <rPr>
        <sz val="10"/>
        <color rgb="FF0070C0"/>
        <rFont val="Arial"/>
        <family val="2"/>
      </rPr>
      <t xml:space="preserve">
</t>
    </r>
    <r>
      <rPr>
        <b/>
        <sz val="10"/>
        <color rgb="FF0070C0"/>
        <rFont val="Arial"/>
        <family val="2"/>
      </rPr>
      <t>(Pour Fonction recodée = Fonctionnaire A-B-CBUR )</t>
    </r>
    <r>
      <rPr>
        <sz val="10"/>
        <color rgb="FF0070C0"/>
        <rFont val="Arial"/>
        <family val="2"/>
      </rPr>
      <t xml:space="preserve">
</t>
    </r>
    <r>
      <rPr>
        <sz val="10"/>
        <rFont val="Arial"/>
        <family val="2"/>
      </rPr>
      <t xml:space="preserve">
</t>
    </r>
    <r>
      <rPr>
        <b/>
        <sz val="10"/>
        <color rgb="FFFF0000"/>
        <rFont val="Arial"/>
        <family val="2"/>
      </rPr>
      <t>Critère sur le TJ et CPH</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</si>
  <si>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</si>
  <si>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11.4 Accès au droit et à la justice
</t>
    </r>
    <r>
      <rPr>
        <b/>
        <sz val="10"/>
        <color rgb="FF0070C0"/>
        <rFont val="Arial"/>
        <family val="2"/>
      </rPr>
      <t xml:space="preserve">
(Pour Fonction recodée = Fonctionnaire A-B-CBUR )
</t>
    </r>
    <r>
      <rPr>
        <b/>
        <sz val="10"/>
        <color rgb="FFFF0000"/>
        <rFont val="Arial"/>
        <family val="2"/>
      </rPr>
      <t xml:space="preserve">
Critère sur le TJ et CPH</t>
    </r>
  </si>
  <si>
    <r>
      <t xml:space="preserve">12. TOTAL des INDISPONIBILITÉS relevant de l'action 99 - 12.5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</si>
  <si>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 TOTAL des INDISPONIBILITÉS relevant de l'action 99 - 12.5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</si>
  <si>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</si>
  <si>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12.5 Mise à disposition + 13. Contentieux locaux spécifiques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</si>
  <si>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</si>
  <si>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</si>
  <si>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</si>
  <si>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</si>
  <si>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</si>
  <si>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</si>
  <si>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ADD)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</si>
  <si>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</si>
  <si>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</si>
  <si>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</si>
  <si>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</si>
  <si>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</si>
  <si>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</si>
  <si>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</si>
  <si>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ADD)</t>
    </r>
    <r>
      <rPr>
        <sz val="10"/>
        <rFont val="Arial"/>
        <family val="2"/>
      </rPr>
      <t xml:space="preserve">
</t>
    </r>
    <r>
      <rPr>
        <b/>
        <sz val="10"/>
        <color rgb="FFFF0000"/>
        <rFont val="Arial"/>
        <family val="2"/>
      </rPr>
      <t>TJ et TPRX et CPH (pas de critère sur le TJ)</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</si>
  <si>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</si>
  <si>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</si>
  <si>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</si>
  <si>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</si>
  <si>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</si>
  <si>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</si>
  <si>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SUB)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</si>
  <si>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</si>
  <si>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</si>
  <si>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</si>
  <si>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</si>
  <si>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</si>
  <si>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</si>
  <si>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</si>
  <si>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SUB</t>
    </r>
    <r>
      <rPr>
        <sz val="10"/>
        <rFont val="Arial"/>
        <family val="2"/>
      </rPr>
      <t xml:space="preserve">
</t>
    </r>
    <r>
      <rPr>
        <b/>
        <sz val="10"/>
        <color rgb="FFFF0000"/>
        <rFont val="Arial"/>
        <family val="2"/>
      </rPr>
      <t>TJ et TPRX et CPH (pas de critère sur le TJ)</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</si>
  <si>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TJ</t>
    </r>
    <r>
      <rPr>
        <b/>
        <sz val="10"/>
        <rFont val="Arial"/>
        <family val="2"/>
      </rPr>
      <t xml:space="preserve"> </t>
    </r>
    <r>
      <rPr>
        <b/>
        <sz val="10"/>
        <color rgb="FFFF0000"/>
        <rFont val="Arial"/>
        <family val="2"/>
      </rPr>
      <t>OU CPH</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</si>
  <si>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 ou CPH</t>
    </r>
  </si>
  <si>
    <r>
      <t xml:space="preserve">3.43 Injonctions de payer + 3.44 Saisies des rémunérations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</si>
  <si>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3. Contentieux de la Protection - 3.2 Protection des majeurs - 3.43 Injonctions de payer - 3.44 Saisies des rémunérations
</t>
    </r>
    <r>
      <rPr>
        <b/>
        <sz val="7"/>
        <color rgb="FF0070C0"/>
        <rFont val="Arial"/>
        <family val="2"/>
      </rPr>
      <t xml:space="preserve">
(Pour Fonction recodée = Magistrats SIEGE S + Magistrats SIEGE NS)
</t>
    </r>
    <r>
      <rPr>
        <b/>
        <sz val="7"/>
        <color rgb="FFFF0000"/>
        <rFont val="Arial"/>
        <family val="2"/>
      </rPr>
      <t>Critère sur le TPRX</t>
    </r>
  </si>
  <si>
    <r>
      <t xml:space="preserve">3.2 Protection des majeurs
</t>
    </r>
    <r>
      <rPr>
        <b/>
        <sz val="7"/>
        <color rgb="FF0070C0"/>
        <rFont val="Arial"/>
        <family val="2"/>
      </rPr>
      <t xml:space="preserve">
(Pour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</si>
  <si>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t>Pas identifiable avec A-JUST (à reporter à la la main s'il existe une délégation formelle - dans ce cas, penser à les ôter des ETPT JAF du TJ = AA5)</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</si>
  <si>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</si>
  <si>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</si>
  <si>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1. TOTAL CONTENTIEUX SOCIAL - 1.1 DEPARTAGE PRUD'HOMAL + 4. TOTAL CIVIL NON SPÉCIALISÉ
</t>
    </r>
    <r>
      <rPr>
        <b/>
        <sz val="7"/>
        <color rgb="FF0070C0"/>
        <rFont val="Arial"/>
        <family val="2"/>
      </rPr>
      <t xml:space="preserve">
(Pour Fonction recodée = Mag
istrats SIEGE S et NS)</t>
    </r>
    <r>
      <rPr>
        <sz val="7"/>
        <rFont val="Arial"/>
        <family val="2"/>
      </rPr>
      <t xml:space="preserve">
</t>
    </r>
    <r>
      <rPr>
        <b/>
        <sz val="7"/>
        <color rgb="FFFF0000"/>
        <rFont val="Arial"/>
        <family val="2"/>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</si>
  <si>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</si>
  <si>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</si>
  <si>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 dans ce cas, penser à les ôter des ETPT du TJ dans la rubrique correspondante)</t>
    </r>
  </si>
  <si>
    <r>
      <t xml:space="preserve">11.5 CSM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</si>
  <si>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11.51 Accueil du justiciable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</si>
  <si>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11.1 Soutien + 11.2 Formations suivies + 1.6 Autres activités non juridictionnelles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</si>
  <si>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11.3. Formations dispensées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</si>
  <si>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11.4 Accès au droit et à la justice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</si>
  <si>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12. TOTAL des INDISPONIBILITÉS relevant de l'action 99 - 12.5 MISE A DISPOSITN
</t>
    </r>
    <r>
      <rPr>
        <b/>
        <sz val="7"/>
        <color rgb="FF0070C0"/>
        <rFont val="Arial"/>
        <family val="2"/>
      </rPr>
      <t xml:space="preserve">
(Pour Fonction recodée = Magistrats SIEGE S  + Magistrats SIEGE NS)</t>
    </r>
    <r>
      <rPr>
        <b/>
        <sz val="7"/>
        <color rgb="FFFF0000"/>
        <rFont val="Arial"/>
        <family val="2"/>
      </rPr>
      <t xml:space="preserve">
</t>
    </r>
    <r>
      <rPr>
        <sz val="7"/>
        <color rgb="FFFF0000"/>
        <rFont val="Arial"/>
        <family val="2"/>
      </rPr>
      <t xml:space="preserve">
</t>
    </r>
    <r>
      <rPr>
        <b/>
        <sz val="7"/>
        <color rgb="FFFF0000"/>
        <rFont val="Arial"/>
        <family val="2"/>
      </rPr>
      <t>Critère sur le TPRX</t>
    </r>
  </si>
  <si>
    <r>
      <rPr>
        <sz val="7"/>
        <rFont val="Arial"/>
        <family val="2"/>
      </rPr>
      <t>13. Contentieux locaux spécifiques</t>
    </r>
    <r>
      <rPr>
        <b/>
        <sz val="7"/>
        <color rgb="FFFF0000"/>
        <rFont val="Arial"/>
        <family val="2"/>
      </rPr>
      <t xml:space="preserve">
</t>
    </r>
    <r>
      <rPr>
        <b/>
        <sz val="7"/>
        <color rgb="FF0070C0"/>
        <rFont val="Arial"/>
        <family val="2"/>
      </rPr>
      <t>(Pour Fonction recodée = Magistrats SIEGE S  + Magistrats SIEGE NS)</t>
    </r>
    <r>
      <rPr>
        <b/>
        <sz val="7"/>
        <color rgb="FFFF0000"/>
        <rFont val="Arial"/>
        <family val="2"/>
      </rPr>
      <t xml:space="preserve"> 
Critère sur le TPRX</t>
    </r>
  </si>
  <si>
    <r>
      <t xml:space="preserve">12.5 MISE A DISPOSITION
</t>
    </r>
    <r>
      <rPr>
        <b/>
        <sz val="7"/>
        <color rgb="FF0070C0"/>
        <rFont val="Arial"/>
        <family val="2"/>
      </rPr>
      <t xml:space="preserve">(Pour Fonction recodée = Magistrats SIEGE S  + Magistrats SIEGE NS) </t>
    </r>
    <r>
      <rPr>
        <b/>
        <sz val="7"/>
        <color rgb="FFFF0000"/>
        <rFont val="Arial"/>
        <family val="2"/>
      </rPr>
      <t xml:space="preserve">
</t>
    </r>
    <r>
      <rPr>
        <sz val="7"/>
        <color rgb="FFFFFF00"/>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</si>
  <si>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</si>
  <si>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</si>
  <si>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</si>
  <si>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rPr>
        <sz val="7"/>
        <color theme="1"/>
        <rFont val="Arial"/>
        <family val="2"/>
      </rPr>
      <t xml:space="preserve">1.1 Départage prud'homal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</si>
  <si>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</si>
  <si>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</si>
  <si>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SUB)</t>
    </r>
    <r>
      <rPr>
        <sz val="7"/>
        <color rgb="FF0070C0"/>
        <rFont val="Arial"/>
        <family val="2"/>
      </rPr>
      <t xml:space="preserve">
</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</si>
  <si>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</si>
  <si>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</si>
  <si>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</si>
  <si>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TPRX</t>
    </r>
  </si>
  <si>
    <r>
      <t xml:space="preserve">3.2 Protection des majeurs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</si>
  <si>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Magistrats SIEGE S et NS)
</t>
    </r>
    <r>
      <rPr>
        <b/>
        <sz val="7"/>
        <color rgb="FFFF0000"/>
        <rFont val="Arial"/>
        <family val="2"/>
      </rPr>
      <t>Critère sur le TJ OU CPH</t>
    </r>
  </si>
  <si>
    <r>
      <t xml:space="preserve">6.1 JE : activité civile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ou CPH (donc pas de critère sur le TJ)</t>
    </r>
  </si>
  <si>
    <r>
      <t xml:space="preserve">5. TOTAL JLD CIVIL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</si>
  <si>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</si>
  <si>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Magistrats SIEGE S et NS)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</si>
  <si>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</si>
  <si>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Magistrats SIEGE S et NS)
</t>
    </r>
    <r>
      <rPr>
        <b/>
        <sz val="7"/>
        <color rgb="FFFF0000"/>
        <rFont val="Arial"/>
        <family val="2"/>
      </rPr>
      <t>Critère sur le TJ OU CPH</t>
    </r>
  </si>
  <si>
    <r>
      <t xml:space="preserve">2. TOTAL CONTENTIEUX JAF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</si>
  <si>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 xml:space="preserve">(Pour Fonction recodée = Magistrats SIEGE S)
</t>
    </r>
    <r>
      <rPr>
        <sz val="7"/>
        <rFont val="Arial"/>
        <family val="2"/>
      </rPr>
      <t xml:space="preserve">
</t>
    </r>
    <r>
      <rPr>
        <b/>
        <sz val="7"/>
        <color rgb="FFFF0000"/>
        <rFont val="Arial"/>
        <family val="2"/>
      </rPr>
      <t>Critère sur le TJ ou CPH</t>
    </r>
  </si>
  <si>
    <r>
      <t xml:space="preserve">4. TOTAL CIVIL NON SPÉCIALISÉ - 4.0 Contentieux général &lt; 10000 euros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ou CPH</t>
    </r>
  </si>
  <si>
    <r>
      <t xml:space="preserve">8.1 Service général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</si>
  <si>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</si>
  <si>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</si>
  <si>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8.4 autres sections spécialisées
</t>
    </r>
    <r>
      <rPr>
        <sz val="7"/>
        <color theme="1"/>
        <rFont val="Arial"/>
        <family val="2"/>
      </rPr>
      <t xml:space="preserve">+
8.11 ECO-FI HORS JIRS
</t>
    </r>
    <r>
      <rPr>
        <sz val="7"/>
        <rFont val="Arial"/>
        <family val="2"/>
      </rPr>
      <t xml:space="preserv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</si>
  <si>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Magistrats SIEGE S et NS)</t>
    </r>
    <r>
      <rPr>
        <b/>
        <sz val="7"/>
        <rFont val="Arial"/>
        <family val="2"/>
      </rPr>
      <t xml:space="preserve">
</t>
    </r>
    <r>
      <rPr>
        <b/>
        <sz val="7"/>
        <color rgb="FFFF0000"/>
        <rFont val="Arial"/>
        <family val="2"/>
      </rPr>
      <t xml:space="preserve">
TJ et TPR et CPH (donc pas de critère sur le TJ)</t>
    </r>
  </si>
  <si>
    <r>
      <t xml:space="preserve">6.2 JE : activité pénale
</t>
    </r>
    <r>
      <rPr>
        <b/>
        <sz val="7"/>
        <color rgb="FF0070C0"/>
        <rFont val="Arial"/>
        <family val="2"/>
      </rPr>
      <t>(Pour Fonction recodée = Magistrats SIEGE S et NS)</t>
    </r>
    <r>
      <rPr>
        <sz val="7"/>
        <color rgb="FF0070C0"/>
        <rFont val="Arial"/>
        <family val="2"/>
      </rPr>
      <t xml:space="preserve">
</t>
    </r>
    <r>
      <rPr>
        <b/>
        <sz val="7"/>
        <color rgb="FFFF0000"/>
        <rFont val="Arial"/>
        <family val="2"/>
      </rPr>
      <t xml:space="preserve">
TJ et TPR et CPH (donc pas de critère sur le TJ)</t>
    </r>
  </si>
  <si>
    <r>
      <t xml:space="preserve">10. TOTAL JLD PÉNAL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(donc pas de critère sur le TJ)</t>
    </r>
  </si>
  <si>
    <r>
      <t xml:space="preserve">7.5 + 7.51 Cour d'assises JIRS et hors JIRS
</t>
    </r>
    <r>
      <rPr>
        <b/>
        <sz val="7"/>
        <color theme="8" tint="-0.249977111117893"/>
        <rFont val="Arial"/>
        <family val="2"/>
      </rPr>
      <t xml:space="preserve">(Pour Fonction recodée = Magistrats SIEGE S et NS)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</si>
  <si>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 (Pour Fonction recodée = Magistrats SIEGE S et NS)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</si>
  <si>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</si>
  <si>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</si>
  <si>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</si>
  <si>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</si>
  <si>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</si>
  <si>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NS)
</t>
    </r>
    <r>
      <rPr>
        <b/>
        <sz val="7"/>
        <color rgb="FFFF0000"/>
        <rFont val="Arial"/>
        <family val="2"/>
      </rPr>
      <t xml:space="preserve">
TJ et TPR et CPH (donc pas de critère sur le TJ)</t>
    </r>
  </si>
  <si>
    <r>
      <t xml:space="preserve">11.5 CSM
</t>
    </r>
    <r>
      <rPr>
        <b/>
        <sz val="7"/>
        <color rgb="FF0070C0"/>
        <rFont val="Arial"/>
        <family val="2"/>
      </rPr>
      <t xml:space="preserve">(pour Fonction JCP seulement)
</t>
    </r>
    <r>
      <rPr>
        <sz val="7"/>
        <rFont val="Arial"/>
        <family val="2"/>
      </rPr>
      <t xml:space="preserve">
</t>
    </r>
    <r>
      <rPr>
        <b/>
        <sz val="7"/>
        <color rgb="FFFF0000"/>
        <rFont val="Arial"/>
        <family val="2"/>
      </rPr>
      <t>Critère sur le TJ et le CPH</t>
    </r>
  </si>
  <si>
    <r>
      <t xml:space="preserve">11.5 CSM
</t>
    </r>
    <r>
      <rPr>
        <b/>
        <sz val="7"/>
        <color rgb="FF0070C0"/>
        <rFont val="Arial"/>
        <family val="2"/>
      </rPr>
      <t>(pour Fonction JI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</si>
  <si>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</si>
  <si>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</si>
  <si>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</si>
  <si>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</si>
  <si>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</si>
  <si>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</si>
  <si>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</si>
  <si>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</si>
  <si>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(pour Fonction JLD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</si>
  <si>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</si>
  <si>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</si>
  <si>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 xml:space="preserve">11.6 Autres activités non juridictionnelles 
</t>
    </r>
    <r>
      <rPr>
        <sz val="7"/>
        <rFont val="Arial"/>
        <family val="2"/>
      </rPr>
      <t xml:space="preserv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</si>
  <si>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11.6 Autres activités non juridictionnelles</t>
    </r>
    <r>
      <rPr>
        <sz val="7"/>
        <rFont val="Arial"/>
        <family val="2"/>
      </rPr>
      <t xml:space="preserv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</si>
  <si>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</si>
  <si>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</si>
  <si>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</si>
  <si>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</si>
  <si>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</si>
  <si>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</si>
  <si>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</si>
  <si>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</si>
  <si>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</si>
  <si>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</si>
  <si>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</si>
  <si>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</si>
  <si>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</si>
  <si>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</si>
  <si>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</si>
  <si>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 TOTAL des INDISPONIBILITÉS relevant de l'action 99
-
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</si>
  <si>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</si>
  <si>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</si>
  <si>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</si>
  <si>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</si>
  <si>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</si>
  <si>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</si>
  <si>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</si>
  <si>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</si>
  <si>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</si>
  <si>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</si>
  <si>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13. Contentieux locaux spécifiques
</t>
    </r>
    <r>
      <rPr>
        <b/>
        <sz val="7"/>
        <color rgb="FF0070C0"/>
        <rFont val="Arial"/>
        <family val="2"/>
      </rPr>
      <t xml:space="preserve">
(Pour Fonction recodée = Magistrats SIEGE S)</t>
    </r>
    <r>
      <rPr>
        <sz val="7"/>
        <rFont val="Arial"/>
        <family val="2"/>
      </rPr>
      <t xml:space="preserve">
</t>
    </r>
    <r>
      <rPr>
        <b/>
        <sz val="7"/>
        <color rgb="FFFF0000"/>
        <rFont val="Arial"/>
        <family val="2"/>
      </rPr>
      <t xml:space="preserve">
Critère sur le TJ et CPH</t>
    </r>
  </si>
  <si>
    <r>
      <t xml:space="preserve">12.5 MISE A DISPOSITION 
+
13. Contentieux locaux spécifiques
</t>
    </r>
    <r>
      <rPr>
        <b/>
        <sz val="7"/>
        <color rgb="FF0070C0"/>
        <rFont val="Arial"/>
        <family val="2"/>
      </rPr>
      <t xml:space="preserve">
(Pour Fonction recodée = Magistrats SIEGE NS)</t>
    </r>
    <r>
      <rPr>
        <sz val="7"/>
        <rFont val="Arial"/>
        <family val="2"/>
      </rPr>
      <t xml:space="preserve">
</t>
    </r>
    <r>
      <rPr>
        <b/>
        <sz val="7"/>
        <color rgb="FFFF0000"/>
        <rFont val="Arial"/>
        <family val="2"/>
      </rPr>
      <t xml:space="preserve">
Critère sur le TJ et CPH</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</si>
  <si>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</si>
  <si>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ADD)
</t>
    </r>
    <r>
      <rPr>
        <b/>
        <sz val="7"/>
        <color rgb="FFFF0000"/>
        <rFont val="Arial"/>
        <family val="2"/>
      </rPr>
      <t>Critère sur le TJ OU CPH</t>
    </r>
  </si>
  <si>
    <r>
      <t xml:space="preserve">8.1 Service général
</t>
    </r>
    <r>
      <rPr>
        <b/>
        <sz val="7"/>
        <color rgb="FF0070C0"/>
        <rFont val="Arial"/>
        <family val="2"/>
      </rPr>
      <t>(Pour Fonction recodée = Magistrat Placé ADD)</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</si>
  <si>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</si>
  <si>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</si>
  <si>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</si>
  <si>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ADD)</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</si>
  <si>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</si>
  <si>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</si>
  <si>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ADD)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</si>
  <si>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</si>
  <si>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</si>
  <si>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ADD)</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</si>
  <si>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</si>
  <si>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</si>
  <si>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</si>
  <si>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ADD)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</si>
  <si>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</si>
  <si>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ADD)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</si>
  <si>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</si>
  <si>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</si>
  <si>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3.2 Protection des majeurs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</si>
  <si>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SUB)
</t>
    </r>
    <r>
      <rPr>
        <b/>
        <sz val="7"/>
        <color rgb="FFFF0000"/>
        <rFont val="Arial"/>
        <family val="2"/>
      </rPr>
      <t>Critère sur le TJ OU CPH</t>
    </r>
  </si>
  <si>
    <r>
      <t xml:space="preserve">8.1 Service général
</t>
    </r>
    <r>
      <rPr>
        <b/>
        <sz val="7"/>
        <color rgb="FF0070C0"/>
        <rFont val="Arial"/>
        <family val="2"/>
      </rPr>
      <t>(Pour Fonction recodée = Magistrat Placé SUB)</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</si>
  <si>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</si>
  <si>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</si>
  <si>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</si>
  <si>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SUB)</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</si>
  <si>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</si>
  <si>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</si>
  <si>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SUB)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</si>
  <si>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</si>
  <si>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</si>
  <si>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SUB)</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</si>
  <si>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</si>
  <si>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</si>
  <si>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</si>
  <si>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SUB)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</si>
  <si>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</si>
  <si>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SUB)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</si>
  <si>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</si>
  <si>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</si>
  <si>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TJ ou CPH</t>
    </r>
  </si>
  <si>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</si>
  <si>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</si>
  <si>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</si>
  <si>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</si>
  <si>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</si>
  <si>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</si>
  <si>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t>Magistrats du TJ affectés au TPRX (contentieux civil &lt; 10 000 EUR)</t>
  </si>
  <si>
    <t xml:space="preserve">                 Déclaration des ETPT JURISTES ASSISTANTS (futurs attachés de justice)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</si>
</sst>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_-;\-* #,##0.00_-;_-* &quot;-&quot;??_-;_-@_-"/>
    <numFmt numFmtId="166" formatCode="_-* #,##0.000_-;\-* #,##0.000_-;_-* &quot;-&quot;??_-;_-@_-"/>
    <numFmt numFmtId="167" formatCode="General;General;\-"/>
    <numFmt numFmtId="168" formatCode="0.###;0.###;\-"/>
    <numFmt numFmtId="169" formatCode="#,##0.00_ ;[Red]\-#,##0.00\ "/>
    <numFmt numFmtId="170" formatCode="0.0%"/>
  </numFmts>
  <fonts count="8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
      <sz val="12"/>
      <color rgb="FFFF0000"/>
      <name val="Calibri"/>
      <family val="2"/>
      <scheme val="minor"/>
    </font>
    <font>
      <b/>
      <sz val="12"/>
      <color rgb="FFFF0000"/>
      <name val="Calibri"/>
      <family val="2"/>
      <scheme val="minor"/>
    </font>
    <font>
      <sz val="10"/>
      <color theme="1"/>
      <name val="Arial"/>
      <family val="2"/>
    </font>
    <font>
      <sz val="10"/>
      <color rgb="FF860000"/>
      <name val="Arial"/>
      <family val="2"/>
    </font>
    <font>
      <b/>
      <sz val="10"/>
      <color theme="1"/>
      <name val="Arial"/>
      <family val="2"/>
    </font>
    <font>
      <sz val="11"/>
      <color rgb="FFFF0000"/>
      <name val="Calibri"/>
      <family val="2"/>
      <scheme val="minor"/>
    </font>
    <font>
      <sz val="9"/>
      <color rgb="FF333333"/>
      <name val="Arial"/>
      <family val="2"/>
    </font>
    <font>
      <b/>
      <sz val="7"/>
      <color rgb="FF000000"/>
      <name val="Arial"/>
      <family val="2"/>
    </font>
    <font>
      <b/>
      <u/>
      <sz val="7"/>
      <color rgb="FF000000"/>
      <name val="Arial"/>
      <family val="2"/>
    </font>
    <font>
      <sz val="7"/>
      <color rgb="FF000000"/>
      <name val="Arial"/>
      <family val="2"/>
    </font>
    <font>
      <sz val="7"/>
      <name val="Arial"/>
      <family val="2"/>
    </font>
    <font>
      <sz val="7"/>
      <color rgb="FFFF0000"/>
      <name val="Arial"/>
      <family val="2"/>
    </font>
    <font>
      <b/>
      <sz val="7"/>
      <name val="Arial"/>
      <family val="2"/>
    </font>
    <font>
      <b/>
      <sz val="7"/>
      <color rgb="FFFF0000"/>
      <name val="Arial"/>
      <family val="2"/>
    </font>
    <font>
      <b/>
      <sz val="7"/>
      <color rgb="FF333333"/>
      <name val="Arial"/>
      <family val="2"/>
    </font>
    <font>
      <b/>
      <sz val="8"/>
      <color rgb="FFFF0000"/>
      <name val="Arial"/>
      <family val="2"/>
    </font>
    <font>
      <b/>
      <sz val="8"/>
      <color rgb="FF333333"/>
      <name val="Arial"/>
      <family val="2"/>
    </font>
    <font>
      <b/>
      <sz val="8"/>
      <color rgb="FF000000"/>
      <name val="Arial"/>
      <family val="2"/>
    </font>
    <font>
      <sz val="8"/>
      <color rgb="FF000000"/>
      <name val="Arial"/>
      <family val="2"/>
    </font>
    <font>
      <sz val="7"/>
      <color rgb="FF333333"/>
      <name val="Arial"/>
      <family val="2"/>
    </font>
    <font>
      <sz val="8"/>
      <color rgb="FF333333"/>
      <name val="Arial"/>
      <family val="2"/>
    </font>
    <font>
      <b/>
      <sz val="9"/>
      <color rgb="FF333333"/>
      <name val="Arial"/>
      <family val="2"/>
    </font>
    <font>
      <sz val="7"/>
      <color theme="0"/>
      <name val="Arial"/>
      <family val="2"/>
    </font>
    <font>
      <b/>
      <sz val="12"/>
      <color theme="1"/>
      <name val="Calibri"/>
      <family val="2"/>
      <scheme val="minor"/>
    </font>
    <font>
      <b/>
      <sz val="22"/>
      <color theme="0"/>
      <name val="Calibri"/>
      <family val="2"/>
      <scheme val="minor"/>
    </font>
    <font>
      <sz val="10"/>
      <color theme="1"/>
      <name val="Calibri"/>
      <family val="2"/>
      <scheme val="minor"/>
    </font>
    <font>
      <sz val="10"/>
      <color theme="0"/>
      <name val="Calibri"/>
      <family val="2"/>
      <scheme val="minor"/>
    </font>
    <font>
      <b/>
      <sz val="7"/>
      <color theme="1"/>
      <name val="Arial"/>
      <family val="2"/>
    </font>
    <font>
      <u/>
      <sz val="11"/>
      <color theme="4"/>
      <name val="Calibri"/>
      <family val="2"/>
      <scheme val="minor"/>
    </font>
    <font>
      <b/>
      <sz val="11"/>
      <color theme="0"/>
      <name val="Calibri"/>
      <family val="2"/>
      <scheme val="minor"/>
    </font>
    <font>
      <b/>
      <sz val="12"/>
      <color rgb="FF860000"/>
      <name val="Calibri"/>
      <family val="2"/>
      <scheme val="minor"/>
    </font>
    <font>
      <b/>
      <sz val="12"/>
      <color rgb="FF2D46E0"/>
      <name val="Calibri"/>
      <family val="2"/>
      <scheme val="minor"/>
    </font>
    <font>
      <b/>
      <sz val="12"/>
      <color theme="5"/>
      <name val="Calibri"/>
      <family val="2"/>
      <scheme val="minor"/>
    </font>
    <font>
      <b/>
      <sz val="7"/>
      <color rgb="FF0070C0"/>
      <name val="Arial"/>
      <family val="2"/>
    </font>
    <font>
      <sz val="7"/>
      <color rgb="FF0070C0"/>
      <name val="Arial"/>
      <family val="2"/>
    </font>
    <font>
      <b/>
      <sz val="10"/>
      <color rgb="FF333333"/>
      <name val="Arial"/>
      <family val="2"/>
    </font>
    <font>
      <sz val="10"/>
      <color rgb="FF333333"/>
      <name val="Arial"/>
      <family val="2"/>
    </font>
    <font>
      <b/>
      <sz val="10"/>
      <color rgb="FF000000"/>
      <name val="Arial"/>
      <family val="2"/>
    </font>
    <font>
      <b/>
      <u/>
      <sz val="10"/>
      <color rgb="FF000000"/>
      <name val="Arial"/>
      <family val="2"/>
    </font>
    <font>
      <b/>
      <sz val="10"/>
      <name val="Arial"/>
      <family val="2"/>
    </font>
    <font>
      <sz val="10"/>
      <color rgb="FF000000"/>
      <name val="Arial"/>
      <family val="2"/>
    </font>
    <font>
      <sz val="10"/>
      <name val="Arial"/>
      <family val="2"/>
    </font>
    <font>
      <b/>
      <sz val="10"/>
      <color rgb="FFFF0000"/>
      <name val="Arial"/>
      <family val="2"/>
    </font>
    <font>
      <sz val="10"/>
      <color rgb="FFFF0000"/>
      <name val="Arial"/>
      <family val="2"/>
    </font>
    <font>
      <b/>
      <u/>
      <sz val="10"/>
      <name val="Arial"/>
      <family val="2"/>
    </font>
    <font>
      <i/>
      <sz val="11"/>
      <color theme="1"/>
      <name val="Calibri"/>
      <family val="2"/>
      <scheme val="minor"/>
    </font>
    <font>
      <sz val="7"/>
      <color rgb="FFFFFF00"/>
      <name val="Arial"/>
      <family val="2"/>
    </font>
    <font>
      <sz val="9"/>
      <color theme="1"/>
      <name val="Arial"/>
      <family val="2"/>
    </font>
    <font>
      <b/>
      <sz val="10"/>
      <color rgb="FF0070C0"/>
      <name val="Arial"/>
      <family val="2"/>
    </font>
    <font>
      <b/>
      <sz val="10"/>
      <color rgb="FFFF0000"/>
      <name val="Calibri"/>
      <family val="2"/>
      <scheme val="minor"/>
    </font>
    <font>
      <sz val="11"/>
      <color rgb="FF000000"/>
      <name val="Calibri"/>
      <family val="2"/>
      <scheme val="minor"/>
    </font>
    <font>
      <b/>
      <sz val="11"/>
      <color rgb="FF0070C0"/>
      <name val="Arial"/>
      <family val="2"/>
    </font>
    <font>
      <sz val="7"/>
      <color theme="2" tint="-9.9978637043366805E-2"/>
      <name val="Arial"/>
      <family val="2"/>
    </font>
    <font>
      <sz val="8"/>
      <name val="Calibri"/>
      <family val="2"/>
      <scheme val="minor"/>
    </font>
    <font>
      <b/>
      <sz val="9"/>
      <color rgb="FF000000"/>
      <name val="Tahoma"/>
      <family val="2"/>
    </font>
    <font>
      <sz val="9"/>
      <color rgb="FF000000"/>
      <name val="Tahoma"/>
      <family val="2"/>
    </font>
    <font>
      <b/>
      <sz val="11"/>
      <color rgb="FFFF0000"/>
      <name val="Calibri"/>
      <family val="2"/>
      <scheme val="minor"/>
    </font>
    <font>
      <b/>
      <sz val="14"/>
      <color rgb="FFFF0000"/>
      <name val="Calibri (Corps)"/>
    </font>
    <font>
      <b/>
      <sz val="10"/>
      <color rgb="FF002060"/>
      <name val="Arial"/>
      <family val="2"/>
    </font>
    <font>
      <sz val="10"/>
      <color rgb="FF002060"/>
      <name val="Arial"/>
      <family val="2"/>
    </font>
    <font>
      <b/>
      <sz val="11"/>
      <color rgb="FFFF0000"/>
      <name val="Arial"/>
      <family val="2"/>
    </font>
    <font>
      <sz val="11"/>
      <color rgb="FF002060"/>
      <name val="Arial"/>
      <family val="2"/>
    </font>
    <font>
      <sz val="10"/>
      <color rgb="FF0070C0"/>
      <name val="Arial"/>
      <family val="2"/>
    </font>
    <font>
      <u/>
      <sz val="10"/>
      <name val="Arial"/>
      <family val="2"/>
    </font>
    <font>
      <b/>
      <u/>
      <sz val="10"/>
      <color rgb="FFFF0000"/>
      <name val="Arial"/>
      <family val="2"/>
    </font>
    <font>
      <b/>
      <sz val="7"/>
      <color rgb="FFFF66CC"/>
      <name val="Arial"/>
      <family val="2"/>
    </font>
    <font>
      <sz val="7"/>
      <color theme="1"/>
      <name val="Arial"/>
      <family val="2"/>
    </font>
    <font>
      <b/>
      <sz val="7"/>
      <color theme="8" tint="-0.249977111117893"/>
      <name val="Arial"/>
      <family val="2"/>
    </font>
    <font>
      <b/>
      <sz val="7"/>
      <color rgb="FF860000"/>
      <name val="Arial"/>
      <family val="2"/>
    </font>
    <font>
      <sz val="7"/>
      <color theme="1"/>
      <name val="Calibri"/>
      <family val="2"/>
      <scheme val="minor"/>
    </font>
  </fonts>
  <fills count="36">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CCFFFF"/>
        <bgColor rgb="FFFFFFFF"/>
      </patternFill>
    </fill>
    <fill>
      <patternFill patternType="solid">
        <fgColor rgb="FFCEFFFF"/>
        <bgColor rgb="FFFFFFFF"/>
      </patternFill>
    </fill>
    <fill>
      <patternFill patternType="solid">
        <fgColor theme="1" tint="0.249977111117893"/>
        <bgColor rgb="FFFFFFFF"/>
      </patternFill>
    </fill>
    <fill>
      <patternFill patternType="solid">
        <fgColor rgb="FF92D050"/>
        <bgColor rgb="FFFFFFFF"/>
      </patternFill>
    </fill>
    <fill>
      <patternFill patternType="solid">
        <fgColor theme="9"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rgb="FFFFC000"/>
        <bgColor rgb="FFFFFFFF"/>
      </patternFill>
    </fill>
    <fill>
      <patternFill patternType="solid">
        <fgColor rgb="FFFCFDFD"/>
        <bgColor rgb="FFFFFFFF"/>
      </patternFill>
    </fill>
    <fill>
      <patternFill patternType="solid">
        <fgColor theme="5"/>
        <bgColor rgb="FFFFFFFF"/>
      </patternFill>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2" tint="-9.9978637043366805E-2"/>
        <bgColor rgb="FFFFFFFF"/>
      </patternFill>
    </fill>
    <fill>
      <patternFill patternType="solid">
        <fgColor rgb="FF0070C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rgb="FFFFFF00"/>
        <bgColor rgb="FFFFFFFF"/>
      </patternFill>
    </fill>
    <fill>
      <patternFill patternType="solid">
        <fgColor rgb="FFFF66CC"/>
        <bgColor rgb="FFFFFFFF"/>
      </patternFill>
    </fill>
    <fill>
      <patternFill patternType="solid">
        <fgColor rgb="FF00B0F0"/>
        <bgColor rgb="FFFFFFFF"/>
      </patternFill>
    </fill>
  </fills>
  <borders count="36">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right style="medium">
        <color rgb="FF333F4F"/>
      </right>
      <top style="medium">
        <color rgb="FF333F4F"/>
      </top>
      <bottom/>
      <diagonal/>
    </border>
    <border>
      <left style="medium">
        <color rgb="FF333F4F"/>
      </left>
      <right/>
      <top/>
      <bottom style="thin">
        <color rgb="FF333F4F"/>
      </bottom>
      <diagonal/>
    </border>
    <border>
      <left/>
      <right/>
      <top/>
      <bottom style="thin">
        <color rgb="FF333F4F"/>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style="medium">
        <color rgb="FF333F4F"/>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rgb="FF333F4F"/>
      </left>
      <right/>
      <top/>
      <bottom style="medium">
        <color rgb="FF333F4F"/>
      </bottom>
      <diagonal/>
    </border>
    <border>
      <left/>
      <right/>
      <top/>
      <bottom style="medium">
        <color rgb="FF333F4F"/>
      </bottom>
      <diagonal/>
    </border>
    <border>
      <left style="medium">
        <color indexed="64"/>
      </left>
      <right/>
      <top/>
      <bottom/>
      <diagonal/>
    </border>
    <border>
      <left/>
      <right/>
      <top style="thin">
        <color rgb="FF333F4F"/>
      </top>
      <bottom/>
      <diagonal/>
    </border>
    <border>
      <left/>
      <right style="medium">
        <color rgb="FF333F4F"/>
      </right>
      <top style="medium">
        <color rgb="FF333F4F"/>
      </top>
      <bottom style="medium">
        <color rgb="FF333F4F"/>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s>
  <cellStyleXfs count="6">
    <xf numFmtId="0" fontId="0" fillId="0" borderId="0"/>
    <xf numFmtId="0" fontId="6" fillId="0" borderId="0"/>
    <xf numFmtId="165" fontId="6" fillId="0" borderId="0" applyFont="0" applyFill="0" applyBorder="0" applyAlignment="0" applyProtection="0"/>
    <xf numFmtId="164" fontId="11" fillId="0" borderId="0" applyFont="0" applyFill="0" applyBorder="0" applyAlignment="0" applyProtection="0"/>
    <xf numFmtId="0" fontId="5" fillId="0" borderId="0"/>
    <xf numFmtId="165" fontId="5" fillId="0" borderId="0" applyFont="0" applyFill="0" applyBorder="0" applyAlignment="0" applyProtection="0"/>
  </cellStyleXfs>
  <cellXfs count="411">
    <xf numFmtId="0" fontId="0" fillId="0" borderId="0" xfId="0"/>
    <xf numFmtId="0" fontId="0" fillId="0" borderId="0" xfId="0" applyAlignment="1">
      <alignment horizontal="right"/>
    </xf>
    <xf numFmtId="0" fontId="0" fillId="0" borderId="0" xfId="0" applyAlignment="1">
      <alignment horizontal="center"/>
    </xf>
    <xf numFmtId="0" fontId="8"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9" fillId="3" borderId="0" xfId="0" applyFont="1" applyFill="1" applyAlignment="1">
      <alignment horizontal="right"/>
    </xf>
    <xf numFmtId="0" fontId="0" fillId="3" borderId="0" xfId="0" applyFill="1" applyAlignment="1">
      <alignment horizontal="center" vertical="center"/>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left" vertical="center" wrapText="1"/>
    </xf>
    <xf numFmtId="166" fontId="7" fillId="0" borderId="3" xfId="3" applyNumberFormat="1" applyFont="1" applyBorder="1" applyAlignment="1">
      <alignment horizontal="center" vertical="center" wrapText="1"/>
    </xf>
    <xf numFmtId="166" fontId="7" fillId="0" borderId="4" xfId="3" applyNumberFormat="1" applyFont="1" applyBorder="1" applyAlignment="1">
      <alignment horizontal="center" vertical="center" wrapText="1"/>
    </xf>
    <xf numFmtId="0" fontId="11" fillId="0" borderId="0" xfId="0" applyFont="1" applyAlignment="1">
      <alignment vertical="center"/>
    </xf>
    <xf numFmtId="0" fontId="12" fillId="4" borderId="0" xfId="0" applyFont="1" applyFill="1" applyAlignment="1">
      <alignment wrapText="1"/>
    </xf>
    <xf numFmtId="0" fontId="12" fillId="4" borderId="0" xfId="0" applyFont="1" applyFill="1" applyAlignment="1">
      <alignment horizontal="center" vertical="center"/>
    </xf>
    <xf numFmtId="0" fontId="0" fillId="5" borderId="0" xfId="0" applyFill="1" applyAlignment="1">
      <alignment horizontal="left"/>
    </xf>
    <xf numFmtId="0" fontId="7" fillId="5" borderId="0" xfId="0" applyFont="1" applyFill="1" applyAlignment="1">
      <alignment horizontal="left"/>
    </xf>
    <xf numFmtId="166" fontId="7" fillId="0" borderId="0" xfId="3" applyNumberFormat="1" applyFont="1" applyBorder="1" applyAlignment="1">
      <alignment horizontal="center" vertical="center"/>
    </xf>
    <xf numFmtId="166" fontId="7" fillId="0" borderId="1" xfId="3" applyNumberFormat="1" applyFont="1" applyBorder="1" applyAlignment="1">
      <alignment horizontal="center" vertical="center"/>
    </xf>
    <xf numFmtId="0" fontId="7" fillId="6" borderId="6" xfId="0" applyFont="1" applyFill="1" applyBorder="1" applyAlignment="1">
      <alignment horizontal="center" vertical="center" wrapText="1"/>
    </xf>
    <xf numFmtId="0" fontId="0" fillId="0" borderId="0" xfId="0" applyAlignment="1">
      <alignment wrapText="1"/>
    </xf>
    <xf numFmtId="0" fontId="7" fillId="2" borderId="0" xfId="0" applyFont="1" applyFill="1" applyAlignment="1">
      <alignment horizontal="center" vertical="center" wrapText="1"/>
    </xf>
    <xf numFmtId="167" fontId="0" fillId="0" borderId="0" xfId="0" applyNumberFormat="1"/>
    <xf numFmtId="0" fontId="0" fillId="6" borderId="0" xfId="0" applyFill="1" applyAlignment="1">
      <alignment horizontal="center" vertical="center"/>
    </xf>
    <xf numFmtId="168" fontId="0" fillId="0" borderId="0" xfId="0" applyNumberFormat="1" applyAlignment="1">
      <alignment horizontal="left" vertical="top"/>
    </xf>
    <xf numFmtId="0" fontId="0" fillId="0" borderId="0" xfId="0" applyAlignment="1">
      <alignment vertical="center" wrapText="1"/>
    </xf>
    <xf numFmtId="0" fontId="10" fillId="0" borderId="0" xfId="0" applyFont="1"/>
    <xf numFmtId="166" fontId="7" fillId="0" borderId="4" xfId="0" applyNumberFormat="1" applyFont="1" applyBorder="1" applyAlignment="1">
      <alignment horizontal="center" vertical="center" wrapText="1"/>
    </xf>
    <xf numFmtId="0" fontId="17" fillId="0" borderId="0" xfId="4" applyFont="1" applyProtection="1">
      <protection hidden="1"/>
    </xf>
    <xf numFmtId="0" fontId="18" fillId="0" borderId="0" xfId="4" applyFont="1" applyProtection="1">
      <protection locked="0"/>
    </xf>
    <xf numFmtId="49" fontId="18" fillId="0" borderId="0" xfId="4" applyNumberFormat="1" applyFont="1" applyAlignment="1" applyProtection="1">
      <alignment horizontal="left" vertical="center"/>
      <protection locked="0"/>
    </xf>
    <xf numFmtId="0" fontId="18" fillId="0" borderId="0" xfId="4" applyFont="1" applyAlignment="1" applyProtection="1">
      <alignment horizontal="left" vertical="center"/>
      <protection locked="0"/>
    </xf>
    <xf numFmtId="0" fontId="17" fillId="0" borderId="0" xfId="4" applyFont="1" applyAlignment="1" applyProtection="1">
      <alignment horizontal="left"/>
      <protection hidden="1"/>
    </xf>
    <xf numFmtId="0" fontId="19" fillId="0" borderId="0" xfId="4" applyFont="1" applyAlignment="1" applyProtection="1">
      <alignment horizontal="left"/>
      <protection hidden="1"/>
    </xf>
    <xf numFmtId="0" fontId="11" fillId="0" borderId="0" xfId="4" applyFont="1" applyAlignment="1">
      <alignment vertical="center" wrapText="1"/>
    </xf>
    <xf numFmtId="0" fontId="20" fillId="0" borderId="0" xfId="4" applyFont="1" applyAlignment="1">
      <alignment vertical="center" wrapText="1"/>
    </xf>
    <xf numFmtId="0" fontId="5" fillId="0" borderId="0" xfId="4" applyProtection="1">
      <protection hidden="1"/>
    </xf>
    <xf numFmtId="169" fontId="5" fillId="0" borderId="0" xfId="4" applyNumberFormat="1" applyProtection="1">
      <protection hidden="1"/>
    </xf>
    <xf numFmtId="0" fontId="16" fillId="0" borderId="0" xfId="4" applyFont="1" applyProtection="1">
      <protection hidden="1"/>
    </xf>
    <xf numFmtId="169" fontId="16" fillId="0" borderId="0" xfId="4" applyNumberFormat="1" applyFont="1" applyProtection="1">
      <protection hidden="1"/>
    </xf>
    <xf numFmtId="0" fontId="21" fillId="8" borderId="0" xfId="4" applyFont="1" applyFill="1" applyAlignment="1" applyProtection="1">
      <alignment horizontal="left"/>
      <protection hidden="1"/>
    </xf>
    <xf numFmtId="169" fontId="22" fillId="8" borderId="0" xfId="4" applyNumberFormat="1" applyFont="1" applyFill="1" applyProtection="1">
      <protection hidden="1"/>
    </xf>
    <xf numFmtId="0" fontId="23" fillId="8" borderId="0" xfId="4" applyFont="1" applyFill="1" applyAlignment="1" applyProtection="1">
      <alignment horizontal="left"/>
      <protection hidden="1"/>
    </xf>
    <xf numFmtId="0" fontId="22" fillId="8" borderId="0" xfId="4" applyFont="1" applyFill="1" applyAlignment="1" applyProtection="1">
      <alignment horizontal="left"/>
      <protection hidden="1"/>
    </xf>
    <xf numFmtId="0" fontId="24" fillId="8" borderId="0" xfId="4" applyFont="1" applyFill="1" applyAlignment="1" applyProtection="1">
      <alignment horizontal="left"/>
      <protection hidden="1"/>
    </xf>
    <xf numFmtId="169" fontId="22" fillId="9" borderId="12" xfId="4" applyNumberFormat="1" applyFont="1" applyFill="1" applyBorder="1" applyProtection="1">
      <protection hidden="1"/>
    </xf>
    <xf numFmtId="169" fontId="22" fillId="10" borderId="12" xfId="4" applyNumberFormat="1" applyFont="1" applyFill="1" applyBorder="1" applyProtection="1">
      <protection hidden="1"/>
    </xf>
    <xf numFmtId="169" fontId="27" fillId="10" borderId="12" xfId="4" applyNumberFormat="1" applyFont="1" applyFill="1" applyBorder="1" applyProtection="1">
      <protection hidden="1"/>
    </xf>
    <xf numFmtId="0" fontId="23" fillId="10" borderId="12" xfId="4" applyFont="1" applyFill="1" applyBorder="1" applyAlignment="1" applyProtection="1">
      <alignment horizontal="left"/>
      <protection hidden="1"/>
    </xf>
    <xf numFmtId="0" fontId="22" fillId="8" borderId="12" xfId="4" applyFont="1" applyFill="1" applyBorder="1" applyAlignment="1" applyProtection="1">
      <alignment horizontal="left"/>
      <protection hidden="1"/>
    </xf>
    <xf numFmtId="49" fontId="24" fillId="8" borderId="13" xfId="4" applyNumberFormat="1" applyFont="1" applyFill="1" applyBorder="1" applyAlignment="1" applyProtection="1">
      <alignment horizontal="left"/>
      <protection hidden="1"/>
    </xf>
    <xf numFmtId="169" fontId="24" fillId="11" borderId="12" xfId="4" applyNumberFormat="1" applyFont="1" applyFill="1" applyBorder="1" applyProtection="1">
      <protection hidden="1"/>
    </xf>
    <xf numFmtId="169" fontId="25" fillId="12" borderId="12" xfId="4" applyNumberFormat="1" applyFont="1" applyFill="1" applyBorder="1" applyAlignment="1" applyProtection="1">
      <alignment horizontal="right"/>
      <protection hidden="1"/>
    </xf>
    <xf numFmtId="169" fontId="26" fillId="0" borderId="12" xfId="4" applyNumberFormat="1" applyFont="1" applyBorder="1" applyAlignment="1" applyProtection="1">
      <alignment horizontal="right"/>
      <protection hidden="1"/>
    </xf>
    <xf numFmtId="169" fontId="25" fillId="12" borderId="12" xfId="4" applyNumberFormat="1" applyFont="1" applyFill="1" applyBorder="1" applyAlignment="1" applyProtection="1">
      <alignment horizontal="right" vertical="center" wrapText="1"/>
      <protection hidden="1"/>
    </xf>
    <xf numFmtId="169" fontId="24" fillId="0" borderId="12" xfId="4" applyNumberFormat="1" applyFont="1" applyBorder="1" applyProtection="1">
      <protection hidden="1"/>
    </xf>
    <xf numFmtId="169" fontId="26" fillId="8" borderId="12" xfId="4" applyNumberFormat="1" applyFont="1" applyFill="1" applyBorder="1" applyProtection="1">
      <protection hidden="1"/>
    </xf>
    <xf numFmtId="169" fontId="25" fillId="7" borderId="12" xfId="4" applyNumberFormat="1" applyFont="1" applyFill="1" applyBorder="1" applyAlignment="1" applyProtection="1">
      <alignment horizontal="right"/>
      <protection hidden="1"/>
    </xf>
    <xf numFmtId="169" fontId="27" fillId="9" borderId="12" xfId="4" applyNumberFormat="1" applyFont="1" applyFill="1" applyBorder="1" applyProtection="1">
      <protection hidden="1"/>
    </xf>
    <xf numFmtId="0" fontId="24" fillId="8" borderId="12" xfId="4" applyFont="1" applyFill="1" applyBorder="1" applyAlignment="1" applyProtection="1">
      <alignment horizontal="left"/>
      <protection hidden="1"/>
    </xf>
    <xf numFmtId="0" fontId="24" fillId="8" borderId="12" xfId="4" applyFont="1" applyFill="1" applyBorder="1" applyAlignment="1" applyProtection="1">
      <alignment horizontal="left" vertical="center"/>
      <protection hidden="1"/>
    </xf>
    <xf numFmtId="169" fontId="26" fillId="8" borderId="12" xfId="4" applyNumberFormat="1" applyFont="1" applyFill="1" applyBorder="1" applyAlignment="1" applyProtection="1">
      <alignment horizontal="right"/>
      <protection hidden="1"/>
    </xf>
    <xf numFmtId="169" fontId="25" fillId="7" borderId="12" xfId="4" applyNumberFormat="1" applyFont="1" applyFill="1" applyBorder="1" applyProtection="1">
      <protection hidden="1"/>
    </xf>
    <xf numFmtId="169" fontId="25" fillId="8" borderId="12" xfId="4" applyNumberFormat="1" applyFont="1" applyFill="1" applyBorder="1" applyAlignment="1" applyProtection="1">
      <alignment horizontal="right"/>
      <protection hidden="1"/>
    </xf>
    <xf numFmtId="169" fontId="25" fillId="0" borderId="12" xfId="4" applyNumberFormat="1" applyFont="1" applyBorder="1" applyProtection="1">
      <protection hidden="1"/>
    </xf>
    <xf numFmtId="169" fontId="24" fillId="11" borderId="12" xfId="4" applyNumberFormat="1" applyFont="1" applyFill="1" applyBorder="1" applyAlignment="1" applyProtection="1">
      <alignment horizontal="center" vertical="center" wrapText="1"/>
      <protection hidden="1"/>
    </xf>
    <xf numFmtId="169" fontId="25" fillId="7" borderId="12" xfId="4" applyNumberFormat="1" applyFont="1" applyFill="1" applyBorder="1" applyAlignment="1" applyProtection="1">
      <alignment horizontal="right" vertical="center" wrapText="1"/>
      <protection hidden="1"/>
    </xf>
    <xf numFmtId="169" fontId="26" fillId="11" borderId="12" xfId="4" applyNumberFormat="1" applyFont="1" applyFill="1" applyBorder="1" applyAlignment="1" applyProtection="1">
      <alignment horizontal="right" vertical="center" wrapText="1"/>
      <protection hidden="1"/>
    </xf>
    <xf numFmtId="169" fontId="26" fillId="11" borderId="12" xfId="4" applyNumberFormat="1" applyFont="1" applyFill="1" applyBorder="1" applyAlignment="1" applyProtection="1">
      <alignment horizontal="right"/>
      <protection hidden="1"/>
    </xf>
    <xf numFmtId="169" fontId="25" fillId="11" borderId="12" xfId="4" applyNumberFormat="1" applyFont="1" applyFill="1" applyBorder="1" applyAlignment="1" applyProtection="1">
      <alignment horizontal="right"/>
      <protection hidden="1"/>
    </xf>
    <xf numFmtId="0" fontId="24" fillId="16" borderId="12" xfId="4" applyFont="1" applyFill="1" applyBorder="1" applyAlignment="1" applyProtection="1">
      <alignment horizontal="left" vertical="center"/>
      <protection hidden="1"/>
    </xf>
    <xf numFmtId="0" fontId="22" fillId="13" borderId="12" xfId="4" applyFont="1" applyFill="1" applyBorder="1" applyAlignment="1" applyProtection="1">
      <alignment horizontal="center" vertical="center" wrapText="1"/>
      <protection hidden="1"/>
    </xf>
    <xf numFmtId="0" fontId="22" fillId="14" borderId="12" xfId="4" applyFont="1" applyFill="1" applyBorder="1" applyAlignment="1" applyProtection="1">
      <alignment horizontal="center" vertical="center" wrapText="1"/>
      <protection hidden="1"/>
    </xf>
    <xf numFmtId="0" fontId="22" fillId="15" borderId="12" xfId="4" applyFont="1" applyFill="1" applyBorder="1" applyAlignment="1" applyProtection="1">
      <alignment horizontal="center" vertical="center" wrapText="1"/>
      <protection hidden="1"/>
    </xf>
    <xf numFmtId="0" fontId="22" fillId="8" borderId="12" xfId="4" applyFont="1" applyFill="1" applyBorder="1" applyAlignment="1" applyProtection="1">
      <alignment horizontal="center" vertical="center" wrapText="1"/>
      <protection hidden="1"/>
    </xf>
    <xf numFmtId="0" fontId="29" fillId="8" borderId="12" xfId="4" applyFont="1" applyFill="1" applyBorder="1" applyAlignment="1" applyProtection="1">
      <alignment horizontal="center" vertical="center" wrapText="1"/>
      <protection hidden="1"/>
    </xf>
    <xf numFmtId="49" fontId="29" fillId="8" borderId="0" xfId="4" applyNumberFormat="1" applyFont="1" applyFill="1" applyAlignment="1" applyProtection="1">
      <alignment horizontal="center" vertical="center" wrapText="1"/>
      <protection hidden="1"/>
    </xf>
    <xf numFmtId="0" fontId="29" fillId="8" borderId="0" xfId="4" applyFont="1" applyFill="1" applyAlignment="1" applyProtection="1">
      <alignment horizontal="center" vertical="center" wrapText="1"/>
      <protection hidden="1"/>
    </xf>
    <xf numFmtId="0" fontId="23" fillId="10" borderId="12" xfId="4" applyFont="1" applyFill="1" applyBorder="1" applyAlignment="1" applyProtection="1">
      <alignment horizontal="left" vertical="center"/>
      <protection hidden="1"/>
    </xf>
    <xf numFmtId="0" fontId="22" fillId="8" borderId="12" xfId="4" applyFont="1" applyFill="1" applyBorder="1" applyAlignment="1" applyProtection="1">
      <alignment horizontal="left" vertical="center"/>
      <protection hidden="1"/>
    </xf>
    <xf numFmtId="0" fontId="24" fillId="8" borderId="13" xfId="4" applyFont="1" applyFill="1" applyBorder="1" applyAlignment="1" applyProtection="1">
      <alignment horizontal="center" vertical="center"/>
      <protection hidden="1"/>
    </xf>
    <xf numFmtId="169" fontId="22" fillId="9" borderId="12" xfId="4" applyNumberFormat="1" applyFont="1" applyFill="1" applyBorder="1" applyAlignment="1" applyProtection="1">
      <alignment horizontal="right"/>
      <protection hidden="1"/>
    </xf>
    <xf numFmtId="169" fontId="24" fillId="8" borderId="12" xfId="4" applyNumberFormat="1" applyFont="1" applyFill="1" applyBorder="1" applyAlignment="1" applyProtection="1">
      <alignment horizontal="right"/>
      <protection hidden="1"/>
    </xf>
    <xf numFmtId="169" fontId="29" fillId="9" borderId="12" xfId="4" applyNumberFormat="1" applyFont="1" applyFill="1" applyBorder="1" applyProtection="1">
      <protection hidden="1"/>
    </xf>
    <xf numFmtId="49" fontId="23" fillId="10" borderId="12" xfId="4" applyNumberFormat="1" applyFont="1" applyFill="1" applyBorder="1" applyAlignment="1" applyProtection="1">
      <alignment horizontal="left" vertical="center"/>
      <protection hidden="1"/>
    </xf>
    <xf numFmtId="0" fontId="32" fillId="8" borderId="12" xfId="4" applyFont="1" applyFill="1" applyBorder="1" applyAlignment="1" applyProtection="1">
      <alignment horizontal="left" vertical="center"/>
      <protection hidden="1"/>
    </xf>
    <xf numFmtId="0" fontId="33" fillId="8" borderId="12" xfId="4" applyFont="1" applyFill="1" applyBorder="1" applyAlignment="1" applyProtection="1">
      <alignment horizontal="left" vertical="center"/>
      <protection hidden="1"/>
    </xf>
    <xf numFmtId="0" fontId="33" fillId="8" borderId="0" xfId="4" applyFont="1" applyFill="1" applyAlignment="1" applyProtection="1">
      <alignment horizontal="center" vertical="center"/>
      <protection hidden="1"/>
    </xf>
    <xf numFmtId="169" fontId="34" fillId="7" borderId="12" xfId="4" applyNumberFormat="1" applyFont="1" applyFill="1" applyBorder="1" applyProtection="1">
      <protection hidden="1"/>
    </xf>
    <xf numFmtId="49" fontId="24" fillId="8" borderId="12" xfId="4" applyNumberFormat="1" applyFont="1" applyFill="1" applyBorder="1" applyAlignment="1" applyProtection="1">
      <alignment horizontal="left" vertical="center"/>
      <protection hidden="1"/>
    </xf>
    <xf numFmtId="49" fontId="24" fillId="8" borderId="0" xfId="4" applyNumberFormat="1" applyFont="1" applyFill="1" applyAlignment="1" applyProtection="1">
      <alignment horizontal="center" vertical="center"/>
      <protection hidden="1"/>
    </xf>
    <xf numFmtId="169" fontId="34" fillId="17" borderId="12" xfId="4" applyNumberFormat="1" applyFont="1" applyFill="1" applyBorder="1" applyProtection="1">
      <protection hidden="1"/>
    </xf>
    <xf numFmtId="169" fontId="34" fillId="0" borderId="12" xfId="4" applyNumberFormat="1" applyFont="1" applyBorder="1" applyProtection="1">
      <protection hidden="1"/>
    </xf>
    <xf numFmtId="169" fontId="34" fillId="8" borderId="12" xfId="4" applyNumberFormat="1" applyFont="1" applyFill="1" applyBorder="1" applyProtection="1">
      <protection hidden="1"/>
    </xf>
    <xf numFmtId="49" fontId="24" fillId="16" borderId="12" xfId="4" applyNumberFormat="1" applyFont="1" applyFill="1" applyBorder="1" applyAlignment="1" applyProtection="1">
      <alignment horizontal="left" vertical="center"/>
      <protection hidden="1"/>
    </xf>
    <xf numFmtId="49" fontId="29" fillId="8" borderId="12" xfId="4" applyNumberFormat="1" applyFont="1" applyFill="1" applyBorder="1" applyAlignment="1" applyProtection="1">
      <alignment horizontal="center" vertical="center" wrapText="1"/>
      <protection hidden="1"/>
    </xf>
    <xf numFmtId="49" fontId="35" fillId="8" borderId="0" xfId="4" applyNumberFormat="1" applyFont="1" applyFill="1" applyAlignment="1" applyProtection="1">
      <alignment horizontal="center" vertical="center"/>
      <protection hidden="1"/>
    </xf>
    <xf numFmtId="0" fontId="36" fillId="8" borderId="0" xfId="4" applyFont="1" applyFill="1" applyAlignment="1" applyProtection="1">
      <alignment horizontal="center" vertical="center" wrapText="1"/>
      <protection hidden="1"/>
    </xf>
    <xf numFmtId="0" fontId="35" fillId="8" borderId="0" xfId="4" applyFont="1" applyFill="1" applyAlignment="1" applyProtection="1">
      <alignment horizontal="center" vertical="center"/>
      <protection hidden="1"/>
    </xf>
    <xf numFmtId="49" fontId="31" fillId="8" borderId="0" xfId="4" applyNumberFormat="1" applyFont="1" applyFill="1" applyAlignment="1" applyProtection="1">
      <alignment horizontal="left" vertical="top"/>
      <protection hidden="1"/>
    </xf>
    <xf numFmtId="169" fontId="25" fillId="7" borderId="12" xfId="4" applyNumberFormat="1" applyFont="1" applyFill="1" applyBorder="1" applyAlignment="1" applyProtection="1">
      <alignment wrapText="1"/>
      <protection hidden="1"/>
    </xf>
    <xf numFmtId="0" fontId="24" fillId="0" borderId="13" xfId="4" applyFont="1" applyBorder="1" applyAlignment="1" applyProtection="1">
      <alignment horizontal="center" vertical="center"/>
      <protection hidden="1"/>
    </xf>
    <xf numFmtId="0" fontId="24" fillId="0" borderId="12" xfId="4" applyFont="1" applyBorder="1" applyAlignment="1" applyProtection="1">
      <alignment horizontal="left" vertical="center"/>
      <protection hidden="1"/>
    </xf>
    <xf numFmtId="169" fontId="22" fillId="0" borderId="12" xfId="4" applyNumberFormat="1" applyFont="1" applyBorder="1" applyAlignment="1" applyProtection="1">
      <alignment horizontal="right"/>
      <protection hidden="1"/>
    </xf>
    <xf numFmtId="169" fontId="24" fillId="0" borderId="12" xfId="4" applyNumberFormat="1" applyFont="1" applyBorder="1" applyAlignment="1" applyProtection="1">
      <alignment horizontal="right"/>
      <protection hidden="1"/>
    </xf>
    <xf numFmtId="169" fontId="25" fillId="0" borderId="12" xfId="4" applyNumberFormat="1" applyFont="1" applyBorder="1" applyAlignment="1" applyProtection="1">
      <alignment horizontal="right"/>
      <protection hidden="1"/>
    </xf>
    <xf numFmtId="169" fontId="22" fillId="0" borderId="12" xfId="4" applyNumberFormat="1" applyFont="1" applyBorder="1" applyProtection="1">
      <protection hidden="1"/>
    </xf>
    <xf numFmtId="169" fontId="26" fillId="0" borderId="12" xfId="4" applyNumberFormat="1" applyFont="1" applyBorder="1" applyProtection="1">
      <protection hidden="1"/>
    </xf>
    <xf numFmtId="0" fontId="21" fillId="0" borderId="0" xfId="4" applyFont="1" applyAlignment="1" applyProtection="1">
      <alignment horizontal="left"/>
      <protection hidden="1"/>
    </xf>
    <xf numFmtId="0" fontId="22" fillId="0" borderId="12" xfId="4" applyFont="1" applyBorder="1" applyAlignment="1" applyProtection="1">
      <alignment horizontal="center" vertical="center" wrapText="1"/>
      <protection hidden="1"/>
    </xf>
    <xf numFmtId="0" fontId="37" fillId="18" borderId="12" xfId="4" applyFont="1" applyFill="1" applyBorder="1" applyAlignment="1" applyProtection="1">
      <alignment horizontal="left" vertical="center"/>
      <protection hidden="1"/>
    </xf>
    <xf numFmtId="49" fontId="37" fillId="18" borderId="12" xfId="4" applyNumberFormat="1" applyFont="1" applyFill="1" applyBorder="1" applyAlignment="1" applyProtection="1">
      <alignment horizontal="left" vertical="center"/>
      <protection hidden="1"/>
    </xf>
    <xf numFmtId="0" fontId="7" fillId="0" borderId="0" xfId="0" applyFont="1"/>
    <xf numFmtId="0" fontId="39" fillId="19" borderId="0" xfId="0" applyFont="1" applyFill="1" applyAlignment="1">
      <alignment vertical="center" wrapText="1"/>
    </xf>
    <xf numFmtId="0" fontId="39" fillId="19" borderId="0" xfId="0" applyFont="1" applyFill="1" applyAlignment="1">
      <alignment vertical="center"/>
    </xf>
    <xf numFmtId="0" fontId="39" fillId="19" borderId="0" xfId="0" applyFont="1" applyFill="1" applyAlignment="1">
      <alignment horizontal="left" vertical="center"/>
    </xf>
    <xf numFmtId="0" fontId="40" fillId="19" borderId="0" xfId="0" applyFont="1" applyFill="1" applyAlignment="1">
      <alignment horizontal="right" wrapText="1"/>
    </xf>
    <xf numFmtId="0" fontId="40" fillId="19" borderId="0" xfId="0" applyFont="1" applyFill="1"/>
    <xf numFmtId="0" fontId="40" fillId="19" borderId="0" xfId="0" applyFont="1" applyFill="1" applyAlignment="1">
      <alignment horizontal="left" vertical="center" wrapText="1"/>
    </xf>
    <xf numFmtId="0" fontId="40" fillId="0" borderId="0" xfId="0" applyFont="1" applyAlignment="1">
      <alignment wrapText="1"/>
    </xf>
    <xf numFmtId="0" fontId="0" fillId="0" borderId="0" xfId="0" applyAlignment="1">
      <alignment horizontal="right" vertical="center" wrapText="1"/>
    </xf>
    <xf numFmtId="0" fontId="0" fillId="0" borderId="0" xfId="0" applyAlignment="1">
      <alignment horizontal="left" vertical="center" wrapText="1"/>
    </xf>
    <xf numFmtId="0" fontId="38" fillId="0" borderId="0" xfId="0" applyFont="1" applyAlignment="1">
      <alignment horizontal="right" vertical="center" wrapText="1"/>
    </xf>
    <xf numFmtId="0" fontId="13" fillId="19" borderId="17" xfId="0" quotePrefix="1" applyFont="1" applyFill="1" applyBorder="1" applyAlignment="1">
      <alignment horizontal="left" vertical="center" wrapText="1" indent="1"/>
    </xf>
    <xf numFmtId="0" fontId="13" fillId="19" borderId="18" xfId="0" applyFont="1" applyFill="1" applyBorder="1" applyAlignment="1">
      <alignment horizontal="left" vertical="center" wrapText="1" indent="1"/>
    </xf>
    <xf numFmtId="0" fontId="38" fillId="0" borderId="0" xfId="0" applyFont="1" applyAlignment="1">
      <alignment vertical="center" wrapText="1"/>
    </xf>
    <xf numFmtId="0" fontId="0" fillId="0" borderId="0" xfId="0" applyAlignment="1">
      <alignment horizontal="right" vertical="top" wrapText="1"/>
    </xf>
    <xf numFmtId="0" fontId="39" fillId="3" borderId="0" xfId="0" applyFont="1" applyFill="1" applyAlignment="1">
      <alignment horizontal="left" vertical="center"/>
    </xf>
    <xf numFmtId="0" fontId="42" fillId="0" borderId="12" xfId="4" applyFont="1" applyBorder="1" applyAlignment="1" applyProtection="1">
      <alignment horizontal="left" vertical="center"/>
      <protection hidden="1"/>
    </xf>
    <xf numFmtId="0" fontId="42" fillId="8" borderId="12" xfId="4" applyFont="1" applyFill="1" applyBorder="1" applyAlignment="1" applyProtection="1">
      <alignment horizontal="left" vertical="center"/>
      <protection hidden="1"/>
    </xf>
    <xf numFmtId="0" fontId="0" fillId="0" borderId="22" xfId="0" applyBorder="1" applyAlignment="1">
      <alignment horizontal="left" vertical="center" wrapText="1" indent="1"/>
    </xf>
    <xf numFmtId="0" fontId="0" fillId="0" borderId="24" xfId="0" applyBorder="1" applyAlignment="1">
      <alignment horizontal="left" vertical="center" wrapText="1" indent="1"/>
    </xf>
    <xf numFmtId="0" fontId="0" fillId="0" borderId="30" xfId="0" applyBorder="1" applyAlignment="1">
      <alignment vertical="center" wrapText="1"/>
    </xf>
    <xf numFmtId="0" fontId="38" fillId="0" borderId="25" xfId="0" applyFont="1" applyBorder="1" applyAlignment="1">
      <alignment vertical="center" wrapText="1"/>
    </xf>
    <xf numFmtId="0" fontId="44" fillId="20" borderId="21" xfId="0" applyFont="1" applyFill="1" applyBorder="1" applyAlignment="1">
      <alignment horizontal="left" vertical="center" wrapText="1" indent="1"/>
    </xf>
    <xf numFmtId="0" fontId="44" fillId="21" borderId="23" xfId="0" applyFont="1" applyFill="1" applyBorder="1" applyAlignment="1">
      <alignment horizontal="left" vertical="center" wrapText="1" indent="1"/>
    </xf>
    <xf numFmtId="0" fontId="44" fillId="22" borderId="23" xfId="0" applyFont="1" applyFill="1" applyBorder="1" applyAlignment="1">
      <alignment horizontal="left" vertical="center" wrapText="1" indent="1"/>
    </xf>
    <xf numFmtId="0" fontId="44" fillId="23" borderId="25" xfId="0" applyFont="1" applyFill="1" applyBorder="1" applyAlignment="1">
      <alignment horizontal="left" vertical="center" wrapText="1" indent="1"/>
    </xf>
    <xf numFmtId="0" fontId="45" fillId="0" borderId="0" xfId="0" applyFont="1" applyAlignment="1">
      <alignment horizontal="left" indent="1"/>
    </xf>
    <xf numFmtId="0" fontId="4" fillId="0" borderId="0" xfId="0" applyFont="1" applyProtection="1">
      <protection hidden="1"/>
    </xf>
    <xf numFmtId="0" fontId="21" fillId="8" borderId="0" xfId="0" applyFont="1" applyFill="1" applyAlignment="1">
      <alignment horizontal="left" vertical="center"/>
    </xf>
    <xf numFmtId="0" fontId="21" fillId="8" borderId="0" xfId="0" applyFont="1" applyFill="1" applyAlignment="1">
      <alignment horizontal="left"/>
    </xf>
    <xf numFmtId="0" fontId="30" fillId="8" borderId="0" xfId="0" applyFont="1" applyFill="1" applyAlignment="1">
      <alignment horizontal="center" vertical="center" wrapText="1"/>
    </xf>
    <xf numFmtId="0" fontId="29" fillId="8" borderId="0" xfId="0" applyFont="1" applyFill="1" applyAlignment="1">
      <alignment horizontal="center" vertical="center" wrapText="1"/>
    </xf>
    <xf numFmtId="0" fontId="22" fillId="14" borderId="12" xfId="0" applyFont="1" applyFill="1" applyBorder="1" applyAlignment="1">
      <alignment horizontal="center" vertical="center" wrapText="1"/>
    </xf>
    <xf numFmtId="0" fontId="22" fillId="13" borderId="12" xfId="0" applyFont="1" applyFill="1" applyBorder="1" applyAlignment="1">
      <alignment horizontal="center" vertical="center" wrapText="1"/>
    </xf>
    <xf numFmtId="49" fontId="29" fillId="8" borderId="0" xfId="0" applyNumberFormat="1" applyFont="1" applyFill="1" applyAlignment="1">
      <alignment horizontal="center" vertical="center" wrapText="1"/>
    </xf>
    <xf numFmtId="0" fontId="29" fillId="8" borderId="12" xfId="0" applyFont="1" applyFill="1" applyBorder="1" applyAlignment="1">
      <alignment horizontal="center" vertical="center" wrapText="1"/>
    </xf>
    <xf numFmtId="49" fontId="24" fillId="8" borderId="13" xfId="0" applyNumberFormat="1" applyFont="1" applyFill="1" applyBorder="1" applyAlignment="1">
      <alignment horizontal="left" vertical="center"/>
    </xf>
    <xf numFmtId="0" fontId="24" fillId="8" borderId="12" xfId="0" applyFont="1" applyFill="1" applyBorder="1" applyAlignment="1">
      <alignment horizontal="left"/>
    </xf>
    <xf numFmtId="0" fontId="24" fillId="8" borderId="12" xfId="0" applyFont="1" applyFill="1" applyBorder="1" applyAlignment="1">
      <alignment horizontal="left" vertical="center" wrapText="1"/>
    </xf>
    <xf numFmtId="169" fontId="25" fillId="12" borderId="12" xfId="0" applyNumberFormat="1" applyFont="1" applyFill="1" applyBorder="1" applyAlignment="1">
      <alignment horizontal="center" vertical="center" wrapText="1"/>
    </xf>
    <xf numFmtId="169" fontId="22" fillId="9" borderId="12" xfId="0" applyNumberFormat="1" applyFont="1" applyFill="1" applyBorder="1"/>
    <xf numFmtId="169" fontId="26" fillId="11" borderId="12" xfId="0" applyNumberFormat="1" applyFont="1" applyFill="1" applyBorder="1" applyAlignment="1">
      <alignment horizontal="center" vertical="center" wrapText="1"/>
    </xf>
    <xf numFmtId="169" fontId="25" fillId="11" borderId="12" xfId="0" applyNumberFormat="1" applyFont="1" applyFill="1" applyBorder="1" applyAlignment="1">
      <alignment horizontal="center" vertical="center" wrapText="1"/>
    </xf>
    <xf numFmtId="169" fontId="24" fillId="11" borderId="12" xfId="0" applyNumberFormat="1" applyFont="1" applyFill="1" applyBorder="1"/>
    <xf numFmtId="169" fontId="24" fillId="11" borderId="12" xfId="0" applyNumberFormat="1" applyFont="1" applyFill="1" applyBorder="1" applyAlignment="1">
      <alignment horizontal="center" vertical="center" wrapText="1"/>
    </xf>
    <xf numFmtId="169" fontId="26" fillId="8" borderId="12" xfId="0" applyNumberFormat="1" applyFont="1" applyFill="1" applyBorder="1" applyAlignment="1">
      <alignment horizontal="center" vertical="center" wrapText="1"/>
    </xf>
    <xf numFmtId="169" fontId="24" fillId="11" borderId="12" xfId="0" applyNumberFormat="1" applyFont="1" applyFill="1" applyBorder="1" applyAlignment="1">
      <alignment horizontal="center" vertical="center"/>
    </xf>
    <xf numFmtId="169" fontId="26" fillId="0" borderId="10" xfId="0" applyNumberFormat="1" applyFont="1" applyBorder="1" applyAlignment="1">
      <alignment horizontal="center" vertical="center" wrapText="1"/>
    </xf>
    <xf numFmtId="0" fontId="15" fillId="0" borderId="10" xfId="0" applyFont="1" applyBorder="1" applyAlignment="1">
      <alignment horizontal="center" vertical="center" wrapText="1"/>
    </xf>
    <xf numFmtId="169" fontId="22" fillId="9" borderId="15" xfId="0" applyNumberFormat="1" applyFont="1" applyFill="1" applyBorder="1"/>
    <xf numFmtId="169" fontId="26" fillId="8" borderId="14" xfId="0" applyNumberFormat="1" applyFont="1" applyFill="1" applyBorder="1" applyAlignment="1">
      <alignment horizontal="center" vertical="center" wrapText="1"/>
    </xf>
    <xf numFmtId="169" fontId="25" fillId="0" borderId="12" xfId="0" applyNumberFormat="1" applyFont="1" applyBorder="1" applyAlignment="1">
      <alignment horizontal="center" vertical="center" wrapText="1"/>
    </xf>
    <xf numFmtId="169" fontId="26" fillId="0" borderId="12" xfId="0" applyNumberFormat="1" applyFont="1" applyBorder="1" applyAlignment="1">
      <alignment horizontal="center" vertical="center" wrapText="1"/>
    </xf>
    <xf numFmtId="0" fontId="22" fillId="8" borderId="12" xfId="0" applyFont="1" applyFill="1" applyBorder="1" applyAlignment="1">
      <alignment horizontal="left"/>
    </xf>
    <xf numFmtId="0" fontId="22" fillId="8" borderId="12" xfId="0" applyFont="1" applyFill="1" applyBorder="1" applyAlignment="1">
      <alignment horizontal="left" vertical="center" wrapText="1"/>
    </xf>
    <xf numFmtId="0" fontId="23" fillId="10" borderId="12" xfId="0" applyFont="1" applyFill="1" applyBorder="1" applyAlignment="1">
      <alignment horizontal="left" vertical="center" wrapText="1"/>
    </xf>
    <xf numFmtId="169" fontId="22" fillId="10" borderId="12" xfId="0" applyNumberFormat="1" applyFont="1" applyFill="1" applyBorder="1"/>
    <xf numFmtId="0" fontId="3" fillId="0" borderId="0" xfId="0" applyFont="1" applyAlignment="1">
      <alignment vertical="center"/>
    </xf>
    <xf numFmtId="0" fontId="3" fillId="0" borderId="0" xfId="0" applyFont="1"/>
    <xf numFmtId="0" fontId="29" fillId="8" borderId="0" xfId="0" applyFont="1" applyFill="1" applyAlignment="1" applyProtection="1">
      <alignment horizontal="center" vertical="center" wrapText="1"/>
      <protection hidden="1"/>
    </xf>
    <xf numFmtId="0" fontId="22" fillId="8" borderId="12" xfId="0" applyFont="1" applyFill="1" applyBorder="1" applyAlignment="1" applyProtection="1">
      <alignment horizontal="center" vertical="center" wrapText="1"/>
      <protection hidden="1"/>
    </xf>
    <xf numFmtId="0" fontId="22" fillId="0" borderId="12" xfId="0" applyFont="1" applyBorder="1" applyAlignment="1" applyProtection="1">
      <alignment horizontal="center" vertical="center" wrapText="1"/>
      <protection hidden="1"/>
    </xf>
    <xf numFmtId="0" fontId="29" fillId="8" borderId="12" xfId="0" applyFont="1" applyFill="1" applyBorder="1" applyAlignment="1" applyProtection="1">
      <alignment horizontal="center" vertical="center" wrapText="1"/>
      <protection hidden="1"/>
    </xf>
    <xf numFmtId="0" fontId="24" fillId="0" borderId="12" xfId="0" applyFont="1" applyBorder="1" applyAlignment="1" applyProtection="1">
      <alignment horizontal="left" vertical="center"/>
      <protection hidden="1"/>
    </xf>
    <xf numFmtId="169" fontId="25" fillId="0" borderId="12" xfId="0" applyNumberFormat="1" applyFont="1" applyBorder="1" applyAlignment="1" applyProtection="1">
      <alignment horizontal="center" vertical="center" wrapText="1"/>
      <protection hidden="1"/>
    </xf>
    <xf numFmtId="0" fontId="51" fillId="8" borderId="0" xfId="0" applyFont="1" applyFill="1" applyAlignment="1">
      <alignment horizontal="center" vertical="center"/>
    </xf>
    <xf numFmtId="0" fontId="50" fillId="8" borderId="0" xfId="0" applyFont="1" applyFill="1" applyAlignment="1">
      <alignment horizontal="center" vertical="center" wrapText="1"/>
    </xf>
    <xf numFmtId="0" fontId="52" fillId="8" borderId="12" xfId="0" applyFont="1" applyFill="1" applyBorder="1" applyAlignment="1">
      <alignment horizontal="center" vertical="center" wrapText="1"/>
    </xf>
    <xf numFmtId="0" fontId="51" fillId="8" borderId="0" xfId="0" applyFont="1" applyFill="1" applyAlignment="1">
      <alignment horizontal="left" vertical="center"/>
    </xf>
    <xf numFmtId="0" fontId="52" fillId="15" borderId="12" xfId="0" applyFont="1" applyFill="1" applyBorder="1" applyAlignment="1">
      <alignment horizontal="center" vertical="center" wrapText="1"/>
    </xf>
    <xf numFmtId="49" fontId="50" fillId="8" borderId="0" xfId="0" applyNumberFormat="1" applyFont="1" applyFill="1" applyAlignment="1">
      <alignment horizontal="center" vertical="center" wrapText="1"/>
    </xf>
    <xf numFmtId="0" fontId="50" fillId="8" borderId="12" xfId="0" applyFont="1" applyFill="1" applyBorder="1" applyAlignment="1">
      <alignment horizontal="center" vertical="center" wrapText="1"/>
    </xf>
    <xf numFmtId="0" fontId="54" fillId="15" borderId="12" xfId="0" applyFont="1" applyFill="1" applyBorder="1" applyAlignment="1">
      <alignment horizontal="center" vertical="center" wrapText="1"/>
    </xf>
    <xf numFmtId="49" fontId="55" fillId="8" borderId="13" xfId="0" applyNumberFormat="1" applyFont="1" applyFill="1" applyBorder="1" applyAlignment="1">
      <alignment horizontal="left" vertical="center"/>
    </xf>
    <xf numFmtId="0" fontId="55" fillId="8" borderId="12" xfId="0" applyFont="1" applyFill="1" applyBorder="1" applyAlignment="1">
      <alignment horizontal="left" vertical="center"/>
    </xf>
    <xf numFmtId="0" fontId="55" fillId="8" borderId="12" xfId="0" applyFont="1" applyFill="1" applyBorder="1" applyAlignment="1">
      <alignment horizontal="left" vertical="center" wrapText="1"/>
    </xf>
    <xf numFmtId="169" fontId="56" fillId="12" borderId="12" xfId="0" applyNumberFormat="1" applyFont="1" applyFill="1" applyBorder="1" applyAlignment="1">
      <alignment horizontal="center" vertical="center" wrapText="1"/>
    </xf>
    <xf numFmtId="169" fontId="52" fillId="9" borderId="12" xfId="0" applyNumberFormat="1" applyFont="1" applyFill="1" applyBorder="1" applyAlignment="1">
      <alignment horizontal="center" vertical="center" wrapText="1"/>
    </xf>
    <xf numFmtId="169" fontId="56" fillId="11" borderId="12" xfId="0" applyNumberFormat="1" applyFont="1" applyFill="1" applyBorder="1" applyAlignment="1">
      <alignment horizontal="center" wrapText="1"/>
    </xf>
    <xf numFmtId="169" fontId="58" fillId="11" borderId="12" xfId="0" applyNumberFormat="1" applyFont="1" applyFill="1" applyBorder="1" applyAlignment="1">
      <alignment horizontal="center" wrapText="1"/>
    </xf>
    <xf numFmtId="169" fontId="58" fillId="0" borderId="12" xfId="0" applyNumberFormat="1" applyFont="1" applyBorder="1" applyAlignment="1">
      <alignment horizontal="center" vertical="center" wrapText="1"/>
    </xf>
    <xf numFmtId="169" fontId="55" fillId="8" borderId="12" xfId="0" applyNumberFormat="1" applyFont="1" applyFill="1" applyBorder="1" applyAlignment="1">
      <alignment horizontal="center" vertical="center" wrapText="1"/>
    </xf>
    <xf numFmtId="0" fontId="52" fillId="8" borderId="12" xfId="0" applyFont="1" applyFill="1" applyBorder="1" applyAlignment="1">
      <alignment horizontal="left" vertical="center"/>
    </xf>
    <xf numFmtId="0" fontId="52" fillId="8" borderId="12" xfId="0" applyFont="1" applyFill="1" applyBorder="1" applyAlignment="1">
      <alignment horizontal="left" vertical="center" wrapText="1"/>
    </xf>
    <xf numFmtId="0" fontId="53" fillId="10" borderId="12" xfId="0" applyFont="1" applyFill="1" applyBorder="1" applyAlignment="1">
      <alignment horizontal="left" vertical="center" wrapText="1"/>
    </xf>
    <xf numFmtId="169" fontId="52" fillId="10" borderId="12" xfId="0" applyNumberFormat="1" applyFont="1" applyFill="1" applyBorder="1" applyAlignment="1">
      <alignment horizontal="center" vertical="center" wrapText="1"/>
    </xf>
    <xf numFmtId="0" fontId="21" fillId="8" borderId="0" xfId="0" applyFont="1" applyFill="1" applyAlignment="1" applyProtection="1">
      <alignment horizontal="left"/>
      <protection hidden="1"/>
    </xf>
    <xf numFmtId="0" fontId="3" fillId="0" borderId="0" xfId="0" applyFont="1" applyProtection="1">
      <protection hidden="1"/>
    </xf>
    <xf numFmtId="49" fontId="31" fillId="8" borderId="0" xfId="0" applyNumberFormat="1" applyFont="1" applyFill="1" applyAlignment="1" applyProtection="1">
      <alignment horizontal="left" vertical="top"/>
      <protection hidden="1"/>
    </xf>
    <xf numFmtId="0" fontId="35" fillId="8" borderId="0" xfId="0" applyFont="1" applyFill="1" applyAlignment="1" applyProtection="1">
      <alignment horizontal="center" vertical="center"/>
      <protection hidden="1"/>
    </xf>
    <xf numFmtId="0" fontId="36" fillId="8" borderId="0" xfId="0" applyFont="1" applyFill="1" applyAlignment="1" applyProtection="1">
      <alignment horizontal="center" vertical="center" wrapText="1"/>
      <protection hidden="1"/>
    </xf>
    <xf numFmtId="49" fontId="35" fillId="8" borderId="0" xfId="0" applyNumberFormat="1" applyFont="1" applyFill="1" applyAlignment="1" applyProtection="1">
      <alignment horizontal="center" vertical="center"/>
      <protection hidden="1"/>
    </xf>
    <xf numFmtId="49" fontId="29" fillId="8" borderId="12" xfId="0" applyNumberFormat="1" applyFont="1" applyFill="1" applyBorder="1" applyAlignment="1" applyProtection="1">
      <alignment horizontal="center" vertical="center" wrapText="1"/>
      <protection hidden="1"/>
    </xf>
    <xf numFmtId="49" fontId="24" fillId="8" borderId="0" xfId="0" applyNumberFormat="1" applyFont="1" applyFill="1" applyAlignment="1" applyProtection="1">
      <alignment horizontal="center" vertical="center"/>
      <protection hidden="1"/>
    </xf>
    <xf numFmtId="49" fontId="24" fillId="8" borderId="12" xfId="0" applyNumberFormat="1" applyFont="1" applyFill="1" applyBorder="1" applyAlignment="1" applyProtection="1">
      <alignment horizontal="left" vertical="center"/>
      <protection hidden="1"/>
    </xf>
    <xf numFmtId="49" fontId="24" fillId="0" borderId="12" xfId="0" applyNumberFormat="1" applyFont="1" applyBorder="1" applyAlignment="1" applyProtection="1">
      <alignment horizontal="left" vertical="center"/>
      <protection hidden="1"/>
    </xf>
    <xf numFmtId="169" fontId="29" fillId="9" borderId="12" xfId="0" applyNumberFormat="1" applyFont="1" applyFill="1" applyBorder="1" applyProtection="1">
      <protection hidden="1"/>
    </xf>
    <xf numFmtId="169" fontId="34" fillId="0" borderId="12" xfId="0" applyNumberFormat="1" applyFont="1" applyBorder="1" applyProtection="1">
      <protection hidden="1"/>
    </xf>
    <xf numFmtId="169" fontId="34" fillId="8" borderId="12" xfId="0" applyNumberFormat="1" applyFont="1" applyFill="1" applyBorder="1" applyProtection="1">
      <protection hidden="1"/>
    </xf>
    <xf numFmtId="169" fontId="34" fillId="17" borderId="12" xfId="0" applyNumberFormat="1" applyFont="1" applyFill="1" applyBorder="1" applyProtection="1">
      <protection hidden="1"/>
    </xf>
    <xf numFmtId="169" fontId="24" fillId="0" borderId="12" xfId="0" applyNumberFormat="1" applyFont="1" applyBorder="1" applyProtection="1">
      <protection hidden="1"/>
    </xf>
    <xf numFmtId="0" fontId="33" fillId="8" borderId="0" xfId="0" applyFont="1" applyFill="1" applyAlignment="1" applyProtection="1">
      <alignment horizontal="center" vertical="center"/>
      <protection hidden="1"/>
    </xf>
    <xf numFmtId="0" fontId="33" fillId="8" borderId="12" xfId="0" applyFont="1" applyFill="1" applyBorder="1" applyAlignment="1" applyProtection="1">
      <alignment horizontal="left" vertical="center"/>
      <protection hidden="1"/>
    </xf>
    <xf numFmtId="0" fontId="32" fillId="8" borderId="12" xfId="0" applyFont="1" applyFill="1" applyBorder="1" applyAlignment="1" applyProtection="1">
      <alignment horizontal="left" vertical="center"/>
      <protection hidden="1"/>
    </xf>
    <xf numFmtId="49" fontId="23" fillId="10" borderId="12" xfId="0" applyNumberFormat="1" applyFont="1" applyFill="1" applyBorder="1" applyAlignment="1" applyProtection="1">
      <alignment horizontal="left" vertical="center"/>
      <protection hidden="1"/>
    </xf>
    <xf numFmtId="0" fontId="16" fillId="0" borderId="0" xfId="0" applyFont="1" applyProtection="1">
      <protection hidden="1"/>
    </xf>
    <xf numFmtId="0" fontId="50" fillId="8" borderId="0" xfId="0" applyFont="1" applyFill="1" applyAlignment="1" applyProtection="1">
      <alignment horizontal="center" vertical="center" wrapText="1"/>
      <protection hidden="1"/>
    </xf>
    <xf numFmtId="0" fontId="51" fillId="8" borderId="0" xfId="0" applyFont="1" applyFill="1" applyAlignment="1" applyProtection="1">
      <alignment horizontal="center" vertical="center"/>
      <protection hidden="1"/>
    </xf>
    <xf numFmtId="0" fontId="51" fillId="0" borderId="0" xfId="0" applyFont="1" applyAlignment="1" applyProtection="1">
      <alignment horizontal="center" vertical="center"/>
      <protection hidden="1"/>
    </xf>
    <xf numFmtId="0" fontId="52" fillId="8" borderId="12" xfId="0" applyFont="1" applyFill="1" applyBorder="1" applyAlignment="1" applyProtection="1">
      <alignment horizontal="center" vertical="center" wrapText="1"/>
      <protection hidden="1"/>
    </xf>
    <xf numFmtId="0" fontId="52" fillId="0" borderId="12" xfId="0" applyFont="1" applyBorder="1" applyAlignment="1" applyProtection="1">
      <alignment horizontal="center" vertical="center" wrapText="1"/>
      <protection hidden="1"/>
    </xf>
    <xf numFmtId="0" fontId="50" fillId="8" borderId="12" xfId="0" applyFont="1" applyFill="1" applyBorder="1" applyAlignment="1" applyProtection="1">
      <alignment horizontal="center" vertical="center" wrapText="1"/>
      <protection hidden="1"/>
    </xf>
    <xf numFmtId="0" fontId="55" fillId="8" borderId="13" xfId="0" applyFont="1" applyFill="1" applyBorder="1" applyAlignment="1" applyProtection="1">
      <alignment horizontal="center" vertical="center"/>
      <protection hidden="1"/>
    </xf>
    <xf numFmtId="0" fontId="55" fillId="8" borderId="12" xfId="0" applyFont="1" applyFill="1" applyBorder="1" applyAlignment="1" applyProtection="1">
      <alignment horizontal="center" vertical="center"/>
      <protection hidden="1"/>
    </xf>
    <xf numFmtId="0" fontId="55" fillId="0" borderId="12" xfId="0" applyFont="1" applyBorder="1" applyAlignment="1" applyProtection="1">
      <alignment horizontal="center" vertical="center"/>
      <protection hidden="1"/>
    </xf>
    <xf numFmtId="169" fontId="52" fillId="9" borderId="12" xfId="0" applyNumberFormat="1" applyFont="1" applyFill="1" applyBorder="1" applyAlignment="1" applyProtection="1">
      <alignment horizontal="center" vertical="center"/>
      <protection hidden="1"/>
    </xf>
    <xf numFmtId="169" fontId="55" fillId="8" borderId="12" xfId="0" applyNumberFormat="1" applyFont="1" applyFill="1" applyBorder="1" applyAlignment="1" applyProtection="1">
      <alignment horizontal="center" vertical="center"/>
      <protection hidden="1"/>
    </xf>
    <xf numFmtId="169" fontId="56" fillId="0" borderId="12" xfId="0" applyNumberFormat="1" applyFont="1" applyBorder="1" applyAlignment="1" applyProtection="1">
      <alignment horizontal="center" vertical="center"/>
      <protection hidden="1"/>
    </xf>
    <xf numFmtId="169" fontId="58" fillId="0" borderId="12" xfId="0" applyNumberFormat="1" applyFont="1" applyBorder="1" applyAlignment="1" applyProtection="1">
      <alignment horizontal="center" vertical="center"/>
      <protection hidden="1"/>
    </xf>
    <xf numFmtId="169" fontId="58" fillId="8" borderId="12" xfId="0" applyNumberFormat="1" applyFont="1" applyFill="1" applyBorder="1" applyAlignment="1" applyProtection="1">
      <alignment horizontal="center" vertical="center"/>
      <protection hidden="1"/>
    </xf>
    <xf numFmtId="0" fontId="55" fillId="0" borderId="13" xfId="0" applyFont="1" applyBorder="1" applyAlignment="1" applyProtection="1">
      <alignment horizontal="center" vertical="center"/>
      <protection hidden="1"/>
    </xf>
    <xf numFmtId="169" fontId="52" fillId="0" borderId="12" xfId="0" applyNumberFormat="1" applyFont="1" applyBorder="1" applyAlignment="1" applyProtection="1">
      <alignment horizontal="center" vertical="center"/>
      <protection hidden="1"/>
    </xf>
    <xf numFmtId="169" fontId="55" fillId="0" borderId="12" xfId="0" applyNumberFormat="1" applyFont="1" applyBorder="1" applyAlignment="1" applyProtection="1">
      <alignment horizontal="center" vertical="center"/>
      <protection hidden="1"/>
    </xf>
    <xf numFmtId="169" fontId="56" fillId="8" borderId="12" xfId="0" applyNumberFormat="1" applyFont="1" applyFill="1" applyBorder="1" applyAlignment="1" applyProtection="1">
      <alignment horizontal="center" vertical="center"/>
      <protection hidden="1"/>
    </xf>
    <xf numFmtId="0" fontId="55" fillId="8" borderId="12" xfId="0" applyFont="1" applyFill="1" applyBorder="1" applyAlignment="1" applyProtection="1">
      <alignment horizontal="center" vertical="center" wrapText="1"/>
      <protection hidden="1"/>
    </xf>
    <xf numFmtId="0" fontId="52" fillId="8" borderId="12" xfId="0" applyFont="1" applyFill="1" applyBorder="1" applyAlignment="1" applyProtection="1">
      <alignment horizontal="center" vertical="center"/>
      <protection hidden="1"/>
    </xf>
    <xf numFmtId="40" fontId="7" fillId="0" borderId="0" xfId="0" applyNumberFormat="1" applyFont="1" applyAlignment="1">
      <alignment horizontal="center" vertical="center"/>
    </xf>
    <xf numFmtId="0" fontId="0" fillId="0" borderId="0" xfId="0" applyAlignment="1">
      <alignment horizontal="center" vertical="center"/>
    </xf>
    <xf numFmtId="166" fontId="7" fillId="0" borderId="3" xfId="0" applyNumberFormat="1" applyFont="1" applyBorder="1" applyAlignment="1">
      <alignment horizontal="center" vertical="center" wrapText="1"/>
    </xf>
    <xf numFmtId="166" fontId="60" fillId="0" borderId="2" xfId="0" applyNumberFormat="1" applyFont="1" applyBorder="1" applyAlignment="1">
      <alignment horizontal="center" vertical="center" wrapText="1"/>
    </xf>
    <xf numFmtId="170" fontId="60" fillId="0" borderId="0" xfId="3" applyNumberFormat="1" applyFont="1" applyBorder="1" applyAlignment="1">
      <alignment horizontal="center" vertical="center"/>
    </xf>
    <xf numFmtId="170" fontId="60" fillId="0" borderId="5" xfId="3" applyNumberFormat="1" applyFont="1" applyBorder="1" applyAlignment="1">
      <alignment horizontal="center" vertical="center"/>
    </xf>
    <xf numFmtId="166" fontId="60" fillId="0" borderId="4" xfId="0" applyNumberFormat="1" applyFont="1" applyBorder="1" applyAlignment="1">
      <alignment horizontal="center" vertical="center" wrapText="1"/>
    </xf>
    <xf numFmtId="0" fontId="0" fillId="0" borderId="1" xfId="0" applyBorder="1"/>
    <xf numFmtId="0" fontId="0" fillId="0" borderId="4" xfId="0" applyBorder="1"/>
    <xf numFmtId="0" fontId="62" fillId="0" borderId="0" xfId="0" applyFont="1" applyAlignment="1">
      <alignment horizontal="right" vertical="center"/>
    </xf>
    <xf numFmtId="0" fontId="17" fillId="0" borderId="0" xfId="0" applyFont="1" applyAlignment="1">
      <alignment vertical="center" wrapText="1"/>
    </xf>
    <xf numFmtId="0" fontId="17" fillId="0" borderId="0" xfId="0" applyFont="1" applyAlignment="1">
      <alignment horizontal="right" vertical="center"/>
    </xf>
    <xf numFmtId="0" fontId="2" fillId="0" borderId="0" xfId="0" applyFont="1"/>
    <xf numFmtId="0" fontId="2" fillId="0" borderId="0" xfId="0" applyFont="1" applyAlignment="1">
      <alignment vertical="center"/>
    </xf>
    <xf numFmtId="0" fontId="40" fillId="0" borderId="0" xfId="0" applyFont="1" applyAlignment="1">
      <alignment vertical="center"/>
    </xf>
    <xf numFmtId="0" fontId="40" fillId="0" borderId="0" xfId="0" applyFont="1" applyAlignment="1">
      <alignment horizontal="center" vertical="center"/>
    </xf>
    <xf numFmtId="0" fontId="40" fillId="0" borderId="0" xfId="0" applyFont="1" applyAlignment="1" applyProtection="1">
      <alignment horizontal="center" vertical="center"/>
      <protection hidden="1"/>
    </xf>
    <xf numFmtId="169" fontId="64" fillId="0" borderId="0" xfId="0" applyNumberFormat="1" applyFont="1" applyAlignment="1" applyProtection="1">
      <alignment horizontal="center" vertical="center"/>
      <protection hidden="1"/>
    </xf>
    <xf numFmtId="169" fontId="40" fillId="0" borderId="0" xfId="0" applyNumberFormat="1" applyFont="1" applyAlignment="1" applyProtection="1">
      <alignment horizontal="center" vertical="center"/>
      <protection hidden="1"/>
    </xf>
    <xf numFmtId="0" fontId="17" fillId="0" borderId="0" xfId="0" applyFont="1" applyAlignment="1" applyProtection="1">
      <alignment horizontal="center" vertical="center"/>
      <protection hidden="1"/>
    </xf>
    <xf numFmtId="0" fontId="57" fillId="0" borderId="0" xfId="0" applyFont="1" applyAlignment="1" applyProtection="1">
      <alignment horizontal="center" vertical="center"/>
      <protection hidden="1"/>
    </xf>
    <xf numFmtId="0" fontId="2" fillId="0" borderId="0" xfId="0" applyFont="1" applyProtection="1">
      <protection hidden="1"/>
    </xf>
    <xf numFmtId="0" fontId="65" fillId="0" borderId="0" xfId="0" applyFont="1" applyAlignment="1">
      <alignment vertical="center" wrapText="1"/>
    </xf>
    <xf numFmtId="0" fontId="0" fillId="5" borderId="0" xfId="0" applyFill="1" applyAlignment="1">
      <alignment horizontal="left" vertical="center" wrapText="1"/>
    </xf>
    <xf numFmtId="0" fontId="0" fillId="0" borderId="0" xfId="0" applyAlignment="1">
      <alignment horizontal="left"/>
    </xf>
    <xf numFmtId="0" fontId="7" fillId="0" borderId="0" xfId="0" applyFont="1" applyAlignment="1">
      <alignment horizontal="center" vertical="center"/>
    </xf>
    <xf numFmtId="0" fontId="7" fillId="0" borderId="0" xfId="4" applyFont="1" applyAlignment="1">
      <alignment horizontal="center" vertical="center" wrapText="1"/>
    </xf>
    <xf numFmtId="169" fontId="26" fillId="8" borderId="12" xfId="4" applyNumberFormat="1" applyFont="1" applyFill="1" applyBorder="1" applyAlignment="1" applyProtection="1">
      <alignment horizontal="right" wrapText="1"/>
      <protection hidden="1"/>
    </xf>
    <xf numFmtId="169" fontId="25" fillId="0" borderId="12" xfId="4" applyNumberFormat="1" applyFont="1" applyBorder="1" applyAlignment="1" applyProtection="1">
      <alignment wrapText="1"/>
      <protection hidden="1"/>
    </xf>
    <xf numFmtId="169" fontId="25" fillId="12" borderId="12" xfId="4" quotePrefix="1" applyNumberFormat="1" applyFont="1" applyFill="1" applyBorder="1" applyAlignment="1" applyProtection="1">
      <alignment horizontal="right" wrapText="1"/>
      <protection hidden="1"/>
    </xf>
    <xf numFmtId="169" fontId="26" fillId="11" borderId="12" xfId="4" applyNumberFormat="1" applyFont="1" applyFill="1" applyBorder="1" applyAlignment="1" applyProtection="1">
      <alignment horizontal="right" wrapText="1"/>
      <protection hidden="1"/>
    </xf>
    <xf numFmtId="169" fontId="25" fillId="7" borderId="12" xfId="4" applyNumberFormat="1" applyFont="1" applyFill="1" applyBorder="1" applyAlignment="1" applyProtection="1">
      <alignment horizontal="right" wrapText="1"/>
      <protection hidden="1"/>
    </xf>
    <xf numFmtId="169" fontId="25" fillId="26" borderId="12" xfId="4" applyNumberFormat="1" applyFont="1" applyFill="1" applyBorder="1" applyAlignment="1" applyProtection="1">
      <alignment horizontal="right"/>
      <protection hidden="1"/>
    </xf>
    <xf numFmtId="169" fontId="26" fillId="27" borderId="12" xfId="4" applyNumberFormat="1" applyFont="1" applyFill="1" applyBorder="1" applyAlignment="1" applyProtection="1">
      <alignment horizontal="right"/>
      <protection hidden="1"/>
    </xf>
    <xf numFmtId="169" fontId="26" fillId="26" borderId="12" xfId="4" applyNumberFormat="1" applyFont="1" applyFill="1" applyBorder="1" applyAlignment="1" applyProtection="1">
      <alignment horizontal="right"/>
      <protection hidden="1"/>
    </xf>
    <xf numFmtId="0" fontId="31" fillId="8" borderId="0" xfId="1" applyFont="1" applyFill="1" applyAlignment="1">
      <alignment horizontal="center" vertical="center"/>
    </xf>
    <xf numFmtId="0" fontId="29" fillId="8" borderId="0" xfId="1" applyFont="1" applyFill="1" applyAlignment="1">
      <alignment horizontal="center" vertical="center" wrapText="1"/>
    </xf>
    <xf numFmtId="0" fontId="50" fillId="8" borderId="0" xfId="1" applyFont="1" applyFill="1" applyAlignment="1">
      <alignment horizontal="center" vertical="center" wrapText="1"/>
    </xf>
    <xf numFmtId="0" fontId="22" fillId="8" borderId="12" xfId="1" applyFont="1" applyFill="1" applyBorder="1" applyAlignment="1">
      <alignment horizontal="center" vertical="center" wrapText="1"/>
    </xf>
    <xf numFmtId="49" fontId="50" fillId="8" borderId="0" xfId="1" applyNumberFormat="1" applyFont="1" applyFill="1" applyAlignment="1">
      <alignment horizontal="center" vertical="center"/>
    </xf>
    <xf numFmtId="49" fontId="50" fillId="8" borderId="12" xfId="1" applyNumberFormat="1" applyFont="1" applyFill="1" applyBorder="1" applyAlignment="1">
      <alignment horizontal="center" vertical="center" wrapText="1"/>
    </xf>
    <xf numFmtId="0" fontId="52" fillId="8" borderId="12" xfId="1" applyFont="1" applyFill="1" applyBorder="1" applyAlignment="1">
      <alignment horizontal="center" vertical="center" wrapText="1"/>
    </xf>
    <xf numFmtId="49" fontId="24" fillId="8" borderId="0" xfId="1" applyNumberFormat="1" applyFont="1" applyFill="1" applyAlignment="1">
      <alignment horizontal="center" vertical="center"/>
    </xf>
    <xf numFmtId="49" fontId="24" fillId="8" borderId="12" xfId="1" applyNumberFormat="1" applyFont="1" applyFill="1" applyBorder="1" applyAlignment="1">
      <alignment horizontal="left" vertical="center"/>
    </xf>
    <xf numFmtId="49" fontId="55" fillId="8" borderId="12" xfId="1" applyNumberFormat="1" applyFont="1" applyFill="1" applyBorder="1" applyAlignment="1">
      <alignment horizontal="left" vertical="center" wrapText="1"/>
    </xf>
    <xf numFmtId="169" fontId="66" fillId="28" borderId="12" xfId="1" applyNumberFormat="1" applyFont="1" applyFill="1" applyBorder="1" applyAlignment="1">
      <alignment vertical="center" wrapText="1"/>
    </xf>
    <xf numFmtId="169" fontId="17" fillId="12" borderId="12" xfId="0" applyNumberFormat="1" applyFont="1" applyFill="1" applyBorder="1" applyAlignment="1">
      <alignment horizontal="center" vertical="center" wrapText="1"/>
    </xf>
    <xf numFmtId="169" fontId="17" fillId="13" borderId="12" xfId="0" applyNumberFormat="1" applyFont="1" applyFill="1" applyBorder="1" applyAlignment="1">
      <alignment horizontal="center" vertical="center" wrapText="1"/>
    </xf>
    <xf numFmtId="169" fontId="29" fillId="9" borderId="12" xfId="1" applyNumberFormat="1" applyFont="1" applyFill="1" applyBorder="1"/>
    <xf numFmtId="169" fontId="67" fillId="28" borderId="12" xfId="1" applyNumberFormat="1" applyFont="1" applyFill="1" applyBorder="1"/>
    <xf numFmtId="49" fontId="53" fillId="10" borderId="12" xfId="1" applyNumberFormat="1" applyFont="1" applyFill="1" applyBorder="1" applyAlignment="1">
      <alignment horizontal="left" vertical="center" wrapText="1"/>
    </xf>
    <xf numFmtId="0" fontId="6" fillId="0" borderId="0" xfId="1"/>
    <xf numFmtId="0" fontId="55" fillId="0" borderId="0" xfId="1" applyFont="1" applyAlignment="1">
      <alignment wrapText="1"/>
    </xf>
    <xf numFmtId="0" fontId="24" fillId="8" borderId="12" xfId="1" applyFont="1" applyFill="1" applyBorder="1" applyAlignment="1">
      <alignment horizontal="left" vertical="center"/>
    </xf>
    <xf numFmtId="0" fontId="24" fillId="18" borderId="12" xfId="1" applyFont="1" applyFill="1" applyBorder="1" applyAlignment="1">
      <alignment horizontal="left" vertical="center"/>
    </xf>
    <xf numFmtId="0" fontId="21" fillId="8" borderId="0" xfId="1" applyFont="1" applyFill="1" applyAlignment="1">
      <alignment horizontal="left"/>
    </xf>
    <xf numFmtId="0" fontId="51" fillId="8" borderId="0" xfId="1" applyFont="1" applyFill="1" applyAlignment="1">
      <alignment horizontal="left" wrapText="1"/>
    </xf>
    <xf numFmtId="0" fontId="24" fillId="8" borderId="0" xfId="1" applyFont="1" applyFill="1" applyAlignment="1">
      <alignment horizontal="center" vertical="center"/>
    </xf>
    <xf numFmtId="0" fontId="24" fillId="8" borderId="0" xfId="1" applyFont="1" applyFill="1" applyAlignment="1">
      <alignment horizontal="left" vertical="center"/>
    </xf>
    <xf numFmtId="49" fontId="24" fillId="8" borderId="0" xfId="1" applyNumberFormat="1" applyFont="1" applyFill="1" applyAlignment="1">
      <alignment horizontal="left" vertical="center"/>
    </xf>
    <xf numFmtId="0" fontId="71" fillId="0" borderId="0" xfId="0" applyFont="1" applyAlignment="1">
      <alignment vertical="center"/>
    </xf>
    <xf numFmtId="0" fontId="44" fillId="29" borderId="28" xfId="0" applyFont="1" applyFill="1" applyBorder="1" applyAlignment="1">
      <alignment horizontal="center" vertical="center" wrapText="1"/>
    </xf>
    <xf numFmtId="0" fontId="0" fillId="0" borderId="4" xfId="0" quotePrefix="1" applyBorder="1" applyAlignment="1">
      <alignment vertical="top" wrapText="1"/>
    </xf>
    <xf numFmtId="0" fontId="0" fillId="0" borderId="17" xfId="0" applyBorder="1" applyAlignment="1">
      <alignment vertical="center" wrapText="1"/>
    </xf>
    <xf numFmtId="0" fontId="0" fillId="0" borderId="32" xfId="0" applyBorder="1" applyAlignment="1">
      <alignment vertical="center" wrapText="1"/>
    </xf>
    <xf numFmtId="0" fontId="44" fillId="24" borderId="25" xfId="0" applyFont="1" applyFill="1" applyBorder="1" applyAlignment="1">
      <alignment horizontal="left" vertical="center" wrapText="1" indent="1"/>
    </xf>
    <xf numFmtId="0" fontId="44" fillId="25" borderId="25" xfId="0" applyFont="1" applyFill="1" applyBorder="1" applyAlignment="1">
      <alignment horizontal="left" vertical="center" wrapText="1" indent="1"/>
    </xf>
    <xf numFmtId="169" fontId="34" fillId="30" borderId="12" xfId="0" applyNumberFormat="1" applyFont="1" applyFill="1" applyBorder="1" applyAlignment="1" applyProtection="1">
      <alignment horizontal="center" vertical="center" wrapText="1"/>
      <protection hidden="1"/>
    </xf>
    <xf numFmtId="169" fontId="56" fillId="16" borderId="12" xfId="0" applyNumberFormat="1" applyFont="1" applyFill="1" applyBorder="1" applyAlignment="1">
      <alignment horizontal="center" vertical="center" wrapText="1"/>
    </xf>
    <xf numFmtId="169" fontId="25" fillId="31" borderId="12" xfId="0" applyNumberFormat="1" applyFont="1" applyFill="1" applyBorder="1" applyAlignment="1" applyProtection="1">
      <alignment horizontal="center" vertical="center" wrapText="1"/>
      <protection hidden="1"/>
    </xf>
    <xf numFmtId="0" fontId="0" fillId="32" borderId="0" xfId="0" applyFill="1"/>
    <xf numFmtId="0" fontId="55" fillId="0" borderId="12" xfId="0" applyFont="1" applyBorder="1" applyAlignment="1" applyProtection="1">
      <alignment horizontal="center" vertical="center" wrapText="1"/>
      <protection hidden="1"/>
    </xf>
    <xf numFmtId="169" fontId="58" fillId="32" borderId="12" xfId="0" applyNumberFormat="1" applyFont="1" applyFill="1" applyBorder="1" applyAlignment="1" applyProtection="1">
      <alignment horizontal="center" vertical="center"/>
      <protection hidden="1"/>
    </xf>
    <xf numFmtId="169" fontId="56" fillId="32" borderId="12" xfId="0" applyNumberFormat="1" applyFont="1" applyFill="1" applyBorder="1" applyAlignment="1" applyProtection="1">
      <alignment horizontal="center" vertical="center"/>
      <protection hidden="1"/>
    </xf>
    <xf numFmtId="169" fontId="56" fillId="33" borderId="12" xfId="0" applyNumberFormat="1" applyFont="1" applyFill="1" applyBorder="1" applyAlignment="1">
      <alignment horizontal="center" vertical="center" wrapText="1"/>
    </xf>
    <xf numFmtId="0" fontId="53" fillId="10" borderId="12" xfId="0" applyFont="1" applyFill="1" applyBorder="1" applyAlignment="1" applyProtection="1">
      <alignment horizontal="center" vertical="center" wrapText="1"/>
      <protection hidden="1"/>
    </xf>
    <xf numFmtId="0" fontId="40" fillId="0" borderId="0" xfId="0" applyFont="1" applyAlignment="1" applyProtection="1">
      <alignment horizontal="center" vertical="center" wrapText="1"/>
      <protection hidden="1"/>
    </xf>
    <xf numFmtId="169" fontId="56" fillId="34" borderId="12" xfId="0" applyNumberFormat="1" applyFont="1" applyFill="1" applyBorder="1" applyAlignment="1">
      <alignment horizontal="center" vertical="center" wrapText="1"/>
    </xf>
    <xf numFmtId="169" fontId="56" fillId="35" borderId="12" xfId="0" applyNumberFormat="1" applyFont="1" applyFill="1" applyBorder="1" applyAlignment="1">
      <alignment horizontal="center" vertical="center" wrapText="1"/>
    </xf>
    <xf numFmtId="169" fontId="57" fillId="16" borderId="12" xfId="0" applyNumberFormat="1" applyFont="1" applyFill="1" applyBorder="1" applyAlignment="1">
      <alignment horizontal="center" vertical="center" wrapText="1"/>
    </xf>
    <xf numFmtId="0" fontId="21" fillId="8" borderId="0" xfId="0" applyFont="1" applyFill="1" applyAlignment="1" applyProtection="1">
      <alignment horizontal="left" vertical="center" wrapText="1"/>
      <protection hidden="1"/>
    </xf>
    <xf numFmtId="0" fontId="21" fillId="0" borderId="0" xfId="0" applyFont="1" applyAlignment="1" applyProtection="1">
      <alignment horizontal="left" vertical="center" wrapText="1"/>
      <protection hidden="1"/>
    </xf>
    <xf numFmtId="0" fontId="24" fillId="8" borderId="13" xfId="0" applyFont="1" applyFill="1" applyBorder="1" applyAlignment="1" applyProtection="1">
      <alignment horizontal="center" vertical="center" wrapText="1"/>
      <protection hidden="1"/>
    </xf>
    <xf numFmtId="0" fontId="24" fillId="8" borderId="12" xfId="0" applyFont="1" applyFill="1" applyBorder="1" applyAlignment="1" applyProtection="1">
      <alignment horizontal="left" vertical="center" wrapText="1"/>
      <protection hidden="1"/>
    </xf>
    <xf numFmtId="0" fontId="24" fillId="0" borderId="12" xfId="0" applyFont="1" applyBorder="1" applyAlignment="1" applyProtection="1">
      <alignment horizontal="left" vertical="center" wrapText="1"/>
      <protection hidden="1"/>
    </xf>
    <xf numFmtId="169" fontId="26" fillId="8" borderId="12" xfId="0" applyNumberFormat="1" applyFont="1" applyFill="1" applyBorder="1" applyAlignment="1" applyProtection="1">
      <alignment vertical="center" wrapText="1"/>
      <protection hidden="1"/>
    </xf>
    <xf numFmtId="169" fontId="25" fillId="16" borderId="12" xfId="0" applyNumberFormat="1" applyFont="1" applyFill="1" applyBorder="1" applyAlignment="1">
      <alignment horizontal="center" vertical="center" wrapText="1"/>
    </xf>
    <xf numFmtId="169" fontId="25" fillId="30" borderId="12" xfId="0" applyNumberFormat="1" applyFont="1" applyFill="1" applyBorder="1" applyAlignment="1" applyProtection="1">
      <alignment horizontal="center" vertical="center" wrapText="1"/>
      <protection hidden="1"/>
    </xf>
    <xf numFmtId="169" fontId="22" fillId="9" borderId="12" xfId="0" applyNumberFormat="1" applyFont="1" applyFill="1" applyBorder="1" applyAlignment="1" applyProtection="1">
      <alignment horizontal="right" vertical="center" wrapText="1"/>
      <protection hidden="1"/>
    </xf>
    <xf numFmtId="169" fontId="25" fillId="33" borderId="12" xfId="0" applyNumberFormat="1" applyFont="1" applyFill="1" applyBorder="1" applyAlignment="1" applyProtection="1">
      <alignment horizontal="center" vertical="center" wrapText="1"/>
      <protection hidden="1"/>
    </xf>
    <xf numFmtId="0" fontId="24" fillId="0" borderId="13" xfId="0" applyFont="1" applyBorder="1" applyAlignment="1" applyProtection="1">
      <alignment horizontal="center" vertical="center" wrapText="1"/>
      <protection hidden="1"/>
    </xf>
    <xf numFmtId="169" fontId="26" fillId="0" borderId="12" xfId="0" applyNumberFormat="1" applyFont="1" applyBorder="1" applyAlignment="1" applyProtection="1">
      <alignment vertical="center" wrapText="1"/>
      <protection hidden="1"/>
    </xf>
    <xf numFmtId="169" fontId="26" fillId="0" borderId="12" xfId="0" applyNumberFormat="1" applyFont="1" applyBorder="1" applyAlignment="1" applyProtection="1">
      <alignment horizontal="right" vertical="center" wrapText="1"/>
      <protection hidden="1"/>
    </xf>
    <xf numFmtId="169" fontId="28" fillId="0" borderId="12" xfId="0" applyNumberFormat="1" applyFont="1" applyBorder="1" applyAlignment="1" applyProtection="1">
      <alignment horizontal="right" vertical="center" wrapText="1"/>
      <protection hidden="1"/>
    </xf>
    <xf numFmtId="169" fontId="80" fillId="0" borderId="12" xfId="0" applyNumberFormat="1" applyFont="1" applyBorder="1" applyAlignment="1" applyProtection="1">
      <alignment horizontal="right" vertical="center" wrapText="1"/>
      <protection hidden="1"/>
    </xf>
    <xf numFmtId="169" fontId="26" fillId="8" borderId="12" xfId="0" applyNumberFormat="1" applyFont="1" applyFill="1" applyBorder="1" applyAlignment="1" applyProtection="1">
      <alignment horizontal="right" vertical="center" wrapText="1"/>
      <protection hidden="1"/>
    </xf>
    <xf numFmtId="169" fontId="28" fillId="33" borderId="12" xfId="0" applyNumberFormat="1" applyFont="1" applyFill="1" applyBorder="1" applyAlignment="1" applyProtection="1">
      <alignment vertical="center" wrapText="1"/>
      <protection hidden="1"/>
    </xf>
    <xf numFmtId="169" fontId="25" fillId="0" borderId="12" xfId="0" applyNumberFormat="1" applyFont="1" applyBorder="1" applyAlignment="1" applyProtection="1">
      <alignment horizontal="right" vertical="center" wrapText="1"/>
      <protection hidden="1"/>
    </xf>
    <xf numFmtId="0" fontId="22" fillId="8" borderId="12" xfId="0" applyFont="1" applyFill="1" applyBorder="1" applyAlignment="1" applyProtection="1">
      <alignment horizontal="left" vertical="center" wrapText="1"/>
      <protection hidden="1"/>
    </xf>
    <xf numFmtId="0" fontId="23" fillId="10" borderId="12" xfId="0" applyFont="1" applyFill="1" applyBorder="1" applyAlignment="1" applyProtection="1">
      <alignment horizontal="left" vertical="center" wrapText="1"/>
      <protection hidden="1"/>
    </xf>
    <xf numFmtId="169" fontId="22" fillId="9" borderId="12" xfId="0" applyNumberFormat="1" applyFont="1" applyFill="1" applyBorder="1" applyAlignment="1" applyProtection="1">
      <alignment vertical="center" wrapText="1"/>
      <protection hidden="1"/>
    </xf>
    <xf numFmtId="0" fontId="1" fillId="0" borderId="0" xfId="0" applyFont="1" applyAlignment="1">
      <alignment wrapText="1"/>
    </xf>
    <xf numFmtId="169" fontId="25" fillId="33" borderId="12" xfId="0" applyNumberFormat="1" applyFont="1" applyFill="1" applyBorder="1" applyAlignment="1">
      <alignment horizontal="center" vertical="center" wrapText="1"/>
    </xf>
    <xf numFmtId="169" fontId="25" fillId="34" borderId="12" xfId="0" applyNumberFormat="1" applyFont="1" applyFill="1" applyBorder="1" applyAlignment="1">
      <alignment horizontal="center" vertical="center" wrapText="1"/>
    </xf>
    <xf numFmtId="169" fontId="25" fillId="35" borderId="12" xfId="0" applyNumberFormat="1" applyFont="1" applyFill="1" applyBorder="1" applyAlignment="1">
      <alignment horizontal="center" vertical="center" wrapText="1"/>
    </xf>
    <xf numFmtId="169" fontId="26" fillId="0" borderId="16" xfId="0" applyNumberFormat="1" applyFont="1" applyBorder="1" applyAlignment="1">
      <alignment horizontal="center" vertical="center" wrapText="1"/>
    </xf>
    <xf numFmtId="0" fontId="1" fillId="0" borderId="0" xfId="0" applyFont="1" applyAlignment="1">
      <alignment vertical="center"/>
    </xf>
    <xf numFmtId="0" fontId="1" fillId="0" borderId="0" xfId="0" applyFont="1"/>
    <xf numFmtId="0" fontId="39" fillId="19" borderId="0" xfId="0" applyFont="1" applyFill="1" applyAlignment="1">
      <alignment horizontal="center"/>
    </xf>
    <xf numFmtId="0" fontId="41" fillId="19" borderId="0" xfId="0" applyFont="1" applyFill="1" applyAlignment="1">
      <alignment horizontal="center" vertical="center"/>
    </xf>
    <xf numFmtId="0" fontId="13" fillId="19" borderId="0" xfId="0" applyFont="1" applyFill="1" applyAlignment="1">
      <alignment horizontal="center" vertical="center" wrapText="1"/>
    </xf>
    <xf numFmtId="0" fontId="13" fillId="19" borderId="0" xfId="0" applyFont="1" applyFill="1" applyAlignment="1">
      <alignment vertical="center" wrapText="1"/>
    </xf>
    <xf numFmtId="0" fontId="0" fillId="0" borderId="18" xfId="0" applyBorder="1" applyAlignment="1">
      <alignment horizontal="center" vertical="center" wrapText="1"/>
    </xf>
    <xf numFmtId="0" fontId="13" fillId="19" borderId="19" xfId="0" applyFont="1" applyFill="1" applyBorder="1" applyAlignment="1">
      <alignment horizontal="left" vertical="center" wrapText="1" indent="1"/>
    </xf>
    <xf numFmtId="0" fontId="13" fillId="19" borderId="20" xfId="0" applyFont="1" applyFill="1" applyBorder="1" applyAlignment="1">
      <alignment horizontal="left" vertical="center" wrapText="1" indent="1"/>
    </xf>
    <xf numFmtId="0" fontId="43" fillId="0" borderId="11" xfId="0" applyFont="1" applyBorder="1" applyAlignment="1">
      <alignment horizontal="left" vertical="center" wrapText="1"/>
    </xf>
    <xf numFmtId="0" fontId="43" fillId="0" borderId="26" xfId="0" applyFont="1" applyBorder="1" applyAlignment="1">
      <alignment horizontal="left" vertical="center" wrapText="1"/>
    </xf>
    <xf numFmtId="0" fontId="43" fillId="0" borderId="8" xfId="0" applyFont="1" applyBorder="1" applyAlignment="1">
      <alignment horizontal="left" vertical="center" wrapText="1"/>
    </xf>
    <xf numFmtId="0" fontId="43" fillId="0" borderId="27" xfId="0" applyFont="1" applyBorder="1" applyAlignment="1">
      <alignment horizontal="left" vertical="center" wrapText="1"/>
    </xf>
    <xf numFmtId="0" fontId="0" fillId="0" borderId="31" xfId="0" applyBorder="1" applyAlignment="1">
      <alignment horizontal="left" vertical="center" wrapText="1"/>
    </xf>
    <xf numFmtId="0" fontId="0" fillId="0" borderId="0" xfId="0" applyAlignment="1">
      <alignment horizontal="left" vertical="center" wrapText="1"/>
    </xf>
    <xf numFmtId="0" fontId="0" fillId="0" borderId="29" xfId="0" applyBorder="1" applyAlignment="1">
      <alignment vertical="center" wrapText="1"/>
    </xf>
    <xf numFmtId="0" fontId="43" fillId="0" borderId="4" xfId="0" applyFont="1" applyBorder="1" applyAlignment="1">
      <alignment horizontal="left" vertical="center" wrapText="1"/>
    </xf>
    <xf numFmtId="0" fontId="43" fillId="0" borderId="0" xfId="0" applyFont="1" applyAlignment="1">
      <alignment horizontal="left" vertical="center" wrapText="1"/>
    </xf>
    <xf numFmtId="0" fontId="43" fillId="0" borderId="29" xfId="0" applyFont="1" applyBorder="1" applyAlignment="1">
      <alignment horizontal="left" vertical="center" wrapText="1"/>
    </xf>
    <xf numFmtId="0" fontId="8" fillId="3" borderId="0" xfId="0" applyFont="1" applyFill="1" applyAlignment="1">
      <alignment horizontal="left" vertical="center" wrapText="1"/>
    </xf>
    <xf numFmtId="0" fontId="0" fillId="0" borderId="0" xfId="0" applyAlignment="1">
      <alignment horizontal="left" vertical="center"/>
    </xf>
    <xf numFmtId="0" fontId="0" fillId="0" borderId="0" xfId="0"/>
    <xf numFmtId="0" fontId="14" fillId="0" borderId="7"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4" xfId="0" applyFont="1" applyBorder="1" applyAlignment="1">
      <alignment horizontal="center" vertical="center" wrapText="1"/>
    </xf>
    <xf numFmtId="0" fontId="0" fillId="0" borderId="9" xfId="0" applyBorder="1" applyAlignment="1">
      <alignment horizontal="center" vertical="center" wrapText="1"/>
    </xf>
    <xf numFmtId="0" fontId="14" fillId="0" borderId="3" xfId="0" applyFont="1" applyBorder="1" applyAlignment="1">
      <alignment horizontal="center" vertical="center" wrapText="1"/>
    </xf>
    <xf numFmtId="0" fontId="0" fillId="0" borderId="2" xfId="0" applyBorder="1" applyAlignment="1">
      <alignment horizontal="center" vertical="center" wrapText="1"/>
    </xf>
    <xf numFmtId="0" fontId="23" fillId="9" borderId="12" xfId="4" applyFont="1" applyFill="1" applyBorder="1" applyAlignment="1" applyProtection="1">
      <alignment horizontal="center" vertical="center" wrapText="1"/>
      <protection hidden="1"/>
    </xf>
    <xf numFmtId="0" fontId="31" fillId="8" borderId="0" xfId="4" applyFont="1" applyFill="1" applyAlignment="1" applyProtection="1">
      <alignment horizontal="left" vertical="top"/>
      <protection hidden="1"/>
    </xf>
    <xf numFmtId="0" fontId="31" fillId="8" borderId="0" xfId="4" applyFont="1" applyFill="1" applyAlignment="1" applyProtection="1">
      <alignment horizontal="left" vertical="top" wrapText="1"/>
      <protection hidden="1"/>
    </xf>
    <xf numFmtId="0" fontId="23" fillId="10" borderId="12" xfId="1" applyFont="1" applyFill="1" applyBorder="1" applyAlignment="1">
      <alignment horizontal="center" vertical="center" wrapText="1"/>
    </xf>
    <xf numFmtId="0" fontId="57" fillId="0" borderId="33" xfId="0" applyFont="1" applyBorder="1" applyAlignment="1" applyProtection="1">
      <alignment horizontal="left" vertical="center" wrapText="1" indent="1"/>
      <protection hidden="1"/>
    </xf>
    <xf numFmtId="0" fontId="57" fillId="0" borderId="34" xfId="0" applyFont="1" applyBorder="1" applyAlignment="1" applyProtection="1">
      <alignment horizontal="left" vertical="center" wrapText="1" indent="1"/>
      <protection hidden="1"/>
    </xf>
    <xf numFmtId="0" fontId="57" fillId="0" borderId="35" xfId="0" applyFont="1" applyBorder="1" applyAlignment="1" applyProtection="1">
      <alignment horizontal="left" vertical="center" wrapText="1" indent="1"/>
      <protection hidden="1"/>
    </xf>
    <xf numFmtId="0" fontId="75" fillId="0" borderId="33" xfId="0" applyFont="1" applyBorder="1" applyAlignment="1" applyProtection="1">
      <alignment horizontal="left" vertical="center" wrapText="1" indent="1"/>
      <protection hidden="1"/>
    </xf>
    <xf numFmtId="0" fontId="75" fillId="0" borderId="34" xfId="0" applyFont="1" applyBorder="1" applyAlignment="1" applyProtection="1">
      <alignment horizontal="left" vertical="center" wrapText="1" indent="1"/>
      <protection hidden="1"/>
    </xf>
    <xf numFmtId="0" fontId="75" fillId="0" borderId="35" xfId="0" applyFont="1" applyBorder="1" applyAlignment="1" applyProtection="1">
      <alignment horizontal="left" vertical="center" wrapText="1" indent="1"/>
      <protection hidden="1"/>
    </xf>
    <xf numFmtId="0" fontId="16" fillId="0" borderId="33" xfId="0" applyFont="1" applyBorder="1" applyAlignment="1" applyProtection="1">
      <alignment horizontal="left" vertical="center" wrapText="1"/>
      <protection hidden="1"/>
    </xf>
    <xf numFmtId="0" fontId="16" fillId="0" borderId="34" xfId="0" applyFont="1" applyBorder="1" applyAlignment="1" applyProtection="1">
      <alignment horizontal="left" vertical="center" wrapText="1"/>
      <protection hidden="1"/>
    </xf>
    <xf numFmtId="0" fontId="16" fillId="0" borderId="35" xfId="0" applyFont="1" applyBorder="1" applyAlignment="1" applyProtection="1">
      <alignment horizontal="left" vertical="center" wrapText="1"/>
      <protection hidden="1"/>
    </xf>
    <xf numFmtId="0" fontId="23" fillId="9" borderId="12" xfId="0" applyFont="1" applyFill="1" applyBorder="1" applyAlignment="1">
      <alignment horizontal="center" vertical="center" wrapText="1"/>
    </xf>
    <xf numFmtId="0" fontId="31" fillId="8" borderId="0" xfId="0" applyFont="1" applyFill="1" applyAlignment="1">
      <alignment horizontal="left" vertical="top"/>
    </xf>
    <xf numFmtId="0" fontId="31" fillId="8" borderId="0" xfId="0" applyFont="1" applyFill="1" applyAlignment="1" applyProtection="1">
      <alignment horizontal="left" vertical="center" wrapText="1"/>
      <protection hidden="1"/>
    </xf>
    <xf numFmtId="0" fontId="23" fillId="9" borderId="12" xfId="0" applyFont="1" applyFill="1" applyBorder="1" applyAlignment="1" applyProtection="1">
      <alignment horizontal="center" vertical="center" wrapText="1"/>
      <protection hidden="1"/>
    </xf>
    <xf numFmtId="0" fontId="50" fillId="8" borderId="0" xfId="0" applyFont="1" applyFill="1" applyAlignment="1">
      <alignment horizontal="left" vertical="center"/>
    </xf>
    <xf numFmtId="0" fontId="53" fillId="9" borderId="12" xfId="0" applyFont="1" applyFill="1" applyBorder="1" applyAlignment="1">
      <alignment horizontal="center" vertical="center" wrapText="1"/>
    </xf>
    <xf numFmtId="0" fontId="53" fillId="9" borderId="12" xfId="0" applyFont="1" applyFill="1" applyBorder="1" applyAlignment="1" applyProtection="1">
      <alignment horizontal="center" vertical="center" wrapText="1"/>
      <protection hidden="1"/>
    </xf>
    <xf numFmtId="0" fontId="50" fillId="8" borderId="0" xfId="0" applyFont="1" applyFill="1" applyAlignment="1" applyProtection="1">
      <alignment horizontal="center" vertical="center" wrapText="1"/>
      <protection hidden="1"/>
    </xf>
    <xf numFmtId="49" fontId="31" fillId="8" borderId="0" xfId="1" applyNumberFormat="1" applyFont="1" applyFill="1" applyAlignment="1">
      <alignment horizontal="left" vertical="top"/>
    </xf>
    <xf numFmtId="0" fontId="81" fillId="0" borderId="0" xfId="4" applyFont="1" applyProtection="1">
      <protection hidden="1"/>
    </xf>
    <xf numFmtId="169" fontId="28" fillId="0" borderId="0" xfId="4" applyNumberFormat="1" applyFont="1" applyProtection="1">
      <protection hidden="1"/>
    </xf>
    <xf numFmtId="40" fontId="37" fillId="0" borderId="0" xfId="4" applyNumberFormat="1" applyFont="1" applyProtection="1">
      <protection hidden="1"/>
    </xf>
    <xf numFmtId="0" fontId="81" fillId="0" borderId="0" xfId="0" applyFont="1" applyAlignment="1">
      <alignment vertical="center" wrapText="1"/>
    </xf>
    <xf numFmtId="0" fontId="81" fillId="0" borderId="0" xfId="0" applyFont="1" applyAlignment="1">
      <alignment horizontal="right" vertical="center"/>
    </xf>
    <xf numFmtId="169" fontId="81" fillId="0" borderId="0" xfId="4" applyNumberFormat="1" applyFont="1" applyProtection="1">
      <protection hidden="1"/>
    </xf>
    <xf numFmtId="0" fontId="83" fillId="0" borderId="0" xfId="0" applyFont="1" applyAlignment="1">
      <alignment horizontal="left"/>
    </xf>
    <xf numFmtId="0" fontId="81" fillId="0" borderId="0" xfId="0" applyFont="1"/>
    <xf numFmtId="49" fontId="29" fillId="8" borderId="12" xfId="1" applyNumberFormat="1" applyFont="1" applyFill="1" applyBorder="1" applyAlignment="1">
      <alignment horizontal="center" vertical="center" wrapText="1"/>
    </xf>
    <xf numFmtId="49" fontId="24" fillId="8" borderId="12" xfId="1" applyNumberFormat="1" applyFont="1" applyFill="1" applyBorder="1" applyAlignment="1">
      <alignment horizontal="left" vertical="center" wrapText="1"/>
    </xf>
    <xf numFmtId="0" fontId="24" fillId="0" borderId="0" xfId="1" applyFont="1" applyAlignment="1">
      <alignment wrapText="1"/>
    </xf>
    <xf numFmtId="0" fontId="84" fillId="0" borderId="0" xfId="1" applyFont="1"/>
    <xf numFmtId="49" fontId="23" fillId="10" borderId="12" xfId="1" applyNumberFormat="1" applyFont="1" applyFill="1" applyBorder="1" applyAlignment="1">
      <alignment horizontal="left" vertical="center" wrapText="1"/>
    </xf>
    <xf numFmtId="169" fontId="67" fillId="28" borderId="12" xfId="1" applyNumberFormat="1" applyFont="1" applyFill="1" applyBorder="1" applyAlignment="1">
      <alignment horizontal="right"/>
    </xf>
    <xf numFmtId="169" fontId="48" fillId="28" borderId="12" xfId="1" applyNumberFormat="1" applyFont="1" applyFill="1" applyBorder="1" applyAlignment="1">
      <alignment horizontal="right" wrapText="1"/>
    </xf>
    <xf numFmtId="169" fontId="81" fillId="0" borderId="12" xfId="0" applyNumberFormat="1" applyFont="1" applyBorder="1" applyAlignment="1">
      <alignment horizontal="right" wrapText="1"/>
    </xf>
  </cellXfs>
  <cellStyles count="6">
    <cellStyle name="Comma 2" xfId="2" xr:uid="{C877C5E8-FCBF-114F-9ECB-F75EF7C9C0EB}"/>
    <cellStyle name="Milliers" xfId="3" builtinId="3"/>
    <cellStyle name="Milliers 2" xfId="5" xr:uid="{C98A9282-6AC5-784B-80AA-54BB74A59302}"/>
    <cellStyle name="Normal" xfId="0" builtinId="0"/>
    <cellStyle name="Normal 2" xfId="1" xr:uid="{6FC886D6-2077-B34D-B1DF-739B068A66D1}"/>
    <cellStyle name="Normal 3" xfId="4" xr:uid="{6BD57324-3FD5-D341-A299-730D14794802}"/>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1A94F"/>
      <color rgb="FFF7EF2D"/>
      <color rgb="FFFE0000"/>
      <color rgb="FF0B0B97"/>
      <color rgb="FF2C45E0"/>
      <color rgb="FFCE42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632166</xdr:colOff>
      <xdr:row>12</xdr:row>
      <xdr:rowOff>199927</xdr:rowOff>
    </xdr:from>
    <xdr:ext cx="389621" cy="478116"/>
    <xdr:pic>
      <xdr:nvPicPr>
        <xdr:cNvPr id="2" name="Image 1" descr="Applause PNG Transparent Images - PNG All">
          <a:extLst>
            <a:ext uri="{FF2B5EF4-FFF2-40B4-BE49-F238E27FC236}">
              <a16:creationId xmlns:a16="http://schemas.microsoft.com/office/drawing/2014/main" id="{A725DBE8-FC47-BB4E-ACFF-F99368C80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57666" y="2282727"/>
          <a:ext cx="389621" cy="4781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173580</xdr:colOff>
      <xdr:row>12</xdr:row>
      <xdr:rowOff>190844</xdr:rowOff>
    </xdr:from>
    <xdr:ext cx="513642" cy="428121"/>
    <xdr:pic>
      <xdr:nvPicPr>
        <xdr:cNvPr id="3" name="Image 2">
          <a:extLst>
            <a:ext uri="{FF2B5EF4-FFF2-40B4-BE49-F238E27FC236}">
              <a16:creationId xmlns:a16="http://schemas.microsoft.com/office/drawing/2014/main" id="{35047058-CEC0-0F4C-93C4-C25DC82BDC38}"/>
            </a:ext>
          </a:extLst>
        </xdr:cNvPr>
        <xdr:cNvPicPr>
          <a:picLocks noChangeAspect="1"/>
        </xdr:cNvPicPr>
      </xdr:nvPicPr>
      <xdr:blipFill rotWithShape="1">
        <a:blip xmlns:r="http://schemas.openxmlformats.org/officeDocument/2006/relationships" r:embed="rId2"/>
        <a:srcRect b="12015"/>
        <a:stretch/>
      </xdr:blipFill>
      <xdr:spPr>
        <a:xfrm>
          <a:off x="4301080" y="2286344"/>
          <a:ext cx="513642" cy="428121"/>
        </a:xfrm>
        <a:prstGeom prst="rect">
          <a:avLst/>
        </a:prstGeom>
      </xdr:spPr>
    </xdr:pic>
    <xdr:clientData/>
  </xdr:oneCellAnchor>
  <xdr:oneCellAnchor>
    <xdr:from>
      <xdr:col>1</xdr:col>
      <xdr:colOff>227016</xdr:colOff>
      <xdr:row>0</xdr:row>
      <xdr:rowOff>14635</xdr:rowOff>
    </xdr:from>
    <xdr:ext cx="960661" cy="902640"/>
    <xdr:pic>
      <xdr:nvPicPr>
        <xdr:cNvPr id="4" name="Picture 1">
          <a:extLst>
            <a:ext uri="{FF2B5EF4-FFF2-40B4-BE49-F238E27FC236}">
              <a16:creationId xmlns:a16="http://schemas.microsoft.com/office/drawing/2014/main" id="{2BAFB5E9-E271-8649-BC8B-F2629B6E970C}"/>
            </a:ext>
          </a:extLst>
        </xdr:cNvPr>
        <xdr:cNvPicPr>
          <a:picLocks noChangeAspect="1"/>
        </xdr:cNvPicPr>
      </xdr:nvPicPr>
      <xdr:blipFill>
        <a:blip xmlns:r="http://schemas.openxmlformats.org/officeDocument/2006/relationships" r:embed="rId3" cstate="print"/>
        <a:stretch>
          <a:fillRect/>
        </a:stretch>
      </xdr:blipFill>
      <xdr:spPr>
        <a:xfrm>
          <a:off x="320595" y="14635"/>
          <a:ext cx="960661" cy="902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4" name="Picture 5">
          <a:extLst>
            <a:ext uri="{FF2B5EF4-FFF2-40B4-BE49-F238E27FC236}">
              <a16:creationId xmlns:a16="http://schemas.microsoft.com/office/drawing/2014/main" id="{55C61324-E573-A246-9DC1-CC27AB5D3430}"/>
            </a:ext>
          </a:extLst>
        </xdr:cNvPr>
        <xdr:cNvPicPr>
          <a:picLocks noChangeAspect="1"/>
        </xdr:cNvPicPr>
      </xdr:nvPicPr>
      <xdr:blipFill>
        <a:blip xmlns:r="http://schemas.openxmlformats.org/officeDocument/2006/relationships" r:embed="rId1"/>
        <a:stretch>
          <a:fillRect/>
        </a:stretch>
      </xdr:blipFill>
      <xdr:spPr>
        <a:xfrm>
          <a:off x="92364" y="48382"/>
          <a:ext cx="935182" cy="875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4</xdr:col>
      <xdr:colOff>165100</xdr:colOff>
      <xdr:row>0</xdr:row>
      <xdr:rowOff>964155</xdr:rowOff>
    </xdr:to>
    <xdr:pic>
      <xdr:nvPicPr>
        <xdr:cNvPr id="2" name="Picture 5">
          <a:extLst>
            <a:ext uri="{FF2B5EF4-FFF2-40B4-BE49-F238E27FC236}">
              <a16:creationId xmlns:a16="http://schemas.microsoft.com/office/drawing/2014/main" id="{F6B8D4B0-F035-0341-BA33-193E66A8970C}"/>
            </a:ext>
          </a:extLst>
        </xdr:cNvPr>
        <xdr:cNvPicPr>
          <a:picLocks noChangeAspect="1"/>
        </xdr:cNvPicPr>
      </xdr:nvPicPr>
      <xdr:blipFill>
        <a:blip xmlns:r="http://schemas.openxmlformats.org/officeDocument/2006/relationships" r:embed="rId1"/>
        <a:stretch>
          <a:fillRect/>
        </a:stretch>
      </xdr:blipFill>
      <xdr:spPr>
        <a:xfrm>
          <a:off x="6502400" y="88900"/>
          <a:ext cx="1778000" cy="875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3" name="Picture 5">
          <a:extLst>
            <a:ext uri="{FF2B5EF4-FFF2-40B4-BE49-F238E27FC236}">
              <a16:creationId xmlns:a16="http://schemas.microsoft.com/office/drawing/2014/main" id="{CC4A8B9D-07C1-B441-8116-3363078844BB}"/>
            </a:ext>
          </a:extLst>
        </xdr:cNvPr>
        <xdr:cNvPicPr>
          <a:picLocks noChangeAspect="1"/>
        </xdr:cNvPicPr>
      </xdr:nvPicPr>
      <xdr:blipFill>
        <a:blip xmlns:r="http://schemas.openxmlformats.org/officeDocument/2006/relationships" r:embed="rId1"/>
        <a:stretch>
          <a:fillRect/>
        </a:stretch>
      </xdr:blipFill>
      <xdr:spPr>
        <a:xfrm>
          <a:off x="239888" y="28222"/>
          <a:ext cx="1086556" cy="9480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5" name="Picture 5">
          <a:extLst>
            <a:ext uri="{FF2B5EF4-FFF2-40B4-BE49-F238E27FC236}">
              <a16:creationId xmlns:a16="http://schemas.microsoft.com/office/drawing/2014/main" id="{14EC877E-FE4C-6948-B73E-2DD9CF2519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94C05814-536A-084A-B3F3-D787AC3C965E}"/>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3" name="Picture 5">
          <a:extLst>
            <a:ext uri="{FF2B5EF4-FFF2-40B4-BE49-F238E27FC236}">
              <a16:creationId xmlns:a16="http://schemas.microsoft.com/office/drawing/2014/main" id="{CB6F3F4A-57CD-7847-B40E-26FCFBF9CD22}"/>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8DBCC5E3-38D9-8842-9253-F2769D5458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7" name="Picture 5">
          <a:extLst>
            <a:ext uri="{FF2B5EF4-FFF2-40B4-BE49-F238E27FC236}">
              <a16:creationId xmlns:a16="http://schemas.microsoft.com/office/drawing/2014/main" id="{74E1BC4E-C815-5246-B194-4137BE66CBD6}"/>
            </a:ext>
          </a:extLst>
        </xdr:cNvPr>
        <xdr:cNvPicPr>
          <a:picLocks noChangeAspect="1"/>
        </xdr:cNvPicPr>
      </xdr:nvPicPr>
      <xdr:blipFill>
        <a:blip xmlns:r="http://schemas.openxmlformats.org/officeDocument/2006/relationships" r:embed="rId1"/>
        <a:stretch>
          <a:fillRect/>
        </a:stretch>
      </xdr:blipFill>
      <xdr:spPr>
        <a:xfrm>
          <a:off x="92927" y="46464"/>
          <a:ext cx="951389" cy="87745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B09-C60F-334A-AD8D-3CC1EC8DED35}">
  <sheetPr>
    <tabColor rgb="FF002060"/>
  </sheetPr>
  <dimension ref="A1:H16"/>
  <sheetViews>
    <sheetView showGridLines="0" tabSelected="1" zoomScale="95" zoomScaleNormal="95" workbookViewId="0">
      <selection activeCell="N115" sqref="N115"/>
    </sheetView>
  </sheetViews>
  <sheetFormatPr baseColWidth="10" defaultColWidth="10.83203125" defaultRowHeight="15" x14ac:dyDescent="0.2"/>
  <cols>
    <col min="1" max="1" width="1.1640625" style="21" customWidth="1"/>
    <col min="2" max="2" width="27.1640625" style="21" customWidth="1"/>
    <col min="3" max="3" width="102.1640625" style="21" customWidth="1"/>
    <col min="4" max="4" width="56.33203125" style="21" customWidth="1"/>
    <col min="5" max="5" width="14" style="21" customWidth="1"/>
    <col min="6" max="6" width="37.83203125" style="122" customWidth="1"/>
    <col min="7" max="7" width="10.83203125" style="21" customWidth="1"/>
    <col min="8" max="16384" width="10.83203125" style="21"/>
  </cols>
  <sheetData>
    <row r="1" spans="1:8" s="26" customFormat="1" ht="60" customHeight="1" x14ac:dyDescent="0.35">
      <c r="A1" s="114"/>
      <c r="B1" s="115" t="s">
        <v>223</v>
      </c>
      <c r="C1" s="347" t="s">
        <v>224</v>
      </c>
      <c r="D1" s="347"/>
      <c r="E1" s="347"/>
      <c r="F1" s="116"/>
      <c r="H1" s="26" t="s">
        <v>0</v>
      </c>
    </row>
    <row r="2" spans="1:8" s="120" customFormat="1" ht="20" customHeight="1" x14ac:dyDescent="0.2">
      <c r="A2" s="117"/>
      <c r="B2" s="118"/>
      <c r="C2" s="348" t="s">
        <v>225</v>
      </c>
      <c r="D2" s="348"/>
      <c r="E2" s="348"/>
      <c r="F2" s="119"/>
      <c r="H2" s="26" t="s">
        <v>0</v>
      </c>
    </row>
    <row r="3" spans="1:8" s="26" customFormat="1" ht="6.5" customHeight="1" thickBot="1" x14ac:dyDescent="0.25">
      <c r="A3" s="121"/>
      <c r="F3" s="122"/>
      <c r="H3" s="26" t="s">
        <v>0</v>
      </c>
    </row>
    <row r="4" spans="1:8" s="126" customFormat="1" ht="32.25" customHeight="1" thickBot="1" x14ac:dyDescent="0.25">
      <c r="A4" s="123"/>
      <c r="B4" s="124" t="s">
        <v>226</v>
      </c>
      <c r="C4" s="125" t="s">
        <v>227</v>
      </c>
      <c r="D4" s="125" t="s">
        <v>228</v>
      </c>
      <c r="E4" s="352" t="s">
        <v>229</v>
      </c>
      <c r="F4" s="353"/>
      <c r="G4" s="134"/>
      <c r="H4" s="26" t="s">
        <v>0</v>
      </c>
    </row>
    <row r="5" spans="1:8" s="26" customFormat="1" ht="48" customHeight="1" x14ac:dyDescent="0.2">
      <c r="A5" s="121"/>
      <c r="B5" s="135" t="s">
        <v>230</v>
      </c>
      <c r="C5" s="131" t="s">
        <v>231</v>
      </c>
      <c r="D5" s="131" t="s">
        <v>232</v>
      </c>
      <c r="E5" s="354" t="s">
        <v>245</v>
      </c>
      <c r="F5" s="355"/>
      <c r="G5" s="133"/>
      <c r="H5" s="26" t="s">
        <v>0</v>
      </c>
    </row>
    <row r="6" spans="1:8" s="26" customFormat="1" ht="48" customHeight="1" x14ac:dyDescent="0.2">
      <c r="A6" s="121"/>
      <c r="B6" s="136" t="s">
        <v>233</v>
      </c>
      <c r="C6" s="132" t="s">
        <v>234</v>
      </c>
      <c r="D6" s="132" t="s">
        <v>235</v>
      </c>
      <c r="E6" s="356" t="s">
        <v>246</v>
      </c>
      <c r="F6" s="357"/>
      <c r="G6" s="133"/>
      <c r="H6" s="26" t="s">
        <v>0</v>
      </c>
    </row>
    <row r="7" spans="1:8" s="26" customFormat="1" ht="48" customHeight="1" x14ac:dyDescent="0.2">
      <c r="A7" s="121"/>
      <c r="B7" s="137" t="s">
        <v>236</v>
      </c>
      <c r="C7" s="132" t="s">
        <v>237</v>
      </c>
      <c r="D7" s="132" t="s">
        <v>238</v>
      </c>
      <c r="E7" s="356" t="s">
        <v>245</v>
      </c>
      <c r="F7" s="357"/>
      <c r="G7" s="133"/>
      <c r="H7" s="26" t="s">
        <v>0</v>
      </c>
    </row>
    <row r="8" spans="1:8" s="26" customFormat="1" ht="23" customHeight="1" x14ac:dyDescent="0.2">
      <c r="A8" s="121"/>
      <c r="B8" s="138" t="s">
        <v>239</v>
      </c>
      <c r="C8" s="358" t="s">
        <v>240</v>
      </c>
      <c r="D8" s="358" t="s">
        <v>241</v>
      </c>
      <c r="E8" s="361" t="s">
        <v>247</v>
      </c>
      <c r="F8" s="361"/>
      <c r="G8" s="133"/>
      <c r="H8" s="26" t="s">
        <v>0</v>
      </c>
    </row>
    <row r="9" spans="1:8" s="26" customFormat="1" ht="23" customHeight="1" x14ac:dyDescent="0.2">
      <c r="A9" s="121"/>
      <c r="B9" s="304" t="s">
        <v>242</v>
      </c>
      <c r="C9" s="359"/>
      <c r="D9" s="359"/>
      <c r="E9" s="362"/>
      <c r="F9" s="362"/>
      <c r="G9" s="133"/>
      <c r="H9" s="26" t="s">
        <v>0</v>
      </c>
    </row>
    <row r="10" spans="1:8" s="26" customFormat="1" ht="23" customHeight="1" x14ac:dyDescent="0.2">
      <c r="A10" s="121"/>
      <c r="B10" s="305" t="s">
        <v>243</v>
      </c>
      <c r="C10" s="359"/>
      <c r="D10" s="359"/>
      <c r="E10" s="362"/>
      <c r="F10" s="362"/>
      <c r="G10" s="133"/>
      <c r="H10" s="26" t="s">
        <v>0</v>
      </c>
    </row>
    <row r="11" spans="1:8" s="26" customFormat="1" ht="23" customHeight="1" thickBot="1" x14ac:dyDescent="0.25">
      <c r="A11" s="121"/>
      <c r="B11" s="300" t="s">
        <v>367</v>
      </c>
      <c r="C11" s="360"/>
      <c r="D11" s="360"/>
      <c r="E11" s="363"/>
      <c r="F11" s="363"/>
      <c r="G11" s="133"/>
      <c r="H11" s="26" t="s">
        <v>0</v>
      </c>
    </row>
    <row r="12" spans="1:8" s="26" customFormat="1" ht="5" customHeight="1" thickBot="1" x14ac:dyDescent="0.25">
      <c r="A12" s="121"/>
      <c r="B12" s="301"/>
      <c r="C12" s="301"/>
      <c r="D12" s="301"/>
      <c r="E12" s="301"/>
      <c r="F12" s="301"/>
      <c r="H12" s="26" t="s">
        <v>0</v>
      </c>
    </row>
    <row r="13" spans="1:8" s="26" customFormat="1" ht="72" customHeight="1" thickBot="1" x14ac:dyDescent="0.25">
      <c r="A13" s="121"/>
      <c r="B13" s="302"/>
      <c r="C13" s="351" t="s">
        <v>244</v>
      </c>
      <c r="D13" s="351"/>
      <c r="E13" s="351"/>
      <c r="F13" s="303"/>
      <c r="H13" s="26" t="s">
        <v>0</v>
      </c>
    </row>
    <row r="14" spans="1:8" s="26" customFormat="1" ht="6" customHeight="1" x14ac:dyDescent="0.2">
      <c r="A14" s="127"/>
      <c r="F14" s="122"/>
      <c r="H14" s="26" t="s">
        <v>0</v>
      </c>
    </row>
    <row r="15" spans="1:8" s="26" customFormat="1" ht="27" customHeight="1" x14ac:dyDescent="0.2">
      <c r="A15" s="349" t="s">
        <v>25</v>
      </c>
      <c r="B15" s="349"/>
      <c r="C15" s="349"/>
      <c r="D15" s="349"/>
      <c r="E15" s="349"/>
      <c r="F15" s="350"/>
      <c r="H15" s="26" t="s">
        <v>0</v>
      </c>
    </row>
    <row r="16" spans="1:8" ht="16" customHeight="1" x14ac:dyDescent="0.2">
      <c r="H16" s="21" t="s">
        <v>7</v>
      </c>
    </row>
  </sheetData>
  <mergeCells count="11">
    <mergeCell ref="C1:E1"/>
    <mergeCell ref="C2:E2"/>
    <mergeCell ref="A15:F15"/>
    <mergeCell ref="C13:E13"/>
    <mergeCell ref="E4:F4"/>
    <mergeCell ref="E5:F5"/>
    <mergeCell ref="E6:F6"/>
    <mergeCell ref="E7:F7"/>
    <mergeCell ref="C8:C11"/>
    <mergeCell ref="D8:D11"/>
    <mergeCell ref="E8:F11"/>
  </mergeCells>
  <pageMargins left="0.7" right="0.7" top="0.75" bottom="0.75" header="0.3" footer="0.3"/>
  <pageSetup paperSize="9" orientation="portrait" useFirstPageNumber="1"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sheetPr codeName="Feuil4">
    <tabColor rgb="FFCE4275"/>
  </sheetPr>
  <dimension ref="A1:DN8"/>
  <sheetViews>
    <sheetView zoomScale="110" zoomScaleNormal="110" workbookViewId="0">
      <selection activeCell="A95" sqref="A95"/>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80" customHeight="1" x14ac:dyDescent="0.25">
      <c r="A1" s="3" t="s">
        <v>218</v>
      </c>
      <c r="B1" s="5"/>
      <c r="C1" s="5"/>
      <c r="D1" s="7"/>
      <c r="E1" s="7"/>
      <c r="F1" s="6"/>
      <c r="G1" s="6" t="s">
        <v>6</v>
      </c>
      <c r="H1" s="8" t="s">
        <v>0</v>
      </c>
    </row>
    <row r="2" spans="1:118" ht="66" customHeight="1" x14ac:dyDescent="0.2">
      <c r="A2" s="22" t="s">
        <v>2</v>
      </c>
      <c r="B2" s="21" t="s">
        <v>1</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row>
    <row r="3" spans="1:118" x14ac:dyDescent="0.2">
      <c r="A3" s="25" t="s">
        <v>3</v>
      </c>
      <c r="B3" t="s">
        <v>4</v>
      </c>
      <c r="C3"/>
      <c r="D3"/>
      <c r="E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row>
    <row r="4" spans="1:118" x14ac:dyDescent="0.2">
      <c r="A4" s="25" t="s">
        <v>3</v>
      </c>
      <c r="B4" t="s">
        <v>5</v>
      </c>
      <c r="C4"/>
      <c r="D4"/>
      <c r="E4"/>
    </row>
    <row r="5" spans="1:118" x14ac:dyDescent="0.2">
      <c r="B5" s="27" t="s">
        <v>7</v>
      </c>
      <c r="C5"/>
      <c r="D5"/>
      <c r="E5"/>
    </row>
    <row r="6" spans="1:118" x14ac:dyDescent="0.2">
      <c r="B6"/>
      <c r="C6"/>
      <c r="D6"/>
    </row>
    <row r="7" spans="1:118" x14ac:dyDescent="0.2">
      <c r="A7" s="1"/>
      <c r="C7" s="2"/>
    </row>
    <row r="8" spans="1:118" x14ac:dyDescent="0.2">
      <c r="C8" s="2"/>
    </row>
  </sheetData>
  <autoFilter ref="A2:DN2" xr:uid="{F3674A8A-13E9-4EDB-B294-D1FF8F18362C}"/>
  <dataConsolidate/>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sheetPr codeName="Feuil13">
    <tabColor rgb="FF2C45E0"/>
  </sheetPr>
  <dimension ref="A1:FD4"/>
  <sheetViews>
    <sheetView showFormulas="1" zoomScaleNormal="110" workbookViewId="0">
      <pane xSplit="6" ySplit="2" topLeftCell="G3" activePane="bottomRight" state="frozen"/>
      <selection pane="topRight" activeCell="G1" sqref="G1"/>
      <selection pane="bottomLeft" activeCell="A3" sqref="A3"/>
      <selection pane="bottomRight" activeCell="A248" sqref="A248"/>
    </sheetView>
  </sheetViews>
  <sheetFormatPr baseColWidth="10" defaultRowHeight="15" x14ac:dyDescent="0.2"/>
  <cols>
    <col min="1" max="1" width="18.6640625" customWidth="1"/>
    <col min="2" max="2" width="11.83203125" customWidth="1"/>
    <col min="9" max="9" width="30.5" customWidth="1"/>
    <col min="126" max="126" width="13.5" customWidth="1"/>
    <col min="127" max="127" width="15.83203125" customWidth="1"/>
    <col min="128" max="154" width="36.1640625" customWidth="1"/>
    <col min="155" max="155" width="16.83203125" customWidth="1"/>
    <col min="156" max="156" width="20" customWidth="1"/>
    <col min="157" max="157" width="60.6640625" bestFit="1" customWidth="1"/>
    <col min="165" max="165" width="45.1640625" bestFit="1" customWidth="1"/>
    <col min="166" max="166" width="15.1640625" bestFit="1" customWidth="1"/>
  </cols>
  <sheetData>
    <row r="1" spans="1:160" s="4" customFormat="1" ht="80" customHeight="1" x14ac:dyDescent="0.25">
      <c r="A1" s="3"/>
      <c r="B1" s="3"/>
      <c r="C1" s="3"/>
      <c r="D1" s="364" t="s">
        <v>368</v>
      </c>
      <c r="E1" s="365"/>
      <c r="F1" s="365"/>
      <c r="G1" s="365"/>
      <c r="H1" s="365"/>
      <c r="I1" s="365"/>
      <c r="J1" s="366"/>
      <c r="K1" s="366"/>
      <c r="L1" s="366"/>
      <c r="M1" s="366"/>
      <c r="N1" s="366"/>
      <c r="O1" s="366"/>
      <c r="P1" s="366"/>
      <c r="Q1" s="366"/>
      <c r="R1" s="6" t="s">
        <v>263</v>
      </c>
      <c r="S1" s="4" t="s">
        <v>0</v>
      </c>
      <c r="EZ1"/>
      <c r="FA1"/>
      <c r="FB1"/>
      <c r="FC1"/>
      <c r="FD1"/>
    </row>
    <row r="2" spans="1:160" ht="66" customHeight="1" x14ac:dyDescent="0.2">
      <c r="A2" s="22" t="s">
        <v>8</v>
      </c>
      <c r="B2" t="s">
        <v>9</v>
      </c>
    </row>
    <row r="3" spans="1:160" x14ac:dyDescent="0.2">
      <c r="A3" s="25" t="s">
        <v>11</v>
      </c>
      <c r="B3" t="s">
        <v>10</v>
      </c>
      <c r="N3" s="263"/>
      <c r="O3" s="263"/>
      <c r="P3" s="263"/>
    </row>
    <row r="4" spans="1:160" x14ac:dyDescent="0.2">
      <c r="B4" s="27" t="s">
        <v>7</v>
      </c>
      <c r="FA4" s="21"/>
    </row>
  </sheetData>
  <autoFilter ref="A2:DT2" xr:uid="{3B89445B-6ECC-4440-B85C-E593AE209933}"/>
  <mergeCells count="1">
    <mergeCell ref="D1:Q1"/>
  </mergeCells>
  <conditionalFormatting sqref="A1:D1 R1 T1:EY1">
    <cfRule type="expression" dxfId="17" priority="19" stopIfTrue="1">
      <formula>AND(OR($Q1&lt;&gt;"-",#REF!&lt;&gt;0,#REF!&lt;&gt;0),ROW()&gt;2,$A1&lt;&gt;"")</formula>
    </cfRule>
  </conditionalFormatting>
  <conditionalFormatting sqref="A2:EZ2 A3:FB1048576">
    <cfRule type="expression" dxfId="16" priority="1" stopIfTrue="1">
      <formula>AND(OR($Q2&lt;&gt;"-",$R2&lt;&gt;0,$S2&lt;&gt;0),ROW()&gt;2,$A2&lt;&gt;"")</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sheetPr codeName="Feuil18">
    <tabColor rgb="FF0B0B97"/>
  </sheetPr>
  <dimension ref="A1:X7"/>
  <sheetViews>
    <sheetView zoomScaleNormal="90" workbookViewId="0">
      <selection activeCell="A3" sqref="A3"/>
    </sheetView>
  </sheetViews>
  <sheetFormatPr baseColWidth="10" defaultRowHeight="15" x14ac:dyDescent="0.2"/>
  <cols>
    <col min="1" max="1" width="32.5"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6" width="16.6640625" customWidth="1"/>
    <col min="21" max="22" width="18.1640625" customWidth="1"/>
  </cols>
  <sheetData>
    <row r="1" spans="1:24" s="4" customFormat="1" ht="80" customHeight="1" x14ac:dyDescent="0.25">
      <c r="A1" s="3" t="s">
        <v>369</v>
      </c>
      <c r="B1" s="5"/>
      <c r="C1" s="128" t="s">
        <v>236</v>
      </c>
      <c r="D1" s="128"/>
      <c r="E1" s="7"/>
      <c r="F1" s="7"/>
      <c r="G1" s="7"/>
      <c r="H1" s="7"/>
      <c r="I1" s="6"/>
      <c r="J1" s="6"/>
      <c r="K1" s="7"/>
      <c r="L1" s="7"/>
      <c r="M1" s="7"/>
      <c r="N1" s="7"/>
      <c r="O1" s="7"/>
      <c r="P1" s="7"/>
      <c r="Q1" s="7"/>
      <c r="R1" s="7"/>
      <c r="S1" s="7"/>
      <c r="T1" s="7"/>
      <c r="U1" s="7"/>
      <c r="V1" s="7"/>
      <c r="W1" s="4" t="s">
        <v>0</v>
      </c>
    </row>
    <row r="2" spans="1:24" ht="42" customHeight="1" thickBot="1" x14ac:dyDescent="0.25">
      <c r="A2" s="20" t="s">
        <v>24</v>
      </c>
      <c r="B2" s="14" t="s">
        <v>19</v>
      </c>
      <c r="C2" t="s">
        <v>0</v>
      </c>
    </row>
    <row r="3" spans="1:24" ht="30" customHeight="1" thickTop="1" x14ac:dyDescent="0.2">
      <c r="A3" s="24" t="s">
        <v>12</v>
      </c>
      <c r="B3" s="15" t="e">
        <f>VLOOKUP(A3,#REF!,2,FALSE)</f>
        <v>#REF!</v>
      </c>
      <c r="C3" t="s">
        <v>0</v>
      </c>
      <c r="D3" s="299" t="s">
        <v>366</v>
      </c>
    </row>
    <row r="4" spans="1:24" ht="19" customHeight="1" x14ac:dyDescent="0.2">
      <c r="B4" s="240"/>
      <c r="C4" s="239"/>
      <c r="D4" s="239"/>
      <c r="E4" s="239"/>
      <c r="F4" s="239"/>
      <c r="G4" s="367" t="s">
        <v>26</v>
      </c>
      <c r="H4" s="368"/>
      <c r="I4" s="368"/>
      <c r="J4" s="368"/>
      <c r="K4" s="368"/>
      <c r="L4" s="369"/>
      <c r="M4" s="370"/>
      <c r="N4" s="371" t="s">
        <v>27</v>
      </c>
      <c r="O4" s="369"/>
      <c r="P4" s="369"/>
      <c r="Q4" s="369"/>
      <c r="R4" s="369"/>
      <c r="S4" s="369"/>
      <c r="T4" s="372"/>
      <c r="U4" s="367" t="s">
        <v>28</v>
      </c>
      <c r="V4" s="370"/>
      <c r="W4" s="246"/>
      <c r="X4" t="s">
        <v>0</v>
      </c>
    </row>
    <row r="5" spans="1:24" ht="80" x14ac:dyDescent="0.2">
      <c r="C5" s="9"/>
      <c r="D5" s="9"/>
      <c r="E5" s="10"/>
      <c r="F5" s="10"/>
      <c r="G5" s="11" t="s">
        <v>13</v>
      </c>
      <c r="H5" s="245" t="s">
        <v>249</v>
      </c>
      <c r="I5" s="12" t="s">
        <v>14</v>
      </c>
      <c r="J5" s="12" t="s">
        <v>15</v>
      </c>
      <c r="K5" s="28" t="s">
        <v>29</v>
      </c>
      <c r="L5" s="241" t="s">
        <v>30</v>
      </c>
      <c r="M5" s="242" t="s">
        <v>249</v>
      </c>
      <c r="N5" s="12" t="s">
        <v>16</v>
      </c>
      <c r="O5" s="245" t="s">
        <v>249</v>
      </c>
      <c r="P5" s="12" t="s">
        <v>17</v>
      </c>
      <c r="Q5" s="12" t="s">
        <v>18</v>
      </c>
      <c r="R5" s="28" t="s">
        <v>29</v>
      </c>
      <c r="S5" s="241" t="s">
        <v>31</v>
      </c>
      <c r="T5" s="245" t="s">
        <v>249</v>
      </c>
      <c r="U5" s="241" t="s">
        <v>29</v>
      </c>
      <c r="V5" s="242" t="s">
        <v>249</v>
      </c>
      <c r="W5" t="s">
        <v>20</v>
      </c>
    </row>
    <row r="6" spans="1:24" ht="16" x14ac:dyDescent="0.2">
      <c r="A6" s="13"/>
      <c r="C6" s="17" t="s">
        <v>23</v>
      </c>
      <c r="D6" s="17" t="s">
        <v>250</v>
      </c>
      <c r="E6" s="16" t="s">
        <v>22</v>
      </c>
      <c r="F6" s="262" t="s">
        <v>251</v>
      </c>
      <c r="G6" s="19" t="e">
        <f>SUMIFS(
INDEX('ETPT Format DDG'!$A:$ZZ,,IFERROR(MATCH(E6,'ETPT Format DDG'!$2:$2,0),MATCH(C6,'ETPT Format DDG'!$2:$2,0))),
INDEX( 'ETPT Format DDG'!$A:$ZZ,,MATCH("Fonction agrégat",'ETPT Format DDG'!2:2,0)),"M-TIT",
INDEX( 'ETPT Format DDG'!$A:$ZZ,,MATCH("Juridiction",'ETPT Format DDG'!2:2,0)),$A$3)</f>
        <v>#N/A</v>
      </c>
      <c r="H6" s="243" t="str">
        <f>IF(AND(OR(LEFT(C6,3)="12.",LEFT(E6,3)="12.",LEFT(E6,5)="CET &gt;",IFERROR(G6/$G$6,"")=0),NOT(AND(LEFT(E6,4)="12.8",IFERROR(G6/$G$6,"")&lt;&gt;0)),NOT(AND(LEFT(E6,5)="12.31",IFERROR(G6/$G$6,"")&lt;&gt;0)),NOT(AND(LEFT(E6,5)="12.32",IFERROR(G6/$G$6,"")&lt;&gt;0))),"", IFERROR(G6/$G$6,""))</f>
        <v/>
      </c>
      <c r="I6" s="18" t="e">
        <f>SUMIFS(
INDEX('ETPT Format DDG'!$A:$ZZ,,IFERROR(MATCH(E6,'ETPT Format DDG'!$2:$2,0),MATCH(C6,'ETPT Format DDG'!$2:$2,0))),
INDEX( 'ETPT Format DDG'!$A:$ZZ,,MATCH("Fonction agrégat",'ETPT Format DDG'!2:2,0)),"M-PLAC-ADD",
INDEX( 'ETPT Format DDG'!$A:$ZZ,,MATCH("Juridiction",'ETPT Format DDG'!2:2,0)),$A$3)</f>
        <v>#N/A</v>
      </c>
      <c r="J6" s="18" t="e">
        <f>SUMIFS(
INDEX('ETPT Format DDG'!$A:$ZZ,,IFERROR(MATCH(E6,'ETPT Format DDG'!$2:$2,0),MATCH(C6,'ETPT Format DDG'!$2:$2,0))),
INDEX( 'ETPT Format DDG'!$A:$ZZ,,MATCH("Fonction agrégat",'ETPT Format DDG'!2:2,0)),"M-PLAC-SUB",
INDEX( 'ETPT Format DDG'!$A:$ZZ,,MATCH("Juridiction",'ETPT Format DDG'!2:2,0)),$A$3)</f>
        <v>#N/A</v>
      </c>
      <c r="K6" s="18" t="e">
        <f>SUMIFS(
INDEX('ETPT Format DDG'!$A:$ZZ,,IFERROR(MATCH(E6,'ETPT Format DDG'!$2:$2,0),MATCH(C6,'ETPT Format DDG'!$2:$2,0))),
INDEX( 'ETPT Format DDG'!$A:$ZZ,,MATCH("Fonction agrégat",'ETPT Format DDG'!2:2,0)),"C",
INDEX( 'ETPT Format DDG'!$A:$ZZ,,MATCH("Juridiction",'ETPT Format DDG'!2:2,0)),$A$3,
INDEX( 'ETPT Format DDG'!$A:$ZZ,,MATCH("Catégorie",'ETPT Format DDG'!2:2,0)),"Magistrat")</f>
        <v>#N/A</v>
      </c>
      <c r="L6" s="19" t="e">
        <f>ROUND(SUMIFS(
INDEX('ETPT Format DDG'!$A:$ZZ,,IFERROR(MATCH(E6,'ETPT Format DDG'!$2:$2,0),MATCH(C6,'ETPT Format DDG'!$2:$2,0))),
INDEX( 'ETPT Format DDG'!$A:$ZZ,,MATCH("Juridiction",'ETPT Format DDG'!2:2,0)),$A$3,
INDEX( 'ETPT Format DDG'!$A:$ZZ,,MATCH("Catégorie",'ETPT Format DDG'!2:2,0)),"Magistrat"),3)</f>
        <v>#N/A</v>
      </c>
      <c r="M6" s="244" t="str">
        <f>IF(AND(OR(LEFT(C6,3)="12.",LEFT(E6,3)="12.",LEFT(E6,5)="CET &gt;", IFERROR(L6/$L$6,"")=0),NOT(AND(LEFT(E6,4)="12.8",IFERROR(G6/$G$6,"")&lt;&gt;0)),NOT(AND(LEFT(E6,5)="12.31",IFERROR(L6/$G$6,"")&lt;&gt;0)),NOT(AND(LEFT(E6,5)="12.32",IFERROR(L6/$G$6,"")&lt;&gt;0))),"", IFERROR(L6/$L$6,""))</f>
        <v/>
      </c>
      <c r="N6" s="18" t="e">
        <f>SUMIFS(
INDEX('ETPT Format DDG'!$A:$ZZ,,IFERROR(MATCH(E6,'ETPT Format DDG'!$2:$2,0),MATCH(C6,'ETPT Format DDG'!$2:$2,0))),
INDEX( 'ETPT Format DDG'!$A:$ZZ,,MATCH("Fonction agrégat",'ETPT Format DDG'!2:2,0)),"F-TIT",
INDEX( 'ETPT Format DDG'!$A:$ZZ,,MATCH("Juridiction",'ETPT Format DDG'!2:2,0)),$A$3)</f>
        <v>#N/A</v>
      </c>
      <c r="O6" s="243" t="str">
        <f>IF(AND(OR(LEFT(C6,3)="12.",LEFT(E6,3)="12.",LEFT(E6,5)="CET &gt;",IFERROR(N6/$N$6,"")=0),NOT(AND(LEFT(E6,4)="12.8",IFERROR(G6/$G$6,"")&lt;&gt;0)),NOT(AND(LEFT(E6,5)="12.31",IFERROR(N6/$G$6,"")&lt;&gt;0)),NOT(AND(LEFT(E6,5)="12.32",IFERROR(N6/$G$6,"")&lt;&gt;0))),"",IFERROR(N6/$N$6,""))</f>
        <v/>
      </c>
      <c r="P6" s="18" t="e">
        <f>SUMIFS(
INDEX('ETPT Format DDG'!$A:$FB,,IFERROR(MATCH(E6,'ETPT Format DDG'!$2:$2,0),MATCH(C6,'ETPT Format DDG'!$2:$2,0))),
INDEX( 'ETPT Format DDG'!$A:$ZZ,,MATCH("Fonction agrégat",'ETPT Format DDG'!2:2,0)),"F-PLAC-ADD",
INDEX( 'ETPT Format DDG'!$A:$ZZ,,MATCH("Juridiction",'ETPT Format DDG'!2:2,0)),$A$3)</f>
        <v>#N/A</v>
      </c>
      <c r="Q6" s="18" t="e">
        <f>SUMIFS(
INDEX('ETPT Format DDG'!$A:$FB,,IFERROR(MATCH(E6,'ETPT Format DDG'!$2:$2,0),MATCH(C6,'ETPT Format DDG'!$2:$2,0))),
INDEX( 'ETPT Format DDG'!$A:$ZZ,,MATCH("Fonction agrégat",'ETPT Format DDG'!2:2,0)),"F-PLAC-SUB",
INDEX( 'ETPT Format DDG'!$A:$ZZ,,MATCH("Juridiction",'ETPT Format DDG'!2:2,0)),$A$3)</f>
        <v>#N/A</v>
      </c>
      <c r="R6" s="18" t="e">
        <f>SUMIFS(
INDEX('ETPT Format DDG'!$A:$FB,,IFERROR(MATCH(E6,'ETPT Format DDG'!$2:$2,0),MATCH(C6,'ETPT Format DDG'!$2:$2,0))),
INDEX( 'ETPT Format DDG'!$A:$ZZ,,MATCH("Fonction agrégat",'ETPT Format DDG'!2:2,0)),"C",
'ETPT Format DDG'!$G:$G,"Greffe",
INDEX( 'ETPT Format DDG'!$A:$ZZ,,MATCH("Juridiction",'ETPT Format DDG'!2:2,0)),$A$3)</f>
        <v>#N/A</v>
      </c>
      <c r="S6" s="19" t="e">
        <f>ROUND(SUMIFS(
INDEX('ETPT Format DDG'!$A:$FB,,IFERROR(MATCH(E6,'ETPT Format DDG'!$2:$2,0),MATCH(C6,'ETPT Format DDG'!$2:$2,0))),
INDEX( 'ETPT Format DDG'!$A:$ZZ,,MATCH("Catégorie",'ETPT Format DDG'!2:2,0)),"Greffe",
INDEX( 'ETPT Format DDG'!$A:$ZZ,,MATCH("Juridiction",'ETPT Format DDG'!2:2,0)),$A$3),3)</f>
        <v>#N/A</v>
      </c>
      <c r="T6" s="243" t="str">
        <f>IF(AND(OR(LEFT(C6,3)="12.",LEFT(E6,3)="12.",LEFT(E6,5)="CET &gt;",IFERROR(S6/$S$6,"")=0),NOT(AND(LEFT(E6,4)="12.8",IFERROR(G6/$G$6,"")&lt;&gt;0)),NOT(AND(LEFT(E6,5)="12.31",IFERROR(S6/$G$6,"")&lt;&gt;0)),NOT(AND(LEFT(E6,5)="12.32",IFERROR(S6/$G$6,"")&lt;&gt;0))),"", IFERROR(S6/$S$6,""))</f>
        <v/>
      </c>
      <c r="U6" s="19" t="e">
        <f>ROUND(SUMIFS(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magistrat"),3)</f>
        <v>#N/A</v>
      </c>
      <c r="V6" s="244" t="str">
        <f>IF(AND(OR(LEFT(C6,3)="12.",LEFT(E6,3)="12.",LEFT(E6,5)="CET &gt;",IFERROR(U6/$U$6,"")=0),NOT(AND(LEFT(E6,4)="12.8",IFERROR(G6/$G$6,"")&lt;&gt;0)),NOT(AND(LEFT(E6,5)="12.31",IFERROR(U6/$G$6,"")&lt;&gt;0)),NOT(AND(LEFT(E6,5)="12.32",IFERROR(U6/$G$6,"")&lt;&gt;0))),"", IFERROR(U6/$U$6,""))</f>
        <v/>
      </c>
      <c r="W6" t="s">
        <v>21</v>
      </c>
    </row>
    <row r="7" spans="1:24" x14ac:dyDescent="0.2">
      <c r="G7" s="247"/>
      <c r="H7" s="247"/>
      <c r="I7" s="247"/>
      <c r="J7" s="247"/>
      <c r="K7" s="247"/>
      <c r="L7" s="247"/>
      <c r="M7" s="247"/>
      <c r="N7" s="247"/>
      <c r="O7" s="247"/>
      <c r="P7" s="247"/>
      <c r="Q7" s="247"/>
      <c r="R7" s="247"/>
      <c r="S7" s="247"/>
      <c r="T7" s="247"/>
      <c r="U7" s="247"/>
      <c r="V7" s="247"/>
      <c r="W7" t="s">
        <v>7</v>
      </c>
    </row>
  </sheetData>
  <mergeCells count="3">
    <mergeCell ref="G4:M4"/>
    <mergeCell ref="N4:T4"/>
    <mergeCell ref="U4:V4"/>
  </mergeCells>
  <conditionalFormatting sqref="B4:F4">
    <cfRule type="expression" dxfId="15" priority="16">
      <formula>IF(LEFT($A$3,2)&lt;&gt;"TJ",TRUE,FALSE)</formula>
    </cfRule>
  </conditionalFormatting>
  <conditionalFormatting sqref="C6:V151">
    <cfRule type="expression" dxfId="14" priority="18">
      <formula>AND(ISBLANK($C6)=FALSE,ISBLANK($E6)=TRUE)</formula>
    </cfRule>
  </conditionalFormatting>
  <conditionalFormatting sqref="D1:F1048576">
    <cfRule type="expression" dxfId="13" priority="1" stopIfTrue="1">
      <formula>AND($D1="8. TOTAL JUGES D'INSTRUCTION",_xlfn.NUMBERVALUE($U1)-(_xlfn.NUMBERVALUE($U2)+_xlfn.NUMBERVALUE($U3)+_xlfn.NUMBERVALUE($U4)+_xlfn.NUMBERVALUE($U5)+_xlfn.NUMBERVALUE($U6))&lt;&gt;0)</formula>
    </cfRule>
    <cfRule type="expression" dxfId="12" priority="2" stopIfTrue="1">
      <formula>AND($D1="8. TOTAL JUGES D'INSTRUCTION",_xlfn.NUMBERVALUE($S1)-(_xlfn.NUMBERVALUE($S2)+_xlfn.NUMBERVALUE($S3)+_xlfn.NUMBERVALUE($S4)+_xlfn.NUMBERVALUE($S5)+_xlfn.NUMBERVALUE($S6))&lt;&gt;0)</formula>
    </cfRule>
    <cfRule type="expression" dxfId="11" priority="7" stopIfTrue="1">
      <formula>AND($D1="8. TOTAL JUGES D'INSTRUCTION",_xlfn.NUMBERVALUE($L1)-(_xlfn.NUMBERVALUE($L2)+_xlfn.NUMBERVALUE($L3)+_xlfn.NUMBERVALUE($L4)-_xlfn.NUMBERVALUE($L5)+_xlfn.NUMBERVALUE($L6))&lt;&gt;0)</formula>
    </cfRule>
    <cfRule type="expression" dxfId="10" priority="12" stopIfTrue="1">
      <formula>AND($D1="6. TOTAL JUGES DES ENFANTS",OR(_xlfn.NUMBERVALUE($L1)-(_xlfn.NUMBERVALUE($L2)+_xlfn.NUMBERVALUE($L3))&lt;&gt;0,_xlfn.NUMBERVALUE($S1)-(_xlfn.NUMBERVALUE($S2)+_xlfn.NUMBERVALUE($S3))&lt;&gt;0,_xlfn.NUMBERVALUE($U1)-(_xlfn.NUMBERVALUE($U2)+_xlfn.NUMBERVALUE($U3))&lt;&gt;0))</formula>
    </cfRule>
  </conditionalFormatting>
  <conditionalFormatting sqref="D7:F7">
    <cfRule type="expression" dxfId="9" priority="6" stopIfTrue="1">
      <formula>OR(_xlfn.NUMBERVALUE($L7)&lt;&gt;_xlfn.NUMBERVALUE($L6),_xlfn.NUMBERVALUE($S7)&lt;&gt;_xlfn.NUMBERVALUE($S6),_xlfn.NUMBERVALUE($U7)&lt;&gt;_xlfn.NUMBERVALUE($U6))</formula>
    </cfRule>
  </conditionalFormatting>
  <conditionalFormatting sqref="G1:M1048576">
    <cfRule type="expression" dxfId="8" priority="11" stopIfTrue="1">
      <formula>AND($D1="8. TOTAL JUGES D'INSTRUCTION",_xlfn.NUMBERVALUE($L1)-(_xlfn.NUMBERVALUE($L2)+_xlfn.NUMBERVALUE($L3)+_xlfn.NUMBERVALUE($L4)+_xlfn.NUMBERVALUE($L5)+_xlfn.NUMBERVALUE($L6))&lt;&gt;0)</formula>
    </cfRule>
    <cfRule type="expression" dxfId="7" priority="15">
      <formula>AND($D1="6. TOTAL JUGES DES ENFANTS",_xlfn.NUMBERVALUE($L1)-(_xlfn.NUMBERVALUE($L2)+_xlfn.NUMBERVALUE($L3))&lt;&gt;0)</formula>
    </cfRule>
  </conditionalFormatting>
  <conditionalFormatting sqref="G7:M7">
    <cfRule type="expression" dxfId="6" priority="5">
      <formula>_xlfn.NUMBERVALUE($L7)&lt;&gt;_xlfn.NUMBERVALUE($L6)</formula>
    </cfRule>
  </conditionalFormatting>
  <conditionalFormatting sqref="N1:T1048576">
    <cfRule type="expression" dxfId="5" priority="10" stopIfTrue="1">
      <formula>AND($D1="8. TOTAL JUGES D'INSTRUCTION",_xlfn.NUMBERVALUE($S1)-(_xlfn.NUMBERVALUE($S2)+_xlfn.NUMBERVALUE($S3)+_xlfn.NUMBERVALUE($S4)+_xlfn.NUMBERVALUE($S5)+_xlfn.NUMBERVALUE($S6))&lt;&gt;0)</formula>
    </cfRule>
    <cfRule type="expression" dxfId="4" priority="14">
      <formula>AND($D1="6. TOTAL JUGES DES ENFANTS",_xlfn.NUMBERVALUE($S1)-(_xlfn.NUMBERVALUE($S2)+_xlfn.NUMBERVALUE($S3))&lt;&gt;0)</formula>
    </cfRule>
  </conditionalFormatting>
  <conditionalFormatting sqref="N7:T7">
    <cfRule type="expression" dxfId="3" priority="4">
      <formula>_xlfn.NUMBERVALUE($S7)&lt;&gt;_xlfn.NUMBERVALUE($S6)</formula>
    </cfRule>
  </conditionalFormatting>
  <conditionalFormatting sqref="U1:V1048576">
    <cfRule type="expression" dxfId="2" priority="9">
      <formula>AND($D1="8. TOTAL JUGES D'INSTRUCTION",_xlfn.NUMBERVALUE($U1)-(_xlfn.NUMBERVALUE($U2)+_xlfn.NUMBERVALUE($U3)+_xlfn.NUMBERVALUE($U4)+_xlfn.NUMBERVALUE($U5)+_xlfn.NUMBERVALUE($U6))&lt;&gt;0)</formula>
    </cfRule>
    <cfRule type="expression" dxfId="1" priority="13">
      <formula>AND($D1="6. TOTAL JUGES DES ENFANTS",_xlfn.NUMBERVALUE($U1)-(_xlfn.NUMBERVALUE($U2)+_xlfn.NUMBERVALUE($U3))&lt;&gt;0)</formula>
    </cfRule>
  </conditionalFormatting>
  <conditionalFormatting sqref="U7:V7">
    <cfRule type="expression" dxfId="0" priority="3">
      <formula>_xlfn.NUMBERVALUE($U7)&lt;&gt;_xlfn.NUMBERVALUE($U6)</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5DB0-40DB-6046-B965-F2F52476B1A1}">
  <sheetPr codeName="Feuil14">
    <pageSetUpPr fitToPage="1"/>
  </sheetPr>
  <dimension ref="A1:H67"/>
  <sheetViews>
    <sheetView zoomScaleNormal="80" workbookViewId="0">
      <selection activeCell="C33" sqref="C33"/>
    </sheetView>
  </sheetViews>
  <sheetFormatPr baseColWidth="10" defaultColWidth="11" defaultRowHeight="15" x14ac:dyDescent="0.2"/>
  <cols>
    <col min="1" max="1" width="11" style="35"/>
    <col min="2" max="2" width="28.5" style="35" customWidth="1"/>
    <col min="3" max="3" width="86.1640625" style="35" customWidth="1"/>
    <col min="4" max="4" width="11.6640625" style="35" customWidth="1"/>
    <col min="5" max="5" width="19" style="35" customWidth="1"/>
    <col min="6" max="6" width="17.1640625" style="35" customWidth="1"/>
    <col min="7" max="7" width="17" style="35" customWidth="1"/>
    <col min="8" max="8" width="62.33203125" style="35" customWidth="1"/>
    <col min="9" max="16384" width="11" style="35"/>
  </cols>
  <sheetData>
    <row r="1" spans="1:8" ht="44" customHeight="1" x14ac:dyDescent="0.2">
      <c r="A1" s="264" t="s">
        <v>265</v>
      </c>
      <c r="B1" s="265" t="s">
        <v>266</v>
      </c>
      <c r="C1" s="265" t="s">
        <v>267</v>
      </c>
      <c r="D1" s="265" t="s">
        <v>268</v>
      </c>
      <c r="E1" s="265" t="s">
        <v>19</v>
      </c>
      <c r="F1" s="265" t="s">
        <v>269</v>
      </c>
      <c r="G1" s="265" t="s">
        <v>270</v>
      </c>
      <c r="H1" t="s">
        <v>255</v>
      </c>
    </row>
    <row r="2" spans="1:8" ht="32" x14ac:dyDescent="0.2">
      <c r="A2" s="35" t="s">
        <v>264</v>
      </c>
      <c r="B2" s="35" t="s">
        <v>262</v>
      </c>
      <c r="C2" s="35" t="s">
        <v>261</v>
      </c>
      <c r="D2" s="261" t="s">
        <v>259</v>
      </c>
      <c r="E2" s="35" t="s">
        <v>260</v>
      </c>
      <c r="F2" s="261" t="s">
        <v>257</v>
      </c>
      <c r="G2" s="261" t="s">
        <v>258</v>
      </c>
      <c r="H2" t="s">
        <v>256</v>
      </c>
    </row>
    <row r="3" spans="1:8" x14ac:dyDescent="0.2">
      <c r="H3" t="s">
        <v>7</v>
      </c>
    </row>
    <row r="41" ht="15.75" customHeight="1" x14ac:dyDescent="0.2"/>
    <row r="42" ht="15.75" customHeight="1" x14ac:dyDescent="0.2"/>
    <row r="43" ht="15.75" customHeight="1" x14ac:dyDescent="0.2"/>
    <row r="44" ht="15.75" customHeight="1" x14ac:dyDescent="0.2"/>
    <row r="45" ht="15.75" customHeight="1" x14ac:dyDescent="0.2"/>
    <row r="56" spans="2:8" ht="15.75" customHeight="1" x14ac:dyDescent="0.2"/>
    <row r="57" spans="2:8" ht="15.75" customHeight="1" x14ac:dyDescent="0.2"/>
    <row r="58" spans="2:8" s="36" customFormat="1" ht="15.75" customHeight="1" x14ac:dyDescent="0.2">
      <c r="B58" s="35"/>
      <c r="C58" s="35"/>
      <c r="D58" s="35"/>
      <c r="E58" s="35"/>
      <c r="F58" s="35"/>
      <c r="G58" s="35"/>
      <c r="H58" s="35"/>
    </row>
    <row r="59" spans="2:8" ht="15.75" customHeight="1" x14ac:dyDescent="0.2"/>
    <row r="60" spans="2:8" ht="15.75" customHeight="1" x14ac:dyDescent="0.2"/>
    <row r="61" spans="2:8" ht="15.75" customHeight="1" x14ac:dyDescent="0.2"/>
    <row r="62" spans="2:8" ht="15.75" customHeight="1" x14ac:dyDescent="0.2"/>
    <row r="63" spans="2:8" ht="15.75" customHeight="1" x14ac:dyDescent="0.2"/>
    <row r="64" spans="2:8" ht="15.75" customHeight="1" x14ac:dyDescent="0.2"/>
    <row r="65" ht="15.75" customHeight="1" x14ac:dyDescent="0.2"/>
    <row r="66" ht="15.75" customHeight="1" x14ac:dyDescent="0.2"/>
    <row r="67" ht="15.75" customHeight="1" x14ac:dyDescent="0.2"/>
  </sheetData>
  <autoFilter ref="A1:G1" xr:uid="{40175DB0-40DB-6046-B965-F2F52476B1A1}"/>
  <pageMargins left="0.70866141732283472" right="0.70866141732283472" top="0.74803149606299213" bottom="0.74803149606299213" header="0.31496062992125984" footer="0.31496062992125984"/>
  <pageSetup paperSize="8" scale="7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21C7-025B-4F4F-A5C7-6D94075AC520}">
  <sheetPr codeName="Feuil8">
    <tabColor rgb="FFC00000"/>
  </sheetPr>
  <dimension ref="A1:BE24"/>
  <sheetViews>
    <sheetView topLeftCell="D1" zoomScale="110" zoomScaleNormal="100" workbookViewId="0">
      <pane xSplit="3" ySplit="1" topLeftCell="N2" activePane="bottomRight" state="frozen"/>
      <selection activeCell="D1" sqref="D1"/>
      <selection pane="topRight" activeCell="G1" sqref="G1"/>
      <selection pane="bottomLeft" activeCell="D2" sqref="D2"/>
      <selection pane="bottomRight" activeCell="T15" sqref="T15"/>
    </sheetView>
  </sheetViews>
  <sheetFormatPr baseColWidth="10" defaultColWidth="11" defaultRowHeight="16" x14ac:dyDescent="0.2"/>
  <cols>
    <col min="1" max="1" width="6" style="37" hidden="1" customWidth="1"/>
    <col min="2" max="2" width="17.1640625" style="37" hidden="1" customWidth="1"/>
    <col min="3" max="3" width="6.33203125" style="37" bestFit="1" customWidth="1"/>
    <col min="4" max="4" width="14.6640625" style="37" customWidth="1"/>
    <col min="5" max="5" width="6.5" style="37" customWidth="1"/>
    <col min="6" max="6" width="4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7" s="41" customFormat="1" ht="23.5" customHeight="1" x14ac:dyDescent="0.15">
      <c r="B1" s="374" t="s">
        <v>170</v>
      </c>
      <c r="C1" s="374"/>
      <c r="D1" s="374"/>
      <c r="E1" s="374"/>
      <c r="F1" s="374"/>
      <c r="G1" s="374"/>
      <c r="H1" s="374"/>
      <c r="I1" s="374"/>
    </row>
    <row r="2" spans="1:57" s="41" customFormat="1" ht="12.75" customHeight="1" x14ac:dyDescent="0.15">
      <c r="A2" s="78"/>
      <c r="B2" s="78"/>
      <c r="C2" s="78"/>
      <c r="D2" s="78"/>
      <c r="E2" s="78"/>
      <c r="F2" s="78"/>
      <c r="G2" s="75" t="s">
        <v>169</v>
      </c>
      <c r="H2" s="373" t="s">
        <v>168</v>
      </c>
      <c r="I2" s="74" t="s">
        <v>167</v>
      </c>
      <c r="J2" s="74" t="s">
        <v>167</v>
      </c>
      <c r="K2" s="74" t="s">
        <v>167</v>
      </c>
      <c r="L2" s="74" t="s">
        <v>167</v>
      </c>
      <c r="M2" s="74" t="s">
        <v>167</v>
      </c>
      <c r="N2" s="74" t="s">
        <v>167</v>
      </c>
      <c r="O2" s="74" t="s">
        <v>167</v>
      </c>
      <c r="P2" s="74" t="s">
        <v>167</v>
      </c>
      <c r="Q2" s="74" t="s">
        <v>167</v>
      </c>
      <c r="R2" s="74" t="s">
        <v>167</v>
      </c>
      <c r="S2" s="74" t="s">
        <v>167</v>
      </c>
      <c r="T2" s="74" t="s">
        <v>167</v>
      </c>
      <c r="U2" s="74" t="s">
        <v>167</v>
      </c>
      <c r="V2" s="74" t="s">
        <v>167</v>
      </c>
      <c r="W2" s="373" t="s">
        <v>166</v>
      </c>
      <c r="X2" s="73" t="s">
        <v>164</v>
      </c>
      <c r="Y2" s="73" t="s">
        <v>164</v>
      </c>
      <c r="Z2" s="73" t="s">
        <v>164</v>
      </c>
      <c r="AA2" s="73" t="s">
        <v>164</v>
      </c>
      <c r="AB2" s="73" t="s">
        <v>164</v>
      </c>
      <c r="AC2" s="73" t="s">
        <v>164</v>
      </c>
      <c r="AD2" s="73" t="s">
        <v>164</v>
      </c>
      <c r="AE2" s="73" t="s">
        <v>164</v>
      </c>
      <c r="AF2" s="73" t="s">
        <v>164</v>
      </c>
      <c r="AG2" s="373" t="s">
        <v>163</v>
      </c>
      <c r="AH2" s="73" t="s">
        <v>162</v>
      </c>
      <c r="AI2" s="73" t="s">
        <v>162</v>
      </c>
      <c r="AJ2" s="73" t="s">
        <v>162</v>
      </c>
      <c r="AK2" s="73" t="s">
        <v>162</v>
      </c>
      <c r="AL2" s="73" t="s">
        <v>162</v>
      </c>
      <c r="AM2" s="73" t="s">
        <v>162</v>
      </c>
      <c r="AN2" s="73" t="s">
        <v>162</v>
      </c>
      <c r="AO2" s="73" t="s">
        <v>162</v>
      </c>
      <c r="AP2" s="73" t="s">
        <v>162</v>
      </c>
      <c r="AQ2" s="73" t="s">
        <v>162</v>
      </c>
      <c r="AR2" s="73" t="s">
        <v>162</v>
      </c>
      <c r="AS2" s="73" t="s">
        <v>162</v>
      </c>
      <c r="AT2" s="73" t="s">
        <v>162</v>
      </c>
      <c r="AU2" s="373" t="s">
        <v>161</v>
      </c>
      <c r="AV2" s="72" t="s">
        <v>160</v>
      </c>
      <c r="AW2" s="72" t="s">
        <v>160</v>
      </c>
      <c r="AX2" s="72" t="s">
        <v>160</v>
      </c>
      <c r="AY2" s="72" t="s">
        <v>160</v>
      </c>
      <c r="AZ2" s="72" t="s">
        <v>160</v>
      </c>
      <c r="BA2" s="72" t="s">
        <v>160</v>
      </c>
      <c r="BB2" s="72" t="s">
        <v>160</v>
      </c>
      <c r="BC2" s="72" t="s">
        <v>160</v>
      </c>
      <c r="BD2" s="72" t="s">
        <v>160</v>
      </c>
      <c r="BE2" s="373" t="s">
        <v>159</v>
      </c>
    </row>
    <row r="3" spans="1:57" s="41" customFormat="1" ht="26" hidden="1" customHeight="1" x14ac:dyDescent="0.15">
      <c r="A3" s="78"/>
      <c r="B3" s="78"/>
      <c r="C3" s="78"/>
      <c r="D3" s="78"/>
      <c r="E3" s="78"/>
      <c r="F3" s="78"/>
      <c r="G3" s="75" t="s">
        <v>158</v>
      </c>
      <c r="H3" s="373"/>
      <c r="I3" s="74" t="s">
        <v>157</v>
      </c>
      <c r="J3" s="74" t="s">
        <v>156</v>
      </c>
      <c r="K3" s="74" t="s">
        <v>155</v>
      </c>
      <c r="L3" s="74" t="s">
        <v>154</v>
      </c>
      <c r="M3" s="74" t="s">
        <v>153</v>
      </c>
      <c r="N3" s="74" t="s">
        <v>152</v>
      </c>
      <c r="O3" s="74" t="s">
        <v>151</v>
      </c>
      <c r="P3" s="74" t="s">
        <v>150</v>
      </c>
      <c r="Q3" s="74" t="s">
        <v>149</v>
      </c>
      <c r="R3" s="74"/>
      <c r="S3" s="74" t="s">
        <v>148</v>
      </c>
      <c r="T3" s="74" t="s">
        <v>147</v>
      </c>
      <c r="U3" s="74" t="s">
        <v>146</v>
      </c>
      <c r="V3" s="74" t="s">
        <v>145</v>
      </c>
      <c r="W3" s="373"/>
      <c r="X3" s="73" t="s">
        <v>141</v>
      </c>
      <c r="Y3" s="73" t="s">
        <v>140</v>
      </c>
      <c r="Z3" s="73" t="s">
        <v>139</v>
      </c>
      <c r="AA3" s="73" t="s">
        <v>138</v>
      </c>
      <c r="AB3" s="73" t="s">
        <v>137</v>
      </c>
      <c r="AC3" s="73" t="s">
        <v>136</v>
      </c>
      <c r="AD3" s="73" t="s">
        <v>35</v>
      </c>
      <c r="AE3" s="73" t="s">
        <v>34</v>
      </c>
      <c r="AF3" s="73" t="s">
        <v>135</v>
      </c>
      <c r="AG3" s="373"/>
      <c r="AH3" s="73" t="s">
        <v>134</v>
      </c>
      <c r="AI3" s="73" t="s">
        <v>133</v>
      </c>
      <c r="AJ3" s="73" t="s">
        <v>132</v>
      </c>
      <c r="AK3" s="73" t="s">
        <v>131</v>
      </c>
      <c r="AL3" s="73" t="s">
        <v>130</v>
      </c>
      <c r="AM3" s="73" t="s">
        <v>129</v>
      </c>
      <c r="AN3" s="73" t="s">
        <v>128</v>
      </c>
      <c r="AO3" s="73" t="s">
        <v>127</v>
      </c>
      <c r="AP3" s="73" t="s">
        <v>126</v>
      </c>
      <c r="AQ3" s="73" t="s">
        <v>125</v>
      </c>
      <c r="AR3" s="73" t="s">
        <v>124</v>
      </c>
      <c r="AS3" s="73" t="s">
        <v>123</v>
      </c>
      <c r="AT3" s="73" t="s">
        <v>122</v>
      </c>
      <c r="AU3" s="373"/>
      <c r="AV3" s="72" t="s">
        <v>121</v>
      </c>
      <c r="AW3" s="72" t="s">
        <v>120</v>
      </c>
      <c r="AX3" s="72" t="s">
        <v>119</v>
      </c>
      <c r="AY3" s="72" t="s">
        <v>118</v>
      </c>
      <c r="AZ3" s="72" t="s">
        <v>117</v>
      </c>
      <c r="BA3" s="72" t="s">
        <v>116</v>
      </c>
      <c r="BB3" s="72" t="s">
        <v>115</v>
      </c>
      <c r="BC3" s="72" t="s">
        <v>114</v>
      </c>
      <c r="BD3" s="72" t="s">
        <v>113</v>
      </c>
      <c r="BE3" s="373"/>
    </row>
    <row r="4" spans="1:57" s="41" customFormat="1" ht="60" x14ac:dyDescent="0.15">
      <c r="A4" s="77"/>
      <c r="B4" s="76" t="s">
        <v>112</v>
      </c>
      <c r="C4" s="76" t="s">
        <v>111</v>
      </c>
      <c r="D4" s="76" t="s">
        <v>32</v>
      </c>
      <c r="E4" s="76" t="s">
        <v>110</v>
      </c>
      <c r="F4" s="76" t="s">
        <v>109</v>
      </c>
      <c r="G4" s="75" t="s">
        <v>108</v>
      </c>
      <c r="H4" s="373"/>
      <c r="I4" s="74" t="s">
        <v>107</v>
      </c>
      <c r="J4" s="74" t="s">
        <v>106</v>
      </c>
      <c r="K4" s="74" t="s">
        <v>105</v>
      </c>
      <c r="L4" s="74" t="s">
        <v>104</v>
      </c>
      <c r="M4" s="74" t="s">
        <v>103</v>
      </c>
      <c r="N4" s="74" t="s">
        <v>102</v>
      </c>
      <c r="O4" s="74" t="s">
        <v>101</v>
      </c>
      <c r="P4" s="74" t="s">
        <v>100</v>
      </c>
      <c r="Q4" s="74" t="s">
        <v>99</v>
      </c>
      <c r="R4" s="74" t="s">
        <v>98</v>
      </c>
      <c r="S4" s="74" t="s">
        <v>97</v>
      </c>
      <c r="T4" s="74" t="s">
        <v>96</v>
      </c>
      <c r="U4" s="74" t="s">
        <v>95</v>
      </c>
      <c r="V4" s="74" t="s">
        <v>94</v>
      </c>
      <c r="W4" s="373"/>
      <c r="X4" s="73" t="s">
        <v>92</v>
      </c>
      <c r="Y4" s="73" t="s">
        <v>91</v>
      </c>
      <c r="Z4" s="73" t="s">
        <v>90</v>
      </c>
      <c r="AA4" s="73" t="s">
        <v>89</v>
      </c>
      <c r="AB4" s="73" t="s">
        <v>88</v>
      </c>
      <c r="AC4" s="73" t="s">
        <v>87</v>
      </c>
      <c r="AD4" s="73" t="s">
        <v>35</v>
      </c>
      <c r="AE4" s="73" t="s">
        <v>86</v>
      </c>
      <c r="AF4" s="73" t="s">
        <v>85</v>
      </c>
      <c r="AG4" s="373"/>
      <c r="AH4" s="73" t="s">
        <v>84</v>
      </c>
      <c r="AI4" s="73" t="s">
        <v>83</v>
      </c>
      <c r="AJ4" s="73" t="s">
        <v>82</v>
      </c>
      <c r="AK4" s="73" t="s">
        <v>81</v>
      </c>
      <c r="AL4" s="73" t="s">
        <v>80</v>
      </c>
      <c r="AM4" s="73" t="s">
        <v>79</v>
      </c>
      <c r="AN4" s="73" t="s">
        <v>78</v>
      </c>
      <c r="AO4" s="73" t="s">
        <v>77</v>
      </c>
      <c r="AP4" s="73" t="s">
        <v>76</v>
      </c>
      <c r="AQ4" s="73" t="s">
        <v>75</v>
      </c>
      <c r="AR4" s="73" t="s">
        <v>74</v>
      </c>
      <c r="AS4" s="73" t="s">
        <v>73</v>
      </c>
      <c r="AT4" s="73" t="s">
        <v>72</v>
      </c>
      <c r="AU4" s="373"/>
      <c r="AV4" s="72" t="s">
        <v>71</v>
      </c>
      <c r="AW4" s="72" t="s">
        <v>70</v>
      </c>
      <c r="AX4" s="72" t="s">
        <v>69</v>
      </c>
      <c r="AY4" s="72" t="s">
        <v>68</v>
      </c>
      <c r="AZ4" s="72" t="s">
        <v>67</v>
      </c>
      <c r="BA4" s="72" t="s">
        <v>66</v>
      </c>
      <c r="BB4" s="72" t="s">
        <v>65</v>
      </c>
      <c r="BC4" s="72" t="s">
        <v>64</v>
      </c>
      <c r="BD4" s="72" t="s">
        <v>63</v>
      </c>
      <c r="BE4" s="373"/>
    </row>
    <row r="5" spans="1:57" s="41" customFormat="1" ht="11" customHeight="1" x14ac:dyDescent="0.15">
      <c r="A5" s="51" t="s">
        <v>42</v>
      </c>
      <c r="B5" s="60"/>
      <c r="C5" s="60"/>
      <c r="D5" s="71" t="str">
        <f>IF(ETPT_TJ_DDG!$D$5="","",ETPT_TJ_DDG!$D$5)</f>
        <v/>
      </c>
      <c r="E5" s="60" t="s">
        <v>62</v>
      </c>
      <c r="F5" s="60" t="s">
        <v>61</v>
      </c>
      <c r="G5" s="101" t="e" cm="1">
        <f t="array" ref="G5">SUM(SUMIFS(
INDEX( 'ETPT Format DDG'!$A:$ZZ,,MATCH("1. TOTAL CONTENTIEUX SOCIAL",'ETPT Format DDG'!2:2,0)),
INDEX( 'ETPT Format DDG'!$A:$ZZ,,MATCH("Fonction recodée",'ETPT Format DDG'!2:2,0)),"Fonctionnaire CTECH",
INDEX( 'ETPT Format DDG'!$A:$ZZ,,MATCH("Juridiction",'ETPT Format DDG'!2:2,0)),TJCPH))+
SUM(SUMIFS(
INDEX( 'ETPT Format DDG'!$A:$ZZ,,MATCH("2. TOTAL CONTENTIEUX JAF",'ETPT Format DDG'!2:2,0)),
INDEX( 'ETPT Format DDG'!$A:$ZZ,,MATCH("Fonction recodée",'ETPT Format DDG'!2:2,0)),"Fonctionnaire CTECH",
INDEX( 'ETPT Format DDG'!$A:$ZZ,,MATCH("Juridiction",'ETPT Format DDG'!2:2,0)),TJCPH))+
SUM(SUMIFS(
INDEX( 'ETPT Format DDG'!$A:$ZZ,,MATCH("3. TOTAL CONTENTIEUX DE LA PROTECTION",'ETPT Format DDG'!2:2,0)),
INDEX( 'ETPT Format DDG'!$A:$ZZ,,MATCH("Fonction recodée",'ETPT Format DDG'!2:2,0)),"Fonctionnaire CTECH",
INDEX( 'ETPT Format DDG'!$A:$ZZ,,MATCH("Juridiction",'ETPT Format DDG'!2:2,0)),TJCPH))+
SUM(SUMIFS(
INDEX( 'ETPT Format DDG'!$A:$ZZ,,MATCH("4. TOTAL CIVIL NON SPÉCIALISÉ",'ETPT Format DDG'!2:2,0)),
INDEX( 'ETPT Format DDG'!$A:$ZZ,,MATCH("Fonction recodée",'ETPT Format DDG'!2:2,0)),"Fonctionnaire CTECH",
INDEX( 'ETPT Format DDG'!$A:$ZZ,,MATCH("Juridiction",'ETPT Format DDG'!2:2,0)),TJCPH))+
SUM(SUMIFS(
INDEX( 'ETPT Format DDG'!$A:$ZZ,,MATCH("5. TOTAL JLD CIVIL",'ETPT Format DDG'!2:2,0)),
INDEX( 'ETPT Format DDG'!$A:$ZZ,,MATCH("Fonction recodée",'ETPT Format DDG'!2:2,0)),"Fonctionnaire CTECH",
INDEX( 'ETPT Format DDG'!$A:$ZZ,,MATCH("Juridiction",'ETPT Format DDG'!2:2,0)),TJCPH))+
SUM(SUMIFS(
INDEX( 'ETPT Format DDG'!$A:$ZZ,,MATCH("6.1. ACTIVITÉ CIVILE",'ETPT Format DDG'!2:2,0)),
INDEX( 'ETPT Format DDG'!$A:$ZZ,,MATCH("Fonction recodée",'ETPT Format DDG'!2:2,0)),"Fonctionnaire CTECH",
INDEX( 'ETPT Format DDG'!$A:$ZZ,,MATCH("Juridiction",'ETPT Format DDG'!2:2,0)),TJCPH))+
SUM(SUMIFS(
INDEX( 'ETPT Format DDG'!$A:$ZZ,,MATCH("11.7. FONCTIONNAIRES AFFECTÉS AU CPH",'ETPT Format DDG'!2:2,0)),
INDEX( 'ETPT Format DDG'!$A:$ZZ,,MATCH("Fonction recodée",'ETPT Format DDG'!2:2,0)),"Fonctionnaire CTECH",
INDEX( 'ETPT Format DDG'!$A:$ZZ,,MATCH("Juridiction",'ETPT Format DDG'!2:2,0)),TJCPH))+
SUM(SUMIFS(
INDEX( 'ETPT Format DDG'!$A:$ZZ,,MATCH("11.8. FONCTIONNAIRES AFFECTÉS AUX ACTIVITÉS CIVILES ET COMMERCIALES DU PARQUET",'ETPT Format DDG'!2:2,0)),
INDEX( 'ETPT Format DDG'!$A:$ZZ,,MATCH("Fonction recodée",'ETPT Format DDG'!2:2,0)),"Fonctionnaire CTECH",
INDEX( 'ETPT Format DDG'!$A:$ZZ,,MATCH("Juridiction",'ETPT Format DDG'!2:2,0)),TJCPH))</f>
        <v>#N/A</v>
      </c>
      <c r="H5" s="59" t="e">
        <f t="shared" ref="H5:H15" si="0">SUM(G5)</f>
        <v>#N/A</v>
      </c>
      <c r="I5" s="58" t="e" cm="1">
        <f t="array" ref="I5">SUM(SUMIFS(
INDEX( 'ETPT Format DDG'!$A:$ZZ,,MATCH("11.8. FONCTIONNAIRES AFFECTÉS AUX ACTIVITÉS CIVILES ET COMMERCIALES DU PARQUET",'ETPT Format DDG'!2:2,0)),
INDEX( 'ETPT Format DDG'!$A:$ZZ,,MATCH("Fonction recodée",'ETPT Format DDG'!2:2,0)),"Fonctionnaire A-B-CBUR",
INDEX( 'ETPT Format DDG'!$A:$ZZ,,MATCH("Juridiction",'ETPT Format DDG'!2:2,0)),TJCPH))</f>
        <v>#N/A</v>
      </c>
      <c r="J5" s="70"/>
      <c r="K5" s="70"/>
      <c r="L5" s="70"/>
      <c r="M5" s="70"/>
      <c r="N5" s="70"/>
      <c r="O5" s="70"/>
      <c r="P5" s="58" t="e" cm="1">
        <f t="array" ref="P5">SUM(SUMIFS(
INDEX( 'ETPT Format DDG'!$A:$ZZ,,MATCH("3.2. PROTECTION DES MAJEURS",'ETPT Format DDG'!2:2,0)),
INDEX( 'ETPT Format DDG'!$A:$ZZ,,MATCH("Fonction recodée",'ETPT Format DDG'!2:2,0)),"Fonctionnaire A-B-CBUR",
INDEX( 'ETPT Format DDG'!$A:$ZZ,,MATCH("Juridiction",'ETPT Format DDG'!2:2,0)),TJCPH))</f>
        <v>#N/A</v>
      </c>
      <c r="Q5" s="58" t="e" cm="1">
        <f t="array" ref="Q5">SUM(SUMIFS(
INDEX( 'ETPT Format DDG'!$A:$ZZ,,MATCH("3. TOTAL CONTENTIEUX DE LA PROTECTION",'ETPT Format DDG'!2:2,0)),
INDEX( 'ETPT Format DDG'!$A:$ZZ,,MATCH("Fonction recodée",'ETPT Format DDG'!2:2,0)),"Fonctionnaire A-B-CBUR",
INDEX( 'ETPT Format DDG'!$A:$ZZ,,MATCH("Juridiction",'ETPT Format DDG'!2:2,0)),TJCPH))-
SUM(SUMIFS(
INDEX( 'ETPT Format DDG'!$A:$ZZ,,MATCH("3.2. PROTECTION DES MAJEURS",'ETPT Format DDG'!2:2,0)),
INDEX( 'ETPT Format DDG'!$A:$ZZ,,MATCH("Fonction recodée",'ETPT Format DDG'!2:2,0)),"Fonctionnaire A-B-CBUR",
INDEX( 'ETPT Format DDG'!$A:$ZZ,,MATCH("Juridiction",'ETPT Format DDG'!2:2,0)),TJCPH))-
SUM(SUMIFS(
INDEX( 'ETPT Format DDG'!$A:$ZZ,,MATCH("3.43. INJONCTIONS DE PAYER",'ETPT Format DDG'!2:2,0)),
INDEX( 'ETPT Format DDG'!$A:$ZZ,,MATCH("Fonction recodée",'ETPT Format DDG'!2:2,0)),"Fonctionnaire A-B-CBUR",
INDEX( 'ETPT Format DDG'!$A:$ZZ,,MATCH("Juridiction",'ETPT Format DDG'!2:2,0)),TJCPH))-
SUM(SUMIFS(
INDEX( 'ETPT Format DDG'!$A:$ZZ,,MATCH("3.44. SAISIE DES RÉMUNÉRATIONS",'ETPT Format DDG'!2:2,0)),
INDEX( 'ETPT Format DDG'!$A:$ZZ,,MATCH("Fonction recodée",'ETPT Format DDG'!2:2,0)),"Fonctionnaire A-B-CBUR",
INDEX( 'ETPT Format DDG'!$A:$ZZ,,MATCH("Juridiction",'ETPT Format DDG'!2:2,0)),TJCPH))</f>
        <v>#N/A</v>
      </c>
      <c r="R5" s="58" t="e" cm="1">
        <f t="array" ref="R5">SUM(SUMIFS(
INDEX( 'ETPT Format DDG'!$A:$ZZ,,MATCH("5. TOTAL JLD CIVIL",'ETPT Format DDG'!2:2,0)),
INDEX( 'ETPT Format DDG'!$A:$ZZ,,MATCH("Fonction recodée",'ETPT Format DDG'!2:2,0)),"Fonctionnaire A-B-CBUR",
INDEX( 'ETPT Format DDG'!$A:$ZZ,,MATCH("Juridiction",'ETPT Format DDG'!2:2,0)),TJCPH))+
SUM(SUMIFS(
INDEX( 'ETPT Format DDG'!$A:$ZZ,,MATCH("6.1. ACTIVITÉ CIVILE",'ETPT Format DDG'!2:2,0)),
INDEX( 'ETPT Format DDG'!$A:$ZZ,,MATCH("Fonction recodée",'ETPT Format DDG'!2:2,0)),"Fonctionnaire A-B-CBUR",
INDEX( 'ETPT Format DDG'!$A:$ZZ,,MATCH("Juridiction",'ETPT Format DDG'!2:2,0)),TJCPH))</f>
        <v>#N/A</v>
      </c>
      <c r="S5" s="58" t="e" cm="1">
        <f t="array" ref="S5">SUM(SUMIFS(
INDEX( 'ETPT Format DDG'!$A:$ZZ,,MATCH("3.43. INJONCTIONS DE PAYER",'ETPT Format DDG'!2:2,0)),
INDEX( 'ETPT Format DDG'!$A:$ZZ,,MATCH("Fonction recodée",'ETPT Format DDG'!2:2,0)),"Fonctionnaire A-B-CBUR",
INDEX( 'ETPT Format DDG'!$A:$ZZ,,MATCH("Juridiction",'ETPT Format DDG'!2:2,0)),TJCPH))+
SUM(SUMIFS(
INDEX( 'ETPT Format DDG'!$A:$ZZ,,MATCH("3.44. SAISIE DES RÉMUNÉRATIONS",'ETPT Format DDG'!2:2,0)),
INDEX( 'ETPT Format DDG'!$A:$ZZ,,MATCH("Fonction recodée",'ETPT Format DDG'!2:2,0)),"Fonctionnaire A-B-CBUR",
INDEX( 'ETPT Format DDG'!$A:$ZZ,,MATCH("Juridiction",'ETPT Format DDG'!2:2,0)),TJCPH))</f>
        <v>#N/A</v>
      </c>
      <c r="T5" s="58" t="e" cm="1">
        <f t="array" ref="T5">SUM(SUMIFS(
INDEX( 'ETPT Format DDG'!$A:$ZZ,,MATCH("4.0. CONTENTIEUX GÉNÉRAL &lt;10.000€",'ETPT Format DDG'!2:2,0)),
INDEX( 'ETPT Format DDG'!$A:$ZZ,,MATCH("Fonction recodée",'ETPT Format DDG'!2:2,0)),"Fonctionnaire A-B-CBUR",
INDEX( 'ETPT Format DDG'!$A:$ZZ,,MATCH("Juridiction",'ETPT Format DDG'!2:2,0)),TJCPH))</f>
        <v>#N/A</v>
      </c>
      <c r="U5" s="58" t="e" cm="1">
        <f t="array" ref="U5">SUM(SUMIFS(
INDEX( 'ETPT Format DDG'!$A:$ZZ,,MATCH("1. TOTAL CONTENTIEUX SOCIAL",'ETPT Format DDG'!2:2,0)),
INDEX( 'ETPT Format DDG'!$A:$ZZ,,MATCH("Fonction recodée",'ETPT Format DDG'!2:2,0)),"Fonctionnaire A-B-CBUR",
INDEX( 'ETPT Format DDG'!$A:$ZZ,,MATCH("Juridiction",'ETPT Format DDG'!2:2,0)),TJCPH))</f>
        <v>#N/A</v>
      </c>
      <c r="V5" s="58" t="e" cm="1">
        <f t="array" ref="V5">SUM(SUMIFS(
INDEX( 'ETPT Format DDG'!$A:$ZZ,,MATCH("2. TOTAL CONTENTIEUX JAF",'ETPT Format DDG'!2:2,0)),
INDEX( 'ETPT Format DDG'!$A:$ZZ,,MATCH("Fonction recodée",'ETPT Format DDG'!2:2,0)),"Fonctionnaire A-B-CBUR",
INDEX( 'ETPT Format DDG'!$A:$ZZ,,MATCH("Juridiction",'ETPT Format DDG'!2:2,0)),TJCPH))+
SUM(SUMIFS(
INDEX( 'ETPT Format DDG'!$A:$ZZ,,MATCH("4. TOTAL CIVIL NON SPÉCIALISÉ",'ETPT Format DDG'!2:2,0)),
INDEX( 'ETPT Format DDG'!$A:$ZZ,,MATCH("Fonction recodée",'ETPT Format DDG'!2:2,0)),"Fonctionnaire A-B-CBUR",
INDEX( 'ETPT Format DDG'!$A:$ZZ,,MATCH("Juridiction",'ETPT Format DDG'!2:2,0)),TJCPH))-
SUM(SUMIFS(
INDEX( 'ETPT Format DDG'!$A:$ZZ,,MATCH("4.0. CONTENTIEUX GÉNÉRAL &lt;10.000€",'ETPT Format DDG'!2:2,0)),
INDEX( 'ETPT Format DDG'!$A:$ZZ,,MATCH("Fonction recodée",'ETPT Format DDG'!2:2,0)),"Fonctionnaire A-B-CBUR",
INDEX( 'ETPT Format DDG'!$A:$ZZ,,MATCH("Juridiction",'ETPT Format DDG'!2:2,0)),TJCPH))</f>
        <v>#N/A</v>
      </c>
      <c r="W5" s="46" t="e">
        <f>SUM(I5:V5)</f>
        <v>#N/A</v>
      </c>
      <c r="X5" s="55" t="e" cm="1">
        <f t="array" ref="X5">SUM(SUMIFS(
INDEX( 'ETPT Format DDG'!$A:$ZZ,,MATCH("3.2. PROTECTION DES MAJEURS",'ETPT Format DDG'!2:2,0)),
INDEX( 'ETPT Format DDG'!$A:$ZZ,,MATCH("Fonction recodée",'ETPT Format DDG'!2:2,0)),{"Magistrat SIEGE S";"Magistrat SIEGE NS"},
INDEX( 'ETPT Format DDG'!$A:$ZZ,,MATCH("Juridiction",'ETPT Format DDG'!2:2,0)),TJCPH))</f>
        <v>#N/A</v>
      </c>
      <c r="Y5" s="53" t="e" cm="1">
        <f t="array" ref="Y5">SUM(SUMIFS(
INDEX( 'ETPT Format DDG'!$A:$ZZ,,MATCH("3. TOTAL CONTENTIEUX DE LA PROTECTION",'ETPT Format DDG'!2:2,0)),
INDEX( 'ETPT Format DDG'!$A:$ZZ,,MATCH("Fonction recodée",'ETPT Format DDG'!2:2,0)),{"Magistrat SIEGE S";"Magistrat SIEGE NS"},
INDEX( 'ETPT Format DDG'!$A:$ZZ,,MATCH("Juridiction",'ETPT Format DDG'!2:2,0)),TJCPH))-
SUM(SUMIFS(
INDEX( 'ETPT Format DDG'!$A:$ZZ,,MATCH("3.2. PROTECTION DES MAJEURS",'ETPT Format DDG'!2:2,0)),
INDEX( 'ETPT Format DDG'!$A:$ZZ,,MATCH("Fonction recodée",'ETPT Format DDG'!2:2,0)),{"Magistrat SIEGE S";"Magistrat SIEGE NS"},
INDEX( 'ETPT Format DDG'!$A:$ZZ,,MATCH("Juridiction",'ETPT Format DDG'!2:2,0)),TJCPH))-
SUM(SUMIFS(
INDEX( 'ETPT Format DDG'!$A:$ZZ,,MATCH("3.43. INJONCTIONS DE PAYER",'ETPT Format DDG'!2:2,0)),
INDEX( 'ETPT Format DDG'!$A:$ZZ,,MATCH("Fonction recodée",'ETPT Format DDG'!2:2,0)),{"Magistrat SIEGE S";"Magistrat SIEGE NS"},
INDEX( 'ETPT Format DDG'!$A:$ZZ,,MATCH("Juridiction",'ETPT Format DDG'!2:2,0)),TJCPH))-
SUM(SUMIFS(
INDEX( 'ETPT Format DDG'!$A:$ZZ,,MATCH("3.44. SAISIE DES RÉMUNÉRATIONS",'ETPT Format DDG'!2:2,0)),
INDEX( 'ETPT Format DDG'!$A:$ZZ,,MATCH("Fonction recodée",'ETPT Format DDG'!2:2,0)),{"Magistrat SIEGE S";"Magistrat SIEGE NS"},
INDEX( 'ETPT Format DDG'!$A:$ZZ,,MATCH("Juridiction",'ETPT Format DDG'!2:2,0)),TJCPH))</f>
        <v>#N/A</v>
      </c>
      <c r="Z5" s="68"/>
      <c r="AA5" s="68"/>
      <c r="AB5" s="68"/>
      <c r="AC5" s="68"/>
      <c r="AD5" s="68"/>
      <c r="AE5" s="53" t="e" cm="1">
        <f t="array" ref="AE5">SUM(SUMIFS(
INDEX( 'ETPT Format DDG'!$A:$ZZ,,MATCH("6.1. ACTIVITÉ CIVILE",'ETPT Format DDG'!2:2,0)),
INDEX( 'ETPT Format DDG'!$A:$ZZ,,MATCH("Fonction recodée",'ETPT Format DDG'!2:2,0)),{"Magistrat SIEGE S";"Magistrat SIEGE NS"}))</f>
        <v>#N/A</v>
      </c>
      <c r="AF5" s="53" t="e" cm="1">
        <f t="array" ref="AF5">SUM(SUMIFS(
INDEX( 'ETPT Format DDG'!$A:$ZZ,,MATCH("5. TOTAL JLD CIVIL",'ETPT Format DDG'!2:2,0)),
INDEX( 'ETPT Format DDG'!$A:$ZZ,,MATCH("Fonction recodée",'ETPT Format DDG'!2:2,0)),{"Magistrat SIEGE S";"Magistrat SIEGE NS"}))</f>
        <v>#N/A</v>
      </c>
      <c r="AG5" s="46" t="e">
        <f t="shared" ref="AG5:AG15" si="1">SUM(X5:AF5)</f>
        <v>#N/A</v>
      </c>
      <c r="AH5" s="68"/>
      <c r="AI5" s="68"/>
      <c r="AJ5" s="68"/>
      <c r="AK5" s="68"/>
      <c r="AL5" s="68"/>
      <c r="AM5" s="68"/>
      <c r="AN5" s="55" t="e" cm="1">
        <f t="array" ref="AN5">SUM(SUMIFS(
INDEX( 'ETPT Format DDG'!$A:$ZZ,,MATCH("1.1. DÉPARTAGE PRUD'HOMAL",'ETPT Format DDG'!2:2,0)),
INDEX( 'ETPT Format DDG'!$A:$ZZ,,MATCH("Fonction recodée",'ETPT Format DDG'!2:2,0)),{"Magistrat SIEGE S";"Magistrat SIEGE NS"},
INDEX( 'ETPT Format DDG'!$A:$ZZ,,MATCH("Juridiction",'ETPT Format DDG'!2:2,0)),TJCPH))</f>
        <v>#N/A</v>
      </c>
      <c r="AO5" s="53" t="e" cm="1">
        <f t="array" ref="AO5">SUM(SUMIFS(
INDEX( 'ETPT Format DDG'!$A:$ZZ,,MATCH("4.0. CONTENTIEUX GÉNÉRAL &lt;10.000€",'ETPT Format DDG'!2:2,0)),
INDEX( 'ETPT Format DDG'!$A:$ZZ,,MATCH("Fonction recodée",'ETPT Format DDG'!2:2,0)),{"Magistrat SIEGE S";"Magistrat SIEGE NS"},
INDEX( 'ETPT Format DDG'!$A:$ZZ,,MATCH("Juridiction",'ETPT Format DDG'!2:2,0)),TJCPH))</f>
        <v>#N/A</v>
      </c>
      <c r="AP5" s="53" t="e" cm="1">
        <f t="array" ref="AP5">SUM(SUMIFS(
INDEX( 'ETPT Format DDG'!$A:$ZZ,,MATCH("3.43. INJONCTIONS DE PAYER",'ETPT Format DDG'!2:2,0)),
INDEX( 'ETPT Format DDG'!$A:$ZZ,,MATCH("Fonction recodée",'ETPT Format DDG'!2:2,0)),{"Magistrat SIEGE S";"Magistrat SIEGE NS"},
INDEX( 'ETPT Format DDG'!$A:$ZZ,,MATCH("Juridiction",'ETPT Format DDG'!2:2,0)),TJCPH))+
SUM(SUMIFS(
INDEX( 'ETPT Format DDG'!$A:$ZZ,,MATCH("3.44. SAISIE DES RÉMUNÉRATIONS",'ETPT Format DDG'!2:2,0)),
INDEX( 'ETPT Format DDG'!$A:$ZZ,,MATCH("Fonction recodée",'ETPT Format DDG'!2:2,0)),{"Magistrat SIEGE S";"Magistrat SIEGE NS"},
INDEX( 'ETPT Format DDG'!$A:$ZZ,,MATCH("Juridiction",'ETPT Format DDG'!2:2,0)),TJCPH))</f>
        <v>#N/A</v>
      </c>
      <c r="AQ5" s="53" t="e" cm="1">
        <f t="array" ref="AQ5">SUM(SUMIFS(
INDEX( 'ETPT Format DDG'!$A:$ZZ,,MATCH("1. TOTAL CONTENTIEUX SOCIAL",'ETPT Format DDG'!2:2,0)),
INDEX( 'ETPT Format DDG'!$A:$ZZ,,MATCH("Fonction recodée",'ETPT Format DDG'!2:2,0)),{"Magistrat SIEGE S";"Magistrat SIEGE NS"},
INDEX( 'ETPT Format DDG'!$A:$ZZ,,MATCH("Juridiction",'ETPT Format DDG'!2:2,0)),TJCPH))-
SUM(SUMIFS(
INDEX( 'ETPT Format DDG'!$A:$ZZ,,MATCH("1.1. DÉPARTAGE PRUD'HOMAL",'ETPT Format DDG'!2:2,0)),
INDEX( 'ETPT Format DDG'!$A:$ZZ,,MATCH("Fonction recodée",'ETPT Format DDG'!2:2,0)),{"Magistrat SIEGE S";"Magistrat SIEGE NS"},
INDEX( 'ETPT Format DDG'!$A:$ZZ,,MATCH("Juridiction",'ETPT Format DDG'!2:2,0)),TJCPH))</f>
        <v>#N/A</v>
      </c>
      <c r="AR5" s="55" t="e" cm="1">
        <f t="array" ref="AR5">SUM(SUMIFS(
INDEX( 'ETPT Format DDG'!$A:$ZZ,,MATCH("2. TOTAL CONTENTIEUX JAF",'ETPT Format DDG'!2:2,0)),
INDEX( 'ETPT Format DDG'!$A:$ZZ,,MATCH("Fonction recodée",'ETPT Format DDG'!2:2,0)),{"Magistrat SIEGE S";"Magistrat SIEGE NS"}))</f>
        <v>#N/A</v>
      </c>
      <c r="AS5" s="55" t="e" cm="1">
        <f t="array" ref="AS5">SUM(SUMIFS(
INDEX( 'ETPT Format DDG'!$A:$ZZ,,MATCH("4. TOTAL CIVIL NON SPÉCIALISÉ",'ETPT Format DDG'!2:2,0)),
INDEX( 'ETPT Format DDG'!$A:$ZZ,,MATCH("Fonction recodée",'ETPT Format DDG'!2:2,0)),"Magistrat SIEGE S",
INDEX( 'ETPT Format DDG'!$A:$ZZ,,MATCH("Juridiction",'ETPT Format DDG'!2:2,0)),TJCPH))-
SUM(SUMIFS(
INDEX( 'ETPT Format DDG'!$A:$ZZ,,MATCH("4.0. CONTENTIEUX GÉNÉRAL &lt;10.000€",'ETPT Format DDG'!2:2,0)),
INDEX( 'ETPT Format DDG'!$A:$ZZ,,MATCH("Fonction recodée",'ETPT Format DDG'!2:2,0)),"Magistrat SIEGE S",
INDEX( 'ETPT Format DDG'!$A:$ZZ,,MATCH("Juridiction",'ETPT Format DDG'!2:2,0)),TJCPH))</f>
        <v>#N/A</v>
      </c>
      <c r="AT5" s="55" t="e" cm="1">
        <f t="array" ref="AT5">SUM(SUMIFS(
INDEX( 'ETPT Format DDG'!$A:$ZZ,,MATCH("4. TOTAL CIVIL NON SPÉCIALISÉ",'ETPT Format DDG'!2:2,0)),
INDEX( 'ETPT Format DDG'!$A:$ZZ,,MATCH("Fonction recodée",'ETPT Format DDG'!2:2,0)),"Magistrat SIEGE NS",
INDEX( 'ETPT Format DDG'!$A:$ZZ,,MATCH("Juridiction",'ETPT Format DDG'!2:2,0)),TJCPH))-
SUM(SUMIFS(
INDEX( 'ETPT Format DDG'!$A:$ZZ,,MATCH("4.0. CONTENTIEUX GÉNÉRAL &lt;10.000€",'ETPT Format DDG'!2:2,0)),
INDEX( 'ETPT Format DDG'!$A:$ZZ,,MATCH("Fonction recodée",'ETPT Format DDG'!2:2,0)),"Magistrat SIEGE NS",
INDEX( 'ETPT Format DDG'!$A:$ZZ,,MATCH("Juridiction",'ETPT Format DDG'!2:2,0)),TJCPH))</f>
        <v>#N/A</v>
      </c>
      <c r="AU5" s="46" t="e">
        <f t="shared" ref="AU5:AU15" si="2">SUM(AH5:AT5)</f>
        <v>#N/A</v>
      </c>
      <c r="AV5" s="52"/>
      <c r="AW5" s="52"/>
      <c r="AX5" s="66"/>
      <c r="AY5" s="66"/>
      <c r="AZ5" s="66"/>
      <c r="BA5" s="66"/>
      <c r="BB5" s="66"/>
      <c r="BC5" s="66"/>
      <c r="BD5" s="52"/>
      <c r="BE5" s="46">
        <f t="shared" ref="BE5:BE15" si="3">SUM(AV5:BD5)</f>
        <v>0</v>
      </c>
    </row>
    <row r="6" spans="1:57" s="41" customFormat="1" ht="36" x14ac:dyDescent="0.15">
      <c r="A6" s="51" t="s">
        <v>42</v>
      </c>
      <c r="B6" s="60"/>
      <c r="C6" s="60"/>
      <c r="D6" s="61" t="str">
        <f t="shared" ref="D6:D15" si="4">$D$5</f>
        <v/>
      </c>
      <c r="E6" s="60" t="s">
        <v>60</v>
      </c>
      <c r="F6" s="60" t="s">
        <v>59</v>
      </c>
      <c r="G6" s="101"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59" t="e">
        <f t="shared" si="0"/>
        <v>#N/A</v>
      </c>
      <c r="I6" s="70"/>
      <c r="J6" s="58" t="e">
        <f>SUM(SUMIFS(
INDEX( 'ETPT Format DDG'!$A:$ZZ,,MATCH("11.9. FONCTIONNAIRES AFFECTÉS À L'EXÉCUTION DES PEINES",'ETPT Format DDG'!2:2,0)),
INDEX( 'ETPT Format DDG'!$A:$ZZ,,MATCH("Fonction recodée",'ETPT Format DDG'!2:2,0)),"Fonctionnaire A-B-CBUR"))</f>
        <v>#N/A</v>
      </c>
      <c r="K6" s="58"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58" t="e">
        <f>SUM(SUMIFS(
INDEX( 'ETPT Format DDG'!$A:$ZZ,,MATCH("7.52. COUR CRIMINELLE",'ETPT Format DDG'!2:2,0)),
INDEX( 'ETPT Format DDG'!$A:$ZZ,,MATCH("Fonction recodée",'ETPT Format DDG'!2:2,0)),"Fonctionnaire A-B-CBUR"))</f>
        <v>#N/A</v>
      </c>
      <c r="M6" s="58" t="e">
        <f>SUM(SUMIFS(
INDEX( 'ETPT Format DDG'!$A:$ZZ,,MATCH("7.121. COLLÉGIALES JIRS ÉCO-FI",'ETPT Format DDG'!2:2,0)),
INDEX( 'ETPT Format DDG'!$A:$ZZ,,MATCH("Fonction recodée",'ETPT Format DDG'!2:2,0)),"Fonctionnaire A-B-CBUR",
INDEX( 'ETPT Format DDG'!$A:$ZZ,,MATCH("Jirs",'ETPT Format DDG'!2:2,0)),"x"))</f>
        <v>#N/A</v>
      </c>
      <c r="N6" s="58" t="e">
        <f>SUM(SUMIFS(
INDEX( 'ETPT Format DDG'!$A:$ZZ,,MATCH("7.12. COLLÉGIALES JIRS CRIM-ORG",'ETPT Format DDG'!2:2,0)),
INDEX( 'ETPT Format DDG'!$A:$ZZ,,MATCH("Fonction recodée",'ETPT Format DDG'!2:2,0)),"Fonctionnaire A-B-CBUR"))</f>
        <v>#N/A</v>
      </c>
      <c r="O6" s="58"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70"/>
      <c r="Q6" s="70"/>
      <c r="R6" s="268"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69"/>
      <c r="T6" s="69"/>
      <c r="U6" s="269" t="s">
        <v>273</v>
      </c>
      <c r="V6" s="58" t="e">
        <f>SUMIFS(
INDEX( 'ETPT Format DDG'!$A:$ZZ,,MATCH("7.1. COLLÉGIALES HORS JIRS",'ETPT Format DDG'!2:2,0)),
INDEX( 'ETPT Format DDG'!$A:$ZZ,,MATCH("Fonction recodée",'ETPT Format DDG'!2:2,0)),"Fonctionnaire A-B-CBUR")+
SUMIFS(
INDEX( 'ETPT Format DDG'!$A:$ZZ,,MATCH("7.14. CI",'ETPT Format DDG'!2:2,0)),
INDEX( 'ETPT Format DDG'!$A:$ZZ,,MATCH("Fonction recodée",'ETPT Format DDG'!2:2,0)),"Fonctionnaire A-B-CBUR")+
SUMIFS(
INDEX( 'ETPT Format DDG'!$A:$ZZ,,MATCH("7.13. JUGE UNIQUE",'ETPT Format DDG'!2:2,0)),
INDEX( 'ETPT Format DDG'!$A:$ZZ,,MATCH("Fonction recodée",'ETPT Format DDG'!2:2,0)),"Fonctionnaire A-B-CBUR")+
SUMIFS(
INDEX( 'ETPT Format DDG'!$A:$ZZ,,MATCH("7.2. CRPC",'ETPT Format DDG'!2:2,0)),
INDEX( 'ETPT Format DDG'!$A:$ZZ,,MATCH("Fonction recodée",'ETPT Format DDG'!2:2,0)),"Fonctionnaire A-B-CBUR")+
SUMIFS(
INDEX( 'ETPT Format DDG'!$A:$ZZ,,MATCH("7.15. CPPV",'ETPT Format DDG'!2:2,0)),
INDEX( 'ETPT Format DDG'!$A:$ZZ,,MATCH("Fonction recodée",'ETPT Format DDG'!2:2,0)),"Fonctionnaire A-B-CBUR")+
SUMIFS(
INDEX( 'ETPT Format DDG'!$A:$ZZ,,MATCH("7.4. COMPOSITIONS PÉNALES",'ETPT Format DDG'!2:2,0)),
INDEX( 'ETPT Format DDG'!$A:$ZZ,,MATCH("Fonction recodée",'ETPT Format DDG'!2:2,0)),"Fonctionnaire A-B-CBUR")+
SUMIFS(
INDEX( 'ETPT Format DDG'!$A:$ZZ,,MATCH("7.3. OP CORRECTIONNELLES",'ETPT Format DDG'!2:2,0)),
INDEX( 'ETPT Format DDG'!$A:$ZZ,,MATCH("Fonction recodée",'ETPT Format DDG'!2:2,0)),"Fonctionnaire A-B-CBUR")+
SUMIFS(
INDEX( 'ETPT Format DDG'!$A:$ZZ,,MATCH("7.6. TRIBUNAL DE POLICE",'ETPT Format DDG'!2:2,0)),
INDEX( 'ETPT Format DDG'!$A:$ZZ,,MATCH("Fonction recodée",'ETPT Format DDG'!2:2,0)),"Fonctionnaire A-B-CBUR")+
SUMIFS(
INDEX( 'ETPT Format DDG'!$A:$ZZ,,MATCH("7.7. OP CONTRAVENTIONNELLES",'ETPT Format DDG'!2:2,0)),
INDEX( 'ETPT Format DDG'!$A:$ZZ,,MATCH("Fonction recodée",'ETPT Format DDG'!2:2,0)),"Fonctionnaire A-B-CBUR")+
SUMIFS(
INDEX( 'ETPT Format DDG'!$A:$ZZ,,MATCH("7.8. AUTRES SIÈGE PÉNAL",'ETPT Format DDG'!2:2,0)),
INDEX( 'ETPT Format DDG'!$A:$ZZ,,MATCH("Fonction recodée",'ETPT Format DDG'!2:2,0)),"Fonctionnaire A-B-CBUR")+
SUMIFS(
INDEX( 'ETPT Format DDG'!$A:$ZZ,,MATCH("11.10. AUTRES FONCTIONNAIRES AFFECTÉS AU PARQUET",'ETPT Format DDG'!2:2,0)),
INDEX( 'ETPT Format DDG'!$A:$ZZ,,MATCH("Fonction recodée",'ETPT Format DDG'!2:2,0)),"Fonctionnaire A-B-CBUR")</f>
        <v>#N/A</v>
      </c>
      <c r="W6" s="46" t="e">
        <f t="shared" ref="W6:W15" si="5">SUM(I6:V6)</f>
        <v>#N/A</v>
      </c>
      <c r="X6" s="68"/>
      <c r="Y6" s="68"/>
      <c r="Z6" s="53" t="e" cm="1">
        <f t="array" ref="Z6">SUM(SUMIFS(
INDEX( 'ETPT Format DDG'!$A:$ZZ,,MATCH("8.1. SERVICE GÉNÉRAL",'ETPT Format DDG'!2:2,0)),
INDEX( 'ETPT Format DDG'!$A:$ZZ,,MATCH("Fonction recodée",'ETPT Format DDG'!2:2,0)),{"Magistrat SIEGE S";"Magistrat SIEGE NS"}))</f>
        <v>#N/A</v>
      </c>
      <c r="AA6" s="53" t="e" cm="1">
        <f t="array" ref="AA6">SUM(SUMIFS(
INDEX( 'ETPT Format DDG'!$A:$ZZ,,MATCH("8.2. JIRS ÉCO-FI",'ETPT Format DDG'!2:2,0)),
INDEX( 'ETPT Format DDG'!$A:$ZZ,,MATCH("Fonction recodée",'ETPT Format DDG'!2:2,0)),{"Magistrat SIEGE S";"Magistrat SIEGE NS"}))</f>
        <v>#N/A</v>
      </c>
      <c r="AB6" s="53" t="e" cm="1">
        <f t="array" ref="AB6">SUM(SUMIFS(
INDEX( 'ETPT Format DDG'!$A:$ZZ,,MATCH("8.3. JIRS CRIM-ORG",'ETPT Format DDG'!2:2,0)),
INDEX( 'ETPT Format DDG'!$A:$ZZ,,MATCH("Fonction recodée",'ETPT Format DDG'!2:2,0)),{"Magistrat SIEGE S";"Magistrat SIEGE NS"}))</f>
        <v>#N/A</v>
      </c>
      <c r="AC6" s="53" t="e" cm="1">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53" t="e" cm="1">
        <f t="array" ref="AD6">SUM(SUMIFS(
INDEX( 'ETPT Format DDG'!$A:$ZZ,,MATCH("9. TOTAL JAP",'ETPT Format DDG'!2:2,0)),
INDEX( 'ETPT Format DDG'!$A:$ZZ,,MATCH("Fonction recodée",'ETPT Format DDG'!2:2,0)),{"Magistrat SIEGE S";"Magistrat SIEGE NS"}))</f>
        <v>#N/A</v>
      </c>
      <c r="AE6" s="53" t="e" cm="1">
        <f t="array" ref="AE6">SUM(SUMIFS(
INDEX( 'ETPT Format DDG'!$A:$ZZ,,MATCH("6.2. ACTIVITÉ PÉNALE",'ETPT Format DDG'!2:2,0)),
INDEX( 'ETPT Format DDG'!$A:$ZZ,,MATCH("Fonction recodée",'ETPT Format DDG'!2:2,0)),{"Magistrat SIEGE S";"Magistrat SIEGE NS"}))</f>
        <v>#N/A</v>
      </c>
      <c r="AF6" s="53" t="e" cm="1">
        <f t="array" ref="AF6">SUM(SUMIFS(
INDEX( 'ETPT Format DDG'!$A:$ZZ,,MATCH("10. TOTAL JLD PÉNAL",'ETPT Format DDG'!2:2,0)),
INDEX( 'ETPT Format DDG'!$A:$ZZ,,MATCH("Fonction recodée",'ETPT Format DDG'!2:2,0)),{"Magistrat SIEGE S";"Magistrat SIEGE NS"}))</f>
        <v>#N/A</v>
      </c>
      <c r="AG6" s="46" t="e">
        <f t="shared" si="1"/>
        <v>#N/A</v>
      </c>
      <c r="AH6" s="53" t="e" cm="1">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53" t="e" cm="1">
        <f t="array" ref="AI6">SUM(SUMIFS(
INDEX( 'ETPT Format DDG'!$A:$ZZ,,MATCH("7.52. COUR CRIMINELLE",'ETPT Format DDG'!2:2,0)),
INDEX( 'ETPT Format DDG'!$A:$ZZ,,MATCH("Fonction recodée",'ETPT Format DDG'!2:2,0)),{"Magistrat SIEGE S";"Magistrat SIEGE NS"}))</f>
        <v>#N/A</v>
      </c>
      <c r="AJ6" s="53" t="e" cm="1">
        <f t="array" ref="AJ6">SUM(SUMIFS(
INDEX( 'ETPT Format DDG'!$A:$ZZ,,MATCH("7.121. COLLÉGIALES JIRS ÉCO-FI",'ETPT Format DDG'!2:2,0)),
INDEX( 'ETPT Format DDG'!$A:$ZZ,,MATCH("Fonction recodée",'ETPT Format DDG'!2:2,0)),{"Magistrat SIEGE S";"Magistrat SIEGE NS"},
INDEX( 'ETPT Format DDG'!$A:$ZZ,,MATCH("Jirs",'ETPT Format DDG'!2:2,0)),"x"))</f>
        <v>#N/A</v>
      </c>
      <c r="AK6" s="53" t="e" cm="1">
        <f t="array" ref="AK6">SUM(SUMIFS(
INDEX( 'ETPT Format DDG'!$A:$ZZ,,MATCH("7.12. COLLÉGIALES JIRS CRIM-ORG",'ETPT Format DDG'!2:2,0)),
INDEX( 'ETPT Format DDG'!$A:$ZZ,,MATCH("Fonction recodée",'ETPT Format DDG'!2:2,0)),{"Magistrat SIEGE S";"Magistrat SIEGE NS"}))</f>
        <v>#N/A</v>
      </c>
      <c r="AL6" s="53" t="e" cm="1">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55" t="e" cm="1">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68"/>
      <c r="AO6" s="68"/>
      <c r="AP6" s="68"/>
      <c r="AQ6" s="68"/>
      <c r="AR6" s="68"/>
      <c r="AS6" s="55" t="e">
        <f>SUMIFS(
INDEX( 'ETPT Format DDG'!$A:$ZZ,,MATCH("7.1. COLLÉGIALES HORS JIRS",'ETPT Format DDG'!2:2,0)),
INDEX( 'ETPT Format DDG'!$A:$ZZ,,MATCH("Fonction recodée",'ETPT Format DDG'!2:2,0)),"Magistrat SIEGE S")+
SUMIFS(
INDEX( 'ETPT Format DDG'!$A:$ZZ,,MATCH("7.14. CI",'ETPT Format DDG'!2:2,0)),
INDEX( 'ETPT Format DDG'!$A:$ZZ,,MATCH("Fonction recodée",'ETPT Format DDG'!2:2,0)),"Magistrat SIEGE S")+
SUMIFS(
INDEX( 'ETPT Format DDG'!$A:$ZZ,,MATCH("7.13. JUGE UNIQUE",'ETPT Format DDG'!2:2,0)),
INDEX( 'ETPT Format DDG'!$A:$ZZ,,MATCH("Fonction recodée",'ETPT Format DDG'!2:2,0)),"Magistrat SIEGE S")+
SUMIFS(
INDEX( 'ETPT Format DDG'!$A:$ZZ,,MATCH("7.2. CRPC",'ETPT Format DDG'!2:2,0)),
INDEX( 'ETPT Format DDG'!$A:$ZZ,,MATCH("Fonction recodée",'ETPT Format DDG'!2:2,0)),"Magistrat SIEGE S")+
SUMIFS(
INDEX( 'ETPT Format DDG'!$A:$ZZ,,MATCH("7.15. CPPV",'ETPT Format DDG'!2:2,0)),
INDEX( 'ETPT Format DDG'!$A:$ZZ,,MATCH("Fonction recodée",'ETPT Format DDG'!2:2,0)),"Magistrat SIEGE S")+
SUMIFS(
INDEX( 'ETPT Format DDG'!$A:$ZZ,,MATCH("7.4. COMPOSITIONS PÉNALES",'ETPT Format DDG'!2:2,0)),
INDEX( 'ETPT Format DDG'!$A:$ZZ,,MATCH("Fonction recodée",'ETPT Format DDG'!2:2,0)),"Magistrat SIEGE S")+
SUMIFS(
INDEX( 'ETPT Format DDG'!$A:$ZZ,,MATCH("7.3. OP CORRECTIONNELLES",'ETPT Format DDG'!2:2,0)),
INDEX( 'ETPT Format DDG'!$A:$ZZ,,MATCH("Fonction recodée",'ETPT Format DDG'!2:2,0)),"Magistrat SIEGE S")+
SUMIFS(
INDEX( 'ETPT Format DDG'!$A:$ZZ,,MATCH("7.8. AUTRES SIÈGE PÉNAL",'ETPT Format DDG'!2:2,0)),
INDEX( 'ETPT Format DDG'!$A:$ZZ,,MATCH("Fonction recodée",'ETPT Format DDG'!2:2,0)),"Magistrat SIEGE S")</f>
        <v>#N/A</v>
      </c>
      <c r="AT6" s="67" t="e">
        <f>SUMIFS(
INDEX( 'ETPT Format DDG'!$A:$ZZ,,MATCH("7.1. COLLÉGIALES HORS JIRS",'ETPT Format DDG'!2:2,0)),
INDEX( 'ETPT Format DDG'!$A:$ZZ,,MATCH("Fonction recodée",'ETPT Format DDG'!2:2,0)),"Magistrat SIEGE NS")+
SUMIFS(
INDEX( 'ETPT Format DDG'!$A:$ZZ,,MATCH("7.14. CI",'ETPT Format DDG'!2:2,0)),
INDEX( 'ETPT Format DDG'!$A:$ZZ,,MATCH("Fonction recodée",'ETPT Format DDG'!2:2,0)),"Magistrat SIEGE NS")+
SUMIFS(
INDEX( 'ETPT Format DDG'!$A:$ZZ,,MATCH("7.13. JUGE UNIQUE",'ETPT Format DDG'!2:2,0)),
INDEX( 'ETPT Format DDG'!$A:$ZZ,,MATCH("Fonction recodée",'ETPT Format DDG'!2:2,0)),"Magistrat SIEGE NS")+
SUMIFS(
INDEX( 'ETPT Format DDG'!$A:$ZZ,,MATCH("7.2. CRPC",'ETPT Format DDG'!2:2,0)),
INDEX( 'ETPT Format DDG'!$A:$ZZ,,MATCH("Fonction recodée",'ETPT Format DDG'!2:2,0)),"Magistrat SIEGE NS")+
SUMIFS(
INDEX( 'ETPT Format DDG'!$A:$ZZ,,MATCH("7.15. CPPV",'ETPT Format DDG'!2:2,0)),
INDEX( 'ETPT Format DDG'!$A:$ZZ,,MATCH("Fonction recodée",'ETPT Format DDG'!2:2,0)),"Magistrat SIEGE NS")+
SUMIFS(
INDEX( 'ETPT Format DDG'!$A:$ZZ,,MATCH("7.4. COMPOSITIONS PÉNALES",'ETPT Format DDG'!2:2,0)),
INDEX( 'ETPT Format DDG'!$A:$ZZ,,MATCH("Fonction recodée",'ETPT Format DDG'!2:2,0)),"Magistrat SIEGE NS")+
SUMIFS(
INDEX( 'ETPT Format DDG'!$A:$ZZ,,MATCH("7.3. OP CORRECTIONNELLES",'ETPT Format DDG'!2:2,0)),
INDEX( 'ETPT Format DDG'!$A:$ZZ,,MATCH("Fonction recodée",'ETPT Format DDG'!2:2,0)),"Magistrat SIEGE NS")+
SUMIFS(
INDEX( 'ETPT Format DDG'!$A:$ZZ,,MATCH("7.8. AUTRES SIÈGE PÉNAL",'ETPT Format DDG'!2:2,0)),
INDEX( 'ETPT Format DDG'!$A:$ZZ,,MATCH("Fonction recodée",'ETPT Format DDG'!2:2,0)),"Magistrat SIEGE NS")</f>
        <v>#N/A</v>
      </c>
      <c r="AU6" s="46" t="e">
        <f t="shared" si="2"/>
        <v>#N/A</v>
      </c>
      <c r="AV6" s="52"/>
      <c r="AW6" s="52"/>
      <c r="AX6" s="52"/>
      <c r="AY6" s="52"/>
      <c r="AZ6" s="52"/>
      <c r="BA6" s="52"/>
      <c r="BB6" s="52"/>
      <c r="BC6" s="66"/>
      <c r="BD6" s="52"/>
      <c r="BE6" s="46">
        <f>SUM(AV6:BD6)</f>
        <v>0</v>
      </c>
    </row>
    <row r="7" spans="1:57" s="41" customFormat="1" ht="14.25" customHeight="1" x14ac:dyDescent="0.15">
      <c r="A7" s="51" t="s">
        <v>42</v>
      </c>
      <c r="B7" s="60"/>
      <c r="C7" s="60"/>
      <c r="D7" s="61" t="str">
        <f t="shared" si="4"/>
        <v/>
      </c>
      <c r="E7" s="60" t="s">
        <v>58</v>
      </c>
      <c r="F7" s="60" t="s">
        <v>57</v>
      </c>
      <c r="G7" s="267"/>
      <c r="H7" s="59">
        <f t="shared" si="0"/>
        <v>0</v>
      </c>
      <c r="I7" s="62"/>
      <c r="J7" s="62"/>
      <c r="K7" s="62"/>
      <c r="L7" s="62"/>
      <c r="M7" s="62"/>
      <c r="N7" s="62"/>
      <c r="O7" s="62"/>
      <c r="P7" s="62"/>
      <c r="Q7" s="266" t="s">
        <v>271</v>
      </c>
      <c r="R7" s="266" t="s">
        <v>272</v>
      </c>
      <c r="S7" s="62"/>
      <c r="T7" s="62"/>
      <c r="U7" s="62"/>
      <c r="V7" s="62"/>
      <c r="W7" s="46">
        <f t="shared" si="5"/>
        <v>0</v>
      </c>
      <c r="X7" s="62"/>
      <c r="Y7" s="53" t="e" cm="1">
        <f t="array" ref="Y7">SUM(SUMIFS(
INDEX( 'ETPT Format DDG'!$A:$ZZ,,MATCH("11.5. CSM",'ETPT Format DDG'!2:2,0)),
INDEX( 'ETPT Format DDG'!$A:$ZZ,,MATCH("Fonction",'ETPT Format DDG'!2:2,0)),{"JCP";"VPCP";"1VPCP"},
INDEX( 'ETPT Format DDG'!$A:$ZZ,,MATCH("Juridiction",'ETPT Format DDG'!2:2,0)),TJCPH))</f>
        <v>#N/A</v>
      </c>
      <c r="Z7" s="53" t="e" cm="1">
        <f t="array" ref="Z7">SUM(SUMIFS(
INDEX( 'ETPT Format DDG'!$A:$ZZ,,MATCH("11.5. CSM",'ETPT Format DDG'!2:2,0)),
INDEX( 'ETPT Format DDG'!$A:$ZZ,,MATCH("Fonction",'ETPT Format DDG'!2:2,0)),{"JI";"VPI";"1VPI"},
INDEX( 'ETPT Format DDG'!$A:$ZZ,,MATCH("Juridiction",'ETPT Format DDG'!2:2,0)),TJCPH))</f>
        <v>#N/A</v>
      </c>
      <c r="AA7" s="62"/>
      <c r="AB7" s="62"/>
      <c r="AC7" s="62"/>
      <c r="AD7" s="53" t="e" cm="1">
        <f t="array" ref="AD7">SUM(SUMIFS(
INDEX( 'ETPT Format DDG'!$A:$ZZ,,MATCH("11.5. CSM",'ETPT Format DDG'!2:2,0)),
INDEX( 'ETPT Format DDG'!$A:$ZZ,,MATCH("Fonction",'ETPT Format DDG'!2:2,0)),{"JAP";"VPAP";"1VPAP"},
INDEX( 'ETPT Format DDG'!$A:$ZZ,,MATCH("Juridiction",'ETPT Format DDG'!2:2,0)),TJCPH))</f>
        <v>#N/A</v>
      </c>
      <c r="AE7" s="53" t="e" cm="1">
        <f t="array" ref="AE7">SUM(SUMIFS(
INDEX( 'ETPT Format DDG'!$A:$ZZ,,MATCH("11.5. CSM",'ETPT Format DDG'!2:2,0)),
INDEX( 'ETPT Format DDG'!$A:$ZZ,,MATCH("Fonction",'ETPT Format DDG'!2:2,0)),{"JE";"VPE";"1VPE"},
INDEX( 'ETPT Format DDG'!$A:$ZZ,,MATCH("Juridiction",'ETPT Format DDG'!2:2,0)),TJCPH))</f>
        <v>#N/A</v>
      </c>
      <c r="AF7" s="53" t="e" cm="1">
        <f t="array" ref="AF7">SUM(SUMIFS(
INDEX( 'ETPT Format DDG'!$A:$ZZ,,MATCH("11.5. CSM",'ETPT Format DDG'!2:2,0)),
INDEX( 'ETPT Format DDG'!$A:$ZZ,,MATCH("Fonction",'ETPT Format DDG'!2:2,0)),{"VPLD";"1VPLD"},
INDEX( 'ETPT Format DDG'!$A:$ZZ,,MATCH("Juridiction",'ETPT Format DDG'!2:2,0)),TJCPH))</f>
        <v>#N/A</v>
      </c>
      <c r="AG7" s="46" t="e">
        <f t="shared" si="1"/>
        <v>#N/A</v>
      </c>
      <c r="AH7" s="62"/>
      <c r="AI7" s="62"/>
      <c r="AJ7" s="62"/>
      <c r="AK7" s="62"/>
      <c r="AL7" s="62"/>
      <c r="AM7" s="62"/>
      <c r="AN7" s="62"/>
      <c r="AO7" s="62"/>
      <c r="AP7" s="62"/>
      <c r="AQ7" s="62"/>
      <c r="AR7" s="266"/>
      <c r="AS7" s="62"/>
      <c r="AT7" s="53" t="e" cm="1">
        <f t="array" ref="AT7">SUM(SUMIFS(
INDEX( 'ETPT Format DDG'!$A:$ZZ,,MATCH("11.5. CSM",'ETPT Format DDG'!2:2,0)),
INDEX( 'ETPT Format DDG'!$A:$ZZ,,MATCH("Fonction recodée",'ETPT Format DDG'!2:2,0)),"Magistrat SIEGE NS",
INDEX( 'ETPT Format DDG'!$A:$ZZ,,MATCH("Juridiction",'ETPT Format DDG'!2:2,0)),TJCPH))</f>
        <v>#N/A</v>
      </c>
      <c r="AU7" s="46" t="e">
        <f t="shared" si="2"/>
        <v>#N/A</v>
      </c>
      <c r="AV7" s="52"/>
      <c r="AW7" s="52"/>
      <c r="AX7" s="52"/>
      <c r="AY7" s="52"/>
      <c r="AZ7" s="52"/>
      <c r="BA7" s="52"/>
      <c r="BB7" s="52"/>
      <c r="BC7" s="52"/>
      <c r="BD7" s="52"/>
      <c r="BE7" s="46">
        <f t="shared" si="3"/>
        <v>0</v>
      </c>
    </row>
    <row r="8" spans="1:57" s="41" customFormat="1" ht="14.25" customHeight="1" x14ac:dyDescent="0.15">
      <c r="A8" s="51" t="s">
        <v>42</v>
      </c>
      <c r="B8" s="60"/>
      <c r="C8" s="60"/>
      <c r="D8" s="61" t="str">
        <f t="shared" si="4"/>
        <v/>
      </c>
      <c r="E8" s="60" t="s">
        <v>56</v>
      </c>
      <c r="F8" s="60" t="s">
        <v>55</v>
      </c>
      <c r="G8" s="101" t="e" cm="1">
        <f t="array" ref="G8">SUM(SUMIFS(
INDEX( 'ETPT Format DDG'!$A:$ZZ,,MATCH("11.51. ACCUEIL DU JUSTICIABLE (DONT SAUJ)",'ETPT Format DDG'!2:2,0)),
INDEX( 'ETPT Format DDG'!$A:$ZZ,,MATCH("Fonction recodée",'ETPT Format DDG'!2:2,0)),"Fonctionnaire CTECH",
INDEX( 'ETPT Format DDG'!$A:$ZZ,,MATCH("Juridiction",'ETPT Format DDG'!2:2,0)),TJCPH))</f>
        <v>#N/A</v>
      </c>
      <c r="H8" s="59" t="e">
        <f t="shared" si="0"/>
        <v>#N/A</v>
      </c>
      <c r="I8" s="62"/>
      <c r="J8" s="62"/>
      <c r="K8" s="62"/>
      <c r="L8" s="62"/>
      <c r="M8" s="62"/>
      <c r="N8" s="62"/>
      <c r="O8" s="62"/>
      <c r="P8" s="62"/>
      <c r="Q8" s="62"/>
      <c r="R8" s="62"/>
      <c r="S8" s="62"/>
      <c r="T8" s="62"/>
      <c r="U8" s="62"/>
      <c r="V8" s="53" t="e" cm="1">
        <f t="array" ref="V8">SUM(SUMIFS(
INDEX( 'ETPT Format DDG'!$A:$ZZ,,MATCH("11.51. ACCUEIL DU JUSTICIABLE (DONT SAUJ)",'ETPT Format DDG'!2:2,0)),
INDEX( 'ETPT Format DDG'!$A:$ZZ,,MATCH("Fonction recodée",'ETPT Format DDG'!2:2,0)),"Fonctionnaire A-B-CBUR",
INDEX( 'ETPT Format DDG'!$A:$ZZ,,MATCH("Juridiction",'ETPT Format DDG'!2:2,0)),TJCPH))</f>
        <v>#N/A</v>
      </c>
      <c r="W8" s="46" t="e">
        <f t="shared" si="5"/>
        <v>#N/A</v>
      </c>
      <c r="X8" s="62"/>
      <c r="Y8" s="53" t="e" cm="1">
        <f t="array" ref="Y8">SUM(SUMIFS(
INDEX( 'ETPT Format DDG'!$A:$ZZ,,MATCH("11.51. ACCUEIL DU JUSTICIABLE (DONT SAUJ)",'ETPT Format DDG'!2:2,0)),
INDEX( 'ETPT Format DDG'!$A:$ZZ,,MATCH("Fonction",'ETPT Format DDG'!2:2,0)),{"JCP";"VPCP";"1VPCP"},
INDEX( 'ETPT Format DDG'!$A:$ZZ,,MATCH("Juridiction",'ETPT Format DDG'!2:2,0)),TJCPH))</f>
        <v>#N/A</v>
      </c>
      <c r="Z8" s="53" t="e" cm="1">
        <f t="array" ref="Z8">SUM(SUMIFS(
INDEX( 'ETPT Format DDG'!$A:$ZZ,,MATCH("11.51. ACCUEIL DU JUSTICIABLE (DONT SAUJ)",'ETPT Format DDG'!2:2,0)),
INDEX( 'ETPT Format DDG'!$A:$ZZ,,MATCH("Fonction",'ETPT Format DDG'!2:2,0)),{"JI";"VPI";"1VPI"},
INDEX( 'ETPT Format DDG'!$A:$ZZ,,MATCH("Juridiction",'ETPT Format DDG'!2:2,0)),TJCPH))</f>
        <v>#N/A</v>
      </c>
      <c r="AA8" s="62"/>
      <c r="AB8" s="62"/>
      <c r="AC8" s="62"/>
      <c r="AD8" s="53" t="e" cm="1">
        <f t="array" ref="AD8">SUM(SUMIFS(
INDEX( 'ETPT Format DDG'!$A:$ZZ,,MATCH("11.51. ACCUEIL DU JUSTICIABLE (DONT SAUJ)",'ETPT Format DDG'!2:2,0)),
INDEX( 'ETPT Format DDG'!$A:$ZZ,,MATCH("Fonction",'ETPT Format DDG'!2:2,0)),{"JAP";"VPAP";"1VPAP"},
INDEX( 'ETPT Format DDG'!$A:$ZZ,,MATCH("Juridiction",'ETPT Format DDG'!2:2,0)),TJCPH))</f>
        <v>#N/A</v>
      </c>
      <c r="AE8" s="53" t="e" cm="1">
        <f t="array" ref="AE8">SUM(SUMIFS(
INDEX( 'ETPT Format DDG'!$A:$ZZ,,MATCH("11.51. ACCUEIL DU JUSTICIABLE (DONT SAUJ)",'ETPT Format DDG'!2:2,0)),
INDEX( 'ETPT Format DDG'!$A:$ZZ,,MATCH("Fonction",'ETPT Format DDG'!2:2,0)),{"JE";"VPE";"1VPE"},
INDEX( 'ETPT Format DDG'!$A:$ZZ,,MATCH("Juridiction",'ETPT Format DDG'!2:2,0)),TJCPH))</f>
        <v>#N/A</v>
      </c>
      <c r="AF8" s="53" t="e" cm="1">
        <f t="array" ref="AF8">SUM(SUMIFS(
INDEX( 'ETPT Format DDG'!$A:$ZZ,,MATCH("11.51. ACCUEIL DU JUSTICIABLE (DONT SAUJ)",'ETPT Format DDG'!2:2,0)),
INDEX( 'ETPT Format DDG'!$A:$ZZ,,MATCH("Fonction",'ETPT Format DDG'!2:2,0)),{"VPLD";"1VPLD"},
INDEX( 'ETPT Format DDG'!$A:$ZZ,,MATCH("Juridiction",'ETPT Format DDG'!2:2,0)),TJCPH))</f>
        <v>#N/A</v>
      </c>
      <c r="AG8" s="46" t="e">
        <f t="shared" si="1"/>
        <v>#N/A</v>
      </c>
      <c r="AH8" s="62"/>
      <c r="AI8" s="62"/>
      <c r="AJ8" s="62"/>
      <c r="AK8" s="62"/>
      <c r="AL8" s="62"/>
      <c r="AM8" s="62"/>
      <c r="AN8" s="62"/>
      <c r="AO8" s="62"/>
      <c r="AP8" s="62"/>
      <c r="AQ8" s="62"/>
      <c r="AR8" s="62"/>
      <c r="AS8" s="62"/>
      <c r="AT8" s="53" t="e" cm="1">
        <f t="array" ref="AT8">SUM(SUMIFS(
INDEX( 'ETPT Format DDG'!$A:$ZZ,,MATCH("11.51. ACCUEIL DU JUSTICIABLE (DONT SAUJ)",'ETPT Format DDG'!2:2,0)),
INDEX( 'ETPT Format DDG'!$A:$ZZ,,MATCH("Fonction recodée",'ETPT Format DDG'!2:2,0)),"Magistrat SIEGE NS",
INDEX( 'ETPT Format DDG'!$A:$ZZ,,MATCH("Juridiction",'ETPT Format DDG'!2:2,0)),TJCPH))</f>
        <v>#N/A</v>
      </c>
      <c r="AU8" s="46" t="e">
        <f t="shared" si="2"/>
        <v>#N/A</v>
      </c>
      <c r="AV8" s="52"/>
      <c r="AW8" s="52"/>
      <c r="AX8" s="52"/>
      <c r="AY8" s="52"/>
      <c r="AZ8" s="52"/>
      <c r="BA8" s="52"/>
      <c r="BB8" s="52"/>
      <c r="BC8" s="52"/>
      <c r="BD8" s="52"/>
      <c r="BE8" s="46">
        <f t="shared" si="3"/>
        <v>0</v>
      </c>
    </row>
    <row r="9" spans="1:57" s="41" customFormat="1" ht="14.25" customHeight="1" x14ac:dyDescent="0.15">
      <c r="A9" s="51" t="s">
        <v>42</v>
      </c>
      <c r="B9" s="60"/>
      <c r="C9" s="60"/>
      <c r="D9" s="61" t="str">
        <f t="shared" si="4"/>
        <v/>
      </c>
      <c r="E9" s="60" t="s">
        <v>54</v>
      </c>
      <c r="F9" s="60" t="s">
        <v>53</v>
      </c>
      <c r="G9" s="101" t="e" cm="1">
        <f t="array" ref="G9">SUM(SUMIFS(
INDEX( 'ETPT Format DDG'!$A:$ZZ,,MATCH("11.1. SOUTIEN (HORS FORMATIONS SUIVIES)",'ETPT Format DDG'!2:2,0)),
INDEX( 'ETPT Format DDG'!$A:$ZZ,,MATCH("Fonction recodée",'ETPT Format DDG'!2:2,0)),"Fonctionnaire CTECH",
INDEX( 'ETPT Format DDG'!$A:$ZZ,,MATCH("Juridiction",'ETPT Format DDG'!2:2,0)),TJCPH))+
SUM(SUMIFS(
INDEX( 'ETPT Format DDG'!$A:$ZZ,,MATCH("11.2. FORMATIONS SUIVIES",'ETPT Format DDG'!2:2,0)),
INDEX( 'ETPT Format DDG'!$A:$ZZ,,MATCH("Fonction recodée",'ETPT Format DDG'!2:2,0)),"Fonctionnaire CTECH",
INDEX( 'ETPT Format DDG'!$A:$ZZ,,MATCH("Juridiction",'ETPT Format DDG'!2:2,0)),TJCPH))+
SUM(SUMIFS(
INDEX( 'ETPT Format DDG'!$A:$ZZ,,MATCH("11.6. AUTRES ACTIVITÉS NON JURIDICTIONNELLES",'ETPT Format DDG'!2:2,0)),
INDEX( 'ETPT Format DDG'!$A:$ZZ,,MATCH("Fonction recodée",'ETPT Format DDG'!2:2,0)),"Fonctionnaire CTECH",
INDEX( 'ETPT Format DDG'!$A:$ZZ,,MATCH("Juridiction",'ETPT Format DDG'!2:2,0)),TJCPH))</f>
        <v>#N/A</v>
      </c>
      <c r="H9" s="59" t="e">
        <f t="shared" si="0"/>
        <v>#N/A</v>
      </c>
      <c r="I9" s="62"/>
      <c r="J9" s="62"/>
      <c r="K9" s="62"/>
      <c r="L9" s="62"/>
      <c r="M9" s="62"/>
      <c r="N9" s="62"/>
      <c r="O9" s="62"/>
      <c r="P9" s="62"/>
      <c r="Q9" s="62"/>
      <c r="R9" s="62"/>
      <c r="S9" s="62"/>
      <c r="T9" s="62"/>
      <c r="U9" s="62"/>
      <c r="V9" s="53" t="e" cm="1">
        <f t="array" ref="V9">SUM(SUMIFS(
INDEX( 'ETPT Format DDG'!$A:$ZZ,,MATCH("11.1. SOUTIEN (HORS FORMATIONS SUIVIES)",'ETPT Format DDG'!2:2,0)),
INDEX( 'ETPT Format DDG'!$A:$ZZ,,MATCH("Fonction recodée",'ETPT Format DDG'!2:2,0)),"Fonctionnaire A-B-CBUR",
INDEX( 'ETPT Format DDG'!$A:$ZZ,,MATCH("Juridiction",'ETPT Format DDG'!2:2,0)),TJCPH))+
SUM(SUMIFS(
INDEX( 'ETPT Format DDG'!$A:$ZZ,,MATCH("11.2. FORMATIONS SUIVIES",'ETPT Format DDG'!2:2,0)),
INDEX( 'ETPT Format DDG'!$A:$ZZ,,MATCH("Fonction recodée",'ETPT Format DDG'!2:2,0)),"Fonctionnaire A-B-CBUR",
INDEX( 'ETPT Format DDG'!$A:$ZZ,,MATCH("Juridiction",'ETPT Format DDG'!2:2,0)),TJCPH))+
SUM(SUMIFS(
INDEX( 'ETPT Format DDG'!$A:$ZZ,,MATCH("11.6. AUTRES ACTIVITÉS NON JURIDICTIONNELLES",'ETPT Format DDG'!2:2,0)),
INDEX( 'ETPT Format DDG'!$A:$ZZ,,MATCH("Fonction recodée",'ETPT Format DDG'!2:2,0)),"Fonctionnaire A-B-CBUR",
INDEX( 'ETPT Format DDG'!$A:$ZZ,,MATCH("Juridiction",'ETPT Format DDG'!2:2,0)),TJCPH))</f>
        <v>#N/A</v>
      </c>
      <c r="W9" s="46" t="e">
        <f t="shared" si="5"/>
        <v>#N/A</v>
      </c>
      <c r="X9" s="62"/>
      <c r="Y9" s="53" t="e" cm="1">
        <f t="array" ref="Y9">SUM(SUMIFS(
INDEX( 'ETPT Format DDG'!$A:$ZZ,,MATCH("11.1. SOUTIEN (HORS FORMATIONS SUIVIES)",'ETPT Format DDG'!2:2,0)),
INDEX( 'ETPT Format DDG'!$A:$ZZ,,MATCH("Fonction",'ETPT Format DDG'!2:2,0)),{"JCP";"VPCP";"1VPCP"},
INDEX( 'ETPT Format DDG'!$A:$ZZ,,MATCH("Juridiction",'ETPT Format DDG'!2:2,0)),TJCPH))+
SUM(SUMIFS(
INDEX( 'ETPT Format DDG'!$A:$ZZ,,MATCH("11.2. FORMATIONS SUIVIES",'ETPT Format DDG'!2:2,0)),
INDEX( 'ETPT Format DDG'!$A:$ZZ,,MATCH("Fonction",'ETPT Format DDG'!2:2,0)),{"JCP";"VPCP";"1VPCP"},
INDEX( 'ETPT Format DDG'!$A:$ZZ,,MATCH("Juridiction",'ETPT Format DDG'!2:2,0)),TJCPH))+
SUM(SUMIFS(
INDEX( 'ETPT Format DDG'!$A:$ZZ,,MATCH("11.6. AUTRES ACTIVITÉS NON JURIDICTIONNELLES",'ETPT Format DDG'!2:2,0)),
INDEX( 'ETPT Format DDG'!$A:$ZZ,,MATCH("Fonction",'ETPT Format DDG'!2:2,0)),{"JCP";"VPCP";"1VPCP"},
INDEX( 'ETPT Format DDG'!$A:$ZZ,,MATCH("Juridiction",'ETPT Format DDG'!2:2,0)),TJCPH))</f>
        <v>#N/A</v>
      </c>
      <c r="Z9" s="53" t="e" cm="1">
        <f t="array" ref="Z9">SUM(SUMIFS(
INDEX( 'ETPT Format DDG'!$A:$ZZ,,MATCH("11.1. SOUTIEN (HORS FORMATIONS SUIVIES)",'ETPT Format DDG'!2:2,0)),
INDEX( 'ETPT Format DDG'!$A:$ZZ,,MATCH("Fonction",'ETPT Format DDG'!2:2,0)),{"JI";"VPI";"1VPI"},
INDEX( 'ETPT Format DDG'!$A:$ZZ,,MATCH("Juridiction",'ETPT Format DDG'!2:2,0)),TJCPH))+
SUM(SUMIFS(
INDEX( 'ETPT Format DDG'!$A:$ZZ,,MATCH("11.2. FORMATIONS SUIVIES",'ETPT Format DDG'!2:2,0)),
INDEX( 'ETPT Format DDG'!$A:$ZZ,,MATCH("Fonction",'ETPT Format DDG'!2:2,0)),{"JI";"VPI";"1VPI"},
INDEX( 'ETPT Format DDG'!$A:$ZZ,,MATCH("Juridiction",'ETPT Format DDG'!2:2,0)),TJCPH))+
SUM(SUMIFS(
INDEX( 'ETPT Format DDG'!$A:$ZZ,,MATCH("11.6. AUTRES ACTIVITÉS NON JURIDICTIONNELLES",'ETPT Format DDG'!2:2,0)),
INDEX( 'ETPT Format DDG'!$A:$ZZ,,MATCH("Fonction",'ETPT Format DDG'!2:2,0)),{"JI";"VPI";"1VPI"},
INDEX( 'ETPT Format DDG'!$A:$ZZ,,MATCH("Juridiction",'ETPT Format DDG'!2:2,0)),TJCPH))</f>
        <v>#N/A</v>
      </c>
      <c r="AA9" s="62"/>
      <c r="AB9" s="62"/>
      <c r="AC9" s="62"/>
      <c r="AD9" s="53" t="e" cm="1">
        <f t="array" ref="AD9">SUM(SUMIFS(
INDEX( 'ETPT Format DDG'!$A:$ZZ,,MATCH("11.1. SOUTIEN (HORS FORMATIONS SUIVIES)",'ETPT Format DDG'!2:2,0)),
INDEX( 'ETPT Format DDG'!$A:$ZZ,,MATCH("Fonction",'ETPT Format DDG'!2:2,0)),{"JAP";"VPAP";"1VPAP"},
INDEX( 'ETPT Format DDG'!$A:$ZZ,,MATCH("Juridiction",'ETPT Format DDG'!2:2,0)),TJCPH))+
SUM(SUMIFS(
INDEX( 'ETPT Format DDG'!$A:$ZZ,,MATCH("11.2. FORMATIONS SUIVIES",'ETPT Format DDG'!2:2,0)),
INDEX( 'ETPT Format DDG'!$A:$ZZ,,MATCH("Fonction",'ETPT Format DDG'!2:2,0)),{"JAP";"VPAP";"1VPAP"},
INDEX( 'ETPT Format DDG'!$A:$ZZ,,MATCH("Juridiction",'ETPT Format DDG'!2:2,0)),TJCPH))+
SUM(SUMIFS(
INDEX( 'ETPT Format DDG'!$A:$ZZ,,MATCH("11.6. AUTRES ACTIVITÉS NON JURIDICTIONNELLES",'ETPT Format DDG'!2:2,0)),
INDEX( 'ETPT Format DDG'!$A:$ZZ,,MATCH("Fonction",'ETPT Format DDG'!2:2,0)),{"JAP";"VPAP";"1VPAP"},
INDEX( 'ETPT Format DDG'!$A:$ZZ,,MATCH("Juridiction",'ETPT Format DDG'!2:2,0)),TJCPH))</f>
        <v>#N/A</v>
      </c>
      <c r="AE9" s="53" t="e" cm="1">
        <f t="array" ref="AE9">SUM(SUMIFS(
INDEX( 'ETPT Format DDG'!$A:$ZZ,,MATCH("11.1. SOUTIEN (HORS FORMATIONS SUIVIES)",'ETPT Format DDG'!2:2,0)),
INDEX( 'ETPT Format DDG'!$A:$ZZ,,MATCH("Fonction",'ETPT Format DDG'!2:2,0)),{"JE";"VPE";"1VPE"},
INDEX( 'ETPT Format DDG'!$A:$ZZ,,MATCH("Juridiction",'ETPT Format DDG'!2:2,0)),TJCPH))+
SUM(SUMIFS(
INDEX( 'ETPT Format DDG'!$A:$ZZ,,MATCH("11.2. FORMATIONS SUIVIES",'ETPT Format DDG'!2:2,0)),
INDEX( 'ETPT Format DDG'!$A:$ZZ,,MATCH("Fonction",'ETPT Format DDG'!2:2,0)),{"JE";"VPE";"1VPE"},
INDEX( 'ETPT Format DDG'!$A:$ZZ,,MATCH("Juridiction",'ETPT Format DDG'!2:2,0)),TJCPH))+
SUM(SUMIFS(
INDEX( 'ETPT Format DDG'!$A:$ZZ,,MATCH("11.6. AUTRES ACTIVITÉS NON JURIDICTIONNELLES",'ETPT Format DDG'!2:2,0)),
INDEX( 'ETPT Format DDG'!$A:$ZZ,,MATCH("Fonction",'ETPT Format DDG'!2:2,0)),{"JE";"VPE";"1VPE"},
INDEX( 'ETPT Format DDG'!$A:$ZZ,,MATCH("Juridiction",'ETPT Format DDG'!2:2,0)),TJCPH))</f>
        <v>#N/A</v>
      </c>
      <c r="AF9" s="53" t="e" cm="1">
        <f t="array" ref="AF9">SUM(SUMIFS(
INDEX( 'ETPT Format DDG'!$A:$ZZ,,MATCH("11.1. SOUTIEN (HORS FORMATIONS SUIVIES)",'ETPT Format DDG'!2:2,0)),
INDEX( 'ETPT Format DDG'!$A:$ZZ,,MATCH("Fonction",'ETPT Format DDG'!2:2,0)),{"VPLD";"1VPLD"},
INDEX( 'ETPT Format DDG'!$A:$ZZ,,MATCH("Juridiction",'ETPT Format DDG'!2:2,0)),TJCPH))+
SUM(SUMIFS(
INDEX( 'ETPT Format DDG'!$A:$ZZ,,MATCH("11.2. FORMATIONS SUIVIES",'ETPT Format DDG'!2:2,0)),
INDEX( 'ETPT Format DDG'!$A:$ZZ,,MATCH("Fonction",'ETPT Format DDG'!2:2,0)),{"VPLD";"1VPLD"},
INDEX( 'ETPT Format DDG'!$A:$ZZ,,MATCH("Juridiction",'ETPT Format DDG'!2:2,0)),TJCPH))+
SUM(SUMIFS(
INDEX( 'ETPT Format DDG'!$A:$ZZ,,MATCH("11.6. AUTRES ACTIVITÉS NON JURIDICTIONNELLES",'ETPT Format DDG'!2:2,0)),
INDEX( 'ETPT Format DDG'!$A:$ZZ,,MATCH("Fonction",'ETPT Format DDG'!2:2,0)),{"VPLD";"1VPLD"},
INDEX( 'ETPT Format DDG'!$A:$ZZ,,MATCH("Juridiction",'ETPT Format DDG'!2:2,0)),TJCPH))</f>
        <v>#N/A</v>
      </c>
      <c r="AG9" s="46" t="e">
        <f t="shared" si="1"/>
        <v>#N/A</v>
      </c>
      <c r="AH9" s="62"/>
      <c r="AI9" s="62"/>
      <c r="AJ9" s="62"/>
      <c r="AK9" s="62"/>
      <c r="AL9" s="62"/>
      <c r="AM9" s="62"/>
      <c r="AN9" s="62"/>
      <c r="AO9" s="62"/>
      <c r="AP9" s="62"/>
      <c r="AQ9" s="62"/>
      <c r="AR9" s="62"/>
      <c r="AS9" s="62"/>
      <c r="AT9" s="53" t="e" cm="1">
        <f t="array" ref="AT9">SUM(SUMIFS(
INDEX( 'ETPT Format DDG'!$A:$ZZ,,MATCH("11.1. SOUTIEN (HORS FORMATIONS SUIVIES)",'ETPT Format DDG'!2:2,0)),
INDEX( 'ETPT Format DDG'!$A:$ZZ,,MATCH("Fonction recodée",'ETPT Format DDG'!2:2,0)),"Magistrat SIEGE NS",
INDEX( 'ETPT Format DDG'!$A:$ZZ,,MATCH("Juridiction",'ETPT Format DDG'!2:2,0)),TJCPH))+
SUM(SUMIFS(
INDEX( 'ETPT Format DDG'!$A:$ZZ,,MATCH("11.2. FORMATIONS SUIVIES",'ETPT Format DDG'!2:2,0)),
INDEX( 'ETPT Format DDG'!$A:$ZZ,,MATCH("Fonction recodée",'ETPT Format DDG'!2:2,0)),"Magistrat SIEGE NS",
INDEX( 'ETPT Format DDG'!$A:$ZZ,,MATCH("Juridiction",'ETPT Format DDG'!2:2,0)),TJCPH))+
SUM(SUMIFS(
INDEX( 'ETPT Format DDG'!$A:$ZZ,,MATCH("11.6. AUTRES ACTIVITÉS NON JURIDICTIONNELLES",'ETPT Format DDG'!2:2,0)),
INDEX( 'ETPT Format DDG'!$A:$ZZ,,MATCH("Fonction recodée",'ETPT Format DDG'!2:2,0)),"Magistrat SIEGE NS",
INDEX( 'ETPT Format DDG'!$A:$ZZ,,MATCH("Juridiction",'ETPT Format DDG'!2:2,0)),TJCPH))</f>
        <v>#N/A</v>
      </c>
      <c r="AU9" s="46" t="e">
        <f t="shared" si="2"/>
        <v>#N/A</v>
      </c>
      <c r="AV9" s="52"/>
      <c r="AW9" s="52"/>
      <c r="AX9" s="52"/>
      <c r="AY9" s="52"/>
      <c r="AZ9" s="52"/>
      <c r="BA9" s="52"/>
      <c r="BB9" s="52"/>
      <c r="BC9" s="52"/>
      <c r="BD9" s="52"/>
      <c r="BE9" s="46">
        <f t="shared" si="3"/>
        <v>0</v>
      </c>
    </row>
    <row r="10" spans="1:57" s="41" customFormat="1" ht="14.25" customHeight="1" x14ac:dyDescent="0.15">
      <c r="A10" s="51" t="s">
        <v>42</v>
      </c>
      <c r="B10" s="60"/>
      <c r="C10" s="60"/>
      <c r="D10" s="61" t="str">
        <f t="shared" si="4"/>
        <v/>
      </c>
      <c r="E10" s="60" t="s">
        <v>52</v>
      </c>
      <c r="F10" s="60" t="s">
        <v>51</v>
      </c>
      <c r="G10" s="101" t="e" cm="1">
        <f t="array" ref="G10">SUM(SUMIFS(
INDEX( 'ETPT Format DDG'!$A:$ZZ,,MATCH("11.3. FORMATIONS DISPENSÉES",'ETPT Format DDG'!2:2,0)),
INDEX( 'ETPT Format DDG'!$A:$ZZ,,MATCH("Fonction recodée",'ETPT Format DDG'!2:2,0)),"Fonctionnaire CTECH",
INDEX( 'ETPT Format DDG'!$A:$ZZ,,MATCH("Juridiction",'ETPT Format DDG'!2:2,0)),TJCPH))</f>
        <v>#N/A</v>
      </c>
      <c r="H10" s="59" t="e">
        <f t="shared" si="0"/>
        <v>#N/A</v>
      </c>
      <c r="I10" s="62"/>
      <c r="J10" s="62"/>
      <c r="K10" s="62"/>
      <c r="L10" s="62"/>
      <c r="M10" s="62"/>
      <c r="N10" s="62"/>
      <c r="O10" s="62"/>
      <c r="P10" s="62"/>
      <c r="Q10" s="62"/>
      <c r="R10" s="62"/>
      <c r="S10" s="62"/>
      <c r="T10" s="62"/>
      <c r="U10" s="62"/>
      <c r="V10" s="53" t="e" cm="1">
        <f t="array" ref="V10">SUM(SUMIFS(
INDEX( 'ETPT Format DDG'!$A:$ZZ,,MATCH("11.3. FORMATIONS DISPENSÉES",'ETPT Format DDG'!2:2,0)),
INDEX( 'ETPT Format DDG'!$A:$ZZ,,MATCH("Fonction recodée",'ETPT Format DDG'!2:2,0)),"Fonctionnaire A-B-CBUR",
INDEX( 'ETPT Format DDG'!$A:$ZZ,,MATCH("Juridiction",'ETPT Format DDG'!2:2,0)),TJCPH))</f>
        <v>#N/A</v>
      </c>
      <c r="W10" s="46" t="e">
        <f t="shared" si="5"/>
        <v>#N/A</v>
      </c>
      <c r="X10" s="62"/>
      <c r="Y10" s="53" t="e" cm="1">
        <f t="array" ref="Y10">SUM(SUMIFS(
INDEX( 'ETPT Format DDG'!$A:$ZZ,,MATCH("11.3. FORMATIONS DISPENSÉES",'ETPT Format DDG'!2:2,0)),
INDEX( 'ETPT Format DDG'!$A:$ZZ,,MATCH("Fonction",'ETPT Format DDG'!2:2,0)),{"JCP";"VPCP";"1VPCP"},
INDEX( 'ETPT Format DDG'!$A:$ZZ,,MATCH("Juridiction",'ETPT Format DDG'!2:2,0)),TJCPH))</f>
        <v>#N/A</v>
      </c>
      <c r="Z10" s="53" t="e" cm="1">
        <f t="array" ref="Z10">SUM(SUMIFS(
INDEX( 'ETPT Format DDG'!$A:$ZZ,,MATCH("11.3. FORMATIONS DISPENSÉES",'ETPT Format DDG'!2:2,0)),
INDEX( 'ETPT Format DDG'!$A:$ZZ,,MATCH("Fonction",'ETPT Format DDG'!2:2,0)),{"JI";"VPI";"1VPI"},
INDEX( 'ETPT Format DDG'!$A:$ZZ,,MATCH("Juridiction",'ETPT Format DDG'!2:2,0)),TJCPH))</f>
        <v>#N/A</v>
      </c>
      <c r="AA10" s="62"/>
      <c r="AB10" s="62"/>
      <c r="AC10" s="62"/>
      <c r="AD10" s="53" t="e" cm="1">
        <f t="array" ref="AD10">SUM(SUMIFS(
INDEX( 'ETPT Format DDG'!$A:$ZZ,,MATCH("11.3. FORMATIONS DISPENSÉES",'ETPT Format DDG'!2:2,0)),
INDEX( 'ETPT Format DDG'!$A:$ZZ,,MATCH("Fonction",'ETPT Format DDG'!2:2,0)),{"JAP";"VPAP";"1VPAP"},
INDEX( 'ETPT Format DDG'!$A:$ZZ,,MATCH("Juridiction",'ETPT Format DDG'!2:2,0)),TJCPH))</f>
        <v>#N/A</v>
      </c>
      <c r="AE10" s="53" t="e" cm="1">
        <f t="array" ref="AE10">SUM(SUMIFS(
INDEX( 'ETPT Format DDG'!$A:$ZZ,,MATCH("11.3. FORMATIONS DISPENSÉES",'ETPT Format DDG'!2:2,0)),
INDEX( 'ETPT Format DDG'!$A:$ZZ,,MATCH("Fonction",'ETPT Format DDG'!2:2,0)),{"JE";"VPE";"1VPE"},
INDEX( 'ETPT Format DDG'!$A:$ZZ,,MATCH("Juridiction",'ETPT Format DDG'!2:2,0)),TJCPH))</f>
        <v>#N/A</v>
      </c>
      <c r="AF10" s="53" t="e" cm="1">
        <f t="array" ref="AF10">SUM(SUMIFS(
INDEX( 'ETPT Format DDG'!$A:$ZZ,,MATCH("11.3. FORMATIONS DISPENSÉES",'ETPT Format DDG'!2:2,0)),
INDEX( 'ETPT Format DDG'!$A:$ZZ,,MATCH("Fonction",'ETPT Format DDG'!2:2,0)),{"VPLD";"1VPLD"},
INDEX( 'ETPT Format DDG'!$A:$ZZ,,MATCH("Juridiction",'ETPT Format DDG'!2:2,0)),TJCPH))</f>
        <v>#N/A</v>
      </c>
      <c r="AG10" s="46" t="e">
        <f t="shared" si="1"/>
        <v>#N/A</v>
      </c>
      <c r="AH10" s="62"/>
      <c r="AI10" s="62"/>
      <c r="AJ10" s="62"/>
      <c r="AK10" s="62"/>
      <c r="AL10" s="62"/>
      <c r="AM10" s="62"/>
      <c r="AN10" s="62"/>
      <c r="AO10" s="62"/>
      <c r="AP10" s="62"/>
      <c r="AQ10" s="62"/>
      <c r="AR10" s="62"/>
      <c r="AS10" s="62"/>
      <c r="AT10" s="53" t="e" cm="1">
        <f t="array" ref="AT10">SUM(SUMIFS(
INDEX( 'ETPT Format DDG'!$A:$ZZ,,MATCH("11.3. FORMATIONS DISPENSÉES",'ETPT Format DDG'!2:2,0)),
INDEX( 'ETPT Format DDG'!$A:$ZZ,,MATCH("Fonction recodée",'ETPT Format DDG'!2:2,0)),"Magistrat SIEGE NS",
INDEX( 'ETPT Format DDG'!$A:$ZZ,,MATCH("Juridiction",'ETPT Format DDG'!2:2,0)),TJCPH))</f>
        <v>#N/A</v>
      </c>
      <c r="AU10" s="46" t="e">
        <f t="shared" si="2"/>
        <v>#N/A</v>
      </c>
      <c r="AV10" s="52"/>
      <c r="AW10" s="52"/>
      <c r="AX10" s="52"/>
      <c r="AY10" s="52"/>
      <c r="AZ10" s="52"/>
      <c r="BA10" s="52"/>
      <c r="BB10" s="52"/>
      <c r="BC10" s="52"/>
      <c r="BD10" s="52"/>
      <c r="BE10" s="46">
        <f t="shared" si="3"/>
        <v>0</v>
      </c>
    </row>
    <row r="11" spans="1:57" s="41" customFormat="1" ht="14.25" customHeight="1" x14ac:dyDescent="0.15">
      <c r="A11" s="51" t="s">
        <v>42</v>
      </c>
      <c r="B11" s="60"/>
      <c r="C11" s="60"/>
      <c r="D11" s="61" t="str">
        <f t="shared" si="4"/>
        <v/>
      </c>
      <c r="E11" s="60" t="s">
        <v>50</v>
      </c>
      <c r="F11" s="60" t="s">
        <v>49</v>
      </c>
      <c r="G11" s="101" t="e" cm="1">
        <f t="array" ref="G11">SUM(SUMIFS(
INDEX( 'ETPT Format DDG'!$A:$ZZ,,MATCH("11.4. ACCÈS AU DROIT ET À LA JUSTICE",'ETPT Format DDG'!2:2,0)),
INDEX( 'ETPT Format DDG'!$A:$ZZ,,MATCH("Fonction recodée",'ETPT Format DDG'!2:2,0)),"Fonctionnaire CTECH",
INDEX( 'ETPT Format DDG'!$A:$ZZ,,MATCH("Juridiction",'ETPT Format DDG'!2:2,0)),TJCPH))</f>
        <v>#N/A</v>
      </c>
      <c r="H11" s="59" t="e">
        <f t="shared" si="0"/>
        <v>#N/A</v>
      </c>
      <c r="I11" s="62"/>
      <c r="J11" s="62"/>
      <c r="K11" s="62"/>
      <c r="L11" s="62"/>
      <c r="M11" s="62"/>
      <c r="N11" s="62"/>
      <c r="O11" s="62"/>
      <c r="P11" s="62"/>
      <c r="Q11" s="62"/>
      <c r="R11" s="62"/>
      <c r="S11" s="62"/>
      <c r="T11" s="62"/>
      <c r="U11" s="62"/>
      <c r="V11" s="53" t="e" cm="1">
        <f t="array" ref="V11">SUM(SUMIFS(
INDEX( 'ETPT Format DDG'!$A:$ZZ,,MATCH("11.4. ACCÈS AU DROIT ET À LA JUSTICE",'ETPT Format DDG'!2:2,0)),
INDEX( 'ETPT Format DDG'!$A:$ZZ,,MATCH("Fonction recodée",'ETPT Format DDG'!2:2,0)),"Fonctionnaire A-B-CBUR",
INDEX( 'ETPT Format DDG'!$A:$ZZ,,MATCH("Juridiction",'ETPT Format DDG'!2:2,0)),TJCPH))</f>
        <v>#N/A</v>
      </c>
      <c r="W11" s="46" t="e">
        <f t="shared" si="5"/>
        <v>#N/A</v>
      </c>
      <c r="X11" s="62"/>
      <c r="Y11" s="53" t="e" cm="1">
        <f t="array" ref="Y11">SUM(SUMIFS(
INDEX( 'ETPT Format DDG'!$A:$ZZ,,MATCH("11.4. ACCÈS AU DROIT ET À LA JUSTICE",'ETPT Format DDG'!2:2,0)),
INDEX( 'ETPT Format DDG'!$A:$ZZ,,MATCH("Fonction",'ETPT Format DDG'!2:2,0)),{"JCP";"VPCP";"1VPCP"},
INDEX( 'ETPT Format DDG'!$A:$ZZ,,MATCH("Juridiction",'ETPT Format DDG'!2:2,0)),TJCPH))</f>
        <v>#N/A</v>
      </c>
      <c r="Z11" s="53" t="e" cm="1">
        <f t="array" ref="Z11">SUM(SUMIFS(
INDEX( 'ETPT Format DDG'!$A:$ZZ,,MATCH("11.4. ACCÈS AU DROIT ET À LA JUSTICE",'ETPT Format DDG'!2:2,0)),
INDEX( 'ETPT Format DDG'!$A:$ZZ,,MATCH("Fonction",'ETPT Format DDG'!2:2,0)),{"JI";"VPI";"1VPI"},
INDEX( 'ETPT Format DDG'!$A:$ZZ,,MATCH("Juridiction",'ETPT Format DDG'!2:2,0)),TJCPH))</f>
        <v>#N/A</v>
      </c>
      <c r="AA11" s="64"/>
      <c r="AB11" s="64"/>
      <c r="AC11" s="64"/>
      <c r="AD11" s="53" t="e" cm="1">
        <f t="array" ref="AD11">SUM(SUMIFS(
INDEX( 'ETPT Format DDG'!$A:$ZZ,,MATCH("11.4. ACCÈS AU DROIT ET À LA JUSTICE",'ETPT Format DDG'!2:2,0)),
INDEX( 'ETPT Format DDG'!$A:$ZZ,,MATCH("Fonction",'ETPT Format DDG'!2:2,0)),{"JAP";"VPAP";"1VPAP"},
INDEX( 'ETPT Format DDG'!$A:$ZZ,,MATCH("Juridiction",'ETPT Format DDG'!2:2,0)),TJCPH))</f>
        <v>#N/A</v>
      </c>
      <c r="AE11" s="53" t="e" cm="1">
        <f t="array" ref="AE11">SUM(SUMIFS(
INDEX( 'ETPT Format DDG'!$A:$ZZ,,MATCH("11.4. ACCÈS AU DROIT ET À LA JUSTICE",'ETPT Format DDG'!2:2,0)),
INDEX( 'ETPT Format DDG'!$A:$ZZ,,MATCH("Fonction",'ETPT Format DDG'!2:2,0)),{"JE";"VPE";"1VPE"},
INDEX( 'ETPT Format DDG'!$A:$ZZ,,MATCH("Juridiction",'ETPT Format DDG'!2:2,0)),TJCPH))</f>
        <v>#N/A</v>
      </c>
      <c r="AF11" s="53" t="e" cm="1">
        <f t="array" ref="AF11">SUM(SUMIFS(
INDEX( 'ETPT Format DDG'!$A:$ZZ,,MATCH("11.4. ACCÈS AU DROIT ET À LA JUSTICE",'ETPT Format DDG'!2:2,0)),
INDEX( 'ETPT Format DDG'!$A:$ZZ,,MATCH("Fonction",'ETPT Format DDG'!2:2,0)),{"VPLD";"1VPLD"},
INDEX( 'ETPT Format DDG'!$A:$ZZ,,MATCH("Juridiction",'ETPT Format DDG'!2:2,0)),TJCPH))</f>
        <v>#N/A</v>
      </c>
      <c r="AG11" s="59" t="e">
        <f t="shared" si="1"/>
        <v>#N/A</v>
      </c>
      <c r="AH11" s="62"/>
      <c r="AI11" s="62"/>
      <c r="AJ11" s="62"/>
      <c r="AK11" s="62"/>
      <c r="AL11" s="62"/>
      <c r="AM11" s="62"/>
      <c r="AN11" s="62"/>
      <c r="AO11" s="62"/>
      <c r="AP11" s="62"/>
      <c r="AQ11" s="62"/>
      <c r="AR11" s="62"/>
      <c r="AS11" s="62"/>
      <c r="AT11" s="53" t="e" cm="1">
        <f t="array" ref="AT11">SUM(SUMIFS(
INDEX( 'ETPT Format DDG'!$A:$ZZ,,MATCH("11.4. ACCÈS AU DROIT ET À LA JUSTICE",'ETPT Format DDG'!2:2,0)),
INDEX( 'ETPT Format DDG'!$A:$ZZ,,MATCH("Fonction recodée",'ETPT Format DDG'!2:2,0)),"Magistrat SIEGE NS",
INDEX( 'ETPT Format DDG'!$A:$ZZ,,MATCH("Juridiction",'ETPT Format DDG'!2:2,0)),TJCPH))</f>
        <v>#N/A</v>
      </c>
      <c r="AU11" s="46" t="e">
        <f t="shared" si="2"/>
        <v>#N/A</v>
      </c>
      <c r="AV11" s="52"/>
      <c r="AW11" s="52"/>
      <c r="AX11" s="52"/>
      <c r="AY11" s="52"/>
      <c r="AZ11" s="52"/>
      <c r="BA11" s="52"/>
      <c r="BB11" s="52"/>
      <c r="BC11" s="52"/>
      <c r="BD11" s="52"/>
      <c r="BE11" s="46">
        <f t="shared" si="3"/>
        <v>0</v>
      </c>
    </row>
    <row r="12" spans="1:57" s="41" customFormat="1" ht="14.25" customHeight="1" x14ac:dyDescent="0.15">
      <c r="A12" s="51" t="s">
        <v>42</v>
      </c>
      <c r="B12" s="60"/>
      <c r="C12" s="60"/>
      <c r="D12" s="61" t="str">
        <f t="shared" si="4"/>
        <v/>
      </c>
      <c r="E12" s="60" t="s">
        <v>48</v>
      </c>
      <c r="F12" s="60" t="s">
        <v>47</v>
      </c>
      <c r="G12" s="101" t="e" cm="1">
        <f t="array" ref="G12">SUM(SUMIFS(
INDEX( 'ETPT Format DDG'!$A:$ZZ,,MATCH("12. TOTAL des INDISPONIBILITÉS relevant de l'action 99",'ETPT Format DDG'!2:2,0)),
INDEX( 'ETPT Format DDG'!$A:$ZZ,,MATCH("Fonction recodée",'ETPT Format DDG'!2:2,0)),"Fonctionnaire CTECH",
INDEX( 'ETPT Format DDG'!$A:$ZZ,,MATCH("Juridiction",'ETPT Format DDG'!2:2,0)),TJCPH))-
SUM(SUMIFS(
INDEX( 'ETPT Format DDG'!$A:$ZZ,,MATCH("12.5. MISE À DISPOSITION",'ETPT Format DDG'!2:2,0)),
INDEX( 'ETPT Format DDG'!$A:$ZZ,,MATCH("Fonction recodée",'ETPT Format DDG'!2:2,0)),"Fonctionnaire CTECH",
INDEX( 'ETPT Format DDG'!$A:$ZZ,,MATCH("Juridiction",'ETPT Format DDG'!2:2,0)),TJCPH))</f>
        <v>#N/A</v>
      </c>
      <c r="H12" s="59" t="e">
        <f t="shared" si="0"/>
        <v>#N/A</v>
      </c>
      <c r="I12" s="62"/>
      <c r="J12" s="62"/>
      <c r="K12" s="62"/>
      <c r="L12" s="62"/>
      <c r="M12" s="62"/>
      <c r="N12" s="62"/>
      <c r="O12" s="62"/>
      <c r="P12" s="62"/>
      <c r="Q12" s="62"/>
      <c r="R12" s="266"/>
      <c r="S12" s="62"/>
      <c r="T12" s="62"/>
      <c r="U12" s="62"/>
      <c r="V12" s="53" t="e" cm="1">
        <f t="array" ref="V12">SUM(SUMIFS(
INDEX( 'ETPT Format DDG'!$A:$ZZ,,MATCH("12. TOTAL des INDISPONIBILITÉS relevant de l'action 99",'ETPT Format DDG'!2:2,0)),
INDEX( 'ETPT Format DDG'!$A:$ZZ,,MATCH("Fonction recodée",'ETPT Format DDG'!2:2,0)),"Fonctionnaire A-B-CBUR",
INDEX( 'ETPT Format DDG'!$A:$ZZ,,MATCH("Juridiction",'ETPT Format DDG'!2:2,0)),TJCPH))-
SUM(SUMIFS(
INDEX( 'ETPT Format DDG'!$A:$ZZ,,MATCH("12.5. MISE À DISPOSITION",'ETPT Format DDG'!2:2,0)),
INDEX( 'ETPT Format DDG'!$A:$ZZ,,MATCH("Fonction recodée",'ETPT Format DDG'!2:2,0)),"Fonctionnaire A-B-CBUR",
INDEX( 'ETPT Format DDG'!$A:$ZZ,,MATCH("Juridiction",'ETPT Format DDG'!2:2,0)),TJCPH))</f>
        <v>#N/A</v>
      </c>
      <c r="W12" s="46" t="e">
        <f t="shared" si="5"/>
        <v>#N/A</v>
      </c>
      <c r="X12" s="62"/>
      <c r="Y12" s="53" t="e" cm="1">
        <f t="array" ref="Y12">SUM(SUMIFS(
INDEX( 'ETPT Format DDG'!$A:$ZZ,,MATCH("12. TOTAL des INDISPONIBILITÉS relevant de l'action 99",'ETPT Format DDG'!2:2,0)),
INDEX( 'ETPT Format DDG'!$A:$ZZ,,MATCH("Fonction",'ETPT Format DDG'!2:2,0)),{"JCP";"VPCP";"1VPCP"},
INDEX( 'ETPT Format DDG'!$A:$ZZ,,MATCH("Juridiction",'ETPT Format DDG'!2:2,0)),TJCPH))-
SUM(SUMIFS(
INDEX( 'ETPT Format DDG'!$A:$ZZ,,MATCH("12.5. MISE À DISPOSITION",'ETPT Format DDG'!2:2,0)),
INDEX( 'ETPT Format DDG'!$A:$ZZ,,MATCH("Fonction",'ETPT Format DDG'!2:2,0)),{"JCP";"VPCP";"1VPCP"},
INDEX( 'ETPT Format DDG'!$A:$ZZ,,MATCH("Juridiction",'ETPT Format DDG'!2:2,0)),TJCPH))</f>
        <v>#N/A</v>
      </c>
      <c r="Z12" s="53" t="e" cm="1">
        <f t="array" ref="Z12">SUM(SUMIFS(
INDEX( 'ETPT Format DDG'!$A:$ZZ,,MATCH("12. TOTAL des INDISPONIBILITÉS relevant de l'action 99",'ETPT Format DDG'!2:2,0)),
INDEX( 'ETPT Format DDG'!$A:$ZZ,,MATCH("Fonction",'ETPT Format DDG'!2:2,0)),{"JI";"VPI";"1VPI"},
INDEX( 'ETPT Format DDG'!$A:$ZZ,,MATCH("Juridiction",'ETPT Format DDG'!2:2,0)),TJCPH))-
SUM(SUMIFS(
INDEX( 'ETPT Format DDG'!$A:$ZZ,,MATCH("12.5. MISE À DISPOSITION",'ETPT Format DDG'!2:2,0)),
INDEX( 'ETPT Format DDG'!$A:$ZZ,,MATCH("Fonction",'ETPT Format DDG'!2:2,0)),{"JI";"VPI";"1VPI"},
INDEX( 'ETPT Format DDG'!$A:$ZZ,,MATCH("Juridiction",'ETPT Format DDG'!2:2,0)),TJCPH))</f>
        <v>#N/A</v>
      </c>
      <c r="AA12" s="62"/>
      <c r="AB12" s="62"/>
      <c r="AC12" s="62"/>
      <c r="AD12" s="53" t="e" cm="1">
        <f t="array" ref="AD12">SUM(SUMIFS(
INDEX( 'ETPT Format DDG'!$A:$ZZ,,MATCH("12. TOTAL des INDISPONIBILITÉS relevant de l'action 99",'ETPT Format DDG'!2:2,0)),
INDEX( 'ETPT Format DDG'!$A:$ZZ,,MATCH("Fonction",'ETPT Format DDG'!2:2,0)),{"JAP";"VPAP";"1VPAP"},
INDEX( 'ETPT Format DDG'!$A:$ZZ,,MATCH("Juridiction",'ETPT Format DDG'!2:2,0)),TJCPH))-
SUM(SUMIFS(
INDEX( 'ETPT Format DDG'!$A:$ZZ,,MATCH("12.5. MISE À DISPOSITION",'ETPT Format DDG'!2:2,0)),
INDEX( 'ETPT Format DDG'!$A:$ZZ,,MATCH("Fonction",'ETPT Format DDG'!2:2,0)),{"JAP";"VPAP";"1VPAP"},
INDEX( 'ETPT Format DDG'!$A:$ZZ,,MATCH("Juridiction",'ETPT Format DDG'!2:2,0)),TJCPH))</f>
        <v>#N/A</v>
      </c>
      <c r="AE12" s="53" t="e" cm="1">
        <f t="array" ref="AE12">SUM(SUMIFS(
INDEX( 'ETPT Format DDG'!$A:$ZZ,,MATCH("12. TOTAL des INDISPONIBILITÉS relevant de l'action 99",'ETPT Format DDG'!2:2,0)),
INDEX( 'ETPT Format DDG'!$A:$ZZ,,MATCH("Fonction",'ETPT Format DDG'!2:2,0)),{"JE";"VPE";"1VPE"},
INDEX( 'ETPT Format DDG'!$A:$ZZ,,MATCH("Juridiction",'ETPT Format DDG'!2:2,0)),TJCPH))-
SUM(SUMIFS(
INDEX( 'ETPT Format DDG'!$A:$ZZ,,MATCH("12.5. MISE À DISPOSITION",'ETPT Format DDG'!2:2,0)),
INDEX( 'ETPT Format DDG'!$A:$ZZ,,MATCH("Fonction",'ETPT Format DDG'!2:2,0)),{"JE";"VPE";"1VPE"},
INDEX( 'ETPT Format DDG'!$A:$ZZ,,MATCH("Juridiction",'ETPT Format DDG'!2:2,0)),TJCPH))</f>
        <v>#N/A</v>
      </c>
      <c r="AF12" s="53" t="e" cm="1">
        <f t="array" ref="AF12">SUM(SUMIFS(
INDEX( 'ETPT Format DDG'!$A:$ZZ,,MATCH("12. TOTAL des INDISPONIBILITÉS relevant de l'action 99",'ETPT Format DDG'!2:2,0)),
INDEX( 'ETPT Format DDG'!$A:$ZZ,,MATCH("Fonction",'ETPT Format DDG'!2:2,0)),{"VPLD";"1VPLD"},
INDEX( 'ETPT Format DDG'!$A:$ZZ,,MATCH("Juridiction",'ETPT Format DDG'!2:2,0)),TJCPH))-
SUM(SUMIFS(
INDEX( 'ETPT Format DDG'!$A:$ZZ,,MATCH("12.5. MISE À DISPOSITION",'ETPT Format DDG'!2:2,0)),
INDEX( 'ETPT Format DDG'!$A:$ZZ,,MATCH("Fonction",'ETPT Format DDG'!2:2,0)),{"VPLD";"1VPLD"},
INDEX( 'ETPT Format DDG'!$A:$ZZ,,MATCH("Juridiction",'ETPT Format DDG'!2:2,0)),TJCPH))</f>
        <v>#N/A</v>
      </c>
      <c r="AG12" s="46" t="e">
        <f t="shared" si="1"/>
        <v>#N/A</v>
      </c>
      <c r="AH12" s="62"/>
      <c r="AI12" s="62"/>
      <c r="AJ12" s="62"/>
      <c r="AK12" s="62"/>
      <c r="AL12" s="62"/>
      <c r="AM12" s="62"/>
      <c r="AN12" s="62"/>
      <c r="AO12" s="62"/>
      <c r="AP12" s="62"/>
      <c r="AQ12" s="62"/>
      <c r="AR12" s="62"/>
      <c r="AS12" s="62"/>
      <c r="AT12" s="53" t="e" cm="1">
        <f t="array" ref="AT12">SUM(SUMIFS(
INDEX( 'ETPT Format DDG'!$A:$ZZ,,MATCH("12. TOTAL des INDISPONIBILITÉS relevant de l'action 99",'ETPT Format DDG'!2:2,0)),
INDEX( 'ETPT Format DDG'!$A:$ZZ,,MATCH("Fonction recodée",'ETPT Format DDG'!2:2,0)),"Magistrat SIEGE NS",
INDEX( 'ETPT Format DDG'!$A:$ZZ,,MATCH("Juridiction",'ETPT Format DDG'!2:2,0)),TJCPH))-
SUM(SUMIFS(
INDEX( 'ETPT Format DDG'!$A:$ZZ,,MATCH("12.5. MISE À DISPOSITION",'ETPT Format DDG'!2:2,0)),
INDEX( 'ETPT Format DDG'!$A:$ZZ,,MATCH("Fonction recodée",'ETPT Format DDG'!2:2,0)),"Magistrat SIEGE NS",
INDEX( 'ETPT Format DDG'!$A:$ZZ,,MATCH("Juridiction",'ETPT Format DDG'!2:2,0)),TJCPH))</f>
        <v>#N/A</v>
      </c>
      <c r="AU12" s="46" t="e">
        <f t="shared" si="2"/>
        <v>#N/A</v>
      </c>
      <c r="AV12" s="52"/>
      <c r="AW12" s="52"/>
      <c r="AX12" s="52"/>
      <c r="AY12" s="52"/>
      <c r="AZ12" s="52"/>
      <c r="BA12" s="52"/>
      <c r="BB12" s="52"/>
      <c r="BC12" s="52"/>
      <c r="BD12" s="52"/>
      <c r="BE12" s="46">
        <f t="shared" si="3"/>
        <v>0</v>
      </c>
    </row>
    <row r="13" spans="1:57" s="41" customFormat="1" ht="14.25" customHeight="1" x14ac:dyDescent="0.15">
      <c r="A13" s="51" t="s">
        <v>42</v>
      </c>
      <c r="B13" s="60"/>
      <c r="C13" s="60"/>
      <c r="D13" s="61" t="str">
        <f t="shared" si="4"/>
        <v/>
      </c>
      <c r="E13" s="60" t="s">
        <v>46</v>
      </c>
      <c r="F13" s="60" t="s">
        <v>45</v>
      </c>
      <c r="G13" s="101" t="e" cm="1">
        <f t="array" ref="G13">SUM(SUMIFS(
INDEX( 'ETPT Format DDG'!$A:$ZZ,,MATCH("12.5. MISE À DISPOSITION",'ETPT Format DDG'!2:2,0)),
INDEX( 'ETPT Format DDG'!$A:$ZZ,,MATCH("Fonction recodée",'ETPT Format DDG'!2:2,0)),"Fonctionnaire CTECH",
INDEX( 'ETPT Format DDG'!$A:$ZZ,,MATCH("Juridiction",'ETPT Format DDG'!2:2,0)),TJCPH))+
SUM(SUMIFS(
INDEX( 'ETPT Format DDG'!$A:$ZZ,,MATCH("13. TOTAL CONTENTIEUX LOCAUX SPÉCIFIQUES",'ETPT Format DDG'!2:2,0)),
INDEX( 'ETPT Format DDG'!$A:$ZZ,,MATCH("Fonction recodée",'ETPT Format DDG'!2:2,0)),"Fonctionnaire CTECH",
INDEX( 'ETPT Format DDG'!$A:$ZZ,,MATCH("Juridiction",'ETPT Format DDG'!2:2,0)),TJCPH))</f>
        <v>#N/A</v>
      </c>
      <c r="H13" s="59" t="e">
        <f t="shared" si="0"/>
        <v>#N/A</v>
      </c>
      <c r="I13" s="62"/>
      <c r="J13" s="62"/>
      <c r="K13" s="62"/>
      <c r="L13" s="62"/>
      <c r="M13" s="62"/>
      <c r="N13" s="62"/>
      <c r="O13" s="62"/>
      <c r="P13" s="62"/>
      <c r="Q13" s="62"/>
      <c r="R13" s="62"/>
      <c r="S13" s="62"/>
      <c r="T13" s="62"/>
      <c r="U13" s="62"/>
      <c r="V13" s="53" t="e" cm="1">
        <f t="array" ref="V13">SUM(SUMIFS(
INDEX( 'ETPT Format DDG'!$A:$ZZ,,MATCH("12.5. MISE À DISPOSITION",'ETPT Format DDG'!2:2,0)),
INDEX( 'ETPT Format DDG'!$A:$ZZ,,MATCH("Fonction recodée",'ETPT Format DDG'!2:2,0)),"Fonctionnaire A-B-CBUR",
INDEX( 'ETPT Format DDG'!$A:$ZZ,,MATCH("Juridiction",'ETPT Format DDG'!2:2,0)),TJCPH))+
SUM(SUMIFS(
INDEX( 'ETPT Format DDG'!$A:$ZZ,,MATCH("13. TOTAL CONTENTIEUX LOCAUX SPÉCIFIQUES",'ETPT Format DDG'!2:2,0)),
INDEX( 'ETPT Format DDG'!$A:$ZZ,,MATCH("Fonction recodée",'ETPT Format DDG'!2:2,0)),"Fonctionnaire A-B-CBUR",
INDEX( 'ETPT Format DDG'!$A:$ZZ,,MATCH("Juridiction",'ETPT Format DDG'!2:2,0)),TJCPH))</f>
        <v>#N/A</v>
      </c>
      <c r="W13" s="46" t="e">
        <f t="shared" si="5"/>
        <v>#N/A</v>
      </c>
      <c r="X13" s="62"/>
      <c r="Y13" s="53" t="e" cm="1">
        <f t="array" ref="Y13">SUM(SUMIFS(
INDEX( 'ETPT Format DDG'!$A:$ZZ,,MATCH("12.5. MISE À DISPOSITION",'ETPT Format DDG'!2:2,0)),
INDEX( 'ETPT Format DDG'!$A:$ZZ,,MATCH("Fonction",'ETPT Format DDG'!2:2,0)),{"JCP";"VPCP";"1VPCP"},
INDEX( 'ETPT Format DDG'!$A:$ZZ,,MATCH("Juridiction",'ETPT Format DDG'!2:2,0)),TJCPH))</f>
        <v>#N/A</v>
      </c>
      <c r="Z13" s="53" t="e" cm="1">
        <f t="array" ref="Z13">SUM(SUMIFS(
INDEX( 'ETPT Format DDG'!$A:$ZZ,,MATCH("12.5. MISE À DISPOSITION",'ETPT Format DDG'!2:2,0)),
INDEX( 'ETPT Format DDG'!$A:$ZZ,,MATCH("Fonction",'ETPT Format DDG'!2:2,0)),{"JI";"VPI";"1VPI"},
INDEX( 'ETPT Format DDG'!$A:$ZZ,,MATCH("Juridiction",'ETPT Format DDG'!2:2,0)),TJCPH))</f>
        <v>#N/A</v>
      </c>
      <c r="AA13" s="62"/>
      <c r="AB13" s="62"/>
      <c r="AC13" s="62"/>
      <c r="AD13" s="53" t="e" cm="1">
        <f t="array" ref="AD13">SUM(SUMIFS(
INDEX( 'ETPT Format DDG'!$A:$ZZ,,MATCH("12.5. MISE À DISPOSITION",'ETPT Format DDG'!2:2,0)),
INDEX( 'ETPT Format DDG'!$A:$ZZ,,MATCH("Fonction",'ETPT Format DDG'!2:2,0)),{"JAP";"VPAP";"1VPAP"},
INDEX( 'ETPT Format DDG'!$A:$ZZ,,MATCH("Juridiction",'ETPT Format DDG'!2:2,0)),TJCPH))</f>
        <v>#N/A</v>
      </c>
      <c r="AE13" s="53" t="e" cm="1">
        <f t="array" ref="AE13">SUM(SUMIFS(
INDEX( 'ETPT Format DDG'!$A:$ZZ,,MATCH("12.5. MISE À DISPOSITION",'ETPT Format DDG'!2:2,0)),
INDEX( 'ETPT Format DDG'!$A:$ZZ,,MATCH("Fonction",'ETPT Format DDG'!2:2,0)),{"JE";"VPE";"1VPE"},
INDEX( 'ETPT Format DDG'!$A:$ZZ,,MATCH("Juridiction",'ETPT Format DDG'!2:2,0)),TJCPH))</f>
        <v>#N/A</v>
      </c>
      <c r="AF13" s="53" t="e" cm="1">
        <f t="array" ref="AF13">SUM(SUMIFS(
INDEX( 'ETPT Format DDG'!$A:$ZZ,,MATCH("12.5. MISE À DISPOSITION",'ETPT Format DDG'!2:2,0)),
INDEX( 'ETPT Format DDG'!$A:$ZZ,,MATCH("Fonction",'ETPT Format DDG'!2:2,0)),{"VPLD";"1VPLD"},
INDEX( 'ETPT Format DDG'!$A:$ZZ,,MATCH("Juridiction",'ETPT Format DDG'!2:2,0)),TJCPH))</f>
        <v>#N/A</v>
      </c>
      <c r="AG13" s="46" t="e">
        <f t="shared" si="1"/>
        <v>#N/A</v>
      </c>
      <c r="AH13" s="62"/>
      <c r="AI13" s="62"/>
      <c r="AJ13" s="62"/>
      <c r="AK13" s="62"/>
      <c r="AL13" s="62"/>
      <c r="AM13" s="62"/>
      <c r="AN13" s="62"/>
      <c r="AO13" s="62"/>
      <c r="AP13" s="62"/>
      <c r="AQ13" s="62"/>
      <c r="AR13" s="62"/>
      <c r="AS13" s="53" t="e" cm="1">
        <f t="array" ref="AS13">SUM(SUMIFS(
INDEX( 'ETPT Format DDG'!$A:$ZZ,,MATCH("13. TOTAL CONTENTIEUX LOCAUX SPÉCIFIQUES",'ETPT Format DDG'!2:2,0)),
INDEX( 'ETPT Format DDG'!$A:$ZZ,,MATCH("Fonction recodée",'ETPT Format DDG'!2:2,0)),"Magistrat SIEGE S",
INDEX( 'ETPT Format DDG'!$A:$ZZ,,MATCH("Juridiction",'ETPT Format DDG'!2:2,0)),TJCPH))</f>
        <v>#N/A</v>
      </c>
      <c r="AT13" s="53" t="e" cm="1">
        <f t="array" ref="AT13">SUM(SUMIFS(
INDEX( 'ETPT Format DDG'!$A:$ZZ,,MATCH("12.5. MISE À DISPOSITION",'ETPT Format DDG'!2:2,0)),
INDEX( 'ETPT Format DDG'!$A:$ZZ,,MATCH("Fonction recodée",'ETPT Format DDG'!2:2,0)),"Magistrat SIEGE NS",
INDEX( 'ETPT Format DDG'!$A:$ZZ,,MATCH("Juridiction",'ETPT Format DDG'!2:2,0)),TJCPH))+
SUM(SUMIFS(
INDEX( 'ETPT Format DDG'!$A:$ZZ,,MATCH("13. TOTAL CONTENTIEUX LOCAUX SPÉCIFIQUES",'ETPT Format DDG'!2:2,0)),
INDEX( 'ETPT Format DDG'!$A:$ZZ,,MATCH("Fonction recodée",'ETPT Format DDG'!2:2,0)),"Magistrat SIEGE NS",
INDEX( 'ETPT Format DDG'!$A:$ZZ,,MATCH("Juridiction",'ETPT Format DDG'!2:2,0)),TJCPH))</f>
        <v>#N/A</v>
      </c>
      <c r="AU13" s="46" t="e">
        <f t="shared" si="2"/>
        <v>#N/A</v>
      </c>
      <c r="AV13" s="52"/>
      <c r="AW13" s="52"/>
      <c r="AX13" s="52"/>
      <c r="AY13" s="52"/>
      <c r="AZ13" s="52"/>
      <c r="BA13" s="52"/>
      <c r="BB13" s="52"/>
      <c r="BC13" s="52"/>
      <c r="BD13" s="52"/>
      <c r="BE13" s="46">
        <f t="shared" si="3"/>
        <v>0</v>
      </c>
    </row>
    <row r="14" spans="1:57" s="41" customFormat="1" ht="14.25" customHeight="1" x14ac:dyDescent="0.15">
      <c r="A14" s="51" t="s">
        <v>42</v>
      </c>
      <c r="B14" s="60"/>
      <c r="C14" s="60"/>
      <c r="D14" s="61" t="str">
        <f t="shared" si="4"/>
        <v/>
      </c>
      <c r="E14" s="60" t="s">
        <v>44</v>
      </c>
      <c r="F14" s="60" t="s">
        <v>43</v>
      </c>
      <c r="G14" s="101" t="e" cm="1">
        <f t="array" ref="G14">SUM(SUMIFS(
INDEX( 'ETPT Format DDG'!$A:$ZZ,,MATCH("Temps ventilés sur la période (hors action 99)",'ETPT Format DDG'!2:2,0)),
INDEX( 'ETPT Format DDG'!$A:$ZZ,,MATCH("Fonction recodée",'ETPT Format DDG'!2:2,0)),"Fonctionnaire CTECH placé ADD",
INDEX( 'ETPT Format DDG'!$A:$ZZ,,MATCH("Juridiction",'ETPT Format DDG'!2:2,0)),TJCPH))</f>
        <v>#N/A</v>
      </c>
      <c r="H14" s="59" t="e">
        <f t="shared" si="0"/>
        <v>#N/A</v>
      </c>
      <c r="I14" s="58" t="e" cm="1">
        <f t="array" ref="I14">SUM(SUMIFS(
INDEX( 'ETPT Format DDG'!$A:$ZZ,,MATCH("11.8. FONCTIONNAIRES AFFECTÉS AUX ACTIVITÉS CIVILES ET COMMERCIALES DU PARQUET",'ETPT Format DDG'!2:2,0)),
INDEX( 'ETPT Format DDG'!$A:$ZZ,,MATCH("Fonction recodée",'ETPT Format DDG'!2:2,0)),"Fonctionnaire A-B-CBUR placé ADD",
INDEX( 'ETPT Format DDG'!$A:$ZZ,,MATCH("Juridiction",'ETPT Format DDG'!2:2,0)),TJCPH))</f>
        <v>#N/A</v>
      </c>
      <c r="J14" s="58" t="e">
        <f>SUM(SUMIFS(
INDEX( 'ETPT Format DDG'!$A:$ZZ,,MATCH("11.9. FONCTIONNAIRES AFFECTÉS À L'EXÉCUTION DES PEINES",'ETPT Format DDG'!2:2,0)),
INDEX( 'ETPT Format DDG'!$A:$ZZ,,MATCH("Fonction recodée",'ETPT Format DDG'!2:2,0)),"Fonctionnaire A-B-CBUR placé ADD"))</f>
        <v>#N/A</v>
      </c>
      <c r="K14" s="58" t="e">
        <f>SUM(SUMIFS(
INDEX( 'ETPT Format DDG'!$A:$ZZ,,MATCH("7.5. COUR D'ASSISES HORS JIRS",'ETPT Format DDG'!2:2,0)),
INDEX( 'ETPT Format DDG'!$A:$ZZ,,MATCH("Fonction recodée",'ETPT Format DDG'!2:2,0)),"Fonctionnaire A-B-CBUR placé ADD"))+
SUM(SUMIFS(
INDEX( 'ETPT Format DDG'!$A:$ZZ,,MATCH("7.51. COUR D'ASSISES JIRS",'ETPT Format DDG'!2:2,0)),
INDEX( 'ETPT Format DDG'!$A:$ZZ,,MATCH("Fonction recodée",'ETPT Format DDG'!2:2,0)),"Fonctionnaire A-B-CBUR placé ADD"))</f>
        <v>#N/A</v>
      </c>
      <c r="L14" s="58" t="e">
        <f>SUM(SUMIFS(
INDEX( 'ETPT Format DDG'!$A:$ZZ,,MATCH("7.52. COUR CRIMINELLE",'ETPT Format DDG'!2:2,0)),
INDEX( 'ETPT Format DDG'!$A:$ZZ,,MATCH("Fonction recodée",'ETPT Format DDG'!2:2,0)),"Fonctionnaire A-B-CBUR placé ADD"))</f>
        <v>#N/A</v>
      </c>
      <c r="M14" s="58" t="e">
        <f>SUM(SUMIFS(
INDEX( 'ETPT Format DDG'!$A:$ZZ,,MATCH("7.121. COLLÉGIALES JIRS ÉCO-FI",'ETPT Format DDG'!2:2,0)),
INDEX( 'ETPT Format DDG'!$A:$ZZ,,MATCH("Fonction recodée",'ETPT Format DDG'!2:2,0)),"Fonctionnaire A-B-CBUR placé ADD",
INDEX( 'ETPT Format DDG'!$A:$ZZ,,MATCH("Jirs",'ETPT Format DDG'!2:2,0)),"x"))</f>
        <v>#N/A</v>
      </c>
      <c r="N14" s="58" t="e">
        <f>SUM(SUMIFS(
INDEX( 'ETPT Format DDG'!$A:$ZZ,,MATCH("7.12. COLLÉGIALES JIRS CRIM-ORG",'ETPT Format DDG'!2:2,0)),
INDEX( 'ETPT Format DDG'!$A:$ZZ,,MATCH("Fonction recodée",'ETPT Format DDG'!2:2,0)),"Fonctionnaire A-B-CBUR placé ADD"))</f>
        <v>#N/A</v>
      </c>
      <c r="O14" s="58" t="e">
        <f>SUM(SUMIFS(
INDEX( 'ETPT Format DDG'!$A:$ZZ,,MATCH("7.122. COLLÉGIALES AUTRES SECTIONS SPÉCIALISÉES",'ETPT Format DDG'!2:2,0)),
INDEX( 'ETPT Format DDG'!$A:$ZZ,,MATCH("Fonction recodée",'ETPT Format DDG'!2:2,0)),"Fonctionnaire A-B-CBUR placé ADD"))+
SUM(SUMIFS(
INDEX( 'ETPT Format DDG'!$A:$ZZ,,MATCH("7.121. COLLÉGIALES JIRS ÉCO-FI",'ETPT Format DDG'!2:2,0)),
INDEX( 'ETPT Format DDG'!$A:$ZZ,,MATCH("Fonction recodée",'ETPT Format DDG'!2:2,0)),"Fonctionnaire A-B-CBUR placé ADD",
INDEX( 'ETPT Format DDG'!$A:$ZZ,,MATCH("Jirs",'ETPT Format DDG'!2:2,0)),""))</f>
        <v>#N/A</v>
      </c>
      <c r="P14" s="58" t="e" cm="1">
        <f t="array" ref="P14">SUM(SUMIFS(
INDEX( 'ETPT Format DDG'!$A:$ZZ,,MATCH("3.2. PROTECTION DES MAJEURS",'ETPT Format DDG'!2:2,0)),
INDEX( 'ETPT Format DDG'!$A:$ZZ,,MATCH("Fonction recodée",'ETPT Format DDG'!2:2,0)),"Fonctionnaire A-B-CBUR placé ADD",
INDEX( 'ETPT Format DDG'!$A:$ZZ,,MATCH("Juridiction",'ETPT Format DDG'!2:2,0)),TJCPH))</f>
        <v>#N/A</v>
      </c>
      <c r="Q14" s="58" t="e" cm="1">
        <f t="array" ref="Q14">SUM(SUMIFS(
INDEX( 'ETPT Format DDG'!$A:$ZZ,,MATCH("3. TOTAL CONTENTIEUX DE LA PROTECTION",'ETPT Format DDG'!2:2,0)),
INDEX( 'ETPT Format DDG'!$A:$ZZ,,MATCH("Fonction recodée",'ETPT Format DDG'!2:2,0)),"Fonctionnaire A-B-CBUR placé ADD",
INDEX( 'ETPT Format DDG'!$A:$ZZ,,MATCH("Juridiction",'ETPT Format DDG'!2:2,0)),TJCPH))-
SUM(SUMIFS(
INDEX( 'ETPT Format DDG'!$A:$ZZ,,MATCH("3.2. PROTECTION DES MAJEURS",'ETPT Format DDG'!2:2,0)),
INDEX( 'ETPT Format DDG'!$A:$ZZ,,MATCH("Fonction recodée",'ETPT Format DDG'!2:2,0)),"Fonctionnaire A-B-CBUR placé ADD",
INDEX( 'ETPT Format DDG'!$A:$ZZ,,MATCH("Juridiction",'ETPT Format DDG'!2:2,0)),TJCPH))-
SUM(SUMIFS(
INDEX( 'ETPT Format DDG'!$A:$ZZ,,MATCH("3.43. INJONCTIONS DE PAYER",'ETPT Format DDG'!2:2,0)),
INDEX( 'ETPT Format DDG'!$A:$ZZ,,MATCH("Fonction recodée",'ETPT Format DDG'!2:2,0)),"Fonctionnaire A-B-CBUR placé ADD",
INDEX( 'ETPT Format DDG'!$A:$ZZ,,MATCH("Juridiction",'ETPT Format DDG'!2:2,0)),TJCPH))-
SUM(SUMIFS(
INDEX( 'ETPT Format DDG'!$A:$ZZ,,MATCH("3.44. SAISIE DES RÉMUNÉRATIONS",'ETPT Format DDG'!2:2,0)),
INDEX( 'ETPT Format DDG'!$A:$ZZ,,MATCH("Fonction recodée",'ETPT Format DDG'!2:2,0)),"Fonctionnaire A-B-CBUR placé ADD",
INDEX( 'ETPT Format DDG'!$A:$ZZ,,MATCH("Juridiction",'ETPT Format DDG'!2:2,0)),TJCPH))</f>
        <v>#N/A</v>
      </c>
      <c r="R14" s="58" t="e">
        <f>SUM(SUMIFS(
INDEX( 'ETPT Format DDG'!$A:$ZZ,,MATCH("5. TOTAL JLD CIVIL",'ETPT Format DDG'!2:2,0)),
INDEX( 'ETPT Format DDG'!$A:$ZZ,,MATCH("Fonction recodée",'ETPT Format DDG'!2:2,0)),"Fonctionnaire A-B-CBUR placé ADD"))+
SUM(SUMIFS(
INDEX( 'ETPT Format DDG'!$A:$ZZ,,MATCH("6. TOTAL JUGES DES ENFANTS",'ETPT Format DDG'!2:2,0)),
INDEX( 'ETPT Format DDG'!$A:$ZZ,,MATCH("Fonction recodée",'ETPT Format DDG'!2:2,0)),"Fonctionnaire A-B-CBUR placé ADD"))+
SUM(SUMIFS(
INDEX( 'ETPT Format DDG'!$A:$ZZ,,MATCH("8. TOTAL JUGES D'INSTRUCTION",'ETPT Format DDG'!2:2,0)),
INDEX( 'ETPT Format DDG'!$A:$ZZ,,MATCH("Fonction recodée",'ETPT Format DDG'!2:2,0)),"Fonctionnaire A-B-CBUR placé ADD"))+
SUM(SUMIFS(
INDEX( 'ETPT Format DDG'!$A:$ZZ,,MATCH("9. TOTAL JAP",'ETPT Format DDG'!2:2,0)),
INDEX( 'ETPT Format DDG'!$A:$ZZ,,MATCH("Fonction recodée",'ETPT Format DDG'!2:2,0)),"Fonctionnaire A-B-CBUR placé ADD"))+
SUM(SUMIFS(
INDEX( 'ETPT Format DDG'!$A:$ZZ,,MATCH("10. TOTAL JLD PÉNAL",'ETPT Format DDG'!2:2,0)),
INDEX( 'ETPT Format DDG'!$A:$ZZ,,MATCH("Fonction recodée",'ETPT Format DDG'!2:2,0)),"Fonctionnaire A-B-CBUR placé ADD"))</f>
        <v>#N/A</v>
      </c>
      <c r="S14" s="58" t="e" cm="1">
        <f t="array" ref="S14">SUM(SUMIFS(
INDEX( 'ETPT Format DDG'!$A:$ZZ,,MATCH("3.43. INJONCTIONS DE PAYER",'ETPT Format DDG'!2:2,0)),
INDEX( 'ETPT Format DDG'!$A:$ZZ,,MATCH("Fonction recodée",'ETPT Format DDG'!2:2,0)),"Fonctionnaire A-B-CBUR placé ADD",
INDEX( 'ETPT Format DDG'!$A:$ZZ,,MATCH("Juridiction",'ETPT Format DDG'!2:2,0)),TJCPH))+
SUM(SUMIFS(
INDEX( 'ETPT Format DDG'!$A:$ZZ,,MATCH("3.44. SAISIE DES RÉMUNÉRATIONS",'ETPT Format DDG'!2:2,0)),
INDEX( 'ETPT Format DDG'!$A:$ZZ,,MATCH("Fonction recodée",'ETPT Format DDG'!2:2,0)),"Fonctionnaire A-B-CBUR placé ADD",
INDEX( 'ETPT Format DDG'!$A:$ZZ,,MATCH("Juridiction",'ETPT Format DDG'!2:2,0)),TJCPH))</f>
        <v>#N/A</v>
      </c>
      <c r="T14" s="58" t="e" cm="1">
        <f t="array" ref="T14">SUM(SUMIFS(
INDEX( 'ETPT Format DDG'!$A:$ZZ,,MATCH("4.0. CONTENTIEUX GÉNÉRAL &lt;10.000€",'ETPT Format DDG'!2:2,0)),
INDEX( 'ETPT Format DDG'!$A:$ZZ,,MATCH("Fonction recodée",'ETPT Format DDG'!2:2,0)),"Fonctionnaire A-B-CBUR placé ADD",
INDEX( 'ETPT Format DDG'!$A:$ZZ,,MATCH("Juridiction",'ETPT Format DDG'!2:2,0)),TJCPH))</f>
        <v>#N/A</v>
      </c>
      <c r="U14" s="58" t="e" cm="1">
        <f t="array" ref="U14">SUM(SUMIFS(
INDEX( 'ETPT Format DDG'!$A:$ZZ,,MATCH("1. TOTAL CONTENTIEUX SOCIAL",'ETPT Format DDG'!2:2,0)),
INDEX( 'ETPT Format DDG'!$A:$ZZ,,MATCH("Fonction recodée",'ETPT Format DDG'!2:2,0)),"Fonctionnaire A-B-CBUR placé ADD",
INDEX( 'ETPT Format DDG'!$A:$ZZ,,MATCH("Juridiction",'ETPT Format DDG'!2:2,0)),TJCPH))</f>
        <v>#N/A</v>
      </c>
      <c r="V14" s="53" t="e" cm="1">
        <f t="array" ref="V14">SUM(SUMIFS(
INDEX( 'ETPT Format DDG'!$A:$ZZ,,MATCH("2. TOTAL CONTENTIEUX JAF",'ETPT Format DDG'!2:2,0)),
INDEX( 'ETPT Format DDG'!$A:$ZZ,,MATCH("Fonction recodée",'ETPT Format DDG'!2:2,0)),"Fonctionnaire A-B-CBUR placé ADD",
INDEX( 'ETPT Format DDG'!$A:$ZZ,,MATCH("Juridiction",'ETPT Format DDG'!2:2,0)),TJCPH))+
SUM(SUMIFS(
INDEX( 'ETPT Format DDG'!$A:$ZZ,,MATCH("4. TOTAL CIVIL NON SPÉCIALISÉ",'ETPT Format DDG'!2:2,0)),
INDEX( 'ETPT Format DDG'!$A:$ZZ,,MATCH("Fonction recodée",'ETPT Format DDG'!2:2,0)),"Fonctionnaire A-B-CBUR placé ADD",
INDEX( 'ETPT Format DDG'!$A:$ZZ,,MATCH("Juridiction",'ETPT Format DDG'!2:2,0)),TJCPH))+
SUM(SUMIFS(
INDEX( 'ETPT Format DDG'!$A:$ZZ,,MATCH("6.1. ACTIVITÉ CIVILE",'ETPT Format DDG'!2:2,0)),
INDEX( 'ETPT Format DDG'!$A:$ZZ,,MATCH("Fonction recodée",'ETPT Format DDG'!2:2,0)),"Fonctionnaire A-B-CBUR placé ADD",
INDEX( 'ETPT Format DDG'!$A:$ZZ,,MATCH("Juridiction",'ETPT Format DDG'!2:2,0)),TJCPH))+
SUM(SUMIFS(
INDEX( 'ETPT Format DDG'!$A:$ZZ,,MATCH("13. TOTAL CONTENTIEUX LOCAUX SPÉCIFIQUES",'ETPT Format DDG'!2:2,0)),
INDEX( 'ETPT Format DDG'!$A:$ZZ,,MATCH("Fonction recodée",'ETPT Format DDG'!2:2,0)),"Fonctionnaire A-B-CBUR placé ADD",
INDEX( 'ETPT Format DDG'!$A:$ZZ,,MATCH("Juridiction",'ETPT Format DDG'!2:2,0)),TJCPH))-
SUM(SUMIFS(
INDEX( 'ETPT Format DDG'!$A:$ZZ,,MATCH("4.0. CONTENTIEUX GÉNÉRAL &lt;10.000€",'ETPT Format DDG'!2:2,0)),
INDEX( 'ETPT Format DDG'!$A:$ZZ,,MATCH("Fonction recodée",'ETPT Format DDG'!2:2,0)),"Fonctionnaire A-B-CBUR placé ADD",
INDEX( 'ETPT Format DDG'!$A:$ZZ,,MATCH("Juridiction",'ETPT Format DDG'!2:2,0)),TJCPH))+
SUMIFS(
INDEX( 'ETPT Format DDG'!$A:$ZZ,,MATCH("7.1. COLLÉGIALES HORS JIRS",'ETPT Format DDG'!2:2,0)),
INDEX( 'ETPT Format DDG'!$A:$ZZ,,MATCH("Fonction recodée",'ETPT Format DDG'!2:2,0)),"Fonctionnaire A-B-CBUR placé ADD")+
SUMIFS(
INDEX( 'ETPT Format DDG'!$A:$ZZ,,MATCH("7.14. CI",'ETPT Format DDG'!2:2,0)),
INDEX( 'ETPT Format DDG'!$A:$ZZ,,MATCH("Fonction recodée",'ETPT Format DDG'!2:2,0)),"Fonctionnaire A-B-CBUR placé ADD")+
SUMIFS(
INDEX( 'ETPT Format DDG'!$A:$ZZ,,MATCH("7.13. JUGE UNIQUE",'ETPT Format DDG'!2:2,0)),
INDEX( 'ETPT Format DDG'!$A:$ZZ,,MATCH("Fonction recodée",'ETPT Format DDG'!2:2,0)),"Fonctionnaire A-B-CBUR placé ADD")+
SUMIFS(
INDEX( 'ETPT Format DDG'!$A:$ZZ,,MATCH("7.2. CRPC",'ETPT Format DDG'!2:2,0)),
INDEX( 'ETPT Format DDG'!$A:$ZZ,,MATCH("Fonction recodée",'ETPT Format DDG'!2:2,0)),"Fonctionnaire A-B-CBUR placé ADD")+
SUMIFS(
INDEX( 'ETPT Format DDG'!$A:$ZZ,,MATCH("7.15. CPPV",'ETPT Format DDG'!2:2,0)),
INDEX( 'ETPT Format DDG'!$A:$ZZ,,MATCH("Fonction recodée",'ETPT Format DDG'!2:2,0)),"Fonctionnaire A-B-CBUR placé ADD")+
SUMIFS(
INDEX( 'ETPT Format DDG'!$A:$ZZ,,MATCH("7.4. COMPOSITIONS PÉNALES",'ETPT Format DDG'!2:2,0)),
INDEX( 'ETPT Format DDG'!$A:$ZZ,,MATCH("Fonction recodée",'ETPT Format DDG'!2:2,0)),"Fonctionnaire A-B-CBUR placé ADD")+
SUMIFS(
INDEX( 'ETPT Format DDG'!$A:$ZZ,,MATCH("7.3. OP CORRECTIONNELLES",'ETPT Format DDG'!2:2,0)),
INDEX( 'ETPT Format DDG'!$A:$ZZ,,MATCH("Fonction recodée",'ETPT Format DDG'!2:2,0)),"Fonctionnaire A-B-CBUR placé ADD")+
SUMIFS(
INDEX( 'ETPT Format DDG'!$A:$ZZ,,MATCH("7.6. TRIBUNAL DE POLICE",'ETPT Format DDG'!2:2,0)),
INDEX( 'ETPT Format DDG'!$A:$ZZ,,MATCH("Fonction recodée",'ETPT Format DDG'!2:2,0)),"Fonctionnaire A-B-CBUR placé ADD")+
SUMIFS(
INDEX( 'ETPT Format DDG'!$A:$ZZ,,MATCH("7.7. OP CONTRAVENTIONNELLES",'ETPT Format DDG'!2:2,0)),
INDEX( 'ETPT Format DDG'!$A:$ZZ,,MATCH("Fonction recodée",'ETPT Format DDG'!2:2,0)),"Fonctionnaire A-B-CBUR placé ADD")+
SUMIFS(
INDEX( 'ETPT Format DDG'!$A:$ZZ,,MATCH("7.8. AUTRES SIÈGE PÉNAL",'ETPT Format DDG'!2:2,0)),
INDEX( 'ETPT Format DDG'!$A:$ZZ,,MATCH("Fonction recodée",'ETPT Format DDG'!2:2,0)),"Fonctionnaire A-B-CBUR placé ADD")+
SUMIFS(
INDEX( 'ETPT Format DDG'!$A:$ZZ,,MATCH("11.10. AUTRES FONCTIONNAIRES AFFECTÉS AU PARQUET",'ETPT Format DDG'!2:2,0)),
INDEX( 'ETPT Format DDG'!$A:$ZZ,,MATCH("Fonction recodée",'ETPT Format DDG'!2:2,0)),"Fonctionnaire A-B-CBUR placé ADD")</f>
        <v>#N/A</v>
      </c>
      <c r="W14" s="46" t="e">
        <f t="shared" si="5"/>
        <v>#N/A</v>
      </c>
      <c r="X14" s="53" t="e" cm="1">
        <f t="array" ref="X14">SUM(SUMIFS(
INDEX( 'ETPT Format DDG'!$A:$ZZ,,MATCH("3.2. PROTECTION DES MAJEURS",'ETPT Format DDG'!2:2,0)),
INDEX( 'ETPT Format DDG'!$A:$ZZ,,MATCH("Fonction recodée",'ETPT Format DDG'!2:2,0)),"Magistrat placé ADD",
INDEX( 'ETPT Format DDG'!$A:$ZZ,,MATCH("Juridiction",'ETPT Format DDG'!2:2,0)),TJCPH))</f>
        <v>#N/A</v>
      </c>
      <c r="Y14" s="53" t="e" cm="1">
        <f t="array" ref="Y14">SUM(SUMIFS(
INDEX( 'ETPT Format DDG'!$A:$ZZ,,MATCH("3. TOTAL CONTENTIEUX DE LA PROTECTION",'ETPT Format DDG'!2:2,0)),
INDEX( 'ETPT Format DDG'!$A:$ZZ,,MATCH("Fonction recodée",'ETPT Format DDG'!2:2,0)),"Magistrat placé ADD",
INDEX( 'ETPT Format DDG'!$A:$ZZ,,MATCH("Juridiction",'ETPT Format DDG'!2:2,0)),TJCPH))-
SUM(SUMIFS(
INDEX( 'ETPT Format DDG'!$A:$ZZ,,MATCH("3.2. PROTECTION DES MAJEURS",'ETPT Format DDG'!2:2,0)),
INDEX( 'ETPT Format DDG'!$A:$ZZ,,MATCH("Fonction recodée",'ETPT Format DDG'!2:2,0)),"Magistrat placé ADD",
INDEX( 'ETPT Format DDG'!$A:$ZZ,,MATCH("Juridiction",'ETPT Format DDG'!2:2,0)),TJCPH))-
SUM(SUMIFS(
INDEX( 'ETPT Format DDG'!$A:$ZZ,,MATCH("3.43. INJONCTIONS DE PAYER",'ETPT Format DDG'!2:2,0)),
INDEX( 'ETPT Format DDG'!$A:$ZZ,,MATCH("Fonction recodée",'ETPT Format DDG'!2:2,0)),"Magistrat placé ADD",
INDEX( 'ETPT Format DDG'!$A:$ZZ,,MATCH("Juridiction",'ETPT Format DDG'!2:2,0)),TJCPH))-
SUM(SUMIFS(
INDEX( 'ETPT Format DDG'!$A:$ZZ,,MATCH("3.44. SAISIE DES RÉMUNÉRATIONS",'ETPT Format DDG'!2:2,0)),
INDEX( 'ETPT Format DDG'!$A:$ZZ,,MATCH("Fonction recodée",'ETPT Format DDG'!2:2,0)),"Magistrat placé ADD",
INDEX( 'ETPT Format DDG'!$A:$ZZ,,MATCH("Juridiction",'ETPT Format DDG'!2:2,0)),TJCPH))</f>
        <v>#N/A</v>
      </c>
      <c r="Z14" s="53" t="e">
        <f>SUM(SUMIFS(
INDEX( 'ETPT Format DDG'!$A:$ZZ,,MATCH("8.1. SERVICE GÉNÉRAL",'ETPT Format DDG'!2:2,0)),
INDEX( 'ETPT Format DDG'!$A:$ZZ,,MATCH("Fonction recodée",'ETPT Format DDG'!2:2,0)),"Magistrat placé ADD"))</f>
        <v>#N/A</v>
      </c>
      <c r="AA14" s="53" t="e">
        <f>SUM(SUMIFS(
INDEX( 'ETPT Format DDG'!$A:$ZZ,,MATCH("8.2. JIRS ÉCO-FI",'ETPT Format DDG'!2:2,0)),
INDEX( 'ETPT Format DDG'!$A:$ZZ,,MATCH("Fonction recodée",'ETPT Format DDG'!2:2,0)),"Magistrat placé ADD"))</f>
        <v>#N/A</v>
      </c>
      <c r="AB14" s="53" t="e">
        <f>SUM(SUMIFS(
INDEX( 'ETPT Format DDG'!$A:$ZZ,,MATCH("8.3. JIRS CRIM-ORG",'ETPT Format DDG'!2:2,0)),
INDEX( 'ETPT Format DDG'!$A:$ZZ,,MATCH("Fonction recodée",'ETPT Format DDG'!2:2,0)),"Magistrat placé ADD"))</f>
        <v>#N/A</v>
      </c>
      <c r="AC14" s="53" t="e">
        <f>SUM(SUMIFS(
INDEX( 'ETPT Format DDG'!$A:$ZZ,,MATCH("8.4. AUTRES SECTIONS SPÉCIALISÉES",'ETPT Format DDG'!2:2,0)),
INDEX( 'ETPT Format DDG'!$A:$ZZ,,MATCH("Fonction recodée",'ETPT Format DDG'!2:2,0)),"Magistrat placé ADD"))+
SUM(SUMIFS(
INDEX( 'ETPT Format DDG'!$A:$ZZ,,MATCH("8.11. ECO-FI HORS JIRS",'ETPT Format DDG'!2:2,0)),
INDEX( 'ETPT Format DDG'!$A:$ZZ,,MATCH("Fonction recodée",'ETPT Format DDG'!2:2,0)),"Magistrat placé ADD"))</f>
        <v>#N/A</v>
      </c>
      <c r="AD14" s="53" t="e">
        <f>SUM(SUMIFS(
INDEX( 'ETPT Format DDG'!$A:$ZZ,,MATCH("9. TOTAL JAP",'ETPT Format DDG'!2:2,0)),
INDEX( 'ETPT Format DDG'!$A:$ZZ,,MATCH("Fonction recodée",'ETPT Format DDG'!2:2,0)),"Magistrat placé ADD"))</f>
        <v>#N/A</v>
      </c>
      <c r="AE14" s="53" t="e">
        <f>SUM(SUMIFS(
INDEX( 'ETPT Format DDG'!$A:$ZZ,,MATCH("6.1. ACTIVITÉ CIVILE",'ETPT Format DDG'!2:2,0)),
INDEX( 'ETPT Format DDG'!$A:$ZZ,,MATCH("Fonction recodée",'ETPT Format DDG'!2:2,0)),"Magistrat placé ADD"))+
SUM(SUMIFS(
INDEX( 'ETPT Format DDG'!$A:$ZZ,,MATCH("6.2. ACTIVITÉ PÉNALE",'ETPT Format DDG'!2:2,0)),
INDEX( 'ETPT Format DDG'!$A:$ZZ,,MATCH("Fonction recodée",'ETPT Format DDG'!2:2,0)),"Magistrat placé ADD"))</f>
        <v>#N/A</v>
      </c>
      <c r="AF14" s="53" t="e">
        <f>SUM(SUMIFS(
INDEX( 'ETPT Format DDG'!$A:$ZZ,,MATCH("5. TOTAL JLD CIVIL",'ETPT Format DDG'!2:2,0)),
INDEX( 'ETPT Format DDG'!$A:$ZZ,,MATCH("Fonction recodée",'ETPT Format DDG'!2:2,0)),"Magistrat placé ADD"))+
SUM(SUMIFS(
INDEX( 'ETPT Format DDG'!$A:$ZZ,,MATCH("10. TOTAL JLD PÉNAL",'ETPT Format DDG'!2:2,0)),
INDEX( 'ETPT Format DDG'!$A:$ZZ,,MATCH("Fonction recodée",'ETPT Format DDG'!2:2,0)),"Magistrat placé ADD"))</f>
        <v>#N/A</v>
      </c>
      <c r="AG14" s="46" t="e">
        <f t="shared" si="1"/>
        <v>#N/A</v>
      </c>
      <c r="AH14" s="53" t="e">
        <f>SUM(SUMIFS(
INDEX( 'ETPT Format DDG'!$A:$ZZ,,MATCH("7.5. COUR D'ASSISES HORS JIRS",'ETPT Format DDG'!2:2,0)),
INDEX( 'ETPT Format DDG'!$A:$ZZ,,MATCH("Fonction recodée",'ETPT Format DDG'!2:2,0)),"Magistrat placé ADD"))+
SUM(SUMIFS(
INDEX( 'ETPT Format DDG'!$A:$ZZ,,MATCH("7.51. COUR D'ASSISES JIRS",'ETPT Format DDG'!2:2,0)),
INDEX( 'ETPT Format DDG'!$A:$ZZ,,MATCH("Fonction recodée",'ETPT Format DDG'!2:2,0)),"Magistrat placé ADD"))</f>
        <v>#N/A</v>
      </c>
      <c r="AI14" s="53" t="e">
        <f>SUM(SUMIFS(
INDEX( 'ETPT Format DDG'!$A:$ZZ,,MATCH("7.52. COUR CRIMINELLE",'ETPT Format DDG'!2:2,0)),
INDEX( 'ETPT Format DDG'!$A:$ZZ,,MATCH("Fonction recodée",'ETPT Format DDG'!2:2,0)),"Magistrat placé ADD"))</f>
        <v>#N/A</v>
      </c>
      <c r="AJ14" s="53" t="e">
        <f>SUM(SUMIFS(
INDEX( 'ETPT Format DDG'!$A:$ZZ,,MATCH("7.121. COLLÉGIALES JIRS ÉCO-FI",'ETPT Format DDG'!2:2,0)),
INDEX( 'ETPT Format DDG'!$A:$ZZ,,MATCH("Fonction recodée",'ETPT Format DDG'!2:2,0)),"Magistrat placé ADD",
INDEX( 'ETPT Format DDG'!$A:$ZZ,,MATCH("Jirs",'ETPT Format DDG'!2:2,0)),"x"))</f>
        <v>#N/A</v>
      </c>
      <c r="AK14" s="53" t="e">
        <f>SUM(SUMIFS(
INDEX( 'ETPT Format DDG'!$A:$ZZ,,MATCH("7.12. COLLÉGIALES JIRS CRIM-ORG",'ETPT Format DDG'!2:2,0)),
INDEX( 'ETPT Format DDG'!$A:$ZZ,,MATCH("Fonction recodée",'ETPT Format DDG'!2:2,0)),"Magistrat placé ADD"))</f>
        <v>#N/A</v>
      </c>
      <c r="AL14" s="53" t="e">
        <f>SUM(SUMIFS(
INDEX( 'ETPT Format DDG'!$A:$ZZ,,MATCH("7.122. COLLÉGIALES AUTRES SECTIONS SPÉCIALISÉES",'ETPT Format DDG'!2:2,0)),
INDEX( 'ETPT Format DDG'!$A:$ZZ,,MATCH("Fonction recodée",'ETPT Format DDG'!2:2,0)),"Magistrat placé ADD"))+
SUM(SUMIFS(
INDEX( 'ETPT Format DDG'!$A:$ZZ,,MATCH("7.121. COLLÉGIALES JIRS ÉCO-FI",'ETPT Format DDG'!2:2,0)),
INDEX( 'ETPT Format DDG'!$A:$ZZ,,MATCH("Fonction recodée",'ETPT Format DDG'!2:2,0)),"Magistrat placé ADD",
INDEX( 'ETPT Format DDG'!$A:$ZZ,,MATCH("Jirs",'ETPT Format DDG'!2:2,0)),""))</f>
        <v>#N/A</v>
      </c>
      <c r="AM14" s="53" t="e">
        <f>SUM(SUMIFS(
INDEX( 'ETPT Format DDG'!$A:$ZZ,,MATCH("7.6. TRIBUNAL DE POLICE",'ETPT Format DDG'!2:2,0)),
INDEX( 'ETPT Format DDG'!$A:$ZZ,,MATCH("Fonction recodée",'ETPT Format DDG'!2:2,0)),"Magistrat placé ADD"))+
SUM(SUMIFS(
INDEX( 'ETPT Format DDG'!$A:$ZZ,,MATCH("7.7. OP CONTRAVENTIONNELLES",'ETPT Format DDG'!2:2,0)),
INDEX( 'ETPT Format DDG'!$A:$ZZ,,MATCH("Fonction recodée",'ETPT Format DDG'!2:2,0)),"Magistrat placé ADD"))</f>
        <v>#N/A</v>
      </c>
      <c r="AN14" s="53" t="e" cm="1">
        <f t="array" ref="AN14">SUM(SUMIFS(
INDEX( 'ETPT Format DDG'!$A:$ZZ,,MATCH("1.1. DÉPARTAGE PRUD'HOMAL",'ETPT Format DDG'!2:2,0)),
INDEX( 'ETPT Format DDG'!$A:$ZZ,,MATCH("Fonction recodée",'ETPT Format DDG'!2:2,0)),"Magistrat placé ADD",
INDEX( 'ETPT Format DDG'!$A:$ZZ,,MATCH("Juridiction",'ETPT Format DDG'!2:2,0)),TJCPH))</f>
        <v>#N/A</v>
      </c>
      <c r="AO14" s="53" t="e" cm="1">
        <f t="array" ref="AO14">SUM(SUMIFS(
INDEX( 'ETPT Format DDG'!$A:$ZZ,,MATCH("4.0. CONTENTIEUX GÉNÉRAL &lt;10.000€",'ETPT Format DDG'!2:2,0)),
INDEX( 'ETPT Format DDG'!$A:$ZZ,,MATCH("Fonction recodée",'ETPT Format DDG'!2:2,0)),"Magistrat placé ADD",
INDEX( 'ETPT Format DDG'!$A:$ZZ,,MATCH("Juridiction",'ETPT Format DDG'!2:2,0)),TJCPH))</f>
        <v>#N/A</v>
      </c>
      <c r="AP14" s="53" t="e" cm="1">
        <f t="array" ref="AP14">SUM(SUMIFS(
INDEX( 'ETPT Format DDG'!$A:$ZZ,,MATCH("3.43. INJONCTIONS DE PAYER",'ETPT Format DDG'!2:2,0)),
INDEX( 'ETPT Format DDG'!$A:$ZZ,,MATCH("Fonction recodée",'ETPT Format DDG'!2:2,0)),"Magistrat placé ADD",
INDEX( 'ETPT Format DDG'!$A:$ZZ,,MATCH("Juridiction",'ETPT Format DDG'!2:2,0)),TJCPH))+
SUM(SUMIFS(
INDEX( 'ETPT Format DDG'!$A:$ZZ,,MATCH("3.44. SAISIE DES RÉMUNÉRATIONS",'ETPT Format DDG'!2:2,0)),
INDEX( 'ETPT Format DDG'!$A:$ZZ,,MATCH("Fonction recodée",'ETPT Format DDG'!2:2,0)),"Magistrat placé ADD",
INDEX( 'ETPT Format DDG'!$A:$ZZ,,MATCH("Juridiction",'ETPT Format DDG'!2:2,0)),TJCPH))</f>
        <v>#N/A</v>
      </c>
      <c r="AQ14" s="53" t="e" cm="1">
        <f t="array" ref="AQ14">SUM(SUMIFS(
INDEX( 'ETPT Format DDG'!$A:$ZZ,,MATCH("1. TOTAL CONTENTIEUX SOCIAL",'ETPT Format DDG'!2:2,0)),
INDEX( 'ETPT Format DDG'!$A:$ZZ,,MATCH("Fonction recodée",'ETPT Format DDG'!2:2,0)),"Magistrat placé ADD",
INDEX( 'ETPT Format DDG'!$A:$ZZ,,MATCH("Juridiction",'ETPT Format DDG'!2:2,0)),TJCPH))-
SUM(SUMIFS(
INDEX( 'ETPT Format DDG'!$A:$ZZ,,MATCH("1.1. DÉPARTAGE PRUD'HOMAL",'ETPT Format DDG'!2:2,0)),
INDEX( 'ETPT Format DDG'!$A:$ZZ,,MATCH("Fonction recodée",'ETPT Format DDG'!2:2,0)),"Magistrat placé ADD",
INDEX( 'ETPT Format DDG'!$A:$ZZ,,MATCH("Juridiction",'ETPT Format DDG'!2:2,0)),TJCPH))</f>
        <v>#N/A</v>
      </c>
      <c r="AR14" s="53" t="e">
        <f>SUM(SUMIFS(
INDEX( 'ETPT Format DDG'!$A:$ZZ,,MATCH("2. TOTAL CONTENTIEUX JAF",'ETPT Format DDG'!2:2,0)),
INDEX( 'ETPT Format DDG'!$A:$ZZ,,MATCH("Fonction recodée",'ETPT Format DDG'!2:2,0)),"Magistrat placé ADD"))</f>
        <v>#N/A</v>
      </c>
      <c r="AS14" s="54"/>
      <c r="AT14" s="53" t="e" cm="1">
        <f t="array" ref="AT14">SUM(SUMIFS(
INDEX( 'ETPT Format DDG'!$A:$ZZ,,MATCH("4. TOTAL CIVIL NON SPÉCIALISÉ",'ETPT Format DDG'!2:2,0)),
INDEX( 'ETPT Format DDG'!$A:$ZZ,,MATCH("Fonction recodée",'ETPT Format DDG'!2:2,0)),"Magistrat placé ADD",
INDEX( 'ETPT Format DDG'!$A:$ZZ,,MATCH("Juridiction",'ETPT Format DDG'!2:2,0)),TJCPH))-
SUM(SUMIFS(
INDEX( 'ETPT Format DDG'!$A:$ZZ,,MATCH("4.0. CONTENTIEUX GÉNÉRAL &lt;10.000€",'ETPT Format DDG'!2:2,0)),
INDEX( 'ETPT Format DDG'!$A:$ZZ,,MATCH("Fonction recodée",'ETPT Format DDG'!2:2,0)),"Magistrat placé ADD",
INDEX( 'ETPT Format DDG'!$A:$ZZ,,MATCH("Juridiction",'ETPT Format DDG'!2:2,0)),TJCPH))+
SUMIFS(
INDEX( 'ETPT Format DDG'!$A:$ZZ,,MATCH("7.1. COLLÉGIALES HORS JIRS",'ETPT Format DDG'!2:2,0)),
INDEX( 'ETPT Format DDG'!$A:$ZZ,,MATCH("Fonction recodée",'ETPT Format DDG'!2:2,0)),"Magistrat placé ADD")+
SUMIFS(
INDEX( 'ETPT Format DDG'!$A:$ZZ,,MATCH("7.14. CI",'ETPT Format DDG'!2:2,0)),
INDEX( 'ETPT Format DDG'!$A:$ZZ,,MATCH("Fonction recodée",'ETPT Format DDG'!2:2,0)),"Magistrat placé ADD")+
SUMIFS(
INDEX( 'ETPT Format DDG'!$A:$ZZ,,MATCH("7.13. JUGE UNIQUE",'ETPT Format DDG'!2:2,0)),
INDEX( 'ETPT Format DDG'!$A:$ZZ,,MATCH("Fonction recodée",'ETPT Format DDG'!2:2,0)),"Magistrat placé ADD")+
SUMIFS(
INDEX( 'ETPT Format DDG'!$A:$ZZ,,MATCH("7.2. CRPC",'ETPT Format DDG'!2:2,0)),
INDEX( 'ETPT Format DDG'!$A:$ZZ,,MATCH("Fonction recodée",'ETPT Format DDG'!2:2,0)),"Magistrat placé ADD")+
SUMIFS(
INDEX( 'ETPT Format DDG'!$A:$ZZ,,MATCH("7.15. CPPV",'ETPT Format DDG'!2:2,0)),
INDEX( 'ETPT Format DDG'!$A:$ZZ,,MATCH("Fonction recodée",'ETPT Format DDG'!2:2,0)),"Magistrat placé ADD")+
SUMIFS(
INDEX( 'ETPT Format DDG'!$A:$ZZ,,MATCH("7.4. COMPOSITIONS PÉNALES",'ETPT Format DDG'!2:2,0)),
INDEX( 'ETPT Format DDG'!$A:$ZZ,,MATCH("Fonction recodée",'ETPT Format DDG'!2:2,0)),"Magistrat placé ADD")+
SUMIFS(
INDEX( 'ETPT Format DDG'!$A:$ZZ,,MATCH("7.3. OP CORRECTIONNELLES",'ETPT Format DDG'!2:2,0)),
INDEX( 'ETPT Format DDG'!$A:$ZZ,,MATCH("Fonction recodée",'ETPT Format DDG'!2:2,0)),"Magistrat placé ADD")+
SUMIFS(
INDEX( 'ETPT Format DDG'!$A:$ZZ,,MATCH("7.8. AUTRES SIÈGE PÉNAL",'ETPT Format DDG'!2:2,0)),
INDEX( 'ETPT Format DDG'!$A:$ZZ,,MATCH("Fonction recodée",'ETPT Format DDG'!2:2,0)),"Magistrat placé ADD")</f>
        <v>#N/A</v>
      </c>
      <c r="AU14" s="46" t="e">
        <f t="shared" si="2"/>
        <v>#N/A</v>
      </c>
      <c r="AV14" s="52"/>
      <c r="AW14" s="52"/>
      <c r="AX14" s="52"/>
      <c r="AY14" s="52"/>
      <c r="AZ14" s="52"/>
      <c r="BA14" s="52"/>
      <c r="BB14" s="52"/>
      <c r="BC14" s="52"/>
      <c r="BD14" s="52"/>
      <c r="BE14" s="46">
        <f t="shared" si="3"/>
        <v>0</v>
      </c>
    </row>
    <row r="15" spans="1:57" s="41" customFormat="1" ht="14.25" customHeight="1" x14ac:dyDescent="0.15">
      <c r="A15" s="51" t="s">
        <v>42</v>
      </c>
      <c r="B15" s="60"/>
      <c r="C15" s="60"/>
      <c r="D15" s="61" t="str">
        <f t="shared" si="4"/>
        <v/>
      </c>
      <c r="E15" s="60" t="s">
        <v>41</v>
      </c>
      <c r="F15" s="60" t="s">
        <v>40</v>
      </c>
      <c r="G15" s="101" t="e" cm="1">
        <f t="array" ref="G15">SUM(SUMIFS(
INDEX( 'ETPT Format DDG'!$A:$ZZ,,MATCH("Temps ventilés sur la période (hors action 99)",'ETPT Format DDG'!2:2,0)),
INDEX( 'ETPT Format DDG'!$A:$ZZ,,MATCH("Fonction recodée",'ETPT Format DDG'!2:2,0)),"Fonctionnaire CTECH placé SUB",
INDEX( 'ETPT Format DDG'!$A:$ZZ,,MATCH("Juridiction",'ETPT Format DDG'!2:2,0)),TJCPH))</f>
        <v>#N/A</v>
      </c>
      <c r="H15" s="59" t="e">
        <f t="shared" si="0"/>
        <v>#N/A</v>
      </c>
      <c r="I15" s="58" t="e" cm="1">
        <f t="array" ref="I15">SUM(SUMIFS(
INDEX( 'ETPT Format DDG'!$A:$ZZ,,MATCH("11.8. FONCTIONNAIRES AFFECTÉS AUX ACTIVITÉS CIVILES ET COMMERCIALES DU PARQUET",'ETPT Format DDG'!2:2,0)),
INDEX( 'ETPT Format DDG'!$A:$ZZ,,MATCH("Fonction recodée",'ETPT Format DDG'!2:2,0)),"Fonctionnaire A-B-CBUR placé SUB",
INDEX( 'ETPT Format DDG'!$A:$ZZ,,MATCH("Juridiction",'ETPT Format DDG'!2:2,0)),TJCPH))</f>
        <v>#N/A</v>
      </c>
      <c r="J15" s="58" t="e">
        <f>SUM(SUMIFS(
INDEX( 'ETPT Format DDG'!$A:$ZZ,,MATCH("11.9. FONCTIONNAIRES AFFECTÉS À L'EXÉCUTION DES PEINES",'ETPT Format DDG'!2:2,0)),
INDEX( 'ETPT Format DDG'!$A:$ZZ,,MATCH("Fonction recodée",'ETPT Format DDG'!2:2,0)),"Fonctionnaire A-B-CBUR placé SUB"))</f>
        <v>#N/A</v>
      </c>
      <c r="K15" s="58" t="e">
        <f>SUM(SUMIFS(
INDEX( 'ETPT Format DDG'!$A:$ZZ,,MATCH("7.5. COUR D'ASSISES HORS JIRS",'ETPT Format DDG'!2:2,0)),
INDEX( 'ETPT Format DDG'!$A:$ZZ,,MATCH("Fonction recodée",'ETPT Format DDG'!2:2,0)),"Fonctionnaire A-B-CBUR placé SUB"))+
SUM(SUMIFS(
INDEX( 'ETPT Format DDG'!$A:$ZZ,,MATCH("7.51. COUR D'ASSISES JIRS",'ETPT Format DDG'!2:2,0)),
INDEX( 'ETPT Format DDG'!$A:$ZZ,,MATCH("Fonction recodée",'ETPT Format DDG'!2:2,0)),"Fonctionnaire A-B-CBUR placé SUB"))</f>
        <v>#N/A</v>
      </c>
      <c r="L15" s="58" t="e">
        <f>SUM(SUMIFS(
INDEX( 'ETPT Format DDG'!$A:$ZZ,,MATCH("7.52. COUR CRIMINELLE",'ETPT Format DDG'!2:2,0)),
INDEX( 'ETPT Format DDG'!$A:$ZZ,,MATCH("Fonction recodée",'ETPT Format DDG'!2:2,0)),"Fonctionnaire A-B-CBUR placé SUB"))</f>
        <v>#N/A</v>
      </c>
      <c r="M15" s="58" t="e">
        <f>SUM(SUMIFS(
INDEX( 'ETPT Format DDG'!$A:$ZZ,,MATCH("7.121. COLLÉGIALES JIRS ÉCO-FI",'ETPT Format DDG'!2:2,0)),
INDEX( 'ETPT Format DDG'!$A:$ZZ,,MATCH("Fonction recodée",'ETPT Format DDG'!2:2,0)),"Fonctionnaire A-B-CBUR placé SUB",
INDEX( 'ETPT Format DDG'!$A:$ZZ,,MATCH("Jirs",'ETPT Format DDG'!2:2,0)),"x"))</f>
        <v>#N/A</v>
      </c>
      <c r="N15" s="58" t="e">
        <f>SUM(SUMIFS(
INDEX( 'ETPT Format DDG'!$A:$ZZ,,MATCH("7.12. COLLÉGIALES JIRS CRIM-ORG",'ETPT Format DDG'!2:2,0)),
INDEX( 'ETPT Format DDG'!$A:$ZZ,,MATCH("Fonction recodée",'ETPT Format DDG'!2:2,0)),"Fonctionnaire A-B-CBUR placé SUB"))</f>
        <v>#N/A</v>
      </c>
      <c r="O15" s="58" t="e">
        <f>SUM(SUMIFS(
INDEX( 'ETPT Format DDG'!$A:$ZZ,,MATCH("7.122. COLLÉGIALES AUTRES SECTIONS SPÉCIALISÉES",'ETPT Format DDG'!2:2,0)),
INDEX( 'ETPT Format DDG'!$A:$ZZ,,MATCH("Fonction recodée",'ETPT Format DDG'!2:2,0)),"Fonctionnaire A-B-CBUR placé SUB"))+
SUM(SUMIFS(
INDEX( 'ETPT Format DDG'!$A:$ZZ,,MATCH("7.121. COLLÉGIALES JIRS ÉCO-FI",'ETPT Format DDG'!2:2,0)),
INDEX( 'ETPT Format DDG'!$A:$ZZ,,MATCH("Fonction recodée",'ETPT Format DDG'!2:2,0)),"Fonctionnaire A-B-CBUR placé SUB",
INDEX( 'ETPT Format DDG'!$A:$ZZ,,MATCH("Jirs",'ETPT Format DDG'!2:2,0)),""))</f>
        <v>#N/A</v>
      </c>
      <c r="P15" s="58" t="e" cm="1">
        <f t="array" ref="P15">SUM(SUMIFS(
INDEX( 'ETPT Format DDG'!$A:$ZZ,,MATCH("3.2. PROTECTION DES MAJEURS",'ETPT Format DDG'!2:2,0)),
INDEX( 'ETPT Format DDG'!$A:$ZZ,,MATCH("Fonction recodée",'ETPT Format DDG'!2:2,0)),"Fonctionnaire A-B-CBUR placé SUB",
INDEX( 'ETPT Format DDG'!$A:$ZZ,,MATCH("Juridiction",'ETPT Format DDG'!2:2,0)),TJCPH))</f>
        <v>#N/A</v>
      </c>
      <c r="Q15" s="58" t="e" cm="1">
        <f t="array" ref="Q15">SUM(SUMIFS(
INDEX( 'ETPT Format DDG'!$A:$ZZ,,MATCH("3. TOTAL CONTENTIEUX DE LA PROTECTION",'ETPT Format DDG'!2:2,0)),
INDEX( 'ETPT Format DDG'!$A:$ZZ,,MATCH("Fonction recodée",'ETPT Format DDG'!2:2,0)),"Fonctionnaire A-B-CBUR placé SUB",
INDEX( 'ETPT Format DDG'!$A:$ZZ,,MATCH("Juridiction",'ETPT Format DDG'!2:2,0)),TJCPH))-
SUM(SUMIFS(
INDEX( 'ETPT Format DDG'!$A:$ZZ,,MATCH("3.2. PROTECTION DES MAJEURS",'ETPT Format DDG'!2:2,0)),
INDEX( 'ETPT Format DDG'!$A:$ZZ,,MATCH("Fonction recodée",'ETPT Format DDG'!2:2,0)),"Fonctionnaire A-B-CBUR placé SUB",
INDEX( 'ETPT Format DDG'!$A:$ZZ,,MATCH("Juridiction",'ETPT Format DDG'!2:2,0)),TJCPH))-
SUM(SUMIFS(
INDEX( 'ETPT Format DDG'!$A:$ZZ,,MATCH("3.43. INJONCTIONS DE PAYER",'ETPT Format DDG'!2:2,0)),
INDEX( 'ETPT Format DDG'!$A:$ZZ,,MATCH("Fonction recodée",'ETPT Format DDG'!2:2,0)),"Fonctionnaire A-B-CBUR placé SUB",
INDEX( 'ETPT Format DDG'!$A:$ZZ,,MATCH("Juridiction",'ETPT Format DDG'!2:2,0)),TJCPH))-
SUM(SUMIFS(
INDEX( 'ETPT Format DDG'!$A:$ZZ,,MATCH("3.44. SAISIE DES RÉMUNÉRATIONS",'ETPT Format DDG'!2:2,0)),
INDEX( 'ETPT Format DDG'!$A:$ZZ,,MATCH("Fonction recodée",'ETPT Format DDG'!2:2,0)),"Fonctionnaire A-B-CBUR placé SUB",
INDEX( 'ETPT Format DDG'!$A:$ZZ,,MATCH("Juridiction",'ETPT Format DDG'!2:2,0)),TJCPH))</f>
        <v>#N/A</v>
      </c>
      <c r="R15" s="58" t="e">
        <f>SUM(SUMIFS(
INDEX( 'ETPT Format DDG'!$A:$ZZ,,MATCH("5. TOTAL JLD CIVIL",'ETPT Format DDG'!2:2,0)),
INDEX( 'ETPT Format DDG'!$A:$ZZ,,MATCH("Fonction recodée",'ETPT Format DDG'!2:2,0)),"Fonctionnaire A-B-CBUR placé SUB"))+
SUM(SUMIFS(
INDEX( 'ETPT Format DDG'!$A:$ZZ,,MATCH("6. TOTAL JUGES DES ENFANTS",'ETPT Format DDG'!2:2,0)),
INDEX( 'ETPT Format DDG'!$A:$ZZ,,MATCH("Fonction recodée",'ETPT Format DDG'!2:2,0)),"Fonctionnaire A-B-CBUR placé SUB"))+
SUM(SUMIFS(
INDEX( 'ETPT Format DDG'!$A:$ZZ,,MATCH("8. TOTAL JUGES D'INSTRUCTION",'ETPT Format DDG'!2:2,0)),
INDEX( 'ETPT Format DDG'!$A:$ZZ,,MATCH("Fonction recodée",'ETPT Format DDG'!2:2,0)),"Fonctionnaire A-B-CBUR placé SUB"))+
SUM(SUMIFS(
INDEX( 'ETPT Format DDG'!$A:$ZZ,,MATCH("9. TOTAL JAP",'ETPT Format DDG'!2:2,0)),
INDEX( 'ETPT Format DDG'!$A:$ZZ,,MATCH("Fonction recodée",'ETPT Format DDG'!2:2,0)),"Fonctionnaire A-B-CBUR placé SUB"))+
SUM(SUMIFS(
INDEX( 'ETPT Format DDG'!$A:$ZZ,,MATCH("10. TOTAL JLD PÉNAL",'ETPT Format DDG'!2:2,0)),
INDEX( 'ETPT Format DDG'!$A:$ZZ,,MATCH("Fonction recodée",'ETPT Format DDG'!2:2,0)),"Fonctionnaire A-B-CBUR placé SUB"))</f>
        <v>#N/A</v>
      </c>
      <c r="S15" s="58" t="e" cm="1">
        <f t="array" ref="S15">SUM(SUMIFS(
INDEX( 'ETPT Format DDG'!$A:$ZZ,,MATCH("3.43. INJONCTIONS DE PAYER",'ETPT Format DDG'!2:2,0)),
INDEX( 'ETPT Format DDG'!$A:$ZZ,,MATCH("Fonction recodée",'ETPT Format DDG'!2:2,0)),"Fonctionnaire A-B-CBUR placé SUB",
INDEX( 'ETPT Format DDG'!$A:$ZZ,,MATCH("Juridiction",'ETPT Format DDG'!2:2,0)),TJCPH))+
SUM(SUMIFS(
INDEX( 'ETPT Format DDG'!$A:$ZZ,,MATCH("3.44. SAISIE DES RÉMUNÉRATIONS",'ETPT Format DDG'!2:2,0)),
INDEX( 'ETPT Format DDG'!$A:$ZZ,,MATCH("Fonction recodée",'ETPT Format DDG'!2:2,0)),"Fonctionnaire A-B-CBUR placé SUB",
INDEX( 'ETPT Format DDG'!$A:$ZZ,,MATCH("Juridiction",'ETPT Format DDG'!2:2,0)),TJCPH))</f>
        <v>#N/A</v>
      </c>
      <c r="T15" s="58" t="e" cm="1">
        <f t="array" ref="T15">SUM(SUMIFS(
INDEX( 'ETPT Format DDG'!$A:$ZZ,,MATCH("4.0. CONTENTIEUX GÉNÉRAL &lt;10.000€",'ETPT Format DDG'!2:2,0)),
INDEX( 'ETPT Format DDG'!$A:$ZZ,,MATCH("Fonction recodée",'ETPT Format DDG'!2:2,0)),"Fonctionnaire A-B-CBUR placé SUB",
INDEX( 'ETPT Format DDG'!$A:$ZZ,,MATCH("Juridiction",'ETPT Format DDG'!2:2,0)),TJCPH))</f>
        <v>#N/A</v>
      </c>
      <c r="U15" s="58" t="e" cm="1">
        <f t="array" ref="U15">SUM(SUMIFS(
INDEX( 'ETPT Format DDG'!$A:$ZZ,,MATCH("1. TOTAL CONTENTIEUX SOCIAL",'ETPT Format DDG'!2:2,0)),
INDEX( 'ETPT Format DDG'!$A:$ZZ,,MATCH("Fonction recodée",'ETPT Format DDG'!2:2,0)),"Fonctionnaire A-B-CBUR placé SUB",
INDEX( 'ETPT Format DDG'!$A:$ZZ,,MATCH("Juridiction",'ETPT Format DDG'!2:2,0)),TJCPH))</f>
        <v>#N/A</v>
      </c>
      <c r="V15" s="53" t="e" cm="1">
        <f t="array" ref="V15">SUM(SUMIFS(
INDEX( 'ETPT Format DDG'!$A:$ZZ,,MATCH("2. TOTAL CONTENTIEUX JAF",'ETPT Format DDG'!2:2,0)),
INDEX( 'ETPT Format DDG'!$A:$ZZ,,MATCH("Fonction recodée",'ETPT Format DDG'!2:2,0)),"Fonctionnaire A-B-CBUR placé SUB",
INDEX( 'ETPT Format DDG'!$A:$ZZ,,MATCH("Juridiction",'ETPT Format DDG'!2:2,0)),TJCPH))+
SUM(SUMIFS(
INDEX( 'ETPT Format DDG'!$A:$ZZ,,MATCH("4. TOTAL CIVIL NON SPÉCIALISÉ",'ETPT Format DDG'!2:2,0)),
INDEX( 'ETPT Format DDG'!$A:$ZZ,,MATCH("Fonction recodée",'ETPT Format DDG'!2:2,0)),"Fonctionnaire A-B-CBUR placé SUB",
INDEX( 'ETPT Format DDG'!$A:$ZZ,,MATCH("Juridiction",'ETPT Format DDG'!2:2,0)),TJCPH))+
SUM(SUMIFS(
INDEX( 'ETPT Format DDG'!$A:$ZZ,,MATCH("6.1. ACTIVITÉ CIVILE",'ETPT Format DDG'!2:2,0)),
INDEX( 'ETPT Format DDG'!$A:$ZZ,,MATCH("Fonction recodée",'ETPT Format DDG'!2:2,0)),"Fonctionnaire A-B-CBUR placé SUB",
INDEX( 'ETPT Format DDG'!$A:$ZZ,,MATCH("Juridiction",'ETPT Format DDG'!2:2,0)),TJCPH))+
SUM(SUMIFS(
INDEX( 'ETPT Format DDG'!$A:$ZZ,,MATCH("13. TOTAL CONTENTIEUX LOCAUX SPÉCIFIQUES",'ETPT Format DDG'!2:2,0)),
INDEX( 'ETPT Format DDG'!$A:$ZZ,,MATCH("Fonction recodée",'ETPT Format DDG'!2:2,0)),"Fonctionnaire A-B-CBUR placé SUB",
INDEX( 'ETPT Format DDG'!$A:$ZZ,,MATCH("Juridiction",'ETPT Format DDG'!2:2,0)),TJCPH))-
SUM(SUMIFS(
INDEX( 'ETPT Format DDG'!$A:$ZZ,,MATCH("4.0. CONTENTIEUX GÉNÉRAL &lt;10.000€",'ETPT Format DDG'!2:2,0)),
INDEX( 'ETPT Format DDG'!$A:$ZZ,,MATCH("Fonction recodée",'ETPT Format DDG'!2:2,0)),"Fonctionnaire A-B-CBUR placé SUB",
INDEX( 'ETPT Format DDG'!$A:$ZZ,,MATCH("Juridiction",'ETPT Format DDG'!2:2,0)),TJCPH))+
SUMIFS(
INDEX( 'ETPT Format DDG'!$A:$ZZ,,MATCH("7.1. COLLÉGIALES HORS JIRS",'ETPT Format DDG'!2:2,0)),
INDEX( 'ETPT Format DDG'!$A:$ZZ,,MATCH("Fonction recodée",'ETPT Format DDG'!2:2,0)),"Fonctionnaire A-B-CBUR placé SUB")+
SUMIFS(
INDEX( 'ETPT Format DDG'!$A:$ZZ,,MATCH("7.14. CI",'ETPT Format DDG'!2:2,0)),
INDEX( 'ETPT Format DDG'!$A:$ZZ,,MATCH("Fonction recodée",'ETPT Format DDG'!2:2,0)),"Fonctionnaire A-B-CBUR placé SUB")+
SUMIFS(
INDEX( 'ETPT Format DDG'!$A:$ZZ,,MATCH("7.13. JUGE UNIQUE",'ETPT Format DDG'!2:2,0)),
INDEX( 'ETPT Format DDG'!$A:$ZZ,,MATCH("Fonction recodée",'ETPT Format DDG'!2:2,0)),"Fonctionnaire A-B-CBUR placé SUB")+
SUMIFS(
INDEX( 'ETPT Format DDG'!$A:$ZZ,,MATCH("7.2. CRPC",'ETPT Format DDG'!2:2,0)),
INDEX( 'ETPT Format DDG'!$A:$ZZ,,MATCH("Fonction recodée",'ETPT Format DDG'!2:2,0)),"Fonctionnaire A-B-CBUR placé SUB")+
SUMIFS(
INDEX( 'ETPT Format DDG'!$A:$ZZ,,MATCH("7.15. CPPV",'ETPT Format DDG'!2:2,0)),
INDEX( 'ETPT Format DDG'!$A:$ZZ,,MATCH("Fonction recodée",'ETPT Format DDG'!2:2,0)),"Fonctionnaire A-B-CBUR placé SUB")+
SUMIFS(
INDEX( 'ETPT Format DDG'!$A:$ZZ,,MATCH("7.4. COMPOSITIONS PÉNALES",'ETPT Format DDG'!2:2,0)),
INDEX( 'ETPT Format DDG'!$A:$ZZ,,MATCH("Fonction recodée",'ETPT Format DDG'!2:2,0)),"Fonctionnaire A-B-CBUR placé SUB")+
SUMIFS(
INDEX( 'ETPT Format DDG'!$A:$ZZ,,MATCH("7.3. OP CORRECTIONNELLES",'ETPT Format DDG'!2:2,0)),
INDEX( 'ETPT Format DDG'!$A:$ZZ,,MATCH("Fonction recodée",'ETPT Format DDG'!2:2,0)),"Fonctionnaire A-B-CBUR placé SUB")+
SUMIFS(
INDEX( 'ETPT Format DDG'!$A:$ZZ,,MATCH("7.6. TRIBUNAL DE POLICE",'ETPT Format DDG'!2:2,0)),
INDEX( 'ETPT Format DDG'!$A:$ZZ,,MATCH("Fonction recodée",'ETPT Format DDG'!2:2,0)),"Fonctionnaire A-B-CBUR placé SUB")+
SUMIFS(
INDEX( 'ETPT Format DDG'!$A:$ZZ,,MATCH("7.7. OP CONTRAVENTIONNELLES",'ETPT Format DDG'!2:2,0)),
INDEX( 'ETPT Format DDG'!$A:$ZZ,,MATCH("Fonction recodée",'ETPT Format DDG'!2:2,0)),"Fonctionnaire A-B-CBUR placé SUB")+
SUMIFS(
INDEX( 'ETPT Format DDG'!$A:$ZZ,,MATCH("7.8. AUTRES SIÈGE PÉNAL",'ETPT Format DDG'!2:2,0)),
INDEX( 'ETPT Format DDG'!$A:$ZZ,,MATCH("Fonction recodée",'ETPT Format DDG'!2:2,0)),"Fonctionnaire A-B-CBUR placé SUB")+
SUMIFS(
INDEX( 'ETPT Format DDG'!$A:$ZZ,,MATCH("11.10. AUTRES FONCTIONNAIRES AFFECTÉS AU PARQUET",'ETPT Format DDG'!2:2,0)),
INDEX( 'ETPT Format DDG'!$A:$ZZ,,MATCH("Fonction recodée",'ETPT Format DDG'!2:2,0)),"Fonctionnaire A-B-CBUR placé SUB")</f>
        <v>#N/A</v>
      </c>
      <c r="W15" s="46" t="e">
        <f t="shared" si="5"/>
        <v>#N/A</v>
      </c>
      <c r="X15" s="53" t="e" cm="1">
        <f t="array" ref="X15">SUM(SUMIFS(
INDEX( 'ETPT Format DDG'!$A:$ZZ,,MATCH("3.2. PROTECTION DES MAJEURS",'ETPT Format DDG'!2:2,0)),
INDEX( 'ETPT Format DDG'!$A:$ZZ,,MATCH("Fonction recodée",'ETPT Format DDG'!2:2,0)),"Magistrat placé SUB",
INDEX( 'ETPT Format DDG'!$A:$ZZ,,MATCH("Juridiction",'ETPT Format DDG'!2:2,0)),TJCPH))</f>
        <v>#N/A</v>
      </c>
      <c r="Y15" s="53" t="e" cm="1">
        <f t="array" ref="Y15">SUM(SUMIFS(
INDEX( 'ETPT Format DDG'!$A:$ZZ,,MATCH("3. TOTAL CONTENTIEUX DE LA PROTECTION",'ETPT Format DDG'!2:2,0)),
INDEX( 'ETPT Format DDG'!$A:$ZZ,,MATCH("Fonction recodée",'ETPT Format DDG'!2:2,0)),"Magistrat placé SUB",
INDEX( 'ETPT Format DDG'!$A:$ZZ,,MATCH("Juridiction",'ETPT Format DDG'!2:2,0)),TJCPH))-
SUM(SUMIFS(
INDEX( 'ETPT Format DDG'!$A:$ZZ,,MATCH("3.2. PROTECTION DES MAJEURS",'ETPT Format DDG'!2:2,0)),
INDEX( 'ETPT Format DDG'!$A:$ZZ,,MATCH("Fonction recodée",'ETPT Format DDG'!2:2,0)),"Magistrat placé SUB",
INDEX( 'ETPT Format DDG'!$A:$ZZ,,MATCH("Juridiction",'ETPT Format DDG'!2:2,0)),TJCPH))-
SUM(SUMIFS(
INDEX( 'ETPT Format DDG'!$A:$ZZ,,MATCH("3.43. INJONCTIONS DE PAYER",'ETPT Format DDG'!2:2,0)),
INDEX( 'ETPT Format DDG'!$A:$ZZ,,MATCH("Fonction recodée",'ETPT Format DDG'!2:2,0)),"Magistrat placé SUB",
INDEX( 'ETPT Format DDG'!$A:$ZZ,,MATCH("Juridiction",'ETPT Format DDG'!2:2,0)),TJCPH))-
SUM(SUMIFS(
INDEX( 'ETPT Format DDG'!$A:$ZZ,,MATCH("3.44. SAISIE DES RÉMUNÉRATIONS",'ETPT Format DDG'!2:2,0)),
INDEX( 'ETPT Format DDG'!$A:$ZZ,,MATCH("Fonction recodée",'ETPT Format DDG'!2:2,0)),"Magistrat placé SUB",
INDEX( 'ETPT Format DDG'!$A:$ZZ,,MATCH("Juridiction",'ETPT Format DDG'!2:2,0)),TJCPH))</f>
        <v>#N/A</v>
      </c>
      <c r="Z15" s="53" t="e">
        <f>SUM(SUMIFS(
INDEX( 'ETPT Format DDG'!$A:$ZZ,,MATCH("8.1. SERVICE GÉNÉRAL",'ETPT Format DDG'!2:2,0)),
INDEX( 'ETPT Format DDG'!$A:$ZZ,,MATCH("Fonction recodée",'ETPT Format DDG'!2:2,0)),"Magistrat placé SUB"))</f>
        <v>#N/A</v>
      </c>
      <c r="AA15" s="53" t="e">
        <f>SUM(SUMIFS(
INDEX( 'ETPT Format DDG'!$A:$ZZ,,MATCH("8.2. JIRS ÉCO-FI",'ETPT Format DDG'!2:2,0)),
INDEX( 'ETPT Format DDG'!$A:$ZZ,,MATCH("Fonction recodée",'ETPT Format DDG'!2:2,0)),"Magistrat placé SUB"))</f>
        <v>#N/A</v>
      </c>
      <c r="AB15" s="53" t="e">
        <f>SUM(SUMIFS(
INDEX( 'ETPT Format DDG'!$A:$ZZ,,MATCH("8.3. JIRS CRIM-ORG",'ETPT Format DDG'!2:2,0)),
INDEX( 'ETPT Format DDG'!$A:$ZZ,,MATCH("Fonction recodée",'ETPT Format DDG'!2:2,0)),"Magistrat placé SUB"))</f>
        <v>#N/A</v>
      </c>
      <c r="AC15" s="53" t="e">
        <f>SUM(SUMIFS(
INDEX( 'ETPT Format DDG'!$A:$ZZ,,MATCH("8.4. AUTRES SECTIONS SPÉCIALISÉES",'ETPT Format DDG'!2:2,0)),
INDEX( 'ETPT Format DDG'!$A:$ZZ,,MATCH("Fonction recodée",'ETPT Format DDG'!2:2,0)),"Magistrat placé SUB"))+
SUM(SUMIFS(
INDEX( 'ETPT Format DDG'!$A:$ZZ,,MATCH("8.11. ECO-FI HORS JIRS",'ETPT Format DDG'!2:2,0)),
INDEX( 'ETPT Format DDG'!$A:$ZZ,,MATCH("Fonction recodée",'ETPT Format DDG'!2:2,0)),"Magistrat placé SUB"))</f>
        <v>#N/A</v>
      </c>
      <c r="AD15" s="53" t="e">
        <f>SUM(SUMIFS(
INDEX( 'ETPT Format DDG'!$A:$ZZ,,MATCH("9. TOTAL JAP",'ETPT Format DDG'!2:2,0)),
INDEX( 'ETPT Format DDG'!$A:$ZZ,,MATCH("Fonction recodée",'ETPT Format DDG'!2:2,0)),"Magistrat placé SUB"))</f>
        <v>#N/A</v>
      </c>
      <c r="AE15" s="53" t="e">
        <f>SUM(SUMIFS(
INDEX( 'ETPT Format DDG'!$A:$ZZ,,MATCH("6.1. ACTIVITÉ CIVILE",'ETPT Format DDG'!2:2,0)),
INDEX( 'ETPT Format DDG'!$A:$ZZ,,MATCH("Fonction recodée",'ETPT Format DDG'!2:2,0)),"Magistrat placé SUB"))+
SUM(SUMIFS(
INDEX( 'ETPT Format DDG'!$A:$ZZ,,MATCH("6.2. ACTIVITÉ PÉNALE",'ETPT Format DDG'!2:2,0)),
INDEX( 'ETPT Format DDG'!$A:$ZZ,,MATCH("Fonction recodée",'ETPT Format DDG'!2:2,0)),"Magistrat placé SUB"))</f>
        <v>#N/A</v>
      </c>
      <c r="AF15" s="53" t="e">
        <f>SUM(SUMIFS(
INDEX( 'ETPT Format DDG'!$A:$ZZ,,MATCH("5. TOTAL JLD CIVIL",'ETPT Format DDG'!2:2,0)),
INDEX( 'ETPT Format DDG'!$A:$ZZ,,MATCH("Fonction recodée",'ETPT Format DDG'!2:2,0)),"Magistrat placé SUB"))+
SUM(SUMIFS(
INDEX( 'ETPT Format DDG'!$A:$ZZ,,MATCH("10. TOTAL JLD PÉNAL",'ETPT Format DDG'!2:2,0)),
INDEX( 'ETPT Format DDG'!$A:$ZZ,,MATCH("Fonction recodée",'ETPT Format DDG'!2:2,0)),"Magistrat placé SUB"))</f>
        <v>#N/A</v>
      </c>
      <c r="AG15" s="46" t="e">
        <f t="shared" si="1"/>
        <v>#N/A</v>
      </c>
      <c r="AH15" s="53" t="e">
        <f>SUM(SUMIFS(
INDEX( 'ETPT Format DDG'!$A:$ZZ,,MATCH("7.5. COUR D'ASSISES HORS JIRS",'ETPT Format DDG'!2:2,0)),
INDEX( 'ETPT Format DDG'!$A:$ZZ,,MATCH("Fonction recodée",'ETPT Format DDG'!2:2,0)),"Magistrat placé SUB"))+
SUM(SUMIFS(
INDEX( 'ETPT Format DDG'!$A:$ZZ,,MATCH("7.51. COUR D'ASSISES JIRS",'ETPT Format DDG'!2:2,0)),
INDEX( 'ETPT Format DDG'!$A:$ZZ,,MATCH("Fonction recodée",'ETPT Format DDG'!2:2,0)),"Magistrat placé SUB"))</f>
        <v>#N/A</v>
      </c>
      <c r="AI15" s="53" t="e">
        <f>SUM(SUMIFS(
INDEX( 'ETPT Format DDG'!$A:$ZZ,,MATCH("7.52. COUR CRIMINELLE",'ETPT Format DDG'!2:2,0)),
INDEX( 'ETPT Format DDG'!$A:$ZZ,,MATCH("Fonction recodée",'ETPT Format DDG'!2:2,0)),"Magistrat placé SUB"))</f>
        <v>#N/A</v>
      </c>
      <c r="AJ15" s="53" t="e">
        <f>SUM(SUMIFS(
INDEX( 'ETPT Format DDG'!$A:$ZZ,,MATCH("7.121. COLLÉGIALES JIRS ÉCO-FI",'ETPT Format DDG'!2:2,0)),
INDEX( 'ETPT Format DDG'!$A:$ZZ,,MATCH("Fonction recodée",'ETPT Format DDG'!2:2,0)),"Magistrat placé SUB",
INDEX( 'ETPT Format DDG'!$A:$ZZ,,MATCH("Jirs",'ETPT Format DDG'!2:2,0)),"x"))</f>
        <v>#N/A</v>
      </c>
      <c r="AK15" s="53" t="e">
        <f>SUM(SUMIFS(
INDEX( 'ETPT Format DDG'!$A:$ZZ,,MATCH("7.12. COLLÉGIALES JIRS CRIM-ORG",'ETPT Format DDG'!2:2,0)),
INDEX( 'ETPT Format DDG'!$A:$ZZ,,MATCH("Fonction recodée",'ETPT Format DDG'!2:2,0)),"Magistrat placé SUB"))</f>
        <v>#N/A</v>
      </c>
      <c r="AL15" s="53" t="e">
        <f>SUM(SUMIFS(
INDEX( 'ETPT Format DDG'!$A:$ZZ,,MATCH("7.122. COLLÉGIALES AUTRES SECTIONS SPÉCIALISÉES",'ETPT Format DDG'!2:2,0)),
INDEX( 'ETPT Format DDG'!$A:$ZZ,,MATCH("Fonction recodée",'ETPT Format DDG'!2:2,0)),"Magistrat placé SUB"))+
SUM(SUMIFS(
INDEX( 'ETPT Format DDG'!$A:$ZZ,,MATCH("7.121. COLLÉGIALES JIRS ÉCO-FI",'ETPT Format DDG'!2:2,0)),
INDEX( 'ETPT Format DDG'!$A:$ZZ,,MATCH("Fonction recodée",'ETPT Format DDG'!2:2,0)),"Magistrat placé SUB",
INDEX( 'ETPT Format DDG'!$A:$ZZ,,MATCH("Jirs",'ETPT Format DDG'!2:2,0)),""))</f>
        <v>#N/A</v>
      </c>
      <c r="AM15" s="53" t="e">
        <f>SUM(SUMIFS(
INDEX( 'ETPT Format DDG'!$A:$ZZ,,MATCH("7.6. TRIBUNAL DE POLICE",'ETPT Format DDG'!2:2,0)),
INDEX( 'ETPT Format DDG'!$A:$ZZ,,MATCH("Fonction recodée",'ETPT Format DDG'!2:2,0)),"Magistrat placé SUB"))+
SUM(SUMIFS(
INDEX( 'ETPT Format DDG'!$A:$ZZ,,MATCH("7.7. OP CONTRAVENTIONNELLES",'ETPT Format DDG'!2:2,0)),
INDEX( 'ETPT Format DDG'!$A:$ZZ,,MATCH("Fonction recodée",'ETPT Format DDG'!2:2,0)),"Magistrat placé SUB"))</f>
        <v>#N/A</v>
      </c>
      <c r="AN15" s="53" t="e" cm="1">
        <f t="array" ref="AN15">SUM(SUMIFS(
INDEX( 'ETPT Format DDG'!$A:$ZZ,,MATCH("1.1. DÉPARTAGE PRUD'HOMAL",'ETPT Format DDG'!2:2,0)),
INDEX( 'ETPT Format DDG'!$A:$ZZ,,MATCH("Fonction recodée",'ETPT Format DDG'!2:2,0)),"Magistrat placé SUB",
INDEX( 'ETPT Format DDG'!$A:$ZZ,,MATCH("Juridiction",'ETPT Format DDG'!2:2,0)),TJCPH))</f>
        <v>#N/A</v>
      </c>
      <c r="AO15" s="53" t="e" cm="1">
        <f t="array" ref="AO15">SUM(SUMIFS(
INDEX( 'ETPT Format DDG'!$A:$ZZ,,MATCH("4.0. CONTENTIEUX GÉNÉRAL &lt;10.000€",'ETPT Format DDG'!2:2,0)),
INDEX( 'ETPT Format DDG'!$A:$ZZ,,MATCH("Fonction recodée",'ETPT Format DDG'!2:2,0)),"Magistrat placé SUB",
INDEX( 'ETPT Format DDG'!$A:$ZZ,,MATCH("Juridiction",'ETPT Format DDG'!2:2,0)),TJCPH))</f>
        <v>#N/A</v>
      </c>
      <c r="AP15" s="53" t="e" cm="1">
        <f t="array" ref="AP15">SUM(SUMIFS(
INDEX( 'ETPT Format DDG'!$A:$ZZ,,MATCH("3.43. INJONCTIONS DE PAYER",'ETPT Format DDG'!2:2,0)),
INDEX( 'ETPT Format DDG'!$A:$ZZ,,MATCH("Fonction recodée",'ETPT Format DDG'!2:2,0)),"Magistrat placé SUB",
INDEX( 'ETPT Format DDG'!$A:$ZZ,,MATCH("Juridiction",'ETPT Format DDG'!2:2,0)),TJCPH))+
SUM(SUMIFS(
INDEX( 'ETPT Format DDG'!$A:$ZZ,,MATCH("3.44. SAISIE DES RÉMUNÉRATIONS",'ETPT Format DDG'!2:2,0)),
INDEX( 'ETPT Format DDG'!$A:$ZZ,,MATCH("Fonction recodée",'ETPT Format DDG'!2:2,0)),"Magistrat placé SUB",
INDEX( 'ETPT Format DDG'!$A:$ZZ,,MATCH("Juridiction",'ETPT Format DDG'!2:2,0)),TJCPH))</f>
        <v>#N/A</v>
      </c>
      <c r="AQ15" s="53" t="e" cm="1">
        <f t="array" ref="AQ15">SUM(SUMIFS(
INDEX( 'ETPT Format DDG'!$A:$ZZ,,MATCH("1. TOTAL CONTENTIEUX SOCIAL",'ETPT Format DDG'!2:2,0)),
INDEX( 'ETPT Format DDG'!$A:$ZZ,,MATCH("Fonction recodée",'ETPT Format DDG'!2:2,0)),"Magistrat placé SUB",
INDEX( 'ETPT Format DDG'!$A:$ZZ,,MATCH("Juridiction",'ETPT Format DDG'!2:2,0)),TJCPH))-
SUM(SUMIFS(
INDEX( 'ETPT Format DDG'!$A:$ZZ,,MATCH("1.1. DÉPARTAGE PRUD'HOMAL",'ETPT Format DDG'!2:2,0)),
INDEX( 'ETPT Format DDG'!$A:$ZZ,,MATCH("Fonction recodée",'ETPT Format DDG'!2:2,0)),"Magistrat placé SUB",
INDEX( 'ETPT Format DDG'!$A:$ZZ,,MATCH("Juridiction",'ETPT Format DDG'!2:2,0)),TJCPH))</f>
        <v>#N/A</v>
      </c>
      <c r="AR15" s="53" t="e">
        <f>SUM(SUMIFS(
INDEX( 'ETPT Format DDG'!$A:$ZZ,,MATCH("2. TOTAL CONTENTIEUX JAF",'ETPT Format DDG'!2:2,0)),
INDEX( 'ETPT Format DDG'!$A:$ZZ,,MATCH("Fonction recodée",'ETPT Format DDG'!2:2,0)),"Magistrat placé SUB"))</f>
        <v>#N/A</v>
      </c>
      <c r="AS15" s="54"/>
      <c r="AT15" s="53" t="e" cm="1">
        <f t="array" ref="AT15">SUM(SUMIFS(
INDEX( 'ETPT Format DDG'!$A:$ZZ,,MATCH("4. TOTAL CIVIL NON SPÉCIALISÉ",'ETPT Format DDG'!2:2,0)),
INDEX( 'ETPT Format DDG'!$A:$ZZ,,MATCH("Fonction recodée",'ETPT Format DDG'!2:2,0)),"Magistrat placé SUB",
INDEX( 'ETPT Format DDG'!$A:$ZZ,,MATCH("Juridiction",'ETPT Format DDG'!2:2,0)),TJCPH))-
SUM(SUMIFS(
INDEX( 'ETPT Format DDG'!$A:$ZZ,,MATCH("4.0. CONTENTIEUX GÉNÉRAL &lt;10.000€",'ETPT Format DDG'!2:2,0)),
INDEX( 'ETPT Format DDG'!$A:$ZZ,,MATCH("Fonction recodée",'ETPT Format DDG'!2:2,0)),"Magistrat placé SUB",
INDEX( 'ETPT Format DDG'!$A:$ZZ,,MATCH("Juridiction",'ETPT Format DDG'!2:2,0)),TJCPH))+
SUMIFS(
INDEX( 'ETPT Format DDG'!$A:$ZZ,,MATCH("7.1. COLLÉGIALES HORS JIRS",'ETPT Format DDG'!2:2,0)),
INDEX( 'ETPT Format DDG'!$A:$ZZ,,MATCH("Fonction recodée",'ETPT Format DDG'!2:2,0)),"Magistrat placé SUB")+
SUMIFS(
INDEX( 'ETPT Format DDG'!$A:$ZZ,,MATCH("7.14. CI",'ETPT Format DDG'!2:2,0)),
INDEX( 'ETPT Format DDG'!$A:$ZZ,,MATCH("Fonction recodée",'ETPT Format DDG'!2:2,0)),"Magistrat placé SUB")+
SUMIFS(
INDEX( 'ETPT Format DDG'!$A:$ZZ,,MATCH("7.13. JUGE UNIQUE",'ETPT Format DDG'!2:2,0)),
INDEX( 'ETPT Format DDG'!$A:$ZZ,,MATCH("Fonction recodée",'ETPT Format DDG'!2:2,0)),"Magistrat placé SUB")+
SUMIFS(
INDEX( 'ETPT Format DDG'!$A:$ZZ,,MATCH("7.2. CRPC",'ETPT Format DDG'!2:2,0)),
INDEX( 'ETPT Format DDG'!$A:$ZZ,,MATCH("Fonction recodée",'ETPT Format DDG'!2:2,0)),"Magistrat placé SUB")+
SUMIFS(
INDEX( 'ETPT Format DDG'!$A:$ZZ,,MATCH("7.15. CPPV",'ETPT Format DDG'!2:2,0)),
INDEX( 'ETPT Format DDG'!$A:$ZZ,,MATCH("Fonction recodée",'ETPT Format DDG'!2:2,0)),"Magistrat placé SUB")+
SUMIFS(
INDEX( 'ETPT Format DDG'!$A:$ZZ,,MATCH("7.4. COMPOSITIONS PÉNALES",'ETPT Format DDG'!2:2,0)),
INDEX( 'ETPT Format DDG'!$A:$ZZ,,MATCH("Fonction recodée",'ETPT Format DDG'!2:2,0)),"Magistrat placé SUB")+
SUMIFS(
INDEX( 'ETPT Format DDG'!$A:$ZZ,,MATCH("7.3. OP CORRECTIONNELLES",'ETPT Format DDG'!2:2,0)),
INDEX( 'ETPT Format DDG'!$A:$ZZ,,MATCH("Fonction recodée",'ETPT Format DDG'!2:2,0)),"Magistrat placé SUB")+
SUMIFS(
INDEX( 'ETPT Format DDG'!$A:$ZZ,,MATCH("7.8. AUTRES SIÈGE PÉNAL",'ETPT Format DDG'!2:2,0)),
INDEX( 'ETPT Format DDG'!$A:$ZZ,,MATCH("Fonction recodée",'ETPT Format DDG'!2:2,0)),"Magistrat placé SUB")</f>
        <v>#N/A</v>
      </c>
      <c r="AU15" s="46" t="e">
        <f t="shared" si="2"/>
        <v>#N/A</v>
      </c>
      <c r="AV15" s="52"/>
      <c r="AW15" s="52"/>
      <c r="AX15" s="52"/>
      <c r="AY15" s="52"/>
      <c r="AZ15" s="52"/>
      <c r="BA15" s="52"/>
      <c r="BB15" s="52"/>
      <c r="BC15" s="52"/>
      <c r="BD15" s="52"/>
      <c r="BE15" s="46">
        <f t="shared" si="3"/>
        <v>0</v>
      </c>
    </row>
    <row r="16" spans="1:57" s="41" customFormat="1" ht="14.25" customHeight="1" x14ac:dyDescent="0.15">
      <c r="A16" s="51"/>
      <c r="B16" s="50"/>
      <c r="C16" s="50"/>
      <c r="D16" s="50"/>
      <c r="E16" s="50"/>
      <c r="F16" s="49" t="s">
        <v>39</v>
      </c>
      <c r="G16" s="47" t="e">
        <f t="shared" ref="G16:AG16" si="6">SUM(G5:G15)</f>
        <v>#N/A</v>
      </c>
      <c r="H16" s="46" t="e">
        <f>SUM(H5:H15)</f>
        <v>#N/A</v>
      </c>
      <c r="I16" s="47" t="e">
        <f t="shared" si="6"/>
        <v>#N/A</v>
      </c>
      <c r="J16" s="47" t="e">
        <f t="shared" si="6"/>
        <v>#N/A</v>
      </c>
      <c r="K16" s="47" t="e">
        <f t="shared" si="6"/>
        <v>#N/A</v>
      </c>
      <c r="L16" s="48" t="e">
        <f t="shared" si="6"/>
        <v>#N/A</v>
      </c>
      <c r="M16" s="47" t="e">
        <f t="shared" si="6"/>
        <v>#N/A</v>
      </c>
      <c r="N16" s="47" t="e">
        <f t="shared" si="6"/>
        <v>#N/A</v>
      </c>
      <c r="O16" s="47" t="e">
        <f t="shared" si="6"/>
        <v>#N/A</v>
      </c>
      <c r="P16" s="47" t="e">
        <f t="shared" si="6"/>
        <v>#N/A</v>
      </c>
      <c r="Q16" s="47" t="e">
        <f t="shared" si="6"/>
        <v>#N/A</v>
      </c>
      <c r="R16" s="47" t="e">
        <f t="shared" si="6"/>
        <v>#N/A</v>
      </c>
      <c r="S16" s="47" t="e">
        <f t="shared" si="6"/>
        <v>#N/A</v>
      </c>
      <c r="T16" s="47" t="e">
        <f t="shared" si="6"/>
        <v>#N/A</v>
      </c>
      <c r="U16" s="47" t="e">
        <f t="shared" si="6"/>
        <v>#N/A</v>
      </c>
      <c r="V16" s="47" t="e">
        <f t="shared" si="6"/>
        <v>#N/A</v>
      </c>
      <c r="W16" s="46" t="e">
        <f t="shared" si="6"/>
        <v>#N/A</v>
      </c>
      <c r="X16" s="47" t="e">
        <f t="shared" si="6"/>
        <v>#N/A</v>
      </c>
      <c r="Y16" s="47" t="e">
        <f t="shared" si="6"/>
        <v>#N/A</v>
      </c>
      <c r="Z16" s="47" t="e">
        <f t="shared" si="6"/>
        <v>#N/A</v>
      </c>
      <c r="AA16" s="47" t="e">
        <f t="shared" si="6"/>
        <v>#N/A</v>
      </c>
      <c r="AB16" s="47" t="e">
        <f t="shared" si="6"/>
        <v>#N/A</v>
      </c>
      <c r="AC16" s="47" t="e">
        <f t="shared" si="6"/>
        <v>#N/A</v>
      </c>
      <c r="AD16" s="47" t="e">
        <f t="shared" si="6"/>
        <v>#N/A</v>
      </c>
      <c r="AE16" s="47" t="e">
        <f t="shared" si="6"/>
        <v>#N/A</v>
      </c>
      <c r="AF16" s="47" t="e">
        <f t="shared" si="6"/>
        <v>#N/A</v>
      </c>
      <c r="AG16" s="46" t="e">
        <f t="shared" si="6"/>
        <v>#N/A</v>
      </c>
      <c r="AH16" s="47" t="e">
        <f t="shared" ref="AH16:BE16" si="7">SUM(AH5:AH15)</f>
        <v>#N/A</v>
      </c>
      <c r="AI16" s="47" t="e">
        <f t="shared" si="7"/>
        <v>#N/A</v>
      </c>
      <c r="AJ16" s="47" t="e">
        <f t="shared" si="7"/>
        <v>#N/A</v>
      </c>
      <c r="AK16" s="47" t="e">
        <f t="shared" si="7"/>
        <v>#N/A</v>
      </c>
      <c r="AL16" s="47" t="e">
        <f t="shared" si="7"/>
        <v>#N/A</v>
      </c>
      <c r="AM16" s="47" t="e">
        <f t="shared" si="7"/>
        <v>#N/A</v>
      </c>
      <c r="AN16" s="47" t="e">
        <f t="shared" si="7"/>
        <v>#N/A</v>
      </c>
      <c r="AO16" s="47" t="e">
        <f t="shared" si="7"/>
        <v>#N/A</v>
      </c>
      <c r="AP16" s="47" t="e">
        <f t="shared" si="7"/>
        <v>#N/A</v>
      </c>
      <c r="AQ16" s="47" t="e">
        <f t="shared" si="7"/>
        <v>#N/A</v>
      </c>
      <c r="AR16" s="47" t="e">
        <f t="shared" si="7"/>
        <v>#N/A</v>
      </c>
      <c r="AS16" s="47" t="e">
        <f t="shared" si="7"/>
        <v>#N/A</v>
      </c>
      <c r="AT16" s="47" t="e">
        <f t="shared" si="7"/>
        <v>#N/A</v>
      </c>
      <c r="AU16" s="46" t="e">
        <f t="shared" si="7"/>
        <v>#N/A</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1:57" s="41" customFormat="1" ht="9" customHeight="1" x14ac:dyDescent="0.15">
      <c r="A17" s="45"/>
      <c r="B17" s="44"/>
      <c r="C17" s="44"/>
      <c r="D17" s="44"/>
      <c r="E17" s="44"/>
      <c r="F17" s="4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row>
    <row r="18" spans="1:57" x14ac:dyDescent="0.2">
      <c r="W18" s="40"/>
      <c r="AU18" s="40"/>
    </row>
    <row r="19" spans="1:57" x14ac:dyDescent="0.2">
      <c r="D19" s="39" t="s">
        <v>171</v>
      </c>
      <c r="AU19" s="38"/>
    </row>
    <row r="20" spans="1:57" ht="28" x14ac:dyDescent="0.2">
      <c r="F20" s="249" t="s">
        <v>253</v>
      </c>
      <c r="G20" s="189" t="e" cm="1">
        <f t="array" ref="G20">SUM(SUMIFS(
INDEX( 'ETPT Format DDG'!$A:$ZZ,,MATCH("12. TOTAL des INDISPONIBILITÉS relevant de l'action 99",'ETPT Format DDG'!2:2,0)),
INDEX( 'ETPT Format DDG'!$A:$ZZ,,MATCH("Fonction recodée",'ETPT Format DDG'!2:2,0)),{"Fonctionnaire CTECH placé ADD";"Fonctionnaire CTECH placé SUB"},
INDEX( 'ETPT Format DDG'!$A:$ZZ,,MATCH("Juridiction",'ETPT Format DDG'!2:2,0)),TJCPH))</f>
        <v>#N/A</v>
      </c>
      <c r="U20" s="250" t="s">
        <v>254</v>
      </c>
      <c r="V20" s="189" t="e" cm="1">
        <f t="array" ref="V20">SUM(SUMIFS(
INDEX( 'ETPT Format DDG'!$A:$ZZ,,MATCH("12. TOTAL des INDISPONIBILITÉS relevant de l'action 99",'ETPT Format DDG'!2:2,0)),
INDEX( 'ETPT Format DDG'!$A:$ZZ,,MATCH("Fonction recodée",'ETPT Format DDG'!2:2,0)),{"Fonctionnaire A-B-CBUR placé ADD";"Fonctionnaire A-B-CBUR placé SUB"},
INDEX( 'ETPT Format DDG'!$A:$ZZ,,MATCH("Juridiction",'ETPT Format DDG'!2:2,0)),TJCPH))</f>
        <v>#N/A</v>
      </c>
      <c r="W20" s="38"/>
      <c r="AS20" s="248" t="s">
        <v>252</v>
      </c>
      <c r="AT20" s="152" t="e" cm="1">
        <f t="array" ref="AT20">SUM(SUMIFS(
INDEX( 'ETPT Format DDG'!$A:$ZZ,,MATCH("12. TOTAL des INDISPONIBILITÉS relevant de l'action 99",'ETPT Format DDG'!2:2,0)),
INDEX( 'ETPT Format DDG'!$A:$ZZ,,MATCH("Fonction recodée",'ETPT Format DDG'!2:2,0)),{"Magistrat placé ADD";"Magistrat placé SUB"},
INDEX( 'ETPT Format DDG'!$A:$ZZ,,MATCH("Juridiction",'ETPT Format DDG'!2:2,0)),TJCPH))</f>
        <v>#N/A</v>
      </c>
      <c r="AU20" s="38"/>
    </row>
    <row r="21" spans="1:57" x14ac:dyDescent="0.2">
      <c r="W21" s="38"/>
      <c r="AT21" s="38"/>
    </row>
    <row r="22" spans="1:57" x14ac:dyDescent="0.2">
      <c r="AC22" s="38"/>
    </row>
    <row r="24" spans="1:57" x14ac:dyDescent="0.2">
      <c r="V24" s="38"/>
    </row>
  </sheetData>
  <mergeCells count="6">
    <mergeCell ref="BE2:BE4"/>
    <mergeCell ref="B1:I1"/>
    <mergeCell ref="H2:H4"/>
    <mergeCell ref="W2:W4"/>
    <mergeCell ref="AG2:AG4"/>
    <mergeCell ref="AU2:AU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F550-3CE0-D840-A4B2-BC367E623A92}">
  <sheetPr codeName="Feuil10">
    <tabColor rgb="FFFFC000"/>
  </sheetPr>
  <dimension ref="A1:AG19"/>
  <sheetViews>
    <sheetView topLeftCell="D1" zoomScale="111" zoomScaleNormal="100" workbookViewId="0">
      <pane xSplit="3" ySplit="1" topLeftCell="AA2" activePane="bottomRight" state="frozen"/>
      <selection pane="topRight" activeCell="G1" sqref="G1"/>
      <selection pane="bottomLeft" activeCell="A2" sqref="A2"/>
      <selection pane="bottomRight" activeCell="AF14" sqref="AF14"/>
    </sheetView>
  </sheetViews>
  <sheetFormatPr baseColWidth="10" defaultColWidth="11" defaultRowHeight="16" x14ac:dyDescent="0.2"/>
  <cols>
    <col min="1" max="3" width="11" style="37" hidden="1" customWidth="1"/>
    <col min="4" max="5" width="11" style="37"/>
    <col min="6" max="6" width="46.33203125" style="37" bestFit="1" customWidth="1"/>
    <col min="7" max="16384" width="11" style="37"/>
  </cols>
  <sheetData>
    <row r="1" spans="1:33" x14ac:dyDescent="0.2">
      <c r="A1" s="375" t="s">
        <v>214</v>
      </c>
      <c r="B1" s="375"/>
      <c r="C1" s="375"/>
      <c r="D1" s="375"/>
      <c r="E1" s="375"/>
      <c r="F1" s="375"/>
      <c r="G1" s="375"/>
      <c r="H1" s="375"/>
      <c r="I1" s="41"/>
      <c r="J1" s="41"/>
      <c r="K1" s="41"/>
      <c r="L1" s="41"/>
      <c r="M1" s="41"/>
      <c r="N1" s="41"/>
      <c r="O1" s="109"/>
      <c r="P1" s="109"/>
      <c r="Q1" s="41"/>
      <c r="R1" s="41"/>
      <c r="S1" s="41"/>
      <c r="T1" s="41"/>
      <c r="U1" s="41"/>
      <c r="V1" s="41"/>
      <c r="W1" s="41"/>
      <c r="X1" s="41"/>
      <c r="Y1" s="41"/>
      <c r="Z1" s="109"/>
      <c r="AA1" s="109"/>
      <c r="AB1" s="41"/>
      <c r="AC1" s="41"/>
      <c r="AD1" s="41"/>
      <c r="AE1" s="41"/>
      <c r="AF1" s="41"/>
      <c r="AG1" s="41"/>
    </row>
    <row r="2" spans="1:33" x14ac:dyDescent="0.2">
      <c r="A2" s="78"/>
      <c r="B2" s="78"/>
      <c r="C2" s="78"/>
      <c r="D2" s="78"/>
      <c r="E2" s="78"/>
      <c r="F2" s="78"/>
      <c r="G2" s="75" t="s">
        <v>169</v>
      </c>
      <c r="H2" s="373" t="s">
        <v>168</v>
      </c>
      <c r="I2" s="75" t="s">
        <v>167</v>
      </c>
      <c r="J2" s="75" t="s">
        <v>167</v>
      </c>
      <c r="K2" s="75" t="s">
        <v>167</v>
      </c>
      <c r="L2" s="75" t="s">
        <v>167</v>
      </c>
      <c r="M2" s="75" t="s">
        <v>167</v>
      </c>
      <c r="N2" s="75" t="s">
        <v>167</v>
      </c>
      <c r="O2" s="110" t="s">
        <v>167</v>
      </c>
      <c r="P2" s="110" t="s">
        <v>167</v>
      </c>
      <c r="Q2" s="75" t="s">
        <v>167</v>
      </c>
      <c r="R2" s="75" t="s">
        <v>167</v>
      </c>
      <c r="S2" s="373" t="s">
        <v>166</v>
      </c>
      <c r="T2" s="75" t="s">
        <v>164</v>
      </c>
      <c r="U2" s="75" t="s">
        <v>164</v>
      </c>
      <c r="V2" s="75" t="s">
        <v>164</v>
      </c>
      <c r="W2" s="75" t="s">
        <v>164</v>
      </c>
      <c r="X2" s="75" t="s">
        <v>164</v>
      </c>
      <c r="Y2" s="75" t="s">
        <v>164</v>
      </c>
      <c r="Z2" s="110" t="s">
        <v>164</v>
      </c>
      <c r="AA2" s="110" t="s">
        <v>164</v>
      </c>
      <c r="AB2" s="75" t="s">
        <v>164</v>
      </c>
      <c r="AC2" s="373" t="s">
        <v>213</v>
      </c>
      <c r="AD2" s="75" t="s">
        <v>212</v>
      </c>
      <c r="AE2" s="75" t="s">
        <v>212</v>
      </c>
      <c r="AF2" s="75" t="s">
        <v>212</v>
      </c>
      <c r="AG2" s="373" t="s">
        <v>211</v>
      </c>
    </row>
    <row r="3" spans="1:33" ht="36" x14ac:dyDescent="0.2">
      <c r="A3" s="78"/>
      <c r="B3" s="78"/>
      <c r="C3" s="78"/>
      <c r="D3" s="78"/>
      <c r="E3" s="78"/>
      <c r="F3" s="78"/>
      <c r="G3" s="75" t="s">
        <v>158</v>
      </c>
      <c r="H3" s="373"/>
      <c r="I3" s="75" t="s">
        <v>210</v>
      </c>
      <c r="J3" s="75" t="s">
        <v>209</v>
      </c>
      <c r="K3" s="75" t="s">
        <v>208</v>
      </c>
      <c r="L3" s="75" t="s">
        <v>207</v>
      </c>
      <c r="M3" s="75" t="s">
        <v>206</v>
      </c>
      <c r="N3" s="75" t="s">
        <v>205</v>
      </c>
      <c r="O3" s="110" t="s">
        <v>204</v>
      </c>
      <c r="P3" s="110" t="s">
        <v>203</v>
      </c>
      <c r="Q3" s="75" t="s">
        <v>202</v>
      </c>
      <c r="R3" s="75" t="s">
        <v>145</v>
      </c>
      <c r="S3" s="373"/>
      <c r="T3" s="75" t="s">
        <v>201</v>
      </c>
      <c r="U3" s="75" t="s">
        <v>200</v>
      </c>
      <c r="V3" s="75" t="s">
        <v>199</v>
      </c>
      <c r="W3" s="75" t="s">
        <v>198</v>
      </c>
      <c r="X3" s="75" t="s">
        <v>197</v>
      </c>
      <c r="Y3" s="75" t="s">
        <v>196</v>
      </c>
      <c r="Z3" s="110" t="s">
        <v>195</v>
      </c>
      <c r="AA3" s="110" t="s">
        <v>194</v>
      </c>
      <c r="AB3" s="75" t="s">
        <v>193</v>
      </c>
      <c r="AC3" s="373"/>
      <c r="AD3" s="75" t="s">
        <v>192</v>
      </c>
      <c r="AE3" s="75" t="s">
        <v>128</v>
      </c>
      <c r="AF3" s="75" t="s">
        <v>122</v>
      </c>
      <c r="AG3" s="373"/>
    </row>
    <row r="4" spans="1:33" ht="60" x14ac:dyDescent="0.2">
      <c r="A4" s="78"/>
      <c r="B4" s="76" t="s">
        <v>112</v>
      </c>
      <c r="C4" s="76" t="s">
        <v>111</v>
      </c>
      <c r="D4" s="76" t="s">
        <v>32</v>
      </c>
      <c r="E4" s="76" t="s">
        <v>110</v>
      </c>
      <c r="F4" s="76" t="s">
        <v>109</v>
      </c>
      <c r="G4" s="75" t="s">
        <v>108</v>
      </c>
      <c r="H4" s="373"/>
      <c r="I4" s="75" t="s">
        <v>191</v>
      </c>
      <c r="J4" s="75" t="s">
        <v>190</v>
      </c>
      <c r="K4" s="75" t="s">
        <v>189</v>
      </c>
      <c r="L4" s="75" t="s">
        <v>188</v>
      </c>
      <c r="M4" s="75" t="s">
        <v>187</v>
      </c>
      <c r="N4" s="75" t="s">
        <v>186</v>
      </c>
      <c r="O4" s="110" t="s">
        <v>185</v>
      </c>
      <c r="P4" s="110" t="s">
        <v>184</v>
      </c>
      <c r="Q4" s="75" t="s">
        <v>183</v>
      </c>
      <c r="R4" s="75" t="s">
        <v>94</v>
      </c>
      <c r="S4" s="373"/>
      <c r="T4" s="75" t="s">
        <v>182</v>
      </c>
      <c r="U4" s="75" t="s">
        <v>181</v>
      </c>
      <c r="V4" s="75" t="s">
        <v>180</v>
      </c>
      <c r="W4" s="75" t="s">
        <v>179</v>
      </c>
      <c r="X4" s="75" t="s">
        <v>178</v>
      </c>
      <c r="Y4" s="75" t="s">
        <v>177</v>
      </c>
      <c r="Z4" s="110" t="s">
        <v>176</v>
      </c>
      <c r="AA4" s="110" t="s">
        <v>175</v>
      </c>
      <c r="AB4" s="75" t="s">
        <v>174</v>
      </c>
      <c r="AC4" s="373"/>
      <c r="AD4" s="75" t="s">
        <v>173</v>
      </c>
      <c r="AE4" s="75" t="s">
        <v>78</v>
      </c>
      <c r="AF4" s="75" t="s">
        <v>72</v>
      </c>
      <c r="AG4" s="373"/>
    </row>
    <row r="5" spans="1:33" x14ac:dyDescent="0.2">
      <c r="A5" s="81" t="s">
        <v>172</v>
      </c>
      <c r="B5" s="61"/>
      <c r="C5" s="61"/>
      <c r="D5" s="71">
        <f>ETPT_TPRX_DDG!$D$5</f>
        <v>0</v>
      </c>
      <c r="E5" s="61" t="s">
        <v>62</v>
      </c>
      <c r="F5" s="61" t="s">
        <v>61</v>
      </c>
      <c r="G5" s="63"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82" t="e">
        <f t="shared" ref="H5:H15" si="0">SUM(G5)</f>
        <v>#N/A</v>
      </c>
      <c r="I5" s="83"/>
      <c r="J5" s="270"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58"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58" t="e">
        <f>SUM(SUMIFS(
INDEX( 'ETPT Format DDG'!$A:$ZZ,,MATCH("3.2. PROTECTION DES MAJEURS",'ETPT Format DDG'!2:2,0)),
INDEX( 'ETPT Format DDG'!$A:$ZZ,,MATCH("Fonction recodée",'ETPT Format DDG'!2:2,0)),"Fonctionnaire A-B-CBUR",
INDEX( 'ETPT Format DDG'!$A:$ZZ,,MATCH("Juridiction",'ETPT Format DDG'!2:2,0)),$D$5))</f>
        <v>#N/A</v>
      </c>
      <c r="M5" s="271"/>
      <c r="N5" s="271"/>
      <c r="O5" s="54"/>
      <c r="P5" s="54"/>
      <c r="Q5" s="272"/>
      <c r="R5" s="53"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46" t="e">
        <f t="shared" ref="S5:S15" si="1">SUM(I5:R5)</f>
        <v>#N/A</v>
      </c>
      <c r="T5" s="57"/>
      <c r="U5" s="270" t="e" cm="1">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58" t="e" cm="1">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58" t="e" cm="1">
        <f t="array" ref="W5">SUM(SUMIFS(
INDEX( 'ETPT Format DDG'!$A:$ZZ,,MATCH("3.2. PROTECTION DES MAJEURS",'ETPT Format DDG'!2:2,0)),
INDEX( 'ETPT Format DDG'!$A:$ZZ,,MATCH("Fonction recodée",'ETPT Format DDG'!2:2,0)),{"Magistrat SIEGE S";"Magistrat SIEGE NS"},
INDEX( 'ETPT Format DDG'!$A:$ZZ,,MATCH("Juridiction",'ETPT Format DDG'!2:2,0)),$D$5))</f>
        <v>#N/A</v>
      </c>
      <c r="X5" s="273"/>
      <c r="Y5" s="273"/>
      <c r="Z5" s="54"/>
      <c r="AA5" s="54"/>
      <c r="AB5" s="273"/>
      <c r="AC5" s="82" t="e">
        <f t="shared" ref="AC5:AC15" si="2">SUM(T5:AB5)</f>
        <v>#N/A</v>
      </c>
      <c r="AD5" s="273"/>
      <c r="AE5" s="53" t="e" cm="1">
        <f t="array" ref="AE5">SUM(SUMIFS(
INDEX( 'ETPT Format DDG'!$A:$ZZ,,MATCH("1.1. DÉPARTAGE PRUD'HOMAL",'ETPT Format DDG'!2:2,0)),
INDEX( 'ETPT Format DDG'!$A:$ZZ,,MATCH("Fonction recodée",'ETPT Format DDG'!2:2,0)),{"Magistrat SIEGE S";"Magistrat SIEGE NS"},
INDEX( 'ETPT Format DDG'!$A:$ZZ,,MATCH("Juridiction",'ETPT Format DDG'!2:2,0)),$D$5))</f>
        <v>#N/A</v>
      </c>
      <c r="AF5" s="53" t="e" cm="1">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82" t="e">
        <f t="shared" ref="AG5:AG15" si="3">SUM(AD5:AF5)</f>
        <v>#N/A</v>
      </c>
    </row>
    <row r="6" spans="1:33" x14ac:dyDescent="0.2">
      <c r="A6" s="102" t="s">
        <v>172</v>
      </c>
      <c r="B6" s="103"/>
      <c r="C6" s="103"/>
      <c r="D6" s="103">
        <f t="shared" ref="D6:D15" si="4">$D$5</f>
        <v>0</v>
      </c>
      <c r="E6" s="103" t="s">
        <v>60</v>
      </c>
      <c r="F6" s="103" t="s">
        <v>59</v>
      </c>
      <c r="G6" s="65"/>
      <c r="H6" s="104">
        <f t="shared" si="0"/>
        <v>0</v>
      </c>
      <c r="I6" s="105"/>
      <c r="J6" s="54"/>
      <c r="K6" s="54"/>
      <c r="L6" s="54"/>
      <c r="M6" s="54"/>
      <c r="N6" s="106"/>
      <c r="O6" s="273"/>
      <c r="P6" s="273"/>
      <c r="Q6" s="273"/>
      <c r="R6" s="271"/>
      <c r="S6" s="107">
        <f t="shared" si="1"/>
        <v>0</v>
      </c>
      <c r="T6" s="108"/>
      <c r="U6" s="54"/>
      <c r="V6" s="54"/>
      <c r="W6" s="54"/>
      <c r="X6" s="54"/>
      <c r="Y6" s="54"/>
      <c r="Z6" s="273"/>
      <c r="AA6" s="273"/>
      <c r="AB6" s="273"/>
      <c r="AC6" s="104">
        <f t="shared" si="2"/>
        <v>0</v>
      </c>
      <c r="AD6" s="273"/>
      <c r="AE6" s="54"/>
      <c r="AF6" s="54"/>
      <c r="AG6" s="104">
        <f t="shared" si="3"/>
        <v>0</v>
      </c>
    </row>
    <row r="7" spans="1:33" x14ac:dyDescent="0.2">
      <c r="A7" s="81" t="s">
        <v>172</v>
      </c>
      <c r="B7" s="61"/>
      <c r="C7" s="61"/>
      <c r="D7" s="61">
        <f t="shared" si="4"/>
        <v>0</v>
      </c>
      <c r="E7" s="61" t="s">
        <v>58</v>
      </c>
      <c r="F7" s="61" t="s">
        <v>57</v>
      </c>
      <c r="G7" s="65"/>
      <c r="H7" s="82">
        <f t="shared" si="0"/>
        <v>0</v>
      </c>
      <c r="I7" s="83"/>
      <c r="J7" s="62"/>
      <c r="K7" s="62"/>
      <c r="L7" s="62"/>
      <c r="M7" s="62"/>
      <c r="N7" s="64"/>
      <c r="O7" s="54"/>
      <c r="P7" s="54"/>
      <c r="Q7" s="62"/>
      <c r="R7" s="62"/>
      <c r="S7" s="46">
        <f t="shared" si="1"/>
        <v>0</v>
      </c>
      <c r="T7" s="57"/>
      <c r="U7" s="62"/>
      <c r="V7" s="62"/>
      <c r="W7" s="62"/>
      <c r="X7" s="54"/>
      <c r="Y7" s="54"/>
      <c r="Z7" s="54"/>
      <c r="AA7" s="54"/>
      <c r="AB7" s="54"/>
      <c r="AC7" s="82">
        <f t="shared" si="2"/>
        <v>0</v>
      </c>
      <c r="AD7" s="62"/>
      <c r="AE7" s="62"/>
      <c r="AF7" s="101" t="e" cm="1">
        <f t="array" ref="AF7">SUM(SUMIFS(
INDEX( 'ETPT Format DDG'!$A:$ZZ,,MATCH("11.5. CSM",'ETPT Format DDG'!2:2,0)),
INDEX( 'ETPT Format DDG'!$A:$ZZ,,MATCH("Fonction recodée",'ETPT Format DDG'!2:2,0)),{"Magistrat SIEGE S";"Magistrat SIEGE NS"},
INDEX( 'ETPT Format DDG'!$A:$ZZ,,MATCH("Juridiction",'ETPT Format DDG'!2:2,0)),$D$5))</f>
        <v>#N/A</v>
      </c>
      <c r="AG7" s="82" t="e">
        <f t="shared" si="3"/>
        <v>#N/A</v>
      </c>
    </row>
    <row r="8" spans="1:33" x14ac:dyDescent="0.2">
      <c r="A8" s="81" t="s">
        <v>172</v>
      </c>
      <c r="B8" s="61"/>
      <c r="C8" s="61"/>
      <c r="D8" s="61">
        <f t="shared" si="4"/>
        <v>0</v>
      </c>
      <c r="E8" s="61" t="s">
        <v>56</v>
      </c>
      <c r="F8" s="61" t="s">
        <v>55</v>
      </c>
      <c r="G8" s="101" t="e">
        <f>SUM(SUMIFS(
INDEX( 'ETPT Format DDG'!$A:$ZZ,,MATCH("11.51. ACCUEIL DU JUSTICIABLE (DONT SAUJ)",'ETPT Format DDG'!2:2,0)),
INDEX( 'ETPT Format DDG'!$A:$ZZ,,MATCH("Fonction recodée",'ETPT Format DDG'!2:2,0)),"Fonctionnaire CTECH",
INDEX( 'ETPT Format DDG'!$A:$ZZ,,MATCH("Juridiction",'ETPT Format DDG'!2:2,0)),$D$5))</f>
        <v>#N/A</v>
      </c>
      <c r="H8" s="82" t="e">
        <f t="shared" si="0"/>
        <v>#N/A</v>
      </c>
      <c r="I8" s="83"/>
      <c r="J8" s="62"/>
      <c r="K8" s="62"/>
      <c r="L8" s="62"/>
      <c r="M8" s="62"/>
      <c r="N8" s="64"/>
      <c r="O8" s="54"/>
      <c r="P8" s="54"/>
      <c r="Q8" s="62"/>
      <c r="R8" s="101" t="e">
        <f>SUM(SUMIFS(
INDEX( 'ETPT Format DDG'!$A:$ZZ,,MATCH("11.51. ACCUEIL DU JUSTICIABLE (DONT SAUJ)",'ETPT Format DDG'!2:2,0)),
INDEX( 'ETPT Format DDG'!$A:$ZZ,,MATCH("Fonction recodée",'ETPT Format DDG'!2:2,0)),"Fonctionnaire A-B-CBUR",
INDEX( 'ETPT Format DDG'!$A:$ZZ,,MATCH("Juridiction",'ETPT Format DDG'!2:2,0)),$D$5))</f>
        <v>#N/A</v>
      </c>
      <c r="S8" s="46" t="e">
        <f t="shared" si="1"/>
        <v>#N/A</v>
      </c>
      <c r="T8" s="57"/>
      <c r="U8" s="62"/>
      <c r="V8" s="62"/>
      <c r="W8" s="62"/>
      <c r="X8" s="54"/>
      <c r="Y8" s="54"/>
      <c r="Z8" s="54"/>
      <c r="AA8" s="54"/>
      <c r="AB8" s="54"/>
      <c r="AC8" s="82">
        <f t="shared" si="2"/>
        <v>0</v>
      </c>
      <c r="AD8" s="62"/>
      <c r="AE8" s="62"/>
      <c r="AF8" s="101" t="e" cm="1">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82" t="e">
        <f t="shared" si="3"/>
        <v>#N/A</v>
      </c>
    </row>
    <row r="9" spans="1:33" x14ac:dyDescent="0.2">
      <c r="A9" s="81" t="s">
        <v>172</v>
      </c>
      <c r="B9" s="61"/>
      <c r="C9" s="61"/>
      <c r="D9" s="61">
        <f t="shared" si="4"/>
        <v>0</v>
      </c>
      <c r="E9" s="61" t="s">
        <v>54</v>
      </c>
      <c r="F9" s="61" t="s">
        <v>53</v>
      </c>
      <c r="G9" s="101"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82" t="e">
        <f t="shared" si="0"/>
        <v>#N/A</v>
      </c>
      <c r="I9" s="83"/>
      <c r="J9" s="62"/>
      <c r="K9" s="62"/>
      <c r="L9" s="62"/>
      <c r="M9" s="62"/>
      <c r="N9" s="64"/>
      <c r="O9" s="54"/>
      <c r="P9" s="54"/>
      <c r="Q9" s="62"/>
      <c r="R9" s="101"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46" t="e">
        <f t="shared" si="1"/>
        <v>#N/A</v>
      </c>
      <c r="T9" s="57"/>
      <c r="U9" s="62"/>
      <c r="V9" s="62"/>
      <c r="W9" s="62"/>
      <c r="X9" s="54"/>
      <c r="Y9" s="54"/>
      <c r="Z9" s="54"/>
      <c r="AA9" s="54"/>
      <c r="AB9" s="54"/>
      <c r="AC9" s="82">
        <f t="shared" si="2"/>
        <v>0</v>
      </c>
      <c r="AD9" s="62"/>
      <c r="AE9" s="62"/>
      <c r="AF9" s="101" t="e" cm="1">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82" t="e">
        <f t="shared" si="3"/>
        <v>#N/A</v>
      </c>
    </row>
    <row r="10" spans="1:33" x14ac:dyDescent="0.2">
      <c r="A10" s="81" t="s">
        <v>172</v>
      </c>
      <c r="B10" s="61"/>
      <c r="C10" s="61"/>
      <c r="D10" s="61">
        <f t="shared" si="4"/>
        <v>0</v>
      </c>
      <c r="E10" s="61" t="s">
        <v>52</v>
      </c>
      <c r="F10" s="61" t="s">
        <v>51</v>
      </c>
      <c r="G10" s="101" t="e">
        <f>SUM(SUMIFS(
INDEX( 'ETPT Format DDG'!$A:$ZZ,,MATCH("11.3. FORMATIONS DISPENSÉES",'ETPT Format DDG'!2:2,0)),
INDEX( 'ETPT Format DDG'!$A:$ZZ,,MATCH("Fonction recodée",'ETPT Format DDG'!2:2,0)),"Fonctionnaire CTECH",
INDEX( 'ETPT Format DDG'!$A:$ZZ,,MATCH("Juridiction",'ETPT Format DDG'!2:2,0)),$D$5))</f>
        <v>#N/A</v>
      </c>
      <c r="H10" s="82" t="e">
        <f t="shared" si="0"/>
        <v>#N/A</v>
      </c>
      <c r="I10" s="83"/>
      <c r="J10" s="62"/>
      <c r="K10" s="62"/>
      <c r="L10" s="62"/>
      <c r="M10" s="62"/>
      <c r="N10" s="64"/>
      <c r="O10" s="54"/>
      <c r="P10" s="54"/>
      <c r="Q10" s="62"/>
      <c r="R10" s="101" t="e">
        <f>SUM(SUMIFS(
INDEX( 'ETPT Format DDG'!$A:$ZZ,,MATCH("11.3. FORMATIONS DISPENSÉES",'ETPT Format DDG'!2:2,0)),
INDEX( 'ETPT Format DDG'!$A:$ZZ,,MATCH("Fonction recodée",'ETPT Format DDG'!2:2,0)),"Fonctionnaire A-B-CBUR",
INDEX( 'ETPT Format DDG'!$A:$ZZ,,MATCH("Juridiction",'ETPT Format DDG'!2:2,0)),$D$5))</f>
        <v>#N/A</v>
      </c>
      <c r="S10" s="46" t="e">
        <f t="shared" si="1"/>
        <v>#N/A</v>
      </c>
      <c r="T10" s="57"/>
      <c r="U10" s="62"/>
      <c r="V10" s="62"/>
      <c r="W10" s="62"/>
      <c r="X10" s="54"/>
      <c r="Y10" s="54"/>
      <c r="Z10" s="54"/>
      <c r="AA10" s="54"/>
      <c r="AB10" s="54"/>
      <c r="AC10" s="82">
        <f t="shared" si="2"/>
        <v>0</v>
      </c>
      <c r="AD10" s="62"/>
      <c r="AE10" s="62"/>
      <c r="AF10" s="101" t="e" cm="1">
        <f t="array" ref="AF10">SUM(SUMIFS(
INDEX( 'ETPT Format DDG'!$A:$ZZ,,MATCH("11.3. FORMATIONS DISPENSÉES",'ETPT Format DDG'!2:2,0)),
INDEX( 'ETPT Format DDG'!$A:$ZZ,,MATCH("Fonction recodée",'ETPT Format DDG'!2:2,0)),{"Magistrat SIEGE S";"Magistrat SIEGE NS"},
INDEX( 'ETPT Format DDG'!$A:$ZZ,,MATCH("Juridiction",'ETPT Format DDG'!2:2,0)),$D$5))</f>
        <v>#N/A</v>
      </c>
      <c r="AG10" s="82" t="e">
        <f t="shared" si="3"/>
        <v>#N/A</v>
      </c>
    </row>
    <row r="11" spans="1:33" x14ac:dyDescent="0.2">
      <c r="A11" s="81" t="s">
        <v>172</v>
      </c>
      <c r="B11" s="61"/>
      <c r="C11" s="61"/>
      <c r="D11" s="61">
        <f t="shared" si="4"/>
        <v>0</v>
      </c>
      <c r="E11" s="61" t="s">
        <v>50</v>
      </c>
      <c r="F11" s="61" t="s">
        <v>49</v>
      </c>
      <c r="G11" s="101" t="e">
        <f>SUM(SUMIFS(
INDEX( 'ETPT Format DDG'!$A:$ZZ,,MATCH("11.4. ACCÈS AU DROIT ET À LA JUSTICE",'ETPT Format DDG'!2:2,0)),
INDEX( 'ETPT Format DDG'!$A:$ZZ,,MATCH("Fonction recodée",'ETPT Format DDG'!2:2,0)),"Fonctionnaire CTECH",
INDEX( 'ETPT Format DDG'!$A:$ZZ,,MATCH("Juridiction",'ETPT Format DDG'!2:2,0)),$D$5))</f>
        <v>#N/A</v>
      </c>
      <c r="H11" s="82" t="e">
        <f t="shared" si="0"/>
        <v>#N/A</v>
      </c>
      <c r="I11" s="83"/>
      <c r="J11" s="62"/>
      <c r="K11" s="62"/>
      <c r="L11" s="62"/>
      <c r="M11" s="62"/>
      <c r="N11" s="64"/>
      <c r="O11" s="54"/>
      <c r="P11" s="54"/>
      <c r="Q11" s="62"/>
      <c r="R11" s="101" t="e">
        <f>SUM(SUMIFS(
INDEX( 'ETPT Format DDG'!$A:$ZZ,,MATCH("11.4. ACCÈS AU DROIT ET À LA JUSTICE",'ETPT Format DDG'!2:2,0)),
INDEX( 'ETPT Format DDG'!$A:$ZZ,,MATCH("Fonction recodée",'ETPT Format DDG'!2:2,0)),"Fonctionnaire A-B-CBUR",
INDEX( 'ETPT Format DDG'!$A:$ZZ,,MATCH("Juridiction",'ETPT Format DDG'!2:2,0)),$D$5))</f>
        <v>#N/A</v>
      </c>
      <c r="S11" s="46" t="e">
        <f t="shared" si="1"/>
        <v>#N/A</v>
      </c>
      <c r="T11" s="57"/>
      <c r="U11" s="62"/>
      <c r="V11" s="62"/>
      <c r="W11" s="62"/>
      <c r="X11" s="54"/>
      <c r="Y11" s="54"/>
      <c r="Z11" s="54"/>
      <c r="AA11" s="54"/>
      <c r="AB11" s="54"/>
      <c r="AC11" s="82">
        <f t="shared" si="2"/>
        <v>0</v>
      </c>
      <c r="AD11" s="62"/>
      <c r="AE11" s="62"/>
      <c r="AF11" s="101" t="e" cm="1">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82" t="e">
        <f t="shared" si="3"/>
        <v>#N/A</v>
      </c>
    </row>
    <row r="12" spans="1:33" x14ac:dyDescent="0.2">
      <c r="A12" s="81" t="s">
        <v>172</v>
      </c>
      <c r="B12" s="61"/>
      <c r="C12" s="61"/>
      <c r="D12" s="61">
        <f t="shared" si="4"/>
        <v>0</v>
      </c>
      <c r="E12" s="61" t="s">
        <v>48</v>
      </c>
      <c r="F12" s="61" t="s">
        <v>47</v>
      </c>
      <c r="G12" s="101"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82" t="e">
        <f t="shared" si="0"/>
        <v>#N/A</v>
      </c>
      <c r="I12" s="83"/>
      <c r="J12" s="62"/>
      <c r="K12" s="62"/>
      <c r="L12" s="62"/>
      <c r="M12" s="62"/>
      <c r="N12" s="64"/>
      <c r="O12" s="54"/>
      <c r="P12" s="54"/>
      <c r="Q12" s="62"/>
      <c r="R12" s="101"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46" t="e">
        <f t="shared" si="1"/>
        <v>#N/A</v>
      </c>
      <c r="T12" s="57"/>
      <c r="U12" s="62"/>
      <c r="V12" s="62"/>
      <c r="W12" s="62"/>
      <c r="X12" s="54"/>
      <c r="Y12" s="54"/>
      <c r="Z12" s="54"/>
      <c r="AA12" s="54"/>
      <c r="AB12" s="54"/>
      <c r="AC12" s="82">
        <f t="shared" si="2"/>
        <v>0</v>
      </c>
      <c r="AD12" s="62"/>
      <c r="AE12" s="62"/>
      <c r="AF12" s="101" t="e" cm="1">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82" t="e">
        <f t="shared" si="3"/>
        <v>#N/A</v>
      </c>
    </row>
    <row r="13" spans="1:33" x14ac:dyDescent="0.2">
      <c r="A13" s="81" t="s">
        <v>172</v>
      </c>
      <c r="B13" s="61"/>
      <c r="C13" s="61"/>
      <c r="D13" s="61">
        <f t="shared" si="4"/>
        <v>0</v>
      </c>
      <c r="E13" s="61" t="s">
        <v>46</v>
      </c>
      <c r="F13" s="61" t="s">
        <v>45</v>
      </c>
      <c r="G13" s="101" t="e">
        <f>SUM(SUMIFS(
INDEX( 'ETPT Format DDG'!$A:$ZZ,,MATCH("12.5. MISE À DISPOSITION",'ETPT Format DDG'!2:2,0)),
INDEX( 'ETPT Format DDG'!$A:$ZZ,,MATCH("Fonction recodée",'ETPT Format DDG'!2:2,0)),"Fonctionnaire CTECH",
INDEX( 'ETPT Format DDG'!$A:$ZZ,,MATCH("Juridiction",'ETPT Format DDG'!2:2,0)),$D$5))+
SUM(SUMIFS(
INDEX( 'ETPT Format DDG'!$A:$ZZ,,MATCH("13. TOTAL CONTENTIEUX LOCAUX SPÉCIFIQUES",'ETPT Format DDG'!2:2,0)),
INDEX( 'ETPT Format DDG'!$A:$ZZ,,MATCH("Fonction recodée",'ETPT Format DDG'!2:2,0)),"Fonctionnaire CTECH",
INDEX( 'ETPT Format DDG'!$A:$ZZ,,MATCH("Juridiction",'ETPT Format DDG'!2:2,0)),$D$5))</f>
        <v>#N/A</v>
      </c>
      <c r="H13" s="82" t="e">
        <f t="shared" si="0"/>
        <v>#N/A</v>
      </c>
      <c r="I13" s="58" t="e">
        <f>SUM(SUMIFS(
INDEX( 'ETPT Format DDG'!$A:$ZZ,,MATCH("13. TOTAL CONTENTIEUX LOCAUX SPÉCIFIQUES",'ETPT Format DDG'!2:2,0)),
INDEX( 'ETPT Format DDG'!$A:$ZZ,,MATCH("Fonction recodée",'ETPT Format DDG'!2:2,0)),"Fonctionnaire A-B-CBUR",
INDEX( 'ETPT Format DDG'!$A:$ZZ,,MATCH("Juridiction",'ETPT Format DDG'!2:2,0)),$D$5))</f>
        <v>#N/A</v>
      </c>
      <c r="J13" s="62"/>
      <c r="K13" s="62"/>
      <c r="L13" s="62"/>
      <c r="M13" s="64"/>
      <c r="N13" s="64"/>
      <c r="O13" s="54"/>
      <c r="P13" s="54"/>
      <c r="Q13" s="62"/>
      <c r="R13" s="101" t="e">
        <f>SUM(SUMIFS(
INDEX( 'ETPT Format DDG'!$A:$ZZ,,MATCH("12.5. MISE À DISPOSITION",'ETPT Format DDG'!2:2,0)),
INDEX( 'ETPT Format DDG'!$A:$ZZ,,MATCH("Fonction recodée",'ETPT Format DDG'!2:2,0)),"Fonctionnaire A-B-CBUR",
INDEX( 'ETPT Format DDG'!$A:$ZZ,,MATCH("Juridiction",'ETPT Format DDG'!2:2,0)),$D$5))</f>
        <v>#N/A</v>
      </c>
      <c r="S13" s="46" t="e">
        <f t="shared" si="1"/>
        <v>#N/A</v>
      </c>
      <c r="T13" s="101" t="e" cm="1">
        <f t="array" ref="T13">SUM(SUMIFS(
INDEX( 'ETPT Format DDG'!$A:$ZZ,,MATCH("13. TOTAL CONTENTIEUX LOCAUX SPÉCIFIQUES",'ETPT Format DDG'!2:2,0)),
INDEX( 'ETPT Format DDG'!$A:$ZZ,,MATCH("Fonction recodée",'ETPT Format DDG'!2:2,0)),{"Magistrat SIEGE S";"Magistrat SIEGE NS"},
INDEX( 'ETPT Format DDG'!$A:$ZZ,,MATCH("Juridiction",'ETPT Format DDG'!2:2,0)),$D$5))</f>
        <v>#N/A</v>
      </c>
      <c r="U13" s="62"/>
      <c r="V13" s="62"/>
      <c r="W13" s="62"/>
      <c r="X13" s="54"/>
      <c r="Y13" s="54"/>
      <c r="Z13" s="54"/>
      <c r="AA13" s="54"/>
      <c r="AB13" s="54"/>
      <c r="AC13" s="82" t="e">
        <f t="shared" si="2"/>
        <v>#N/A</v>
      </c>
      <c r="AD13" s="62"/>
      <c r="AE13" s="62"/>
      <c r="AF13" s="101" t="e" cm="1">
        <f t="array" ref="AF13">SUM(SUMIFS(
INDEX( 'ETPT Format DDG'!$A:$ZZ,,MATCH("12.5. MISE À DISPOSITION",'ETPT Format DDG'!2:2,0)),
INDEX( 'ETPT Format DDG'!$A:$ZZ,,MATCH("Fonction recodée",'ETPT Format DDG'!2:2,0)),{"Magistrat SIEGE S";"Magistrat SIEGE NS"},
INDEX( 'ETPT Format DDG'!$A:$ZZ,,MATCH("Juridiction",'ETPT Format DDG'!2:2,0)),$D$5))</f>
        <v>#N/A</v>
      </c>
      <c r="AG13" s="82" t="e">
        <f t="shared" si="3"/>
        <v>#N/A</v>
      </c>
    </row>
    <row r="14" spans="1:33" x14ac:dyDescent="0.2">
      <c r="A14" s="81" t="s">
        <v>172</v>
      </c>
      <c r="B14" s="61"/>
      <c r="C14" s="61"/>
      <c r="D14" s="61">
        <f t="shared" si="4"/>
        <v>0</v>
      </c>
      <c r="E14" s="61" t="s">
        <v>44</v>
      </c>
      <c r="F14" s="61" t="s">
        <v>43</v>
      </c>
      <c r="G14" s="101" t="e">
        <f>SUM(SUMIFS(
INDEX( 'ETPT Format DDG'!$A:$ZZ,,MATCH("Temps ventilés sur la période (hors action 99)",'ETPT Format DDG'!2:2,0)),
INDEX( 'ETPT Format DDG'!$A:$ZZ,,MATCH("Fonction recodée",'ETPT Format DDG'!2:2,0)),"Fonctionnaire CTECH placé ADD",
INDEX( 'ETPT Format DDG'!$A:$ZZ,,MATCH("Juridiction",'ETPT Format DDG'!2:2,0)),$D$5))</f>
        <v>#N/A</v>
      </c>
      <c r="H14" s="82" t="e">
        <f t="shared" si="0"/>
        <v>#N/A</v>
      </c>
      <c r="I14" s="83"/>
      <c r="J14" s="58" t="e">
        <f>SUM(SUMIFS(
INDEX( 'ETPT Format DDG'!$A:$ZZ,,MATCH("3.43. INJONCTIONS DE PAYER",'ETPT Format DDG'!2:2,0)),
INDEX( 'ETPT Format DDG'!$A:$ZZ,,MATCH("Fonction recodée",'ETPT Format DDG'!2:2,0)),"Fonctionnaire A-B-CBUR placé ADD",
INDEX( 'ETPT Format DDG'!$A:$ZZ,,MATCH("Juridiction",'ETPT Format DDG'!2:2,0)),$D$5))+
SUM(SUMIFS(
INDEX( 'ETPT Format DDG'!$A:$ZZ,,MATCH("3.44. SAISIE DES RÉMUNÉRATIONS",'ETPT Format DDG'!2:2,0)),
INDEX( 'ETPT Format DDG'!$A:$ZZ,,MATCH("Fonction recodée",'ETPT Format DDG'!2:2,0)),"Fonctionnaire A-B-CBUR placé ADD",
INDEX( 'ETPT Format DDG'!$A:$ZZ,,MATCH("Juridiction",'ETPT Format DDG'!2:2,0)),$D$5))</f>
        <v>#N/A</v>
      </c>
      <c r="K14" s="58" t="e">
        <f>SUM(SUMIFS(
INDEX( 'ETPT Format DDG'!$A:$ZZ,,MATCH("3. TOTAL CONTENTIEUX DE LA PROTECTION",'ETPT Format DDG'!2:2,0)),
INDEX( 'ETPT Format DDG'!$A:$ZZ,,MATCH("Fonction recodée",'ETPT Format DDG'!2:2,0)),"Fonctionnaire A-B-CBUR placé ADD",
INDEX( 'ETPT Format DDG'!$A:$ZZ,,MATCH("Juridiction",'ETPT Format DDG'!2:2,0)),$D$5))-
SUM(SUMIFS(
INDEX( 'ETPT Format DDG'!$A:$ZZ,,MATCH("3.2. PROTECTION DES MAJEURS",'ETPT Format DDG'!2:2,0)),
INDEX( 'ETPT Format DDG'!$A:$ZZ,,MATCH("Fonction recodée",'ETPT Format DDG'!2:2,0)),"Fonctionnaire A-B-CBUR placé ADD",
INDEX( 'ETPT Format DDG'!$A:$ZZ,,MATCH("Juridiction",'ETPT Format DDG'!2:2,0)),$D$5))-
SUM(SUMIFS(
INDEX( 'ETPT Format DDG'!$A:$ZZ,,MATCH("3.43. INJONCTIONS DE PAYER",'ETPT Format DDG'!2:2,0)),
INDEX( 'ETPT Format DDG'!$A:$ZZ,,MATCH("Fonction recodée",'ETPT Format DDG'!2:2,0)),"Fonctionnaire A-B-CBUR placé ADD",
INDEX( 'ETPT Format DDG'!$A:$ZZ,,MATCH("Juridiction",'ETPT Format DDG'!2:2,0)),$D$5))-
SUM(SUMIFS(
INDEX( 'ETPT Format DDG'!$A:$ZZ,,MATCH("3.44. SAISIE DES RÉMUNÉRATIONS",'ETPT Format DDG'!2:2,0)),
INDEX( 'ETPT Format DDG'!$A:$ZZ,,MATCH("Fonction recodée",'ETPT Format DDG'!2:2,0)),"Fonctionnaire A-B-CBUR placé ADD",
INDEX( 'ETPT Format DDG'!$A:$ZZ,,MATCH("Juridiction",'ETPT Format DDG'!2:2,0)),$D$5))</f>
        <v>#N/A</v>
      </c>
      <c r="L14" s="58" t="e">
        <f>SUM(SUMIFS(
INDEX( 'ETPT Format DDG'!$A:$ZZ,,MATCH("3.2. PROTECTION DES MAJEURS",'ETPT Format DDG'!2:2,0)),
INDEX( 'ETPT Format DDG'!$A:$ZZ,,MATCH("Fonction recodée",'ETPT Format DDG'!2:2,0)),"Fonctionnaire A-B-CBUR placé ADD",
INDEX( 'ETPT Format DDG'!$A:$ZZ,,MATCH("Juridiction",'ETPT Format DDG'!2:2,0)),$D$5))</f>
        <v>#N/A</v>
      </c>
      <c r="M14" s="64"/>
      <c r="N14" s="64"/>
      <c r="O14" s="54"/>
      <c r="P14" s="54"/>
      <c r="Q14" s="62"/>
      <c r="R14" s="101" t="e">
        <f>SUM(SUMIFS(
INDEX( 'ETPT Format DDG'!$A:$ZZ,,MATCH("1. TOTAL CONTENTIEUX SOCIAL",'ETPT Format DDG'!2:2,0)),
INDEX( 'ETPT Format DDG'!$A:$ZZ,,MATCH("Fonction recodée",'ETPT Format DDG'!2:2,0)),"Fonctionnaire A-B-CBUR placé ADD",
INDEX( 'ETPT Format DDG'!$A:$ZZ,,MATCH("Juridiction",'ETPT Format DDG'!2:2,0)),$D$5))+
SUM(SUMIFS(
INDEX( 'ETPT Format DDG'!$A:$ZZ,,MATCH("2. TOTAL CONTENTIEUX JAF",'ETPT Format DDG'!2:2,0)),
INDEX( 'ETPT Format DDG'!$A:$ZZ,,MATCH("Fonction recodée",'ETPT Format DDG'!2:2,0)),"Fonctionnaire A-B-CBUR placé ADD",
INDEX( 'ETPT Format DDG'!$A:$ZZ,,MATCH("Juridiction",'ETPT Format DDG'!2:2,0)),$D$5))+
SUM(SUMIFS(
INDEX( 'ETPT Format DDG'!$A:$ZZ,,MATCH("4. TOTAL CIVIL NON SPÉCIALISÉ",'ETPT Format DDG'!2:2,0)),
INDEX( 'ETPT Format DDG'!$A:$ZZ,,MATCH("Fonction recodée",'ETPT Format DDG'!2:2,0)),"Fonctionnaire A-B-CBUR placé ADD",
INDEX( 'ETPT Format DDG'!$A:$ZZ,,MATCH("Juridiction",'ETPT Format DDG'!2:2,0)),$D$5))+
SUM(SUMIFS(
INDEX( 'ETPT Format DDG'!$A:$ZZ,,MATCH("5. TOTAL JLD CIVIL",'ETPT Format DDG'!2:2,0)),
INDEX( 'ETPT Format DDG'!$A:$ZZ,,MATCH("Fonction recodée",'ETPT Format DDG'!2:2,0)),"Fonctionnaire A-B-CBUR placé ADD",
INDEX( 'ETPT Format DDG'!$A:$ZZ,,MATCH("Juridiction",'ETPT Format DDG'!2:2,0)),$D$5))+
SUM(SUMIFS(
INDEX( 'ETPT Format DDG'!$A:$ZZ,,MATCH("6.1. ACTIVITÉ CIVILE",'ETPT Format DDG'!2:2,0)),
INDEX( 'ETPT Format DDG'!$A:$ZZ,,MATCH("Fonction recodée",'ETPT Format DDG'!2:2,0)),"Fonctionnaire A-B-CBUR placé ADD",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placé ADD",
INDEX( 'ETPT Format DDG'!$A:$ZZ,,MATCH("Juridiction",'ETPT Format DDG'!2:2,0)),$D$5))</f>
        <v>#N/A</v>
      </c>
      <c r="S14" s="46" t="e">
        <f t="shared" si="1"/>
        <v>#N/A</v>
      </c>
      <c r="T14" s="57"/>
      <c r="U14" s="58" t="e">
        <f>SUM(SUMIFS(
INDEX( 'ETPT Format DDG'!$A:$ZZ,,MATCH("3.43. INJONCTIONS DE PAYER",'ETPT Format DDG'!2:2,0)),
INDEX( 'ETPT Format DDG'!$A:$ZZ,,MATCH("Fonction recodée",'ETPT Format DDG'!2:2,0)),"Magistrat placé ADD",
INDEX( 'ETPT Format DDG'!$A:$ZZ,,MATCH("Juridiction",'ETPT Format DDG'!2:2,0)),$D$5))+
SUM(SUMIFS(
INDEX( 'ETPT Format DDG'!$A:$ZZ,,MATCH("3.44. SAISIE DES RÉMUNÉRATIONS",'ETPT Format DDG'!2:2,0)),
INDEX( 'ETPT Format DDG'!$A:$ZZ,,MATCH("Fonction recodée",'ETPT Format DDG'!2:2,0)),"Magistrat placé ADD",
INDEX( 'ETPT Format DDG'!$A:$ZZ,,MATCH("Juridiction",'ETPT Format DDG'!2:2,0)),$D$5))</f>
        <v>#N/A</v>
      </c>
      <c r="V14" s="58" t="e">
        <f>SUM(SUMIFS(
INDEX( 'ETPT Format DDG'!$A:$ZZ,,MATCH("3. TOTAL CONTENTIEUX DE LA PROTECTION",'ETPT Format DDG'!2:2,0)),
INDEX( 'ETPT Format DDG'!$A:$ZZ,,MATCH("Fonction recodée",'ETPT Format DDG'!2:2,0)),"Magistrat placé ADD",
INDEX( 'ETPT Format DDG'!$A:$ZZ,,MATCH("Juridiction",'ETPT Format DDG'!2:2,0)),$D$5))-
SUM(SUMIFS(
INDEX( 'ETPT Format DDG'!$A:$ZZ,,MATCH("3.2. PROTECTION DES MAJEURS",'ETPT Format DDG'!2:2,0)),
INDEX( 'ETPT Format DDG'!$A:$ZZ,,MATCH("Fonction recodée",'ETPT Format DDG'!2:2,0)),"Magistrat placé ADD",
INDEX( 'ETPT Format DDG'!$A:$ZZ,,MATCH("Juridiction",'ETPT Format DDG'!2:2,0)),$D$5))-
SUM(SUMIFS(
INDEX( 'ETPT Format DDG'!$A:$ZZ,,MATCH("3.43. INJONCTIONS DE PAYER",'ETPT Format DDG'!2:2,0)),
INDEX( 'ETPT Format DDG'!$A:$ZZ,,MATCH("Fonction recodée",'ETPT Format DDG'!2:2,0)),"Magistrat placé ADD",
INDEX( 'ETPT Format DDG'!$A:$ZZ,,MATCH("Juridiction",'ETPT Format DDG'!2:2,0)),$D$5))-
SUM(SUMIFS(
INDEX( 'ETPT Format DDG'!$A:$ZZ,,MATCH("3.44. SAISIE DES RÉMUNÉRATIONS",'ETPT Format DDG'!2:2,0)),
INDEX( 'ETPT Format DDG'!$A:$ZZ,,MATCH("Fonction recodée",'ETPT Format DDG'!2:2,0)),"Magistrat placé ADD",
INDEX( 'ETPT Format DDG'!$A:$ZZ,,MATCH("Juridiction",'ETPT Format DDG'!2:2,0)),$D$5))</f>
        <v>#N/A</v>
      </c>
      <c r="W14" s="58" t="e">
        <f>SUM(SUMIFS(
INDEX( 'ETPT Format DDG'!$A:$ZZ,,MATCH("3.2. PROTECTION DES MAJEURS",'ETPT Format DDG'!2:2,0)),
INDEX( 'ETPT Format DDG'!$A:$ZZ,,MATCH("Fonction recodée",'ETPT Format DDG'!2:2,0)),"Magistrat placé ADD",
INDEX( 'ETPT Format DDG'!$A:$ZZ,,MATCH("Juridiction",'ETPT Format DDG'!2:2,0)),$D$5))</f>
        <v>#N/A</v>
      </c>
      <c r="X14" s="54"/>
      <c r="Y14" s="54"/>
      <c r="Z14" s="54"/>
      <c r="AA14" s="54"/>
      <c r="AB14" s="54"/>
      <c r="AC14" s="82" t="e">
        <f>SUM(T14:AB14)</f>
        <v>#N/A</v>
      </c>
      <c r="AD14" s="54"/>
      <c r="AE14" s="53" t="e">
        <f>SUM(SUMIFS(
INDEX( 'ETPT Format DDG'!$A:$ZZ,,MATCH("1.1. DÉPARTAGE PRUD'HOMAL",'ETPT Format DDG'!2:2,0)),
INDEX( 'ETPT Format DDG'!$A:$ZZ,,MATCH("Fonction recodée",'ETPT Format DDG'!2:2,0)),"Magistrat placé ADD",
INDEX( 'ETPT Format DDG'!$A:$ZZ,,MATCH("Juridiction",'ETPT Format DDG'!2:2,0)),$D$5))</f>
        <v>#N/A</v>
      </c>
      <c r="AF14" s="53" t="e">
        <f>SUM(SUMIFS(
INDEX( 'ETPT Format DDG'!$A:$ZZ,,MATCH("Temps ventilés sur la période (hors action 99)",'ETPT Format DDG'!2:2,0)),
INDEX( 'ETPT Format DDG'!$A:$ZZ,,MATCH("Fonction recodée",'ETPT Format DDG'!2:2,0)),"Magistrat placé ADD",
INDEX( 'ETPT Format DDG'!$A:$ZZ,,MATCH("Juridiction",'ETPT Format DDG'!2:2,0)),$D$5))-
SUM(T14:AB14)-
SUM(AD14:AE14)</f>
        <v>#N/A</v>
      </c>
      <c r="AG14" s="82" t="e">
        <f t="shared" si="3"/>
        <v>#N/A</v>
      </c>
    </row>
    <row r="15" spans="1:33" x14ac:dyDescent="0.2">
      <c r="A15" s="81" t="s">
        <v>172</v>
      </c>
      <c r="B15" s="61"/>
      <c r="C15" s="61"/>
      <c r="D15" s="61">
        <f t="shared" si="4"/>
        <v>0</v>
      </c>
      <c r="E15" s="61" t="s">
        <v>41</v>
      </c>
      <c r="F15" s="61" t="s">
        <v>40</v>
      </c>
      <c r="G15" s="101" t="e">
        <f>SUM(SUMIFS(
INDEX( 'ETPT Format DDG'!$A:$ZZ,,MATCH("Temps ventilés sur la période (hors action 99)",'ETPT Format DDG'!2:2,0)),
INDEX( 'ETPT Format DDG'!$A:$ZZ,,MATCH("Fonction recodée",'ETPT Format DDG'!2:2,0)),"Fonctionnaire CTECH placé SUB",
INDEX( 'ETPT Format DDG'!$A:$ZZ,,MATCH("Juridiction",'ETPT Format DDG'!2:2,0)),$D$5))</f>
        <v>#N/A</v>
      </c>
      <c r="H15" s="82" t="e">
        <f t="shared" si="0"/>
        <v>#N/A</v>
      </c>
      <c r="I15" s="83"/>
      <c r="J15" s="58" t="e">
        <f>SUM(SUMIFS(
INDEX( 'ETPT Format DDG'!$A:$ZZ,,MATCH("3.43. INJONCTIONS DE PAYER",'ETPT Format DDG'!2:2,0)),
INDEX( 'ETPT Format DDG'!$A:$ZZ,,MATCH("Fonction recodée",'ETPT Format DDG'!2:2,0)),"Fonctionnaire A-B-CBUR placé SUB",
INDEX( 'ETPT Format DDG'!$A:$ZZ,,MATCH("Juridiction",'ETPT Format DDG'!2:2,0)),$D$5))+
SUM(SUMIFS(
INDEX( 'ETPT Format DDG'!$A:$ZZ,,MATCH("3.44. SAISIE DES RÉMUNÉRATIONS",'ETPT Format DDG'!2:2,0)),
INDEX( 'ETPT Format DDG'!$A:$ZZ,,MATCH("Fonction recodée",'ETPT Format DDG'!2:2,0)),"Fonctionnaire A-B-CBUR placé SUB",
INDEX( 'ETPT Format DDG'!$A:$ZZ,,MATCH("Juridiction",'ETPT Format DDG'!2:2,0)),$D$5))</f>
        <v>#N/A</v>
      </c>
      <c r="K15" s="58" t="e">
        <f>SUM(SUMIFS(
INDEX( 'ETPT Format DDG'!$A:$ZZ,,MATCH("3. TOTAL CONTENTIEUX DE LA PROTECTION",'ETPT Format DDG'!2:2,0)),
INDEX( 'ETPT Format DDG'!$A:$ZZ,,MATCH("Fonction recodée",'ETPT Format DDG'!2:2,0)),"Fonctionnaire A-B-CBUR placé SUB",
INDEX( 'ETPT Format DDG'!$A:$ZZ,,MATCH("Juridiction",'ETPT Format DDG'!2:2,0)),$D$5))-
SUM(SUMIFS(
INDEX( 'ETPT Format DDG'!$A:$ZZ,,MATCH("3.2. PROTECTION DES MAJEURS",'ETPT Format DDG'!2:2,0)),
INDEX( 'ETPT Format DDG'!$A:$ZZ,,MATCH("Fonction recodée",'ETPT Format DDG'!2:2,0)),"Fonctionnaire A-B-CBUR placé SUB",
INDEX( 'ETPT Format DDG'!$A:$ZZ,,MATCH("Juridiction",'ETPT Format DDG'!2:2,0)),$D$5))-
SUM(SUMIFS(
INDEX( 'ETPT Format DDG'!$A:$ZZ,,MATCH("3.43. INJONCTIONS DE PAYER",'ETPT Format DDG'!2:2,0)),
INDEX( 'ETPT Format DDG'!$A:$ZZ,,MATCH("Fonction recodée",'ETPT Format DDG'!2:2,0)),"Fonctionnaire A-B-CBUR placé SUB",
INDEX( 'ETPT Format DDG'!$A:$ZZ,,MATCH("Juridiction",'ETPT Format DDG'!2:2,0)),$D$5))-
SUM(SUMIFS(
INDEX( 'ETPT Format DDG'!$A:$ZZ,,MATCH("3.44. SAISIE DES RÉMUNÉRATIONS",'ETPT Format DDG'!2:2,0)),
INDEX( 'ETPT Format DDG'!$A:$ZZ,,MATCH("Fonction recodée",'ETPT Format DDG'!2:2,0)),"Fonctionnaire A-B-CBUR placé SUB",
INDEX( 'ETPT Format DDG'!$A:$ZZ,,MATCH("Juridiction",'ETPT Format DDG'!2:2,0)),$D$5))</f>
        <v>#N/A</v>
      </c>
      <c r="L15" s="58" t="e">
        <f>SUM(SUMIFS(
INDEX( 'ETPT Format DDG'!$A:$ZZ,,MATCH("3.2. PROTECTION DES MAJEURS",'ETPT Format DDG'!2:2,0)),
INDEX( 'ETPT Format DDG'!$A:$ZZ,,MATCH("Fonction recodée",'ETPT Format DDG'!2:2,0)),"Fonctionnaire A-B-CBUR placé SUB",
INDEX( 'ETPT Format DDG'!$A:$ZZ,,MATCH("Juridiction",'ETPT Format DDG'!2:2,0)),$D$5))</f>
        <v>#N/A</v>
      </c>
      <c r="M15" s="64"/>
      <c r="N15" s="64"/>
      <c r="O15" s="54"/>
      <c r="P15" s="54"/>
      <c r="Q15" s="62"/>
      <c r="R15" s="101" t="e">
        <f>SUM(SUMIFS(
INDEX( 'ETPT Format DDG'!$A:$ZZ,,MATCH("1. TOTAL CONTENTIEUX SOCIAL",'ETPT Format DDG'!2:2,0)),
INDEX( 'ETPT Format DDG'!$A:$ZZ,,MATCH("Fonction recodée",'ETPT Format DDG'!2:2,0)),"Fonctionnaire A-B-CBUR placé SUB",
INDEX( 'ETPT Format DDG'!$A:$ZZ,,MATCH("Juridiction",'ETPT Format DDG'!2:2,0)),$D$5))+
SUM(SUMIFS(
INDEX( 'ETPT Format DDG'!$A:$ZZ,,MATCH("2. TOTAL CONTENTIEUX JAF",'ETPT Format DDG'!2:2,0)),
INDEX( 'ETPT Format DDG'!$A:$ZZ,,MATCH("Fonction recodée",'ETPT Format DDG'!2:2,0)),"Fonctionnaire A-B-CBUR placé SUB",
INDEX( 'ETPT Format DDG'!$A:$ZZ,,MATCH("Juridiction",'ETPT Format DDG'!2:2,0)),$D$5))+
SUM(SUMIFS(
INDEX( 'ETPT Format DDG'!$A:$ZZ,,MATCH("4. TOTAL CIVIL NON SPÉCIALISÉ",'ETPT Format DDG'!2:2,0)),
INDEX( 'ETPT Format DDG'!$A:$ZZ,,MATCH("Fonction recodée",'ETPT Format DDG'!2:2,0)),"Fonctionnaire A-B-CBUR placé SUB",
INDEX( 'ETPT Format DDG'!$A:$ZZ,,MATCH("Juridiction",'ETPT Format DDG'!2:2,0)),$D$5))+
SUM(SUMIFS(
INDEX( 'ETPT Format DDG'!$A:$ZZ,,MATCH("5. TOTAL JLD CIVIL",'ETPT Format DDG'!2:2,0)),
INDEX( 'ETPT Format DDG'!$A:$ZZ,,MATCH("Fonction recodée",'ETPT Format DDG'!2:2,0)),"Fonctionnaire A-B-CBUR placé SUB",
INDEX( 'ETPT Format DDG'!$A:$ZZ,,MATCH("Juridiction",'ETPT Format DDG'!2:2,0)),$D$5))+
SUM(SUMIFS(
INDEX( 'ETPT Format DDG'!$A:$ZZ,,MATCH("6.1. ACTIVITÉ CIVILE",'ETPT Format DDG'!2:2,0)),
INDEX( 'ETPT Format DDG'!$A:$ZZ,,MATCH("Fonction recodée",'ETPT Format DDG'!2:2,0)),"Fonctionnaire A-B-CBUR placé SUB",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placé SUB",
INDEX( 'ETPT Format DDG'!$A:$ZZ,,MATCH("Juridiction",'ETPT Format DDG'!2:2,0)),$D$5))</f>
        <v>#N/A</v>
      </c>
      <c r="S15" s="46" t="e">
        <f t="shared" si="1"/>
        <v>#N/A</v>
      </c>
      <c r="T15" s="57"/>
      <c r="U15" s="58" t="e">
        <f>SUM(SUMIFS(
INDEX( 'ETPT Format DDG'!$A:$ZZ,,MATCH("3.43. INJONCTIONS DE PAYER",'ETPT Format DDG'!2:2,0)),
INDEX( 'ETPT Format DDG'!$A:$ZZ,,MATCH("Fonction recodée",'ETPT Format DDG'!2:2,0)),"Magistrat placé SUB",
INDEX( 'ETPT Format DDG'!$A:$ZZ,,MATCH("Juridiction",'ETPT Format DDG'!2:2,0)),$D$5))+
SUM(SUMIFS(
INDEX( 'ETPT Format DDG'!$A:$ZZ,,MATCH("3.44. SAISIE DES RÉMUNÉRATIONS",'ETPT Format DDG'!2:2,0)),
INDEX( 'ETPT Format DDG'!$A:$ZZ,,MATCH("Fonction recodée",'ETPT Format DDG'!2:2,0)),"Magistrat placé SUB",
INDEX( 'ETPT Format DDG'!$A:$ZZ,,MATCH("Juridiction",'ETPT Format DDG'!2:2,0)),$D$5))</f>
        <v>#N/A</v>
      </c>
      <c r="V15" s="58" t="e">
        <f>SUM(SUMIFS(
INDEX( 'ETPT Format DDG'!$A:$ZZ,,MATCH("3. TOTAL CONTENTIEUX DE LA PROTECTION",'ETPT Format DDG'!2:2,0)),
INDEX( 'ETPT Format DDG'!$A:$ZZ,,MATCH("Fonction recodée",'ETPT Format DDG'!2:2,0)),"Magistrat placé SUB",
INDEX( 'ETPT Format DDG'!$A:$ZZ,,MATCH("Juridiction",'ETPT Format DDG'!2:2,0)),$D$5))-
SUM(SUMIFS(
INDEX( 'ETPT Format DDG'!$A:$ZZ,,MATCH("3.2. PROTECTION DES MAJEURS",'ETPT Format DDG'!2:2,0)),
INDEX( 'ETPT Format DDG'!$A:$ZZ,,MATCH("Fonction recodée",'ETPT Format DDG'!2:2,0)),"Magistrat placé SUB",
INDEX( 'ETPT Format DDG'!$A:$ZZ,,MATCH("Juridiction",'ETPT Format DDG'!2:2,0)),$D$5))-
SUM(SUMIFS(
INDEX( 'ETPT Format DDG'!$A:$ZZ,,MATCH("3.43. INJONCTIONS DE PAYER",'ETPT Format DDG'!2:2,0)),
INDEX( 'ETPT Format DDG'!$A:$ZZ,,MATCH("Fonction recodée",'ETPT Format DDG'!2:2,0)),"Magistrat placé SUB",
INDEX( 'ETPT Format DDG'!$A:$ZZ,,MATCH("Juridiction",'ETPT Format DDG'!2:2,0)),$D$5))-
SUM(SUMIFS(
INDEX( 'ETPT Format DDG'!$A:$ZZ,,MATCH("3.44. SAISIE DES RÉMUNÉRATIONS",'ETPT Format DDG'!2:2,0)),
INDEX( 'ETPT Format DDG'!$A:$ZZ,,MATCH("Fonction recodée",'ETPT Format DDG'!2:2,0)),"Magistrat placé SUB",
INDEX( 'ETPT Format DDG'!$A:$ZZ,,MATCH("Juridiction",'ETPT Format DDG'!2:2,0)),$D$5))</f>
        <v>#N/A</v>
      </c>
      <c r="W15" s="58" t="e">
        <f>SUM(SUMIFS(
INDEX( 'ETPT Format DDG'!$A:$ZZ,,MATCH("3.2. PROTECTION DES MAJEURS",'ETPT Format DDG'!2:2,0)),
INDEX( 'ETPT Format DDG'!$A:$ZZ,,MATCH("Fonction recodée",'ETPT Format DDG'!2:2,0)),"Magistrat placé SUB",
INDEX( 'ETPT Format DDG'!$A:$ZZ,,MATCH("Juridiction",'ETPT Format DDG'!2:2,0)),$D$5))</f>
        <v>#N/A</v>
      </c>
      <c r="X15" s="54"/>
      <c r="Y15" s="54"/>
      <c r="Z15" s="54"/>
      <c r="AA15" s="54"/>
      <c r="AB15" s="54"/>
      <c r="AC15" s="82" t="e">
        <f t="shared" si="2"/>
        <v>#N/A</v>
      </c>
      <c r="AD15" s="62"/>
      <c r="AE15" s="53" t="e">
        <f>SUM(SUMIFS(
INDEX( 'ETPT Format DDG'!$A:$ZZ,,MATCH("1.1. DÉPARTAGE PRUD'HOMAL",'ETPT Format DDG'!2:2,0)),
INDEX( 'ETPT Format DDG'!$A:$ZZ,,MATCH("Fonction recodée",'ETPT Format DDG'!2:2,0)),"Magistrat placé SUB",
INDEX( 'ETPT Format DDG'!$A:$ZZ,,MATCH("Juridiction",'ETPT Format DDG'!2:2,0)),$D$5))</f>
        <v>#N/A</v>
      </c>
      <c r="AF15" s="53" t="e">
        <f>SUM(SUMIFS(
INDEX( 'ETPT Format DDG'!$A:$ZZ,,MATCH("Temps ventilés sur la période (hors action 99)",'ETPT Format DDG'!2:2,0)),
INDEX( 'ETPT Format DDG'!$A:$ZZ,,MATCH("Fonction recodée",'ETPT Format DDG'!2:2,0)),"Magistrat placé SUB",
INDEX( 'ETPT Format DDG'!$A:$ZZ,,MATCH("Juridiction",'ETPT Format DDG'!2:2,0)),$D$5))-
SUM(T15:AB15)-
SUM(AD15:AE15)</f>
        <v>#N/A</v>
      </c>
      <c r="AG15" s="82" t="e">
        <f t="shared" si="3"/>
        <v>#N/A</v>
      </c>
    </row>
    <row r="16" spans="1:33" x14ac:dyDescent="0.2">
      <c r="A16" s="81"/>
      <c r="B16" s="80"/>
      <c r="C16" s="80"/>
      <c r="D16" s="80"/>
      <c r="E16" s="80"/>
      <c r="F16" s="79" t="s">
        <v>39</v>
      </c>
      <c r="G16" s="46" t="e">
        <f t="shared" ref="G16:AG16" si="5">SUM(G5:G15)</f>
        <v>#N/A</v>
      </c>
      <c r="H16" s="46" t="e">
        <f t="shared" si="5"/>
        <v>#N/A</v>
      </c>
      <c r="I16" s="46" t="e">
        <f t="shared" si="5"/>
        <v>#N/A</v>
      </c>
      <c r="J16" s="46" t="e">
        <f t="shared" si="5"/>
        <v>#N/A</v>
      </c>
      <c r="K16" s="46" t="e">
        <f t="shared" si="5"/>
        <v>#N/A</v>
      </c>
      <c r="L16" s="46" t="e">
        <f t="shared" si="5"/>
        <v>#N/A</v>
      </c>
      <c r="M16" s="46">
        <f t="shared" si="5"/>
        <v>0</v>
      </c>
      <c r="N16" s="46">
        <f t="shared" si="5"/>
        <v>0</v>
      </c>
      <c r="O16" s="107">
        <f t="shared" si="5"/>
        <v>0</v>
      </c>
      <c r="P16" s="107">
        <f t="shared" si="5"/>
        <v>0</v>
      </c>
      <c r="Q16" s="46">
        <f t="shared" si="5"/>
        <v>0</v>
      </c>
      <c r="R16" s="46" t="e">
        <f>SUM(R5:R15)</f>
        <v>#N/A</v>
      </c>
      <c r="S16" s="46" t="e">
        <f t="shared" si="5"/>
        <v>#N/A</v>
      </c>
      <c r="T16" s="46" t="e">
        <f t="shared" si="5"/>
        <v>#N/A</v>
      </c>
      <c r="U16" s="46" t="e">
        <f t="shared" si="5"/>
        <v>#N/A</v>
      </c>
      <c r="V16" s="46" t="e">
        <f t="shared" si="5"/>
        <v>#N/A</v>
      </c>
      <c r="W16" s="46" t="e">
        <f t="shared" si="5"/>
        <v>#N/A</v>
      </c>
      <c r="X16" s="46">
        <f t="shared" si="5"/>
        <v>0</v>
      </c>
      <c r="Y16" s="46">
        <f t="shared" si="5"/>
        <v>0</v>
      </c>
      <c r="Z16" s="107">
        <f t="shared" si="5"/>
        <v>0</v>
      </c>
      <c r="AA16" s="107">
        <f t="shared" si="5"/>
        <v>0</v>
      </c>
      <c r="AB16" s="46">
        <f t="shared" si="5"/>
        <v>0</v>
      </c>
      <c r="AC16" s="46" t="e">
        <f t="shared" si="5"/>
        <v>#N/A</v>
      </c>
      <c r="AD16" s="46">
        <f t="shared" si="5"/>
        <v>0</v>
      </c>
      <c r="AE16" s="46" t="e">
        <f t="shared" si="5"/>
        <v>#N/A</v>
      </c>
      <c r="AF16" s="46" t="e">
        <f t="shared" si="5"/>
        <v>#N/A</v>
      </c>
      <c r="AG16" s="46" t="e">
        <f t="shared" si="5"/>
        <v>#N/A</v>
      </c>
    </row>
    <row r="17" spans="4:32" x14ac:dyDescent="0.2">
      <c r="S17" s="40"/>
    </row>
    <row r="18" spans="4:32" ht="28" x14ac:dyDescent="0.2">
      <c r="F18" s="249" t="s">
        <v>253</v>
      </c>
      <c r="G18" s="189" t="e" cm="1">
        <f t="array" ref="G18">SUM(SUMIFS(
INDEX( 'ETPT Format DDG'!$A:$ZZ,,MATCH("12. TOTAL des INDISPONIBILITÉS relevant de l'action 99",'ETPT Format DDG'!2:2,0)),
INDEX( 'ETPT Format DDG'!$A:$ZZ,,MATCH("Fonction recodée",'ETPT Format DDG'!2:2,0)),{"Fonctionnaire CTECH placé ADD";"Fonctionnaire CTECH placé SUB"},
INDEX( 'ETPT Format DDG'!$A:$ZZ,,MATCH("Juridiction",'ETPT Format DDG'!2:2,0)),$D$5))</f>
        <v>#N/A</v>
      </c>
      <c r="Q18" s="250" t="s">
        <v>254</v>
      </c>
      <c r="R18" s="189" t="e" cm="1">
        <f t="array" ref="R18">SUM(SUMIFS(
INDEX( 'ETPT Format DDG'!$A:$ZZ,,MATCH("12. TOTAL des INDISPONIBILITÉS relevant de l'action 99",'ETPT Format DDG'!2:2,0)),
INDEX( 'ETPT Format DDG'!$A:$ZZ,,MATCH("Fonction recodée",'ETPT Format DDG'!2:2,0)),{"Fonctionnaire A-B-CBUR placé ADD";"Fonctionnaire A-B-CBUR placé SUB"},
INDEX( 'ETPT Format DDG'!$A:$ZZ,,MATCH("Juridiction",'ETPT Format DDG'!2:2,0)),$D$5))</f>
        <v>#N/A</v>
      </c>
      <c r="S18" s="38"/>
      <c r="AD18" s="251"/>
      <c r="AE18" s="248" t="s">
        <v>252</v>
      </c>
      <c r="AF18" s="53" t="e" cm="1">
        <f t="array" ref="AF18">SUM(SUMIFS(
INDEX( 'ETPT Format DDG'!$A:$ZZ,,MATCH("12. TOTAL des INDISPONIBILITÉS relevant de l'action 99",'ETPT Format DDG'!2:2,0)),
INDEX( 'ETPT Format DDG'!$A:$ZZ,,MATCH("Fonction recodée",'ETPT Format DDG'!2:2,0)),{"Magistrat placé ADD";"Magistrat placé SUB"},
INDEX( 'ETPT Format DDG'!$A:$ZZ,,MATCH("Juridiction",'ETPT Format DDG'!2:2,0)),$D$5))</f>
        <v>#N/A</v>
      </c>
    </row>
    <row r="19" spans="4:32" x14ac:dyDescent="0.2">
      <c r="D19" s="39" t="s">
        <v>171</v>
      </c>
    </row>
  </sheetData>
  <mergeCells count="5">
    <mergeCell ref="AG2:AG4"/>
    <mergeCell ref="A1:H1"/>
    <mergeCell ref="H2:H4"/>
    <mergeCell ref="S2:S4"/>
    <mergeCell ref="AC2:A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F59-85DE-F04F-B545-970F6F7A26FE}">
  <sheetPr codeName="Feuil11">
    <tabColor rgb="FF92D050"/>
  </sheetPr>
  <dimension ref="A1:J17"/>
  <sheetViews>
    <sheetView topLeftCell="D1" zoomScale="150" workbookViewId="0">
      <selection activeCell="G12" sqref="G12"/>
    </sheetView>
  </sheetViews>
  <sheetFormatPr baseColWidth="10" defaultColWidth="11" defaultRowHeight="16" x14ac:dyDescent="0.2"/>
  <cols>
    <col min="1" max="3" width="0" style="37" hidden="1" customWidth="1"/>
    <col min="4" max="4" width="15.1640625" style="37" customWidth="1"/>
    <col min="5" max="5" width="11" style="37"/>
    <col min="6" max="6" width="46.33203125" style="37" bestFit="1" customWidth="1"/>
    <col min="7" max="16384" width="11" style="37"/>
  </cols>
  <sheetData>
    <row r="1" spans="1:10" x14ac:dyDescent="0.2">
      <c r="A1" s="41"/>
      <c r="C1" s="100"/>
      <c r="D1" s="100" t="s">
        <v>216</v>
      </c>
      <c r="E1" s="100"/>
      <c r="F1" s="100"/>
      <c r="G1" s="41"/>
      <c r="H1" s="41"/>
      <c r="I1" s="41"/>
      <c r="J1" s="41"/>
    </row>
    <row r="2" spans="1:10" x14ac:dyDescent="0.2">
      <c r="A2" s="99"/>
      <c r="B2" s="98"/>
      <c r="C2" s="98"/>
      <c r="D2" s="98"/>
      <c r="E2" s="98"/>
      <c r="F2" s="98"/>
      <c r="G2" s="75" t="s">
        <v>167</v>
      </c>
      <c r="H2" s="373" t="s">
        <v>166</v>
      </c>
      <c r="I2" s="75" t="s">
        <v>38</v>
      </c>
      <c r="J2" s="373" t="s">
        <v>165</v>
      </c>
    </row>
    <row r="3" spans="1:10" ht="36" x14ac:dyDescent="0.2">
      <c r="A3" s="99"/>
      <c r="B3" s="98"/>
      <c r="C3" s="98"/>
      <c r="D3" s="98"/>
      <c r="E3" s="98"/>
      <c r="F3" s="98"/>
      <c r="G3" s="75" t="s">
        <v>145</v>
      </c>
      <c r="H3" s="373"/>
      <c r="I3" s="75" t="s">
        <v>142</v>
      </c>
      <c r="J3" s="373"/>
    </row>
    <row r="4" spans="1:10" ht="36" x14ac:dyDescent="0.2">
      <c r="A4" s="97"/>
      <c r="B4" s="96" t="s">
        <v>112</v>
      </c>
      <c r="C4" s="96" t="s">
        <v>111</v>
      </c>
      <c r="D4" s="96" t="s">
        <v>32</v>
      </c>
      <c r="E4" s="96" t="s">
        <v>110</v>
      </c>
      <c r="F4" s="96" t="s">
        <v>109</v>
      </c>
      <c r="G4" s="75" t="s">
        <v>94</v>
      </c>
      <c r="H4" s="373"/>
      <c r="I4" s="75" t="s">
        <v>93</v>
      </c>
      <c r="J4" s="373"/>
    </row>
    <row r="5" spans="1:10" x14ac:dyDescent="0.2">
      <c r="A5" s="91" t="s">
        <v>215</v>
      </c>
      <c r="B5" s="90"/>
      <c r="C5" s="90"/>
      <c r="D5" s="95">
        <f>ETPT_CPH_DDG!$D$5</f>
        <v>0</v>
      </c>
      <c r="E5" s="90" t="s">
        <v>62</v>
      </c>
      <c r="F5" s="90" t="s">
        <v>61</v>
      </c>
      <c r="G5" s="89" t="e">
        <f>SUM(SUMIFS(
INDEX( 'ETPT Format DDG'!$A:$ZZ,,MATCH("11.7. FONCTIONNAIRES AFFECTÉS AU CPH",'ETPT Format DDG'!2:2,0)),
INDEX( 'ETPT Format DDG'!$A:$ZZ,,MATCH("Fonction recodée",'ETPT Format DDG'!2:2,0)),"Fonctionnaire A-B-CBUR",
INDEX( 'ETPT Format DDG'!$A:$ZZ,,MATCH("Juridiction",'ETPT Format DDG'!2:2,0)),$D$5))</f>
        <v>#N/A</v>
      </c>
      <c r="H5" s="84" t="e">
        <f t="shared" ref="H5:H13" si="0">SUM(G5)</f>
        <v>#N/A</v>
      </c>
      <c r="I5" s="94"/>
      <c r="J5" s="84">
        <f t="shared" ref="J5:J13" si="1">SUM(I5)</f>
        <v>0</v>
      </c>
    </row>
    <row r="6" spans="1:10" x14ac:dyDescent="0.2">
      <c r="A6" s="91" t="s">
        <v>215</v>
      </c>
      <c r="B6" s="90"/>
      <c r="C6" s="90"/>
      <c r="D6" s="61">
        <f t="shared" ref="D6:D13" si="2">$D$5</f>
        <v>0</v>
      </c>
      <c r="E6" s="90" t="s">
        <v>56</v>
      </c>
      <c r="F6" s="90" t="s">
        <v>55</v>
      </c>
      <c r="G6" s="93"/>
      <c r="H6" s="84">
        <f t="shared" si="0"/>
        <v>0</v>
      </c>
      <c r="I6" s="94"/>
      <c r="J6" s="84">
        <f t="shared" si="1"/>
        <v>0</v>
      </c>
    </row>
    <row r="7" spans="1:10" x14ac:dyDescent="0.2">
      <c r="A7" s="91" t="s">
        <v>215</v>
      </c>
      <c r="B7" s="90"/>
      <c r="C7" s="90"/>
      <c r="D7" s="61">
        <f t="shared" si="2"/>
        <v>0</v>
      </c>
      <c r="E7" s="90" t="s">
        <v>54</v>
      </c>
      <c r="F7" s="90" t="s">
        <v>53</v>
      </c>
      <c r="G7" s="93"/>
      <c r="H7" s="84">
        <f t="shared" si="0"/>
        <v>0</v>
      </c>
      <c r="I7" s="92"/>
      <c r="J7" s="84">
        <f t="shared" si="1"/>
        <v>0</v>
      </c>
    </row>
    <row r="8" spans="1:10" x14ac:dyDescent="0.2">
      <c r="A8" s="91" t="s">
        <v>215</v>
      </c>
      <c r="B8" s="90"/>
      <c r="C8" s="90"/>
      <c r="D8" s="61">
        <f t="shared" si="2"/>
        <v>0</v>
      </c>
      <c r="E8" s="90" t="s">
        <v>52</v>
      </c>
      <c r="F8" s="90" t="s">
        <v>51</v>
      </c>
      <c r="G8" s="93"/>
      <c r="H8" s="84">
        <f t="shared" si="0"/>
        <v>0</v>
      </c>
      <c r="I8" s="94"/>
      <c r="J8" s="84">
        <f t="shared" si="1"/>
        <v>0</v>
      </c>
    </row>
    <row r="9" spans="1:10" x14ac:dyDescent="0.2">
      <c r="A9" s="91" t="s">
        <v>215</v>
      </c>
      <c r="B9" s="90"/>
      <c r="C9" s="90"/>
      <c r="D9" s="61">
        <f t="shared" si="2"/>
        <v>0</v>
      </c>
      <c r="E9" s="90" t="s">
        <v>50</v>
      </c>
      <c r="F9" s="90" t="s">
        <v>49</v>
      </c>
      <c r="G9" s="93"/>
      <c r="H9" s="84">
        <f t="shared" si="0"/>
        <v>0</v>
      </c>
      <c r="I9" s="92"/>
      <c r="J9" s="84">
        <f t="shared" si="1"/>
        <v>0</v>
      </c>
    </row>
    <row r="10" spans="1:10" x14ac:dyDescent="0.2">
      <c r="A10" s="91" t="s">
        <v>215</v>
      </c>
      <c r="B10" s="90"/>
      <c r="C10" s="90"/>
      <c r="D10" s="61">
        <f t="shared" si="2"/>
        <v>0</v>
      </c>
      <c r="E10" s="90" t="s">
        <v>48</v>
      </c>
      <c r="F10" s="90" t="s">
        <v>47</v>
      </c>
      <c r="G10" s="93"/>
      <c r="H10" s="84">
        <f t="shared" si="0"/>
        <v>0</v>
      </c>
      <c r="I10" s="94"/>
      <c r="J10" s="84">
        <f t="shared" si="1"/>
        <v>0</v>
      </c>
    </row>
    <row r="11" spans="1:10" x14ac:dyDescent="0.2">
      <c r="A11" s="91" t="s">
        <v>215</v>
      </c>
      <c r="B11" s="90"/>
      <c r="C11" s="90"/>
      <c r="D11" s="61">
        <f t="shared" si="2"/>
        <v>0</v>
      </c>
      <c r="E11" s="90" t="s">
        <v>46</v>
      </c>
      <c r="F11" s="90" t="s">
        <v>45</v>
      </c>
      <c r="G11" s="93"/>
      <c r="H11" s="84">
        <f t="shared" si="0"/>
        <v>0</v>
      </c>
      <c r="I11" s="92"/>
      <c r="J11" s="84">
        <f t="shared" si="1"/>
        <v>0</v>
      </c>
    </row>
    <row r="12" spans="1:10" x14ac:dyDescent="0.2">
      <c r="A12" s="91" t="s">
        <v>215</v>
      </c>
      <c r="B12" s="90"/>
      <c r="C12" s="90"/>
      <c r="D12" s="61">
        <f t="shared" si="2"/>
        <v>0</v>
      </c>
      <c r="E12" s="90" t="s">
        <v>44</v>
      </c>
      <c r="F12" s="90" t="s">
        <v>43</v>
      </c>
      <c r="G12" s="89" t="e">
        <f>SUM(SUMIFS(
INDEX( 'ETPT Format DDG'!$A:$ZZ,,MATCH("11.7. FONCTIONNAIRES AFFECTÉS AU CPH",'ETPT Format DDG'!2:2,0)),
INDEX( 'ETPT Format DDG'!$A:$ZZ,,MATCH("Fonction recodée",'ETPT Format DDG'!2:2,0)),"Fonctionnaire A-B-CBUR placé ADD",
INDEX( 'ETPT Format DDG'!$A:$ZZ,,MATCH("Juridiction",'ETPT Format DDG'!2:2,0)),$D$5))</f>
        <v>#N/A</v>
      </c>
      <c r="H12" s="84" t="e">
        <f t="shared" si="0"/>
        <v>#N/A</v>
      </c>
      <c r="I12" s="56"/>
      <c r="J12" s="84">
        <f t="shared" si="1"/>
        <v>0</v>
      </c>
    </row>
    <row r="13" spans="1:10" x14ac:dyDescent="0.2">
      <c r="A13" s="91" t="s">
        <v>215</v>
      </c>
      <c r="B13" s="90"/>
      <c r="C13" s="90"/>
      <c r="D13" s="61">
        <f t="shared" si="2"/>
        <v>0</v>
      </c>
      <c r="E13" s="90" t="s">
        <v>41</v>
      </c>
      <c r="F13" s="90" t="s">
        <v>40</v>
      </c>
      <c r="G13" s="89" t="e">
        <f>SUM(SUMIFS(
INDEX( 'ETPT Format DDG'!$A:$ZZ,,MATCH("11.7. FONCTIONNAIRES AFFECTÉS AU CPH",'ETPT Format DDG'!2:2,0)),
INDEX( 'ETPT Format DDG'!$A:$ZZ,,MATCH("Fonction recodée",'ETPT Format DDG'!2:2,0)),"Fonctionnaire A-B-CBUR placé SUB",
INDEX( 'ETPT Format DDG'!$A:$ZZ,,MATCH("Juridiction",'ETPT Format DDG'!2:2,0)),$D$5))</f>
        <v>#N/A</v>
      </c>
      <c r="H13" s="84" t="e">
        <f t="shared" si="0"/>
        <v>#N/A</v>
      </c>
      <c r="I13" s="56"/>
      <c r="J13" s="84">
        <f t="shared" si="1"/>
        <v>0</v>
      </c>
    </row>
    <row r="14" spans="1:10" x14ac:dyDescent="0.2">
      <c r="A14" s="88"/>
      <c r="B14" s="87"/>
      <c r="C14" s="87"/>
      <c r="D14" s="87"/>
      <c r="E14" s="86"/>
      <c r="F14" s="85" t="s">
        <v>39</v>
      </c>
      <c r="G14" s="84" t="e">
        <f>SUM(G5:G13)</f>
        <v>#N/A</v>
      </c>
      <c r="H14" s="84" t="e">
        <f>SUM(H5:H13)</f>
        <v>#N/A</v>
      </c>
      <c r="I14" s="84">
        <f>SUM(I5:I13)</f>
        <v>0</v>
      </c>
      <c r="J14" s="84">
        <f>SUM(J5:J13)</f>
        <v>0</v>
      </c>
    </row>
    <row r="17" spans="4:4" x14ac:dyDescent="0.2">
      <c r="D17" s="39"/>
    </row>
  </sheetData>
  <mergeCells count="2">
    <mergeCell ref="H2:H4"/>
    <mergeCell ref="J2: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5F5A-8EB5-004B-A277-10D36200C8B6}">
  <sheetPr>
    <tabColor rgb="FF002060"/>
  </sheetPr>
  <dimension ref="A1:BJ145"/>
  <sheetViews>
    <sheetView topLeftCell="C1" zoomScale="106" workbookViewId="0">
      <selection activeCell="H5" sqref="H5"/>
    </sheetView>
  </sheetViews>
  <sheetFormatPr baseColWidth="10" defaultRowHeight="15" x14ac:dyDescent="0.2"/>
  <cols>
    <col min="1" max="2" width="10.83203125" hidden="1" customWidth="1"/>
    <col min="3" max="3" width="9.83203125" bestFit="1" customWidth="1"/>
    <col min="6" max="6" width="73.83203125" customWidth="1"/>
    <col min="7" max="16" width="13.33203125" customWidth="1"/>
  </cols>
  <sheetData>
    <row r="1" spans="1:62" s="4" customFormat="1" ht="80" customHeight="1" x14ac:dyDescent="0.25">
      <c r="A1" s="3" t="s">
        <v>217</v>
      </c>
      <c r="B1" s="5"/>
      <c r="C1" s="5"/>
      <c r="D1" s="3" t="s">
        <v>294</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x14ac:dyDescent="0.2">
      <c r="A2" s="274"/>
      <c r="B2" s="275"/>
      <c r="C2" s="275"/>
      <c r="D2" s="275"/>
      <c r="E2" s="275"/>
      <c r="F2" s="276"/>
      <c r="G2" s="277" t="s">
        <v>38</v>
      </c>
      <c r="H2" s="277" t="s">
        <v>38</v>
      </c>
      <c r="I2" s="277" t="s">
        <v>38</v>
      </c>
      <c r="J2" s="277" t="s">
        <v>38</v>
      </c>
      <c r="K2" s="277" t="s">
        <v>38</v>
      </c>
      <c r="L2" s="277" t="s">
        <v>38</v>
      </c>
      <c r="M2" s="277" t="s">
        <v>38</v>
      </c>
      <c r="N2" s="277" t="s">
        <v>38</v>
      </c>
      <c r="O2" s="277" t="s">
        <v>38</v>
      </c>
      <c r="P2" s="277" t="s">
        <v>38</v>
      </c>
      <c r="Q2" s="376" t="s">
        <v>274</v>
      </c>
    </row>
    <row r="3" spans="1:62" ht="24" x14ac:dyDescent="0.2">
      <c r="A3" s="274"/>
      <c r="B3" s="275"/>
      <c r="C3" s="275"/>
      <c r="D3" s="275"/>
      <c r="E3" s="275"/>
      <c r="F3" s="276"/>
      <c r="G3" s="277" t="s">
        <v>275</v>
      </c>
      <c r="H3" s="277" t="s">
        <v>276</v>
      </c>
      <c r="I3" s="277" t="s">
        <v>142</v>
      </c>
      <c r="J3" s="277" t="s">
        <v>143</v>
      </c>
      <c r="K3" s="277" t="s">
        <v>144</v>
      </c>
      <c r="L3" s="277" t="s">
        <v>277</v>
      </c>
      <c r="M3" s="277" t="s">
        <v>278</v>
      </c>
      <c r="N3" s="277" t="s">
        <v>279</v>
      </c>
      <c r="O3" s="277" t="s">
        <v>280</v>
      </c>
      <c r="P3" s="277" t="s">
        <v>281</v>
      </c>
      <c r="Q3" s="376"/>
    </row>
    <row r="4" spans="1:62" ht="70" x14ac:dyDescent="0.2">
      <c r="A4" s="278"/>
      <c r="B4" s="279" t="s">
        <v>112</v>
      </c>
      <c r="C4" s="279" t="s">
        <v>111</v>
      </c>
      <c r="D4" s="279" t="s">
        <v>32</v>
      </c>
      <c r="E4" s="279" t="s">
        <v>282</v>
      </c>
      <c r="F4" s="279" t="s">
        <v>109</v>
      </c>
      <c r="G4" s="280" t="s">
        <v>283</v>
      </c>
      <c r="H4" s="280" t="s">
        <v>284</v>
      </c>
      <c r="I4" s="280" t="s">
        <v>285</v>
      </c>
      <c r="J4" s="280" t="s">
        <v>286</v>
      </c>
      <c r="K4" s="280" t="s">
        <v>287</v>
      </c>
      <c r="L4" s="280" t="s">
        <v>288</v>
      </c>
      <c r="M4" s="280" t="s">
        <v>289</v>
      </c>
      <c r="N4" s="280" t="s">
        <v>290</v>
      </c>
      <c r="O4" s="280" t="s">
        <v>291</v>
      </c>
      <c r="P4" s="280" t="s">
        <v>292</v>
      </c>
      <c r="Q4" s="376"/>
    </row>
    <row r="5" spans="1:62" x14ac:dyDescent="0.2">
      <c r="A5" s="281" t="s">
        <v>293</v>
      </c>
      <c r="B5" s="282"/>
      <c r="C5" s="282"/>
      <c r="D5" s="282">
        <f>ETPT_JUR_ASS_DDG!D5</f>
        <v>0</v>
      </c>
      <c r="E5" s="282" t="s">
        <v>62</v>
      </c>
      <c r="F5" s="283" t="s">
        <v>61</v>
      </c>
      <c r="G5" s="284"/>
      <c r="H5" s="285" t="e" cm="1">
        <f t="array" ref="H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I5" s="286" t="e" cm="1">
        <f t="array" ref="I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J5" s="286" t="e" cm="1">
        <f t="array" ref="J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K5" s="286" t="e" cm="1">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285" t="e" cm="1">
        <f t="array" ref="L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M5" s="286"/>
      <c r="N5" s="286" t="e" cm="1">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286"/>
      <c r="P5" s="286" t="e" cm="1">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287" t="e">
        <f>SUMIF($G$2:P$2,P$2,$G5:P5)</f>
        <v>#N/A</v>
      </c>
    </row>
    <row r="6" spans="1:62" x14ac:dyDescent="0.2">
      <c r="A6" s="281" t="s">
        <v>293</v>
      </c>
      <c r="B6" s="282"/>
      <c r="C6" s="282"/>
      <c r="D6" s="282">
        <f>ETPT_JUR_ASS_DDG!D6</f>
        <v>0</v>
      </c>
      <c r="E6" s="282" t="s">
        <v>60</v>
      </c>
      <c r="F6" s="283" t="s">
        <v>59</v>
      </c>
      <c r="G6" s="288"/>
      <c r="H6" s="285" t="e" cm="1">
        <f t="array" ref="H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I6" s="286" t="e" cm="1">
        <f t="array" ref="I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J6" s="286"/>
      <c r="K6" s="286" t="e" cm="1">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285" t="e" cm="1">
        <f t="array" ref="L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M6" s="286" t="e" cm="1">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286" t="e" cm="1">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286" t="e" cm="1">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286" t="e" cm="1">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287" t="e">
        <f>SUMIF($G$2:P$2,P$2,$G6:P6)</f>
        <v>#N/A</v>
      </c>
    </row>
    <row r="7" spans="1:62" x14ac:dyDescent="0.2">
      <c r="A7" s="281" t="s">
        <v>293</v>
      </c>
      <c r="B7" s="282"/>
      <c r="C7" s="282"/>
      <c r="D7" s="282">
        <f>ETPT_JUR_ASS_DDG!D7</f>
        <v>0</v>
      </c>
      <c r="E7" s="282" t="s">
        <v>56</v>
      </c>
      <c r="F7" s="283" t="s">
        <v>55</v>
      </c>
      <c r="G7" s="288"/>
      <c r="H7" s="285" t="e" cm="1">
        <f t="array" ref="H7">SUM(SUMIFS(
INDEX( 'ETPT Format DDG'!$A:$ZZ,,MATCH("11.51. ACCUEIL DU JUSTICIABLE (DONT SAUJ)",'ETPT Format DDG'!2:2,0)),
INDEX( 'ETPT Format DDG'!$A:$ZZ,,MATCH("Fonction recodée",'ETPT Format DDG'!2:2,0)),{"CONT A JP Siège";"CONT A VIF Siège"},
INDEX( 'ETPT Format DDG'!$A:$ZZ,,MATCH("Juridiction",'ETPT Format DDG'!2:2,0)),$D$5))</f>
        <v>#N/A</v>
      </c>
      <c r="I7" s="286" t="e">
        <f>SUM(SUMIFS(
INDEX( 'ETPT Format DDG'!$A:$ZZ,,MATCH("11.51. ACCUEIL DU JUSTICIABLE (DONT SAUJ)",'ETPT Format DDG'!2:2,0)),
INDEX( 'ETPT Format DDG'!$A:$ZZ,,MATCH("Fonction recodée",'ETPT Format DDG'!2:2,0)),"JA/AttJ Siège autres",
INDEX( 'ETPT Format DDG'!$A:$ZZ,,MATCH("Juridiction",'ETPT Format DDG'!2:2,0)),$D$5))</f>
        <v>#N/A</v>
      </c>
      <c r="J7" s="286" t="e">
        <f>SUM(SUMIFS(
INDEX( 'ETPT Format DDG'!$A:$ZZ,,MATCH("11.51. ACCUEIL DU JUSTICIABLE (DONT SAUJ)",'ETPT Format DDG'!2:2,0)),
INDEX( 'ETPT Format DDG'!$A:$ZZ,,MATCH("Fonction recodée",'ETPT Format DDG'!2:2,0)),"JA/AttJ Social",
INDEX( 'ETPT Format DDG'!$A:$ZZ,,MATCH("Juridiction",'ETPT Format DDG'!2:2,0)),$D$5))</f>
        <v>#N/A</v>
      </c>
      <c r="K7" s="286" t="e">
        <f>SUM(SUMIFS(
INDEX( 'ETPT Format DDG'!$A:$ZZ,,MATCH("11.51. ACCUEIL DU JUSTICIABLE (DONT SAUJ)",'ETPT Format DDG'!2:2,0)),
INDEX( 'ETPT Format DDG'!$A:$ZZ,,MATCH("Fonction recodée",'ETPT Format DDG'!2:2,0)),"JA/AttJ Parquet",
INDEX( 'ETPT Format DDG'!$A:$ZZ,,MATCH("Juridiction",'ETPT Format DDG'!2:2,0)),$D$5))</f>
        <v>#N/A</v>
      </c>
      <c r="L7" s="285" t="e" cm="1">
        <f t="array" ref="L7">SUM(SUMIFS(
INDEX( 'ETPT Format DDG'!$A:$ZZ,,MATCH("11.51. ACCUEIL DU JUSTICIABLE (DONT SAUJ)",'ETPT Format DDG'!2:2,0)),
INDEX( 'ETPT Format DDG'!$A:$ZZ,,MATCH("Fonction recodée",'ETPT Format DDG'!2:2,0)),{"CONT A JP Parquet";"CONT A VIF Parquet"},
INDEX( 'ETPT Format DDG'!$A:$ZZ,,MATCH("Juridiction",'ETPT Format DDG'!2:2,0)),$D$5))</f>
        <v>#N/A</v>
      </c>
      <c r="M7" s="286" t="e">
        <f>SUM(SUMIFS(
INDEX( 'ETPT Format DDG'!$A:$ZZ,,MATCH("11.51. ACCUEIL DU JUSTICIABLE (DONT SAUJ)",'ETPT Format DDG'!2:2,0)),
INDEX( 'ETPT Format DDG'!$A:$ZZ,,MATCH("Fonction recodée",'ETPT Format DDG'!2:2,0)),"JA/AttJ JAP",
INDEX( 'ETPT Format DDG'!$A:$ZZ,,MATCH("Juridiction",'ETPT Format DDG'!2:2,0)),$D$5))</f>
        <v>#N/A</v>
      </c>
      <c r="N7" s="286" t="e">
        <f>SUM(SUMIFS(
INDEX( 'ETPT Format DDG'!$A:$ZZ,,MATCH("11.51. ACCUEIL DU JUSTICIABLE (DONT SAUJ)",'ETPT Format DDG'!2:2,0)),
INDEX( 'ETPT Format DDG'!$A:$ZZ,,MATCH("Fonction recodée",'ETPT Format DDG'!2:2,0)),"JA/AttJ JE",
INDEX( 'ETPT Format DDG'!$A:$ZZ,,MATCH("Juridiction",'ETPT Format DDG'!2:2,0)),$D$5))</f>
        <v>#N/A</v>
      </c>
      <c r="O7" s="286" t="e">
        <f>SUM(SUMIFS(
INDEX( 'ETPT Format DDG'!$A:$ZZ,,MATCH("11.51. ACCUEIL DU JUSTICIABLE (DONT SAUJ)",'ETPT Format DDG'!2:2,0)),
INDEX( 'ETPT Format DDG'!$A:$ZZ,,MATCH("Fonction recodée",'ETPT Format DDG'!2:2,0)),"JA/AttJ JI",
INDEX( 'ETPT Format DDG'!$A:$ZZ,,MATCH("Juridiction",'ETPT Format DDG'!2:2,0)),$D$5))</f>
        <v>#N/A</v>
      </c>
      <c r="P7" s="286" t="e">
        <f>SUM(SUMIFS(
INDEX( 'ETPT Format DDG'!$A:$ZZ,,MATCH("11.51. ACCUEIL DU JUSTICIABLE (DONT SAUJ)",'ETPT Format DDG'!2:2,0)),
INDEX( 'ETPT Format DDG'!$A:$ZZ,,MATCH("Fonction recodée",'ETPT Format DDG'!2:2,0)),"JA/AttJ JLD",
INDEX( 'ETPT Format DDG'!$A:$ZZ,,MATCH("Juridiction",'ETPT Format DDG'!2:2,0)),$D$5))</f>
        <v>#N/A</v>
      </c>
      <c r="Q7" s="287" t="e">
        <f>SUMIF($G$2:P$2,P$2,$G7:P7)</f>
        <v>#N/A</v>
      </c>
    </row>
    <row r="8" spans="1:62" x14ac:dyDescent="0.2">
      <c r="A8" s="281" t="s">
        <v>293</v>
      </c>
      <c r="B8" s="282"/>
      <c r="C8" s="282"/>
      <c r="D8" s="282">
        <f>ETPT_JUR_ASS_DDG!D8</f>
        <v>0</v>
      </c>
      <c r="E8" s="282" t="s">
        <v>54</v>
      </c>
      <c r="F8" s="283" t="s">
        <v>53</v>
      </c>
      <c r="G8" s="288"/>
      <c r="H8" s="285" t="e" cm="1">
        <f t="array" ref="H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I8" s="286"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J8" s="286"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K8" s="286"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285" t="e" cm="1">
        <f t="array" ref="L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M8" s="286"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286"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286"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286"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287" t="e">
        <f>SUMIF($G$2:P$2,P$2,$G8:P8)</f>
        <v>#N/A</v>
      </c>
    </row>
    <row r="9" spans="1:62" x14ac:dyDescent="0.2">
      <c r="A9" s="281" t="s">
        <v>293</v>
      </c>
      <c r="B9" s="282"/>
      <c r="C9" s="282"/>
      <c r="D9" s="282">
        <f>ETPT_JUR_ASS_DDG!D9</f>
        <v>0</v>
      </c>
      <c r="E9" s="282" t="s">
        <v>52</v>
      </c>
      <c r="F9" s="283" t="s">
        <v>51</v>
      </c>
      <c r="G9" s="288"/>
      <c r="H9" s="285" t="e" cm="1">
        <f t="array" ref="H9">SUM(SUMIFS(
INDEX( 'ETPT Format DDG'!$A:$ZZ,,MATCH("11.3. FORMATIONS DISPENSÉES",'ETPT Format DDG'!2:2,0)),
INDEX( 'ETPT Format DDG'!$A:$ZZ,,MATCH("Fonction recodée",'ETPT Format DDG'!2:2,0)),{"CONT A JP Siège";"CONT A VIF Siège"},
INDEX( 'ETPT Format DDG'!$A:$ZZ,,MATCH("Juridiction",'ETPT Format DDG'!2:2,0)),$D$5))</f>
        <v>#N/A</v>
      </c>
      <c r="I9" s="286" t="e">
        <f>SUM(SUMIFS(
INDEX( 'ETPT Format DDG'!$A:$ZZ,,MATCH("11.3. FORMATIONS DISPENSÉES",'ETPT Format DDG'!2:2,0)),
INDEX( 'ETPT Format DDG'!$A:$ZZ,,MATCH("Fonction recodée",'ETPT Format DDG'!2:2,0)),"JA/AttJ Siège autres",
INDEX( 'ETPT Format DDG'!$A:$ZZ,,MATCH("Juridiction",'ETPT Format DDG'!2:2,0)),$D$5))</f>
        <v>#N/A</v>
      </c>
      <c r="J9" s="286" t="e">
        <f>SUM(SUMIFS(
INDEX( 'ETPT Format DDG'!$A:$ZZ,,MATCH("11.3. FORMATIONS DISPENSÉES",'ETPT Format DDG'!2:2,0)),
INDEX( 'ETPT Format DDG'!$A:$ZZ,,MATCH("Fonction recodée",'ETPT Format DDG'!2:2,0)),"JA/AttJ Social",
INDEX( 'ETPT Format DDG'!$A:$ZZ,,MATCH("Juridiction",'ETPT Format DDG'!2:2,0)),$D$5))</f>
        <v>#N/A</v>
      </c>
      <c r="K9" s="286" t="e">
        <f>SUM(SUMIFS(
INDEX( 'ETPT Format DDG'!$A:$ZZ,,MATCH("11.3. FORMATIONS DISPENSÉES",'ETPT Format DDG'!2:2,0)),
INDEX( 'ETPT Format DDG'!$A:$ZZ,,MATCH("Fonction recodée",'ETPT Format DDG'!2:2,0)),"JA/AttJ Parquet",
INDEX( 'ETPT Format DDG'!$A:$ZZ,,MATCH("Juridiction",'ETPT Format DDG'!2:2,0)),$D$5))</f>
        <v>#N/A</v>
      </c>
      <c r="L9" s="285" t="e" cm="1">
        <f t="array" ref="L9">SUM(SUMIFS(
INDEX( 'ETPT Format DDG'!$A:$ZZ,,MATCH("11.3. FORMATIONS DISPENSÉES",'ETPT Format DDG'!2:2,0)),
INDEX( 'ETPT Format DDG'!$A:$ZZ,,MATCH("Fonction recodée",'ETPT Format DDG'!2:2,0)),{"CONT A JP Parquet";"CONT A VIF Parquet"},
INDEX( 'ETPT Format DDG'!$A:$ZZ,,MATCH("Juridiction",'ETPT Format DDG'!2:2,0)),$D$5))</f>
        <v>#N/A</v>
      </c>
      <c r="M9" s="286" t="e">
        <f>SUM(SUMIFS(
INDEX( 'ETPT Format DDG'!$A:$ZZ,,MATCH("11.3. FORMATIONS DISPENSÉES",'ETPT Format DDG'!2:2,0)),
INDEX( 'ETPT Format DDG'!$A:$ZZ,,MATCH("Fonction recodée",'ETPT Format DDG'!2:2,0)),"JA/AttJ JAP",
INDEX( 'ETPT Format DDG'!$A:$ZZ,,MATCH("Juridiction",'ETPT Format DDG'!2:2,0)),$D$5))</f>
        <v>#N/A</v>
      </c>
      <c r="N9" s="286" t="e">
        <f>SUM(SUMIFS(
INDEX( 'ETPT Format DDG'!$A:$ZZ,,MATCH("11.3. FORMATIONS DISPENSÉES",'ETPT Format DDG'!2:2,0)),
INDEX( 'ETPT Format DDG'!$A:$ZZ,,MATCH("Fonction recodée",'ETPT Format DDG'!2:2,0)),"JA/AttJ JE",
INDEX( 'ETPT Format DDG'!$A:$ZZ,,MATCH("Juridiction",'ETPT Format DDG'!2:2,0)),$D$5))</f>
        <v>#N/A</v>
      </c>
      <c r="O9" s="286" t="e">
        <f>SUM(SUMIFS(
INDEX( 'ETPT Format DDG'!$A:$ZZ,,MATCH("11.3. FORMATIONS DISPENSÉES",'ETPT Format DDG'!2:2,0)),
INDEX( 'ETPT Format DDG'!$A:$ZZ,,MATCH("Fonction recodée",'ETPT Format DDG'!2:2,0)),"JA/AttJ JI",
INDEX( 'ETPT Format DDG'!$A:$ZZ,,MATCH("Juridiction",'ETPT Format DDG'!2:2,0)),$D$5))</f>
        <v>#N/A</v>
      </c>
      <c r="P9" s="286" t="e">
        <f>SUM(SUMIFS(
INDEX( 'ETPT Format DDG'!$A:$ZZ,,MATCH("11.3. FORMATIONS DISPENSÉES",'ETPT Format DDG'!2:2,0)),
INDEX( 'ETPT Format DDG'!$A:$ZZ,,MATCH("Fonction recodée",'ETPT Format DDG'!2:2,0)),"JA/AttJ JLD",
INDEX( 'ETPT Format DDG'!$A:$ZZ,,MATCH("Juridiction",'ETPT Format DDG'!2:2,0)),$D$5))</f>
        <v>#N/A</v>
      </c>
      <c r="Q9" s="287" t="e">
        <f>SUMIF($G$2:P$2,P$2,$G9:P9)</f>
        <v>#N/A</v>
      </c>
    </row>
    <row r="10" spans="1:62" x14ac:dyDescent="0.2">
      <c r="A10" s="281" t="s">
        <v>293</v>
      </c>
      <c r="B10" s="282"/>
      <c r="C10" s="282"/>
      <c r="D10" s="282">
        <f>ETPT_JUR_ASS_DDG!D10</f>
        <v>0</v>
      </c>
      <c r="E10" s="282" t="s">
        <v>50</v>
      </c>
      <c r="F10" s="283" t="s">
        <v>49</v>
      </c>
      <c r="G10" s="288"/>
      <c r="H10" s="285" t="e" cm="1">
        <f t="array" ref="H10">SUM(SUMIFS(
INDEX( 'ETPT Format DDG'!$A:$ZZ,,MATCH("11.4. ACCÈS AU DROIT ET À LA JUSTICE",'ETPT Format DDG'!2:2,0)),
INDEX( 'ETPT Format DDG'!$A:$ZZ,,MATCH("Fonction recodée",'ETPT Format DDG'!2:2,0)),{"CONT A JP Siège";"CONT A VIF Siège"},
INDEX( 'ETPT Format DDG'!$A:$ZZ,,MATCH("Juridiction",'ETPT Format DDG'!2:2,0)),$D$5))</f>
        <v>#N/A</v>
      </c>
      <c r="I10" s="286" t="e">
        <f>SUM(SUMIFS(
INDEX( 'ETPT Format DDG'!$A:$ZZ,,MATCH("11.4. ACCÈS AU DROIT ET À LA JUSTICE",'ETPT Format DDG'!2:2,0)),
INDEX( 'ETPT Format DDG'!$A:$ZZ,,MATCH("Fonction recodée",'ETPT Format DDG'!2:2,0)),"JA/AttJ Siège autres",
INDEX( 'ETPT Format DDG'!$A:$ZZ,,MATCH("Juridiction",'ETPT Format DDG'!2:2,0)),$D$5))</f>
        <v>#N/A</v>
      </c>
      <c r="J10" s="286" t="e">
        <f>SUM(SUMIFS(
INDEX( 'ETPT Format DDG'!$A:$ZZ,,MATCH("11.4. ACCÈS AU DROIT ET À LA JUSTICE",'ETPT Format DDG'!2:2,0)),
INDEX( 'ETPT Format DDG'!$A:$ZZ,,MATCH("Fonction recodée",'ETPT Format DDG'!2:2,0)),"JA/AttJ Social",
INDEX( 'ETPT Format DDG'!$A:$ZZ,,MATCH("Juridiction",'ETPT Format DDG'!2:2,0)),$D$5))</f>
        <v>#N/A</v>
      </c>
      <c r="K10" s="286" t="e">
        <f>SUM(SUMIFS(
INDEX( 'ETPT Format DDG'!$A:$ZZ,,MATCH("11.4. ACCÈS AU DROIT ET À LA JUSTICE",'ETPT Format DDG'!2:2,0)),
INDEX( 'ETPT Format DDG'!$A:$ZZ,,MATCH("Fonction recodée",'ETPT Format DDG'!2:2,0)),"JA/AttJ Parquet",
INDEX( 'ETPT Format DDG'!$A:$ZZ,,MATCH("Juridiction",'ETPT Format DDG'!2:2,0)),$D$5))</f>
        <v>#N/A</v>
      </c>
      <c r="L10" s="285" t="e" cm="1">
        <f t="array" ref="L10">SUM(SUMIFS(
INDEX( 'ETPT Format DDG'!$A:$ZZ,,MATCH("11.4. ACCÈS AU DROIT ET À LA JUSTICE",'ETPT Format DDG'!2:2,0)),
INDEX( 'ETPT Format DDG'!$A:$ZZ,,MATCH("Fonction recodée",'ETPT Format DDG'!2:2,0)),{"CONT A JP Parquet";"CONT A VIF Parquet"},
INDEX( 'ETPT Format DDG'!$A:$ZZ,,MATCH("Juridiction",'ETPT Format DDG'!2:2,0)),$D$5))</f>
        <v>#N/A</v>
      </c>
      <c r="M10" s="286" t="e">
        <f>SUM(SUMIFS(
INDEX( 'ETPT Format DDG'!$A:$ZZ,,MATCH("11.4. ACCÈS AU DROIT ET À LA JUSTICE",'ETPT Format DDG'!2:2,0)),
INDEX( 'ETPT Format DDG'!$A:$ZZ,,MATCH("Fonction recodée",'ETPT Format DDG'!2:2,0)),"JA/AttJ JAP",
INDEX( 'ETPT Format DDG'!$A:$ZZ,,MATCH("Juridiction",'ETPT Format DDG'!2:2,0)),$D$5))</f>
        <v>#N/A</v>
      </c>
      <c r="N10" s="286" t="e">
        <f>SUM(SUMIFS(
INDEX( 'ETPT Format DDG'!$A:$ZZ,,MATCH("11.4. ACCÈS AU DROIT ET À LA JUSTICE",'ETPT Format DDG'!2:2,0)),
INDEX( 'ETPT Format DDG'!$A:$ZZ,,MATCH("Fonction recodée",'ETPT Format DDG'!2:2,0)),"JA/AttJ JE",
INDEX( 'ETPT Format DDG'!$A:$ZZ,,MATCH("Juridiction",'ETPT Format DDG'!2:2,0)),$D$5))</f>
        <v>#N/A</v>
      </c>
      <c r="O10" s="286" t="e">
        <f>SUM(SUMIFS(
INDEX( 'ETPT Format DDG'!$A:$ZZ,,MATCH("11.4. ACCÈS AU DROIT ET À LA JUSTICE",'ETPT Format DDG'!2:2,0)),
INDEX( 'ETPT Format DDG'!$A:$ZZ,,MATCH("Fonction recodée",'ETPT Format DDG'!2:2,0)),"JA/AttJ JI",
INDEX( 'ETPT Format DDG'!$A:$ZZ,,MATCH("Juridiction",'ETPT Format DDG'!2:2,0)),$D$5))</f>
        <v>#N/A</v>
      </c>
      <c r="P10" s="286" t="e">
        <f>SUM(SUMIFS(
INDEX( 'ETPT Format DDG'!$A:$ZZ,,MATCH("11.4. ACCÈS AU DROIT ET À LA JUSTICE",'ETPT Format DDG'!2:2,0)),
INDEX( 'ETPT Format DDG'!$A:$ZZ,,MATCH("Fonction recodée",'ETPT Format DDG'!2:2,0)),"JA/AttJ JLD",
INDEX( 'ETPT Format DDG'!$A:$ZZ,,MATCH("Juridiction",'ETPT Format DDG'!2:2,0)),$D$5))</f>
        <v>#N/A</v>
      </c>
      <c r="Q10" s="287" t="e">
        <f>SUMIF($G$2:P$2,P$2,$G10:P10)</f>
        <v>#N/A</v>
      </c>
    </row>
    <row r="11" spans="1:62" x14ac:dyDescent="0.2">
      <c r="A11" s="281" t="s">
        <v>293</v>
      </c>
      <c r="B11" s="282"/>
      <c r="C11" s="282"/>
      <c r="D11" s="282">
        <f>ETPT_JUR_ASS_DDG!D11</f>
        <v>0</v>
      </c>
      <c r="E11" s="282" t="s">
        <v>48</v>
      </c>
      <c r="F11" s="283" t="s">
        <v>47</v>
      </c>
      <c r="G11" s="288"/>
      <c r="H11" s="285" t="e" cm="1">
        <f t="array" ref="H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I11" s="286"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J11" s="286"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K11" s="286"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285" t="e" cm="1">
        <f t="array" ref="L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M11" s="286"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286"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286"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286"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287" t="e">
        <f>SUMIF($G$2:P$2,P$2,$G11:P11)</f>
        <v>#N/A</v>
      </c>
    </row>
    <row r="12" spans="1:62" x14ac:dyDescent="0.2">
      <c r="A12" s="281" t="s">
        <v>293</v>
      </c>
      <c r="B12" s="282"/>
      <c r="C12" s="282"/>
      <c r="D12" s="282">
        <f>ETPT_JUR_ASS_DDG!D12</f>
        <v>0</v>
      </c>
      <c r="E12" s="282" t="s">
        <v>46</v>
      </c>
      <c r="F12" s="283" t="s">
        <v>45</v>
      </c>
      <c r="G12" s="288"/>
      <c r="H12" s="285" t="e" cm="1">
        <f t="array" ref="H12">SUM(SUMIFS(
INDEX( 'ETPT Format DDG'!$A:$ZZ,,MATCH("12.5. MISE À DISPOSITION",'ETPT Format DDG'!2:2,0)),
INDEX( 'ETPT Format DDG'!$A:$ZZ,,MATCH("Fonction recodée",'ETPT Format DDG'!2:2,0)),{"CONT A JP Siège";"CONT A VIF Siège"},
INDEX( 'ETPT Format DDG'!$A:$ZZ,,MATCH("Juridiction",'ETPT Format DDG'!2:2,0)),$D$5))+
SUM(SUMIFS(
INDEX( 'ETPT Format DDG'!$A:$ZZ,,MATCH("13. TOTAL CONTENTIEUX LOCAUX SPÉCIFIQUES",'ETPT Format DDG'!2:2,0)),
INDEX( 'ETPT Format DDG'!$A:$ZZ,,MATCH("Fonction recodée",'ETPT Format DDG'!2:2,0)),{"CONT A JP Siège";"CONT A VIF Siège"},
INDEX( 'ETPT Format DDG'!$A:$ZZ,,MATCH("Juridiction",'ETPT Format DDG'!2:2,0)),$D$5))</f>
        <v>#N/A</v>
      </c>
      <c r="I12" s="286" t="e">
        <f>SUM(SUMIFS(
INDEX( 'ETPT Format DDG'!$A:$ZZ,,MATCH("12.5. MISE À DISPOSITION",'ETPT Format DDG'!2:2,0)),
INDEX( 'ETPT Format DDG'!$A:$ZZ,,MATCH("Fonction recodée",'ETPT Format DDG'!2:2,0)),"JA/AttJ Siège autres",
INDEX( 'ETPT Format DDG'!$A:$ZZ,,MATCH("Juridiction",'ETPT Format DDG'!2:2,0)),$D$5))+
SUM(SUMIFS(
INDEX( 'ETPT Format DDG'!$A:$ZZ,,MATCH("13. TOTAL CONTENTIEUX LOCAUX SPÉCIFIQUES",'ETPT Format DDG'!2:2,0)),
INDEX( 'ETPT Format DDG'!$A:$ZZ,,MATCH("Fonction recodée",'ETPT Format DDG'!2:2,0)),"JA/AttJ Siège autres",
INDEX( 'ETPT Format DDG'!$A:$ZZ,,MATCH("Juridiction",'ETPT Format DDG'!2:2,0)),$D$5))</f>
        <v>#N/A</v>
      </c>
      <c r="J12" s="286" t="e">
        <f>SUM(SUMIFS(
INDEX( 'ETPT Format DDG'!$A:$ZZ,,MATCH("12.5. MISE À DISPOSITION",'ETPT Format DDG'!2:2,0)),
INDEX( 'ETPT Format DDG'!$A:$ZZ,,MATCH("Fonction recodée",'ETPT Format DDG'!2:2,0)),"JA/AttJ Social",
INDEX( 'ETPT Format DDG'!$A:$ZZ,,MATCH("Juridiction",'ETPT Format DDG'!2:2,0)),$D$5))+
SUM(SUMIFS(
INDEX( 'ETPT Format DDG'!$A:$ZZ,,MATCH("13. TOTAL CONTENTIEUX LOCAUX SPÉCIFIQUES",'ETPT Format DDG'!2:2,0)),
INDEX( 'ETPT Format DDG'!$A:$ZZ,,MATCH("Fonction recodée",'ETPT Format DDG'!2:2,0)),"JA/AttJ Social",
INDEX( 'ETPT Format DDG'!$A:$ZZ,,MATCH("Juridiction",'ETPT Format DDG'!2:2,0)),$D$5))</f>
        <v>#N/A</v>
      </c>
      <c r="K12" s="286" t="e">
        <f>SUM(SUMIFS(
INDEX( 'ETPT Format DDG'!$A:$ZZ,,MATCH("12.5. MISE À DISPOSITION",'ETPT Format DDG'!2:2,0)),
INDEX( 'ETPT Format DDG'!$A:$ZZ,,MATCH("Fonction recodée",'ETPT Format DDG'!2:2,0)),"JA/AttJ Parquet",
INDEX( 'ETPT Format DDG'!$A:$ZZ,,MATCH("Juridiction",'ETPT Format DDG'!2:2,0)),$D$5))+
SUM(SUMIFS(
INDEX( 'ETPT Format DDG'!$A:$ZZ,,MATCH("13. TOTAL CONTENTIEUX LOCAUX SPÉCIFIQUES",'ETPT Format DDG'!2:2,0)),
INDEX( 'ETPT Format DDG'!$A:$ZZ,,MATCH("Fonction recodée",'ETPT Format DDG'!2:2,0)),"JA/AttJ Parquet",
INDEX( 'ETPT Format DDG'!$A:$ZZ,,MATCH("Juridiction",'ETPT Format DDG'!2:2,0)),$D$5))</f>
        <v>#N/A</v>
      </c>
      <c r="L12" s="285" t="e" cm="1">
        <f t="array" ref="L12">SUM(SUMIFS(
INDEX( 'ETPT Format DDG'!$A:$ZZ,,MATCH("12.5. MISE À DISPOSITION",'ETPT Format DDG'!2:2,0)),
INDEX( 'ETPT Format DDG'!$A:$ZZ,,MATCH("Fonction recodée",'ETPT Format DDG'!2:2,0)),{"CONT A JP Parquet";"CONT A VIF Parquet"},
INDEX( 'ETPT Format DDG'!$A:$ZZ,,MATCH("Juridiction",'ETPT Format DDG'!2:2,0)),$D$5))+
SUM(SUMIFS(
INDEX( 'ETPT Format DDG'!$A:$ZZ,,MATCH("13. TOTAL CONTENTIEUX LOCAUX SPÉCIFIQUES",'ETPT Format DDG'!2:2,0)),
INDEX( 'ETPT Format DDG'!$A:$ZZ,,MATCH("Fonction recodée",'ETPT Format DDG'!2:2,0)),{"CONT A JP Parquet";"CONT A VIF Parquet"},
INDEX( 'ETPT Format DDG'!$A:$ZZ,,MATCH("Juridiction",'ETPT Format DDG'!2:2,0)),$D$5))</f>
        <v>#N/A</v>
      </c>
      <c r="M12" s="286" t="e">
        <f>SUM(SUMIFS(
INDEX( 'ETPT Format DDG'!$A:$ZZ,,MATCH("12.5. MISE À DISPOSITION",'ETPT Format DDG'!2:2,0)),
INDEX( 'ETPT Format DDG'!$A:$ZZ,,MATCH("Fonction recodée",'ETPT Format DDG'!2:2,0)),"JA/AttJ JAP",
INDEX( 'ETPT Format DDG'!$A:$ZZ,,MATCH("Juridiction",'ETPT Format DDG'!2:2,0)),$D$5))+
SUM(SUMIFS(
INDEX( 'ETPT Format DDG'!$A:$ZZ,,MATCH("13. TOTAL CONTENTIEUX LOCAUX SPÉCIFIQUES",'ETPT Format DDG'!2:2,0)),
INDEX( 'ETPT Format DDG'!$A:$ZZ,,MATCH("Fonction recodée",'ETPT Format DDG'!2:2,0)),"JA/AttJ JAP",
INDEX( 'ETPT Format DDG'!$A:$ZZ,,MATCH("Juridiction",'ETPT Format DDG'!2:2,0)),$D$5))</f>
        <v>#N/A</v>
      </c>
      <c r="N12" s="286" t="e">
        <f>SUM(SUMIFS(
INDEX( 'ETPT Format DDG'!$A:$ZZ,,MATCH("12.5. MISE À DISPOSITION",'ETPT Format DDG'!2:2,0)),
INDEX( 'ETPT Format DDG'!$A:$ZZ,,MATCH("Fonction recodée",'ETPT Format DDG'!2:2,0)),"JA/AttJ JE",
INDEX( 'ETPT Format DDG'!$A:$ZZ,,MATCH("Juridiction",'ETPT Format DDG'!2:2,0)),$D$5))+
SUM(SUMIFS(
INDEX( 'ETPT Format DDG'!$A:$ZZ,,MATCH("13. TOTAL CONTENTIEUX LOCAUX SPÉCIFIQUES",'ETPT Format DDG'!2:2,0)),
INDEX( 'ETPT Format DDG'!$A:$ZZ,,MATCH("Fonction recodée",'ETPT Format DDG'!2:2,0)),"JA/AttJ JE",
INDEX( 'ETPT Format DDG'!$A:$ZZ,,MATCH("Juridiction",'ETPT Format DDG'!2:2,0)),$D$5))</f>
        <v>#N/A</v>
      </c>
      <c r="O12" s="286" t="e">
        <f>SUM(SUMIFS(
INDEX( 'ETPT Format DDG'!$A:$ZZ,,MATCH("12.5. MISE À DISPOSITION",'ETPT Format DDG'!2:2,0)),
INDEX( 'ETPT Format DDG'!$A:$ZZ,,MATCH("Fonction recodée",'ETPT Format DDG'!2:2,0)),"JA/AttJ JI",
INDEX( 'ETPT Format DDG'!$A:$ZZ,,MATCH("Juridiction",'ETPT Format DDG'!2:2,0)),$D$5))+
SUM(SUMIFS(
INDEX( 'ETPT Format DDG'!$A:$ZZ,,MATCH("13. TOTAL CONTENTIEUX LOCAUX SPÉCIFIQUES",'ETPT Format DDG'!2:2,0)),
INDEX( 'ETPT Format DDG'!$A:$ZZ,,MATCH("Fonction recodée",'ETPT Format DDG'!2:2,0)),"JA/AttJ JI",
INDEX( 'ETPT Format DDG'!$A:$ZZ,,MATCH("Juridiction",'ETPT Format DDG'!2:2,0)),$D$5))</f>
        <v>#N/A</v>
      </c>
      <c r="P12" s="286" t="e">
        <f>SUM(SUMIFS(
INDEX( 'ETPT Format DDG'!$A:$ZZ,,MATCH("12.5. MISE À DISPOSITION",'ETPT Format DDG'!2:2,0)),
INDEX( 'ETPT Format DDG'!$A:$ZZ,,MATCH("Fonction recodée",'ETPT Format DDG'!2:2,0)),"JA/AttJ JLD",
INDEX( 'ETPT Format DDG'!$A:$ZZ,,MATCH("Juridiction",'ETPT Format DDG'!2:2,0)),$D$5))+
SUM(SUMIFS(
INDEX( 'ETPT Format DDG'!$A:$ZZ,,MATCH("13. TOTAL CONTENTIEUX LOCAUX SPÉCIFIQUES",'ETPT Format DDG'!2:2,0)),
INDEX( 'ETPT Format DDG'!$A:$ZZ,,MATCH("Fonction recodée",'ETPT Format DDG'!2:2,0)),"JA/AttJ JLD",
INDEX( 'ETPT Format DDG'!$A:$ZZ,,MATCH("Juridiction",'ETPT Format DDG'!2:2,0)),$D$5))</f>
        <v>#N/A</v>
      </c>
      <c r="Q12" s="287" t="e">
        <f>SUMIF($G$2:P$2,P$2,$G12:P12)</f>
        <v>#N/A</v>
      </c>
    </row>
    <row r="13" spans="1:62" ht="16" x14ac:dyDescent="0.2">
      <c r="A13" s="291"/>
      <c r="B13" s="291"/>
      <c r="C13" s="291"/>
      <c r="D13" s="291"/>
      <c r="E13" s="290"/>
      <c r="F13" s="289" t="s">
        <v>39</v>
      </c>
      <c r="G13" s="287">
        <f>SUMIF($C$5:$C12,$C12,G$5:G12)</f>
        <v>0</v>
      </c>
      <c r="H13" s="287">
        <f>SUMIF($C$5:$C12,$C12,H$5:H12)</f>
        <v>0</v>
      </c>
      <c r="I13" s="287">
        <f>SUMIF($C$5:$C12,$C12,I$5:I12)</f>
        <v>0</v>
      </c>
      <c r="J13" s="287">
        <f>SUMIF($C$5:$C12,$C12,J$5:J12)</f>
        <v>0</v>
      </c>
      <c r="K13" s="287">
        <f>SUMIF($C$5:$C12,$C12,K$5:K12)</f>
        <v>0</v>
      </c>
      <c r="L13" s="287">
        <f>SUMIF($C$5:$C12,$C12,L$5:L12)</f>
        <v>0</v>
      </c>
      <c r="M13" s="287">
        <f>SUMIF($C$5:$C12,$C12,M$5:M12)</f>
        <v>0</v>
      </c>
      <c r="N13" s="287">
        <f>SUMIF($C$5:$C12,$C12,N$5:N12)</f>
        <v>0</v>
      </c>
      <c r="O13" s="287">
        <f>SUMIF($C$5:$C12,$C12,O$5:O12)</f>
        <v>0</v>
      </c>
      <c r="P13" s="287">
        <f>SUMIF($C$5:$C12,$C12,P$5:P12)</f>
        <v>0</v>
      </c>
      <c r="Q13" s="287">
        <f>SUMIF($C$5:$C12,$C12,Q$5:Q12)</f>
        <v>0</v>
      </c>
    </row>
    <row r="14" spans="1:62" ht="16" x14ac:dyDescent="0.2">
      <c r="A14" s="291"/>
      <c r="B14" s="291"/>
      <c r="C14" s="291"/>
      <c r="D14" s="291"/>
      <c r="E14" s="290"/>
      <c r="F14" s="290"/>
      <c r="G14" s="290"/>
      <c r="H14" s="290"/>
      <c r="I14" s="290"/>
      <c r="J14" s="290"/>
      <c r="K14" s="290"/>
      <c r="L14" s="290"/>
      <c r="M14" s="290"/>
      <c r="N14" s="290"/>
      <c r="O14" s="290"/>
      <c r="P14" s="290"/>
      <c r="Q14" s="290"/>
    </row>
    <row r="15" spans="1:62" ht="16" x14ac:dyDescent="0.2">
      <c r="A15" s="291"/>
      <c r="B15" s="291"/>
      <c r="C15" s="291"/>
      <c r="D15" s="291"/>
      <c r="E15" s="291"/>
      <c r="F15" s="291"/>
      <c r="G15" s="291"/>
      <c r="H15" s="291"/>
      <c r="I15" s="290"/>
      <c r="J15" s="290"/>
      <c r="K15" s="290"/>
      <c r="L15" s="290"/>
      <c r="M15" s="290"/>
      <c r="N15" s="290"/>
      <c r="O15" s="290"/>
      <c r="P15" s="290"/>
      <c r="Q15" s="290"/>
    </row>
    <row r="16" spans="1:62" ht="16" x14ac:dyDescent="0.2">
      <c r="A16" s="291"/>
      <c r="B16" s="291"/>
      <c r="C16" s="291"/>
      <c r="D16" s="291"/>
      <c r="E16" s="291"/>
      <c r="F16" s="291"/>
      <c r="G16" s="291"/>
      <c r="H16" s="291"/>
      <c r="I16" s="290"/>
      <c r="J16" s="290"/>
      <c r="K16" s="290"/>
      <c r="L16" s="290"/>
      <c r="M16" s="290"/>
      <c r="N16" s="290"/>
      <c r="O16" s="290"/>
      <c r="P16" s="290"/>
      <c r="Q16" s="290"/>
    </row>
    <row r="17" spans="1:18" ht="16" x14ac:dyDescent="0.2">
      <c r="A17" s="291"/>
      <c r="B17" s="291"/>
      <c r="C17" s="291"/>
      <c r="D17" s="291"/>
      <c r="E17" s="291"/>
      <c r="F17" s="291"/>
      <c r="G17" s="291"/>
      <c r="H17" s="291"/>
      <c r="I17" s="290"/>
      <c r="J17" s="290"/>
      <c r="K17" s="290"/>
      <c r="L17" s="290"/>
      <c r="M17" s="290"/>
      <c r="N17" s="290"/>
      <c r="O17" s="290"/>
      <c r="P17" s="290"/>
      <c r="Q17" s="290"/>
      <c r="R17" s="290"/>
    </row>
    <row r="18" spans="1:18" ht="16" x14ac:dyDescent="0.2">
      <c r="A18" s="291"/>
      <c r="B18" s="291"/>
      <c r="C18" s="291"/>
      <c r="D18" s="291"/>
      <c r="E18" s="291"/>
      <c r="F18" s="291"/>
      <c r="G18" s="291"/>
      <c r="H18" s="291"/>
      <c r="I18" s="290"/>
      <c r="J18" s="290"/>
      <c r="K18" s="290"/>
      <c r="L18" s="290"/>
      <c r="M18" s="290"/>
      <c r="N18" s="290"/>
      <c r="O18" s="290"/>
      <c r="P18" s="290"/>
      <c r="Q18" s="290"/>
      <c r="R18" s="290"/>
    </row>
    <row r="19" spans="1:18" ht="16" x14ac:dyDescent="0.2">
      <c r="A19" s="291"/>
      <c r="B19" s="291"/>
      <c r="C19" s="291"/>
      <c r="D19" s="291"/>
      <c r="E19" s="291"/>
      <c r="F19" s="291"/>
      <c r="G19" s="291"/>
      <c r="H19" s="291"/>
      <c r="I19" s="290"/>
      <c r="J19" s="290"/>
      <c r="K19" s="290"/>
      <c r="L19" s="290"/>
      <c r="M19" s="290"/>
      <c r="N19" s="290"/>
      <c r="O19" s="290"/>
      <c r="P19" s="290"/>
      <c r="Q19" s="290"/>
      <c r="R19" s="290"/>
    </row>
    <row r="20" spans="1:18" ht="16" x14ac:dyDescent="0.2">
      <c r="A20" s="291"/>
      <c r="B20" s="291"/>
      <c r="C20" s="291"/>
      <c r="D20" s="291"/>
      <c r="E20" s="291"/>
      <c r="F20" s="291"/>
      <c r="G20" s="291"/>
      <c r="H20" s="291"/>
      <c r="I20" s="290"/>
      <c r="J20" s="290"/>
      <c r="K20" s="290"/>
      <c r="L20" s="290"/>
      <c r="M20" s="290"/>
      <c r="N20" s="290"/>
      <c r="O20" s="290"/>
      <c r="P20" s="290"/>
      <c r="Q20" s="290"/>
      <c r="R20" s="290"/>
    </row>
    <row r="21" spans="1:18" ht="16" x14ac:dyDescent="0.2">
      <c r="A21" s="291"/>
      <c r="B21" s="291"/>
      <c r="C21" s="291"/>
      <c r="D21" s="291"/>
      <c r="E21" s="291"/>
      <c r="F21" s="291"/>
      <c r="G21" s="291"/>
      <c r="H21" s="291"/>
      <c r="I21" s="290"/>
      <c r="J21" s="290"/>
      <c r="K21" s="290"/>
      <c r="L21" s="290"/>
      <c r="M21" s="290"/>
      <c r="N21" s="290"/>
      <c r="O21" s="290"/>
      <c r="P21" s="290"/>
      <c r="Q21" s="290"/>
      <c r="R21" s="290"/>
    </row>
    <row r="22" spans="1:18" ht="16" x14ac:dyDescent="0.2">
      <c r="A22" s="291"/>
      <c r="B22" s="291"/>
      <c r="C22" s="291"/>
      <c r="D22" s="291"/>
      <c r="E22" s="291"/>
      <c r="F22" s="291"/>
      <c r="G22" s="291"/>
      <c r="H22" s="291"/>
      <c r="I22" s="290"/>
      <c r="J22" s="290"/>
      <c r="K22" s="290"/>
      <c r="L22" s="290"/>
      <c r="M22" s="290"/>
      <c r="N22" s="290"/>
      <c r="O22" s="290"/>
      <c r="P22" s="290"/>
      <c r="Q22" s="290"/>
      <c r="R22" s="290"/>
    </row>
    <row r="23" spans="1:18" ht="16" x14ac:dyDescent="0.2">
      <c r="A23" s="291"/>
      <c r="B23" s="291"/>
      <c r="C23" s="291"/>
      <c r="D23" s="291"/>
      <c r="E23" s="291"/>
      <c r="F23" s="291"/>
      <c r="G23" s="291"/>
      <c r="H23" s="291"/>
      <c r="I23" s="290"/>
      <c r="J23" s="290"/>
      <c r="K23" s="290"/>
      <c r="L23" s="290"/>
      <c r="M23" s="290"/>
      <c r="N23" s="290"/>
      <c r="O23" s="290"/>
      <c r="P23" s="290"/>
      <c r="Q23" s="290"/>
      <c r="R23" s="290"/>
    </row>
    <row r="24" spans="1:18" ht="16" x14ac:dyDescent="0.2">
      <c r="A24" s="291"/>
      <c r="B24" s="291"/>
      <c r="C24" s="291"/>
      <c r="D24" s="291"/>
      <c r="E24" s="291"/>
      <c r="F24" s="291"/>
      <c r="G24" s="291"/>
      <c r="H24" s="291"/>
      <c r="I24" s="290"/>
      <c r="J24" s="290"/>
      <c r="K24" s="290"/>
      <c r="L24" s="290"/>
      <c r="M24" s="290"/>
      <c r="N24" s="290"/>
      <c r="O24" s="290"/>
      <c r="P24" s="290"/>
      <c r="Q24" s="290"/>
      <c r="R24" s="290"/>
    </row>
    <row r="25" spans="1:18" ht="16" x14ac:dyDescent="0.2">
      <c r="A25" s="291"/>
      <c r="B25" s="291"/>
      <c r="C25" s="291"/>
      <c r="D25" s="291"/>
      <c r="E25" s="291"/>
      <c r="F25" s="291"/>
      <c r="G25" s="291"/>
      <c r="H25" s="291"/>
      <c r="I25" s="290"/>
      <c r="J25" s="290"/>
      <c r="K25" s="290"/>
      <c r="L25" s="290"/>
      <c r="M25" s="290"/>
      <c r="N25" s="290"/>
      <c r="O25" s="290"/>
      <c r="P25" s="290"/>
      <c r="Q25" s="290"/>
      <c r="R25" s="290"/>
    </row>
    <row r="26" spans="1:18" ht="16" x14ac:dyDescent="0.2">
      <c r="A26" s="291"/>
      <c r="B26" s="291"/>
      <c r="C26" s="291"/>
      <c r="D26" s="291"/>
      <c r="E26" s="291"/>
      <c r="F26" s="291"/>
      <c r="G26" s="291"/>
      <c r="H26" s="291"/>
      <c r="I26" s="290"/>
      <c r="J26" s="290"/>
      <c r="K26" s="290"/>
      <c r="L26" s="290"/>
      <c r="M26" s="290"/>
      <c r="N26" s="290"/>
      <c r="O26" s="290"/>
      <c r="P26" s="290"/>
      <c r="Q26" s="290"/>
      <c r="R26" s="290"/>
    </row>
    <row r="27" spans="1:18" ht="16" x14ac:dyDescent="0.2">
      <c r="A27" s="291"/>
      <c r="B27" s="291"/>
      <c r="C27" s="291"/>
      <c r="D27" s="291"/>
      <c r="E27" s="291"/>
      <c r="F27" s="291"/>
      <c r="G27" s="291"/>
      <c r="H27" s="291"/>
      <c r="I27" s="290"/>
      <c r="J27" s="290"/>
      <c r="K27" s="290"/>
      <c r="L27" s="290"/>
      <c r="M27" s="290"/>
      <c r="N27" s="290"/>
      <c r="O27" s="290"/>
      <c r="P27" s="290"/>
      <c r="Q27" s="290"/>
      <c r="R27" s="290"/>
    </row>
    <row r="28" spans="1:18" ht="16" x14ac:dyDescent="0.2">
      <c r="A28" s="291"/>
      <c r="B28" s="291"/>
      <c r="C28" s="291"/>
      <c r="D28" s="291"/>
      <c r="E28" s="291"/>
      <c r="F28" s="291"/>
      <c r="G28" s="291"/>
      <c r="H28" s="291"/>
      <c r="I28" s="290"/>
      <c r="J28" s="290"/>
      <c r="K28" s="290"/>
      <c r="L28" s="290"/>
      <c r="M28" s="290"/>
      <c r="N28" s="290"/>
      <c r="O28" s="290"/>
      <c r="P28" s="290"/>
      <c r="Q28" s="290"/>
      <c r="R28" s="290"/>
    </row>
    <row r="29" spans="1:18" ht="16" x14ac:dyDescent="0.2">
      <c r="A29" s="291"/>
      <c r="B29" s="291"/>
      <c r="C29" s="291"/>
      <c r="D29" s="291"/>
      <c r="E29" s="291"/>
      <c r="F29" s="291"/>
      <c r="G29" s="291"/>
      <c r="H29" s="291"/>
      <c r="I29" s="290"/>
      <c r="J29" s="290"/>
      <c r="K29" s="290"/>
      <c r="L29" s="290"/>
      <c r="M29" s="290"/>
      <c r="N29" s="290"/>
      <c r="O29" s="290"/>
      <c r="P29" s="290"/>
      <c r="Q29" s="290"/>
      <c r="R29" s="290"/>
    </row>
    <row r="30" spans="1:18" ht="16" x14ac:dyDescent="0.2">
      <c r="A30" s="291"/>
      <c r="B30" s="291"/>
      <c r="C30" s="291"/>
      <c r="D30" s="291"/>
      <c r="E30" s="291"/>
      <c r="F30" s="291"/>
      <c r="G30" s="291"/>
      <c r="H30" s="291"/>
      <c r="I30" s="290"/>
      <c r="J30" s="290"/>
      <c r="K30" s="290"/>
      <c r="L30" s="290"/>
      <c r="M30" s="290"/>
      <c r="N30" s="290"/>
      <c r="O30" s="290"/>
      <c r="P30" s="290"/>
      <c r="Q30" s="290"/>
      <c r="R30" s="290"/>
    </row>
    <row r="31" spans="1:18" ht="16" x14ac:dyDescent="0.2">
      <c r="A31" s="291"/>
      <c r="B31" s="291"/>
      <c r="C31" s="291"/>
      <c r="D31" s="291"/>
      <c r="E31" s="291"/>
      <c r="F31" s="291"/>
      <c r="G31" s="291"/>
      <c r="H31" s="291"/>
      <c r="I31" s="290"/>
      <c r="J31" s="290"/>
      <c r="K31" s="290"/>
      <c r="L31" s="290"/>
      <c r="M31" s="290"/>
      <c r="N31" s="290"/>
      <c r="O31" s="290"/>
      <c r="P31" s="290"/>
      <c r="Q31" s="290"/>
      <c r="R31" s="290"/>
    </row>
    <row r="32" spans="1:18" ht="16" x14ac:dyDescent="0.2">
      <c r="A32" s="291"/>
      <c r="B32" s="291"/>
      <c r="C32" s="291"/>
      <c r="D32" s="291"/>
      <c r="E32" s="291"/>
      <c r="F32" s="291"/>
      <c r="G32" s="291"/>
      <c r="H32" s="291"/>
      <c r="I32" s="290"/>
      <c r="J32" s="290"/>
      <c r="K32" s="290"/>
      <c r="L32" s="290"/>
      <c r="M32" s="290"/>
      <c r="N32" s="290"/>
      <c r="O32" s="290"/>
      <c r="P32" s="290"/>
      <c r="Q32" s="290"/>
      <c r="R32" s="290"/>
    </row>
    <row r="33" spans="1:18" ht="16" x14ac:dyDescent="0.2">
      <c r="A33" s="291"/>
      <c r="B33" s="291"/>
      <c r="C33" s="291"/>
      <c r="D33" s="291"/>
      <c r="E33" s="291"/>
      <c r="F33" s="291"/>
      <c r="G33" s="291"/>
      <c r="H33" s="291"/>
      <c r="I33" s="290"/>
      <c r="J33" s="290"/>
      <c r="K33" s="290"/>
      <c r="L33" s="290"/>
      <c r="M33" s="290"/>
      <c r="N33" s="290"/>
      <c r="O33" s="290"/>
      <c r="P33" s="290"/>
      <c r="Q33" s="290"/>
      <c r="R33" s="290"/>
    </row>
    <row r="34" spans="1:18" ht="16" x14ac:dyDescent="0.2">
      <c r="A34" s="291"/>
      <c r="B34" s="291"/>
      <c r="C34" s="291"/>
      <c r="D34" s="291"/>
      <c r="E34" s="291"/>
      <c r="F34" s="291"/>
      <c r="G34" s="291"/>
      <c r="H34" s="291"/>
      <c r="I34" s="290"/>
      <c r="J34" s="290"/>
      <c r="K34" s="290"/>
      <c r="L34" s="290"/>
      <c r="M34" s="290"/>
      <c r="N34" s="290"/>
      <c r="O34" s="290"/>
      <c r="P34" s="290"/>
      <c r="Q34" s="290"/>
      <c r="R34" s="290"/>
    </row>
    <row r="35" spans="1:18" ht="16" x14ac:dyDescent="0.2">
      <c r="A35" s="291"/>
      <c r="B35" s="291"/>
      <c r="C35" s="291"/>
      <c r="D35" s="291"/>
      <c r="E35" s="291"/>
      <c r="F35" s="291"/>
      <c r="G35" s="291"/>
      <c r="H35" s="291"/>
      <c r="I35" s="290"/>
      <c r="J35" s="290"/>
      <c r="K35" s="290"/>
      <c r="L35" s="290"/>
      <c r="M35" s="290"/>
      <c r="N35" s="290"/>
      <c r="O35" s="290"/>
      <c r="P35" s="290"/>
      <c r="Q35" s="290"/>
      <c r="R35" s="290"/>
    </row>
    <row r="36" spans="1:18" ht="16" x14ac:dyDescent="0.2">
      <c r="A36" s="291"/>
      <c r="B36" s="291"/>
      <c r="C36" s="291"/>
      <c r="D36" s="291"/>
      <c r="E36" s="291"/>
      <c r="F36" s="291"/>
      <c r="G36" s="291"/>
      <c r="H36" s="291"/>
      <c r="I36" s="290"/>
      <c r="J36" s="290"/>
      <c r="K36" s="290"/>
      <c r="L36" s="290"/>
      <c r="M36" s="290"/>
      <c r="N36" s="290"/>
      <c r="O36" s="290"/>
      <c r="P36" s="290"/>
      <c r="Q36" s="290"/>
      <c r="R36" s="290"/>
    </row>
    <row r="37" spans="1:18" ht="16" x14ac:dyDescent="0.2">
      <c r="A37" s="291"/>
      <c r="B37" s="291"/>
      <c r="C37" s="291"/>
      <c r="D37" s="291"/>
      <c r="E37" s="291"/>
      <c r="F37" s="291"/>
      <c r="G37" s="291"/>
      <c r="H37" s="291"/>
      <c r="I37" s="290"/>
      <c r="J37" s="290"/>
      <c r="K37" s="290"/>
      <c r="L37" s="290"/>
      <c r="M37" s="290"/>
      <c r="N37" s="290"/>
      <c r="O37" s="290"/>
      <c r="P37" s="290"/>
      <c r="Q37" s="290"/>
      <c r="R37" s="290"/>
    </row>
    <row r="38" spans="1:18" ht="16" x14ac:dyDescent="0.2">
      <c r="A38" s="291"/>
      <c r="B38" s="291"/>
      <c r="C38" s="291"/>
      <c r="D38" s="291"/>
      <c r="E38" s="291"/>
      <c r="F38" s="291"/>
      <c r="G38" s="291"/>
      <c r="H38" s="291"/>
      <c r="I38" s="290"/>
      <c r="J38" s="290"/>
      <c r="K38" s="290"/>
      <c r="L38" s="290"/>
      <c r="M38" s="290"/>
      <c r="N38" s="290"/>
      <c r="O38" s="290"/>
      <c r="P38" s="290"/>
      <c r="Q38" s="290"/>
      <c r="R38" s="290"/>
    </row>
    <row r="39" spans="1:18" ht="16" x14ac:dyDescent="0.2">
      <c r="A39" s="291"/>
      <c r="B39" s="291"/>
      <c r="C39" s="291"/>
      <c r="D39" s="291"/>
      <c r="E39" s="291"/>
      <c r="F39" s="291"/>
      <c r="G39" s="291"/>
      <c r="H39" s="291"/>
      <c r="I39" s="290"/>
      <c r="J39" s="290"/>
      <c r="K39" s="290"/>
      <c r="L39" s="290"/>
      <c r="M39" s="290"/>
      <c r="N39" s="290"/>
      <c r="O39" s="290"/>
      <c r="P39" s="290"/>
      <c r="Q39" s="290"/>
      <c r="R39" s="290"/>
    </row>
    <row r="40" spans="1:18" ht="16" x14ac:dyDescent="0.2">
      <c r="A40" s="291"/>
      <c r="B40" s="291"/>
      <c r="C40" s="291"/>
      <c r="D40" s="291"/>
      <c r="E40" s="291"/>
      <c r="F40" s="291"/>
      <c r="G40" s="291"/>
      <c r="H40" s="291"/>
      <c r="I40" s="290"/>
      <c r="J40" s="290"/>
      <c r="K40" s="290"/>
      <c r="L40" s="290"/>
      <c r="M40" s="290"/>
      <c r="N40" s="290"/>
      <c r="O40" s="290"/>
      <c r="P40" s="290"/>
      <c r="Q40" s="290"/>
      <c r="R40" s="290"/>
    </row>
    <row r="41" spans="1:18" ht="16" x14ac:dyDescent="0.2">
      <c r="A41" s="291"/>
      <c r="B41" s="291"/>
      <c r="C41" s="291"/>
      <c r="D41" s="291"/>
      <c r="E41" s="291"/>
      <c r="F41" s="291"/>
      <c r="G41" s="291"/>
      <c r="H41" s="291"/>
      <c r="I41" s="290"/>
      <c r="J41" s="290"/>
      <c r="K41" s="290"/>
      <c r="L41" s="290"/>
      <c r="M41" s="290"/>
      <c r="N41" s="290"/>
      <c r="O41" s="290"/>
      <c r="P41" s="290"/>
      <c r="Q41" s="290"/>
      <c r="R41" s="290"/>
    </row>
    <row r="42" spans="1:18" ht="16" x14ac:dyDescent="0.2">
      <c r="A42" s="291"/>
      <c r="B42" s="291"/>
      <c r="C42" s="291"/>
      <c r="D42" s="291"/>
      <c r="E42" s="291"/>
      <c r="F42" s="291"/>
      <c r="G42" s="291"/>
      <c r="H42" s="291"/>
      <c r="I42" s="290"/>
      <c r="J42" s="290"/>
      <c r="K42" s="290"/>
      <c r="L42" s="290"/>
      <c r="M42" s="290"/>
      <c r="N42" s="290"/>
      <c r="O42" s="290"/>
      <c r="P42" s="290"/>
      <c r="Q42" s="290"/>
      <c r="R42" s="290"/>
    </row>
    <row r="43" spans="1:18" ht="16" x14ac:dyDescent="0.2">
      <c r="A43" s="291"/>
      <c r="B43" s="291"/>
      <c r="C43" s="291"/>
      <c r="D43" s="291"/>
      <c r="E43" s="291"/>
      <c r="F43" s="291"/>
      <c r="G43" s="291"/>
      <c r="H43" s="291"/>
      <c r="I43" s="290"/>
      <c r="J43" s="290"/>
      <c r="K43" s="290"/>
      <c r="L43" s="290"/>
      <c r="M43" s="290"/>
      <c r="N43" s="290"/>
      <c r="O43" s="290"/>
      <c r="P43" s="290"/>
      <c r="Q43" s="290"/>
      <c r="R43" s="290"/>
    </row>
    <row r="44" spans="1:18" ht="16" x14ac:dyDescent="0.2">
      <c r="A44" s="291"/>
      <c r="B44" s="291"/>
      <c r="C44" s="291"/>
      <c r="D44" s="291"/>
      <c r="E44" s="291"/>
      <c r="F44" s="291"/>
      <c r="G44" s="291"/>
      <c r="H44" s="291"/>
      <c r="I44" s="290"/>
      <c r="J44" s="290"/>
      <c r="K44" s="290"/>
      <c r="L44" s="290"/>
      <c r="M44" s="290"/>
      <c r="N44" s="290"/>
      <c r="O44" s="290"/>
      <c r="P44" s="290"/>
      <c r="Q44" s="290"/>
      <c r="R44" s="290"/>
    </row>
    <row r="45" spans="1:18" ht="16" x14ac:dyDescent="0.2">
      <c r="A45" s="291"/>
      <c r="B45" s="291"/>
      <c r="C45" s="291"/>
      <c r="D45" s="291"/>
      <c r="E45" s="291"/>
      <c r="F45" s="291"/>
      <c r="G45" s="291"/>
      <c r="H45" s="291"/>
      <c r="I45" s="290"/>
      <c r="J45" s="290"/>
      <c r="K45" s="290"/>
      <c r="L45" s="290"/>
      <c r="M45" s="290"/>
      <c r="N45" s="290"/>
      <c r="O45" s="290"/>
      <c r="P45" s="290"/>
      <c r="Q45" s="290"/>
      <c r="R45" s="290"/>
    </row>
    <row r="46" spans="1:18" ht="16" x14ac:dyDescent="0.2">
      <c r="A46" s="291"/>
      <c r="B46" s="291"/>
      <c r="C46" s="291"/>
      <c r="D46" s="291"/>
      <c r="E46" s="291"/>
      <c r="F46" s="291"/>
      <c r="G46" s="291"/>
      <c r="H46" s="291"/>
      <c r="I46" s="290"/>
      <c r="J46" s="290"/>
      <c r="K46" s="290"/>
      <c r="L46" s="290"/>
      <c r="M46" s="290"/>
      <c r="N46" s="290"/>
      <c r="O46" s="290"/>
      <c r="P46" s="290"/>
      <c r="Q46" s="290"/>
      <c r="R46" s="290"/>
    </row>
    <row r="47" spans="1:18" ht="16" x14ac:dyDescent="0.2">
      <c r="A47" s="291"/>
      <c r="B47" s="291"/>
      <c r="C47" s="291"/>
      <c r="D47" s="291"/>
      <c r="E47" s="291"/>
      <c r="F47" s="291"/>
      <c r="G47" s="291"/>
      <c r="H47" s="291"/>
      <c r="I47" s="290"/>
      <c r="J47" s="290"/>
      <c r="K47" s="290"/>
      <c r="L47" s="290"/>
      <c r="M47" s="290"/>
      <c r="N47" s="290"/>
      <c r="O47" s="290"/>
      <c r="P47" s="290"/>
      <c r="Q47" s="290"/>
      <c r="R47" s="290"/>
    </row>
    <row r="48" spans="1:18" ht="16" x14ac:dyDescent="0.2">
      <c r="A48" s="291"/>
      <c r="B48" s="291"/>
      <c r="C48" s="291"/>
      <c r="D48" s="291"/>
      <c r="E48" s="291"/>
      <c r="F48" s="291"/>
      <c r="G48" s="291"/>
      <c r="H48" s="291"/>
      <c r="I48" s="290"/>
      <c r="J48" s="290"/>
      <c r="K48" s="290"/>
      <c r="L48" s="290"/>
      <c r="M48" s="290"/>
      <c r="N48" s="290"/>
      <c r="O48" s="290"/>
      <c r="P48" s="290"/>
      <c r="Q48" s="290"/>
      <c r="R48" s="290"/>
    </row>
    <row r="49" spans="1:18" ht="16" x14ac:dyDescent="0.2">
      <c r="A49" s="291"/>
      <c r="B49" s="291"/>
      <c r="C49" s="291"/>
      <c r="D49" s="291"/>
      <c r="E49" s="291"/>
      <c r="F49" s="291"/>
      <c r="G49" s="291"/>
      <c r="H49" s="291"/>
      <c r="I49" s="290"/>
      <c r="J49" s="290"/>
      <c r="K49" s="290"/>
      <c r="L49" s="290"/>
      <c r="M49" s="290"/>
      <c r="N49" s="290"/>
      <c r="O49" s="290"/>
      <c r="P49" s="290"/>
      <c r="Q49" s="290"/>
      <c r="R49" s="290"/>
    </row>
    <row r="50" spans="1:18" ht="16" x14ac:dyDescent="0.2">
      <c r="A50" s="291"/>
      <c r="B50" s="291"/>
      <c r="C50" s="291"/>
      <c r="D50" s="291"/>
      <c r="E50" s="291"/>
      <c r="F50" s="291"/>
      <c r="G50" s="291"/>
      <c r="H50" s="291"/>
      <c r="I50" s="290"/>
      <c r="J50" s="290"/>
      <c r="K50" s="290"/>
      <c r="L50" s="290"/>
      <c r="M50" s="290"/>
      <c r="N50" s="290"/>
      <c r="O50" s="290"/>
      <c r="P50" s="290"/>
      <c r="Q50" s="290"/>
      <c r="R50" s="290"/>
    </row>
    <row r="51" spans="1:18" ht="16" x14ac:dyDescent="0.2">
      <c r="A51" s="291"/>
      <c r="B51" s="291"/>
      <c r="C51" s="291"/>
      <c r="D51" s="291"/>
      <c r="E51" s="291"/>
      <c r="F51" s="291"/>
      <c r="G51" s="291"/>
      <c r="H51" s="291"/>
      <c r="I51" s="290"/>
      <c r="J51" s="290"/>
      <c r="K51" s="290"/>
      <c r="L51" s="290"/>
      <c r="M51" s="290"/>
      <c r="N51" s="290"/>
      <c r="O51" s="290"/>
      <c r="P51" s="290"/>
      <c r="Q51" s="290"/>
      <c r="R51" s="290"/>
    </row>
    <row r="52" spans="1:18" ht="16" x14ac:dyDescent="0.2">
      <c r="A52" s="291"/>
      <c r="B52" s="291"/>
      <c r="C52" s="291"/>
      <c r="D52" s="291"/>
      <c r="E52" s="291"/>
      <c r="F52" s="291"/>
      <c r="G52" s="291"/>
      <c r="H52" s="291"/>
      <c r="I52" s="290"/>
      <c r="J52" s="290"/>
      <c r="K52" s="290"/>
      <c r="L52" s="290"/>
      <c r="M52" s="290"/>
      <c r="N52" s="290"/>
      <c r="O52" s="290"/>
      <c r="P52" s="290"/>
      <c r="Q52" s="290"/>
      <c r="R52" s="290"/>
    </row>
    <row r="53" spans="1:18" ht="16" x14ac:dyDescent="0.2">
      <c r="A53" s="291"/>
      <c r="B53" s="291"/>
      <c r="C53" s="291"/>
      <c r="D53" s="291"/>
      <c r="E53" s="291"/>
      <c r="F53" s="291"/>
      <c r="G53" s="291"/>
      <c r="H53" s="291"/>
      <c r="I53" s="290"/>
      <c r="J53" s="290"/>
      <c r="K53" s="290"/>
      <c r="L53" s="290"/>
      <c r="M53" s="290"/>
      <c r="N53" s="290"/>
      <c r="O53" s="290"/>
      <c r="P53" s="290"/>
      <c r="Q53" s="290"/>
      <c r="R53" s="290"/>
    </row>
    <row r="54" spans="1:18" ht="16" x14ac:dyDescent="0.2">
      <c r="A54" s="291"/>
      <c r="B54" s="291"/>
      <c r="C54" s="291"/>
      <c r="D54" s="291"/>
      <c r="E54" s="291"/>
      <c r="F54" s="291"/>
      <c r="G54" s="291"/>
      <c r="H54" s="291"/>
      <c r="I54" s="290"/>
      <c r="J54" s="290"/>
      <c r="K54" s="290"/>
      <c r="L54" s="290"/>
      <c r="M54" s="290"/>
      <c r="N54" s="290"/>
      <c r="O54" s="290"/>
      <c r="P54" s="290"/>
      <c r="Q54" s="290"/>
      <c r="R54" s="290"/>
    </row>
    <row r="55" spans="1:18" ht="16" x14ac:dyDescent="0.2">
      <c r="A55" s="291"/>
      <c r="B55" s="291"/>
      <c r="C55" s="291"/>
      <c r="D55" s="291"/>
      <c r="E55" s="291"/>
      <c r="F55" s="291"/>
      <c r="G55" s="291"/>
      <c r="H55" s="291"/>
      <c r="I55" s="290"/>
      <c r="J55" s="290"/>
      <c r="K55" s="290"/>
      <c r="L55" s="290"/>
      <c r="M55" s="290"/>
      <c r="N55" s="290"/>
      <c r="O55" s="290"/>
      <c r="P55" s="290"/>
      <c r="Q55" s="290"/>
      <c r="R55" s="290"/>
    </row>
    <row r="56" spans="1:18" ht="16" x14ac:dyDescent="0.2">
      <c r="A56" s="291"/>
      <c r="B56" s="291"/>
      <c r="C56" s="291"/>
      <c r="D56" s="291"/>
      <c r="E56" s="291"/>
      <c r="F56" s="291"/>
      <c r="G56" s="291"/>
      <c r="H56" s="291"/>
      <c r="I56" s="290"/>
      <c r="J56" s="290"/>
      <c r="K56" s="290"/>
      <c r="L56" s="290"/>
      <c r="M56" s="290"/>
      <c r="N56" s="290"/>
      <c r="O56" s="290"/>
      <c r="P56" s="290"/>
      <c r="Q56" s="290"/>
      <c r="R56" s="290"/>
    </row>
    <row r="57" spans="1:18" ht="16" x14ac:dyDescent="0.2">
      <c r="A57" s="291"/>
      <c r="B57" s="291"/>
      <c r="C57" s="291"/>
      <c r="D57" s="291"/>
      <c r="E57" s="291"/>
      <c r="F57" s="291"/>
      <c r="G57" s="291"/>
      <c r="H57" s="291"/>
      <c r="I57" s="290"/>
      <c r="J57" s="290"/>
      <c r="K57" s="290"/>
      <c r="L57" s="290"/>
      <c r="M57" s="290"/>
      <c r="N57" s="290"/>
      <c r="O57" s="290"/>
      <c r="P57" s="290"/>
      <c r="Q57" s="290"/>
      <c r="R57" s="290"/>
    </row>
    <row r="58" spans="1:18" ht="16" x14ac:dyDescent="0.2">
      <c r="A58" s="291"/>
      <c r="B58" s="291"/>
      <c r="C58" s="291"/>
      <c r="D58" s="291"/>
      <c r="E58" s="291"/>
      <c r="F58" s="291"/>
      <c r="G58" s="291"/>
      <c r="H58" s="291"/>
      <c r="I58" s="290"/>
      <c r="J58" s="290"/>
      <c r="K58" s="290"/>
      <c r="L58" s="290"/>
      <c r="M58" s="290"/>
      <c r="N58" s="290"/>
      <c r="O58" s="290"/>
      <c r="P58" s="290"/>
      <c r="Q58" s="290"/>
      <c r="R58" s="290"/>
    </row>
    <row r="59" spans="1:18" ht="16" x14ac:dyDescent="0.2">
      <c r="A59" s="291"/>
      <c r="B59" s="291"/>
      <c r="C59" s="291"/>
      <c r="D59" s="291"/>
      <c r="E59" s="291"/>
      <c r="F59" s="291"/>
      <c r="G59" s="291"/>
      <c r="H59" s="291"/>
      <c r="I59" s="290"/>
      <c r="J59" s="290"/>
      <c r="K59" s="290"/>
      <c r="L59" s="290"/>
      <c r="M59" s="290"/>
      <c r="N59" s="290"/>
      <c r="O59" s="290"/>
      <c r="P59" s="290"/>
      <c r="Q59" s="290"/>
      <c r="R59" s="290"/>
    </row>
    <row r="60" spans="1:18" ht="16" x14ac:dyDescent="0.2">
      <c r="A60" s="291"/>
      <c r="B60" s="291"/>
      <c r="C60" s="291"/>
      <c r="D60" s="291"/>
      <c r="E60" s="291"/>
      <c r="F60" s="291"/>
      <c r="G60" s="291"/>
      <c r="H60" s="291"/>
      <c r="I60" s="290"/>
      <c r="J60" s="290"/>
      <c r="K60" s="290"/>
      <c r="L60" s="290"/>
      <c r="M60" s="290"/>
      <c r="N60" s="290"/>
      <c r="O60" s="290"/>
      <c r="P60" s="290"/>
      <c r="Q60" s="290"/>
      <c r="R60" s="290"/>
    </row>
    <row r="61" spans="1:18" ht="16" x14ac:dyDescent="0.2">
      <c r="A61" s="291"/>
      <c r="B61" s="291"/>
      <c r="C61" s="291"/>
      <c r="D61" s="291"/>
      <c r="E61" s="291"/>
      <c r="F61" s="291"/>
      <c r="G61" s="291"/>
      <c r="H61" s="291"/>
      <c r="I61" s="290"/>
      <c r="J61" s="290"/>
      <c r="K61" s="290"/>
      <c r="L61" s="290"/>
      <c r="M61" s="290"/>
      <c r="N61" s="290"/>
      <c r="O61" s="290"/>
      <c r="P61" s="290"/>
      <c r="Q61" s="290"/>
      <c r="R61" s="290"/>
    </row>
    <row r="62" spans="1:18" ht="16" x14ac:dyDescent="0.2">
      <c r="A62" s="291"/>
      <c r="B62" s="291"/>
      <c r="C62" s="291"/>
      <c r="D62" s="291"/>
      <c r="E62" s="291"/>
      <c r="F62" s="291"/>
      <c r="G62" s="291"/>
      <c r="H62" s="291"/>
      <c r="I62" s="290"/>
      <c r="J62" s="290"/>
      <c r="K62" s="290"/>
      <c r="L62" s="290"/>
      <c r="M62" s="290"/>
      <c r="N62" s="290"/>
      <c r="O62" s="290"/>
      <c r="P62" s="290"/>
      <c r="Q62" s="290"/>
      <c r="R62" s="290"/>
    </row>
    <row r="63" spans="1:18" ht="16" x14ac:dyDescent="0.2">
      <c r="A63" s="291"/>
      <c r="B63" s="291"/>
      <c r="C63" s="291"/>
      <c r="D63" s="291"/>
      <c r="E63" s="291"/>
      <c r="F63" s="291"/>
      <c r="G63" s="291"/>
      <c r="H63" s="291"/>
      <c r="I63" s="290"/>
      <c r="J63" s="290"/>
      <c r="K63" s="290"/>
      <c r="L63" s="290"/>
      <c r="M63" s="290"/>
      <c r="N63" s="290"/>
      <c r="O63" s="290"/>
      <c r="P63" s="290"/>
      <c r="Q63" s="290"/>
      <c r="R63" s="290"/>
    </row>
    <row r="64" spans="1:18" ht="16" x14ac:dyDescent="0.2">
      <c r="A64" s="291"/>
      <c r="B64" s="291"/>
      <c r="C64" s="291"/>
      <c r="D64" s="291"/>
      <c r="E64" s="291"/>
      <c r="F64" s="291"/>
      <c r="G64" s="291"/>
      <c r="H64" s="291"/>
      <c r="I64" s="290"/>
      <c r="J64" s="290"/>
      <c r="K64" s="290"/>
      <c r="L64" s="290"/>
      <c r="M64" s="290"/>
      <c r="N64" s="290"/>
      <c r="O64" s="290"/>
      <c r="P64" s="290"/>
      <c r="Q64" s="290"/>
      <c r="R64" s="290"/>
    </row>
    <row r="65" spans="1:18" ht="16" x14ac:dyDescent="0.2">
      <c r="A65" s="291"/>
      <c r="B65" s="291"/>
      <c r="C65" s="291"/>
      <c r="D65" s="291"/>
      <c r="E65" s="291"/>
      <c r="F65" s="291"/>
      <c r="G65" s="291"/>
      <c r="H65" s="291"/>
      <c r="I65" s="290"/>
      <c r="J65" s="290"/>
      <c r="K65" s="290"/>
      <c r="L65" s="290"/>
      <c r="M65" s="290"/>
      <c r="N65" s="290"/>
      <c r="O65" s="290"/>
      <c r="P65" s="290"/>
      <c r="Q65" s="290"/>
      <c r="R65" s="290"/>
    </row>
    <row r="66" spans="1:18" ht="16" x14ac:dyDescent="0.2">
      <c r="A66" s="291"/>
      <c r="B66" s="291"/>
      <c r="C66" s="291"/>
      <c r="D66" s="291"/>
      <c r="E66" s="291"/>
      <c r="F66" s="291"/>
      <c r="G66" s="291"/>
      <c r="H66" s="291"/>
      <c r="I66" s="290"/>
      <c r="J66" s="290"/>
      <c r="K66" s="290"/>
      <c r="L66" s="290"/>
      <c r="M66" s="290"/>
      <c r="N66" s="290"/>
      <c r="O66" s="290"/>
      <c r="P66" s="290"/>
      <c r="Q66" s="290"/>
      <c r="R66" s="290"/>
    </row>
    <row r="67" spans="1:18" ht="16" x14ac:dyDescent="0.2">
      <c r="A67" s="291"/>
      <c r="B67" s="291"/>
      <c r="C67" s="291"/>
      <c r="D67" s="291"/>
      <c r="E67" s="291"/>
      <c r="F67" s="291"/>
      <c r="G67" s="291"/>
      <c r="H67" s="291"/>
      <c r="I67" s="290"/>
      <c r="J67" s="290"/>
      <c r="K67" s="290"/>
      <c r="L67" s="290"/>
      <c r="M67" s="290"/>
      <c r="N67" s="290"/>
      <c r="O67" s="290"/>
      <c r="P67" s="290"/>
      <c r="Q67" s="290"/>
      <c r="R67" s="290"/>
    </row>
    <row r="68" spans="1:18" ht="16" x14ac:dyDescent="0.2">
      <c r="A68" s="291"/>
      <c r="B68" s="291"/>
      <c r="C68" s="291"/>
      <c r="D68" s="291"/>
      <c r="E68" s="291"/>
      <c r="F68" s="291"/>
      <c r="G68" s="291"/>
      <c r="H68" s="291"/>
      <c r="I68" s="290"/>
      <c r="J68" s="290"/>
      <c r="K68" s="290"/>
      <c r="L68" s="290"/>
      <c r="M68" s="290"/>
      <c r="N68" s="290"/>
      <c r="O68" s="290"/>
      <c r="P68" s="290"/>
      <c r="Q68" s="290"/>
      <c r="R68" s="290"/>
    </row>
    <row r="69" spans="1:18" ht="16" x14ac:dyDescent="0.2">
      <c r="A69" s="291"/>
      <c r="B69" s="291"/>
      <c r="C69" s="291"/>
      <c r="D69" s="291"/>
      <c r="E69" s="291"/>
      <c r="F69" s="291"/>
      <c r="G69" s="291"/>
      <c r="H69" s="291"/>
      <c r="I69" s="290"/>
      <c r="J69" s="290"/>
      <c r="K69" s="290"/>
      <c r="L69" s="290"/>
      <c r="M69" s="290"/>
      <c r="N69" s="290"/>
      <c r="O69" s="290"/>
      <c r="P69" s="290"/>
      <c r="Q69" s="290"/>
      <c r="R69" s="290"/>
    </row>
    <row r="70" spans="1:18" ht="16" x14ac:dyDescent="0.2">
      <c r="A70" s="291"/>
      <c r="B70" s="291"/>
      <c r="C70" s="291"/>
      <c r="D70" s="291"/>
      <c r="E70" s="291"/>
      <c r="F70" s="291"/>
      <c r="G70" s="291"/>
      <c r="H70" s="291"/>
      <c r="I70" s="290"/>
      <c r="J70" s="290"/>
      <c r="K70" s="290"/>
      <c r="L70" s="290"/>
      <c r="M70" s="290"/>
      <c r="N70" s="290"/>
      <c r="O70" s="290"/>
      <c r="P70" s="290"/>
      <c r="Q70" s="290"/>
      <c r="R70" s="290"/>
    </row>
    <row r="71" spans="1:18" ht="16" x14ac:dyDescent="0.2">
      <c r="A71" s="291"/>
      <c r="B71" s="291"/>
      <c r="C71" s="291"/>
      <c r="D71" s="291"/>
      <c r="E71" s="291"/>
      <c r="F71" s="291"/>
      <c r="G71" s="291"/>
      <c r="H71" s="291"/>
      <c r="I71" s="290"/>
      <c r="J71" s="290"/>
      <c r="K71" s="290"/>
      <c r="L71" s="290"/>
      <c r="M71" s="290"/>
      <c r="N71" s="290"/>
      <c r="O71" s="290"/>
      <c r="P71" s="290"/>
      <c r="Q71" s="290"/>
      <c r="R71" s="290"/>
    </row>
    <row r="72" spans="1:18" ht="16" x14ac:dyDescent="0.2">
      <c r="A72" s="291"/>
      <c r="B72" s="291"/>
      <c r="C72" s="291"/>
      <c r="D72" s="291"/>
      <c r="E72" s="291"/>
      <c r="F72" s="291"/>
      <c r="G72" s="291"/>
      <c r="H72" s="291"/>
      <c r="I72" s="290"/>
      <c r="J72" s="290"/>
      <c r="K72" s="290"/>
      <c r="L72" s="290"/>
      <c r="M72" s="290"/>
      <c r="N72" s="290"/>
      <c r="O72" s="290"/>
      <c r="P72" s="290"/>
      <c r="Q72" s="290"/>
      <c r="R72" s="290"/>
    </row>
    <row r="73" spans="1:18" ht="16" x14ac:dyDescent="0.2">
      <c r="A73" s="291"/>
      <c r="B73" s="291"/>
      <c r="C73" s="291"/>
      <c r="D73" s="291"/>
      <c r="E73" s="291"/>
      <c r="F73" s="291"/>
      <c r="G73" s="291"/>
      <c r="H73" s="291"/>
      <c r="I73" s="290"/>
      <c r="J73" s="290"/>
      <c r="K73" s="290"/>
      <c r="L73" s="290"/>
      <c r="M73" s="290"/>
      <c r="N73" s="290"/>
      <c r="O73" s="290"/>
      <c r="P73" s="290"/>
      <c r="Q73" s="290"/>
      <c r="R73" s="290"/>
    </row>
    <row r="74" spans="1:18" ht="16" x14ac:dyDescent="0.2">
      <c r="A74" s="291"/>
      <c r="B74" s="291"/>
      <c r="C74" s="291"/>
      <c r="D74" s="291"/>
      <c r="E74" s="291"/>
      <c r="F74" s="291"/>
      <c r="G74" s="291"/>
      <c r="H74" s="291"/>
      <c r="I74" s="290"/>
      <c r="J74" s="290"/>
      <c r="K74" s="290"/>
      <c r="L74" s="290"/>
      <c r="M74" s="290"/>
      <c r="N74" s="290"/>
      <c r="O74" s="290"/>
      <c r="P74" s="290"/>
      <c r="Q74" s="290"/>
      <c r="R74" s="290"/>
    </row>
    <row r="75" spans="1:18" ht="16" x14ac:dyDescent="0.2">
      <c r="A75" s="291"/>
      <c r="B75" s="291"/>
      <c r="C75" s="291"/>
      <c r="D75" s="291"/>
      <c r="E75" s="291"/>
      <c r="F75" s="291"/>
      <c r="G75" s="291"/>
      <c r="H75" s="291"/>
      <c r="I75" s="290"/>
      <c r="J75" s="290"/>
      <c r="K75" s="290"/>
      <c r="L75" s="290"/>
      <c r="M75" s="290"/>
      <c r="N75" s="290"/>
      <c r="O75" s="290"/>
      <c r="P75" s="290"/>
      <c r="Q75" s="290"/>
      <c r="R75" s="290"/>
    </row>
    <row r="76" spans="1:18" ht="16" x14ac:dyDescent="0.2">
      <c r="A76" s="291"/>
      <c r="B76" s="291"/>
      <c r="C76" s="291"/>
      <c r="D76" s="291"/>
      <c r="E76" s="291"/>
      <c r="F76" s="291"/>
      <c r="G76" s="291"/>
      <c r="H76" s="291"/>
      <c r="I76" s="290"/>
      <c r="J76" s="290"/>
      <c r="K76" s="290"/>
      <c r="L76" s="290"/>
      <c r="M76" s="290"/>
      <c r="N76" s="290"/>
      <c r="O76" s="290"/>
      <c r="P76" s="290"/>
      <c r="Q76" s="290"/>
      <c r="R76" s="290"/>
    </row>
    <row r="77" spans="1:18" ht="16" x14ac:dyDescent="0.2">
      <c r="A77" s="291"/>
      <c r="B77" s="291"/>
      <c r="C77" s="291"/>
      <c r="D77" s="291"/>
      <c r="E77" s="291"/>
      <c r="F77" s="291"/>
      <c r="G77" s="291"/>
      <c r="H77" s="291"/>
      <c r="I77" s="290"/>
      <c r="J77" s="290"/>
      <c r="K77" s="290"/>
      <c r="L77" s="290"/>
      <c r="M77" s="290"/>
      <c r="N77" s="290"/>
      <c r="O77" s="290"/>
      <c r="P77" s="290"/>
      <c r="Q77" s="290"/>
      <c r="R77" s="290"/>
    </row>
    <row r="78" spans="1:18" ht="16" x14ac:dyDescent="0.2">
      <c r="A78" s="291"/>
      <c r="B78" s="291"/>
      <c r="C78" s="291"/>
      <c r="D78" s="291"/>
      <c r="E78" s="291"/>
      <c r="F78" s="291"/>
      <c r="G78" s="291"/>
      <c r="H78" s="291"/>
      <c r="I78" s="290"/>
      <c r="J78" s="290"/>
      <c r="K78" s="290"/>
      <c r="L78" s="290"/>
      <c r="M78" s="290"/>
      <c r="N78" s="290"/>
      <c r="O78" s="290"/>
      <c r="P78" s="290"/>
      <c r="Q78" s="290"/>
      <c r="R78" s="290"/>
    </row>
    <row r="79" spans="1:18" ht="16" x14ac:dyDescent="0.2">
      <c r="A79" s="291"/>
      <c r="B79" s="291"/>
      <c r="C79" s="291"/>
      <c r="D79" s="291"/>
      <c r="E79" s="291"/>
      <c r="F79" s="291"/>
      <c r="G79" s="291"/>
      <c r="H79" s="291"/>
      <c r="I79" s="290"/>
      <c r="J79" s="290"/>
      <c r="K79" s="290"/>
      <c r="L79" s="290"/>
      <c r="M79" s="290"/>
      <c r="N79" s="290"/>
      <c r="O79" s="290"/>
      <c r="P79" s="290"/>
      <c r="Q79" s="290"/>
      <c r="R79" s="290"/>
    </row>
    <row r="80" spans="1:18" ht="16" x14ac:dyDescent="0.2">
      <c r="A80" s="291"/>
      <c r="B80" s="291"/>
      <c r="C80" s="291"/>
      <c r="D80" s="291"/>
      <c r="E80" s="291"/>
      <c r="F80" s="291"/>
      <c r="G80" s="291"/>
      <c r="H80" s="291"/>
      <c r="I80" s="290"/>
      <c r="J80" s="290"/>
      <c r="K80" s="290"/>
      <c r="L80" s="290"/>
      <c r="M80" s="290"/>
      <c r="N80" s="290"/>
      <c r="O80" s="290"/>
      <c r="P80" s="290"/>
      <c r="Q80" s="290"/>
      <c r="R80" s="290"/>
    </row>
    <row r="81" spans="1:18" ht="16" x14ac:dyDescent="0.2">
      <c r="A81" s="291"/>
      <c r="B81" s="291"/>
      <c r="C81" s="291"/>
      <c r="D81" s="291"/>
      <c r="E81" s="291"/>
      <c r="F81" s="291"/>
      <c r="G81" s="291"/>
      <c r="H81" s="291"/>
      <c r="I81" s="290"/>
      <c r="J81" s="290"/>
      <c r="K81" s="290"/>
      <c r="L81" s="290"/>
      <c r="M81" s="290"/>
      <c r="N81" s="290"/>
      <c r="O81" s="290"/>
      <c r="P81" s="290"/>
      <c r="Q81" s="290"/>
      <c r="R81" s="290"/>
    </row>
    <row r="82" spans="1:18" ht="16" x14ac:dyDescent="0.2">
      <c r="A82" s="291"/>
      <c r="B82" s="291"/>
      <c r="C82" s="291"/>
      <c r="D82" s="291"/>
      <c r="E82" s="291"/>
      <c r="F82" s="291"/>
      <c r="G82" s="291"/>
      <c r="H82" s="291"/>
      <c r="I82" s="290"/>
      <c r="J82" s="290"/>
      <c r="K82" s="290"/>
      <c r="L82" s="290"/>
      <c r="M82" s="290"/>
      <c r="N82" s="290"/>
      <c r="O82" s="290"/>
      <c r="P82" s="290"/>
      <c r="Q82" s="290"/>
      <c r="R82" s="290"/>
    </row>
    <row r="83" spans="1:18" ht="16" x14ac:dyDescent="0.2">
      <c r="A83" s="291"/>
      <c r="B83" s="291"/>
      <c r="C83" s="291"/>
      <c r="D83" s="291"/>
      <c r="E83" s="291"/>
      <c r="F83" s="291"/>
      <c r="G83" s="291"/>
      <c r="H83" s="291"/>
      <c r="I83" s="290"/>
      <c r="J83" s="290"/>
      <c r="K83" s="290"/>
      <c r="L83" s="290"/>
      <c r="M83" s="290"/>
      <c r="N83" s="290"/>
      <c r="O83" s="290"/>
      <c r="P83" s="290"/>
      <c r="Q83" s="290"/>
      <c r="R83" s="290"/>
    </row>
    <row r="84" spans="1:18" ht="16" x14ac:dyDescent="0.2">
      <c r="A84" s="291"/>
      <c r="B84" s="291"/>
      <c r="C84" s="291"/>
      <c r="D84" s="291"/>
      <c r="E84" s="291"/>
      <c r="F84" s="291"/>
      <c r="G84" s="291"/>
      <c r="H84" s="291"/>
      <c r="I84" s="290"/>
      <c r="J84" s="290"/>
      <c r="K84" s="290"/>
      <c r="L84" s="290"/>
      <c r="M84" s="290"/>
      <c r="N84" s="290"/>
      <c r="O84" s="290"/>
      <c r="P84" s="290"/>
      <c r="Q84" s="290"/>
      <c r="R84" s="290"/>
    </row>
    <row r="85" spans="1:18" ht="16" x14ac:dyDescent="0.2">
      <c r="A85" s="291"/>
      <c r="B85" s="291"/>
      <c r="C85" s="291"/>
      <c r="D85" s="291"/>
      <c r="E85" s="291"/>
      <c r="F85" s="291"/>
      <c r="G85" s="291"/>
      <c r="H85" s="291"/>
      <c r="I85" s="290"/>
      <c r="J85" s="290"/>
      <c r="K85" s="290"/>
      <c r="L85" s="290"/>
      <c r="M85" s="290"/>
      <c r="N85" s="290"/>
      <c r="O85" s="290"/>
      <c r="P85" s="290"/>
      <c r="Q85" s="290"/>
      <c r="R85" s="290"/>
    </row>
    <row r="86" spans="1:18" ht="16" x14ac:dyDescent="0.2">
      <c r="A86" s="291"/>
      <c r="B86" s="291"/>
      <c r="C86" s="291"/>
      <c r="D86" s="291"/>
      <c r="E86" s="291"/>
      <c r="F86" s="291"/>
      <c r="G86" s="291"/>
      <c r="H86" s="291"/>
      <c r="I86" s="290"/>
      <c r="J86" s="290"/>
      <c r="K86" s="290"/>
      <c r="L86" s="290"/>
      <c r="M86" s="290"/>
      <c r="N86" s="290"/>
      <c r="O86" s="290"/>
      <c r="P86" s="290"/>
      <c r="Q86" s="290"/>
      <c r="R86" s="290"/>
    </row>
    <row r="87" spans="1:18" ht="16" x14ac:dyDescent="0.2">
      <c r="A87" s="291"/>
      <c r="B87" s="291"/>
      <c r="C87" s="291"/>
      <c r="D87" s="291"/>
      <c r="E87" s="291"/>
      <c r="F87" s="291"/>
      <c r="G87" s="291"/>
      <c r="H87" s="291"/>
      <c r="I87" s="290"/>
      <c r="J87" s="290"/>
      <c r="K87" s="290"/>
      <c r="L87" s="290"/>
      <c r="M87" s="290"/>
      <c r="N87" s="290"/>
      <c r="O87" s="290"/>
      <c r="P87" s="290"/>
      <c r="Q87" s="290"/>
      <c r="R87" s="290"/>
    </row>
    <row r="88" spans="1:18" ht="16" x14ac:dyDescent="0.2">
      <c r="A88" s="291"/>
      <c r="B88" s="291"/>
      <c r="C88" s="291"/>
      <c r="D88" s="291"/>
      <c r="E88" s="291"/>
      <c r="F88" s="291"/>
      <c r="G88" s="291"/>
      <c r="H88" s="291"/>
      <c r="I88" s="290"/>
      <c r="J88" s="290"/>
      <c r="K88" s="290"/>
      <c r="L88" s="290"/>
      <c r="M88" s="290"/>
      <c r="N88" s="290"/>
      <c r="O88" s="290"/>
      <c r="P88" s="290"/>
      <c r="Q88" s="290"/>
      <c r="R88" s="290"/>
    </row>
    <row r="89" spans="1:18" ht="16" x14ac:dyDescent="0.2">
      <c r="A89" s="291"/>
      <c r="B89" s="291"/>
      <c r="C89" s="291"/>
      <c r="D89" s="291"/>
      <c r="E89" s="291"/>
      <c r="F89" s="291"/>
      <c r="G89" s="291"/>
      <c r="H89" s="291"/>
      <c r="I89" s="290"/>
      <c r="J89" s="290"/>
      <c r="K89" s="290"/>
      <c r="L89" s="290"/>
      <c r="M89" s="290"/>
      <c r="N89" s="290"/>
      <c r="O89" s="290"/>
      <c r="P89" s="290"/>
      <c r="Q89" s="290"/>
      <c r="R89" s="290"/>
    </row>
    <row r="90" spans="1:18" ht="16" x14ac:dyDescent="0.2">
      <c r="A90" s="291"/>
      <c r="B90" s="291"/>
      <c r="C90" s="291"/>
      <c r="D90" s="291"/>
      <c r="E90" s="291"/>
      <c r="F90" s="291"/>
      <c r="G90" s="291"/>
      <c r="H90" s="291"/>
      <c r="I90" s="290"/>
      <c r="J90" s="290"/>
      <c r="K90" s="290"/>
      <c r="L90" s="290"/>
      <c r="M90" s="290"/>
      <c r="N90" s="290"/>
      <c r="O90" s="290"/>
      <c r="P90" s="290"/>
      <c r="Q90" s="290"/>
      <c r="R90" s="290"/>
    </row>
    <row r="91" spans="1:18" ht="16" x14ac:dyDescent="0.2">
      <c r="A91" s="291"/>
      <c r="B91" s="291"/>
      <c r="C91" s="291"/>
      <c r="D91" s="291"/>
      <c r="E91" s="291"/>
      <c r="F91" s="291"/>
      <c r="G91" s="291"/>
      <c r="H91" s="291"/>
      <c r="I91" s="290"/>
      <c r="J91" s="290"/>
      <c r="K91" s="290"/>
      <c r="L91" s="290"/>
      <c r="M91" s="290"/>
      <c r="N91" s="290"/>
      <c r="O91" s="290"/>
      <c r="P91" s="290"/>
      <c r="Q91" s="290"/>
      <c r="R91" s="290"/>
    </row>
    <row r="92" spans="1:18" ht="16" x14ac:dyDescent="0.2">
      <c r="A92" s="291"/>
      <c r="B92" s="291"/>
      <c r="C92" s="291"/>
      <c r="D92" s="291"/>
      <c r="E92" s="291"/>
      <c r="F92" s="291"/>
      <c r="G92" s="291"/>
      <c r="H92" s="291"/>
      <c r="I92" s="290"/>
      <c r="J92" s="290"/>
      <c r="K92" s="290"/>
      <c r="L92" s="290"/>
      <c r="M92" s="290"/>
      <c r="N92" s="290"/>
      <c r="O92" s="290"/>
      <c r="P92" s="290"/>
      <c r="Q92" s="290"/>
      <c r="R92" s="290"/>
    </row>
    <row r="93" spans="1:18" ht="16" x14ac:dyDescent="0.2">
      <c r="A93" s="291"/>
      <c r="B93" s="291"/>
      <c r="C93" s="291"/>
      <c r="D93" s="291"/>
      <c r="E93" s="291"/>
      <c r="F93" s="291"/>
      <c r="G93" s="291"/>
      <c r="H93" s="291"/>
      <c r="I93" s="290"/>
      <c r="J93" s="290"/>
      <c r="K93" s="290"/>
      <c r="L93" s="290"/>
      <c r="M93" s="290"/>
      <c r="N93" s="290"/>
      <c r="O93" s="290"/>
      <c r="P93" s="290"/>
      <c r="Q93" s="290"/>
      <c r="R93" s="290"/>
    </row>
    <row r="94" spans="1:18" ht="16" x14ac:dyDescent="0.2">
      <c r="A94" s="291"/>
      <c r="B94" s="291"/>
      <c r="C94" s="291"/>
      <c r="D94" s="291"/>
      <c r="E94" s="291"/>
      <c r="F94" s="291"/>
      <c r="G94" s="291"/>
      <c r="H94" s="291"/>
      <c r="I94" s="290"/>
      <c r="J94" s="290"/>
      <c r="K94" s="290"/>
      <c r="L94" s="290"/>
      <c r="M94" s="290"/>
      <c r="N94" s="290"/>
      <c r="O94" s="290"/>
      <c r="P94" s="290"/>
      <c r="Q94" s="290"/>
      <c r="R94" s="290"/>
    </row>
    <row r="95" spans="1:18" ht="16" x14ac:dyDescent="0.2">
      <c r="A95" s="291"/>
      <c r="B95" s="291"/>
      <c r="C95" s="291"/>
      <c r="D95" s="291"/>
      <c r="E95" s="291"/>
      <c r="F95" s="291"/>
      <c r="G95" s="291"/>
      <c r="H95" s="291"/>
      <c r="I95" s="290"/>
      <c r="J95" s="290"/>
      <c r="K95" s="290"/>
      <c r="L95" s="290"/>
      <c r="M95" s="290"/>
      <c r="N95" s="290"/>
      <c r="O95" s="290"/>
      <c r="P95" s="290"/>
      <c r="Q95" s="290"/>
      <c r="R95" s="290"/>
    </row>
    <row r="96" spans="1:18" ht="16" x14ac:dyDescent="0.2">
      <c r="A96" s="291"/>
      <c r="B96" s="291"/>
      <c r="C96" s="291"/>
      <c r="D96" s="291"/>
      <c r="E96" s="291"/>
      <c r="F96" s="291"/>
      <c r="G96" s="291"/>
      <c r="H96" s="291"/>
      <c r="I96" s="290"/>
      <c r="J96" s="290"/>
      <c r="K96" s="290"/>
      <c r="L96" s="290"/>
      <c r="M96" s="290"/>
      <c r="N96" s="290"/>
      <c r="O96" s="290"/>
      <c r="P96" s="290"/>
      <c r="Q96" s="290"/>
      <c r="R96" s="290"/>
    </row>
    <row r="97" spans="1:18" ht="16" x14ac:dyDescent="0.2">
      <c r="A97" s="291"/>
      <c r="B97" s="291"/>
      <c r="C97" s="291"/>
      <c r="D97" s="291"/>
      <c r="E97" s="291"/>
      <c r="F97" s="291"/>
      <c r="G97" s="291"/>
      <c r="H97" s="291"/>
      <c r="I97" s="290"/>
      <c r="J97" s="290"/>
      <c r="K97" s="290"/>
      <c r="L97" s="290"/>
      <c r="M97" s="290"/>
      <c r="N97" s="290"/>
      <c r="O97" s="290"/>
      <c r="P97" s="290"/>
      <c r="Q97" s="290"/>
      <c r="R97" s="290"/>
    </row>
    <row r="98" spans="1:18" ht="16" x14ac:dyDescent="0.2">
      <c r="A98" s="291"/>
      <c r="B98" s="291"/>
      <c r="C98" s="291"/>
      <c r="D98" s="291"/>
      <c r="E98" s="291"/>
      <c r="F98" s="291"/>
      <c r="G98" s="291"/>
      <c r="H98" s="291"/>
      <c r="I98" s="290"/>
      <c r="J98" s="290"/>
      <c r="K98" s="290"/>
      <c r="L98" s="290"/>
      <c r="M98" s="290"/>
      <c r="N98" s="290"/>
      <c r="O98" s="290"/>
      <c r="P98" s="290"/>
      <c r="Q98" s="290"/>
      <c r="R98" s="290"/>
    </row>
    <row r="99" spans="1:18" ht="16" x14ac:dyDescent="0.2">
      <c r="A99" s="291"/>
      <c r="B99" s="291"/>
      <c r="C99" s="291"/>
      <c r="D99" s="291"/>
      <c r="E99" s="291"/>
      <c r="F99" s="291"/>
      <c r="G99" s="291"/>
      <c r="H99" s="291"/>
      <c r="I99" s="290"/>
      <c r="J99" s="290"/>
      <c r="K99" s="290"/>
      <c r="L99" s="290"/>
      <c r="M99" s="290"/>
      <c r="N99" s="290"/>
      <c r="O99" s="290"/>
      <c r="P99" s="290"/>
      <c r="Q99" s="290"/>
      <c r="R99" s="290"/>
    </row>
    <row r="100" spans="1:18" ht="16" x14ac:dyDescent="0.2">
      <c r="A100" s="291"/>
      <c r="B100" s="291"/>
      <c r="C100" s="291"/>
      <c r="D100" s="291"/>
      <c r="E100" s="291"/>
      <c r="F100" s="291"/>
      <c r="G100" s="291"/>
      <c r="H100" s="291"/>
      <c r="I100" s="290"/>
      <c r="J100" s="290"/>
      <c r="K100" s="290"/>
      <c r="L100" s="290"/>
      <c r="M100" s="290"/>
      <c r="N100" s="290"/>
      <c r="O100" s="290"/>
      <c r="P100" s="290"/>
      <c r="Q100" s="290"/>
      <c r="R100" s="290"/>
    </row>
    <row r="101" spans="1:18" ht="16" x14ac:dyDescent="0.2">
      <c r="A101" s="291"/>
      <c r="B101" s="291"/>
      <c r="C101" s="291"/>
      <c r="D101" s="291"/>
      <c r="E101" s="291"/>
      <c r="F101" s="291"/>
      <c r="G101" s="291"/>
      <c r="H101" s="291"/>
      <c r="I101" s="290"/>
      <c r="J101" s="290"/>
      <c r="K101" s="290"/>
      <c r="L101" s="290"/>
      <c r="M101" s="290"/>
      <c r="N101" s="290"/>
      <c r="O101" s="290"/>
      <c r="P101" s="290"/>
      <c r="Q101" s="290"/>
      <c r="R101" s="290"/>
    </row>
    <row r="102" spans="1:18" ht="16" x14ac:dyDescent="0.2">
      <c r="A102" s="291"/>
      <c r="B102" s="291"/>
      <c r="C102" s="291"/>
      <c r="D102" s="291"/>
      <c r="E102" s="291"/>
      <c r="F102" s="291"/>
      <c r="G102" s="291"/>
      <c r="H102" s="291"/>
      <c r="I102" s="290"/>
      <c r="J102" s="290"/>
      <c r="K102" s="290"/>
      <c r="L102" s="290"/>
      <c r="M102" s="290"/>
      <c r="N102" s="290"/>
      <c r="O102" s="290"/>
      <c r="P102" s="290"/>
      <c r="Q102" s="290"/>
      <c r="R102" s="290"/>
    </row>
    <row r="103" spans="1:18" ht="16" x14ac:dyDescent="0.2">
      <c r="A103" s="291"/>
      <c r="B103" s="291"/>
      <c r="C103" s="291"/>
      <c r="D103" s="291"/>
      <c r="E103" s="291"/>
      <c r="F103" s="291"/>
      <c r="G103" s="291"/>
      <c r="H103" s="291"/>
      <c r="I103" s="290"/>
      <c r="J103" s="290"/>
      <c r="K103" s="290"/>
      <c r="L103" s="290"/>
      <c r="M103" s="290"/>
      <c r="N103" s="290"/>
      <c r="O103" s="290"/>
      <c r="P103" s="290"/>
      <c r="Q103" s="290"/>
      <c r="R103" s="290"/>
    </row>
    <row r="104" spans="1:18" ht="16" x14ac:dyDescent="0.2">
      <c r="A104" s="291"/>
      <c r="B104" s="291"/>
      <c r="C104" s="291"/>
      <c r="D104" s="291"/>
      <c r="E104" s="291"/>
      <c r="F104" s="291"/>
      <c r="G104" s="291"/>
      <c r="H104" s="291"/>
      <c r="I104" s="290"/>
      <c r="J104" s="290"/>
      <c r="K104" s="290"/>
      <c r="L104" s="290"/>
      <c r="M104" s="290"/>
      <c r="N104" s="290"/>
      <c r="O104" s="290"/>
      <c r="P104" s="290"/>
      <c r="Q104" s="290"/>
      <c r="R104" s="290"/>
    </row>
    <row r="105" spans="1:18" ht="16" x14ac:dyDescent="0.2">
      <c r="A105" s="291"/>
      <c r="B105" s="291"/>
      <c r="C105" s="291"/>
      <c r="D105" s="291"/>
      <c r="E105" s="291"/>
      <c r="F105" s="291"/>
      <c r="G105" s="291"/>
      <c r="H105" s="291"/>
      <c r="I105" s="290"/>
      <c r="J105" s="290"/>
      <c r="K105" s="290"/>
      <c r="L105" s="290"/>
      <c r="M105" s="290"/>
      <c r="N105" s="290"/>
      <c r="O105" s="290"/>
      <c r="P105" s="290"/>
      <c r="Q105" s="290"/>
      <c r="R105" s="290"/>
    </row>
    <row r="106" spans="1:18" ht="16" x14ac:dyDescent="0.2">
      <c r="A106" s="291"/>
      <c r="B106" s="291"/>
      <c r="C106" s="291"/>
      <c r="D106" s="291"/>
      <c r="E106" s="291"/>
      <c r="F106" s="291"/>
      <c r="G106" s="291"/>
      <c r="H106" s="291"/>
      <c r="I106" s="290"/>
      <c r="J106" s="290"/>
      <c r="K106" s="290"/>
      <c r="L106" s="290"/>
      <c r="M106" s="290"/>
      <c r="N106" s="290"/>
      <c r="O106" s="290"/>
      <c r="P106" s="290"/>
      <c r="Q106" s="290"/>
      <c r="R106" s="290"/>
    </row>
    <row r="107" spans="1:18" ht="16" x14ac:dyDescent="0.2">
      <c r="A107" s="291"/>
      <c r="B107" s="291"/>
      <c r="C107" s="291"/>
      <c r="D107" s="291"/>
      <c r="E107" s="291"/>
      <c r="F107" s="291"/>
      <c r="G107" s="291"/>
      <c r="H107" s="291"/>
      <c r="I107" s="290"/>
      <c r="J107" s="290"/>
      <c r="K107" s="290"/>
      <c r="L107" s="290"/>
      <c r="M107" s="290"/>
      <c r="N107" s="290"/>
      <c r="O107" s="290"/>
      <c r="P107" s="290"/>
      <c r="Q107" s="290"/>
      <c r="R107" s="290"/>
    </row>
    <row r="108" spans="1:18" ht="16" x14ac:dyDescent="0.2">
      <c r="A108" s="291"/>
      <c r="B108" s="291"/>
      <c r="C108" s="291"/>
      <c r="D108" s="291"/>
      <c r="E108" s="291"/>
      <c r="F108" s="291"/>
      <c r="G108" s="291"/>
      <c r="H108" s="291"/>
      <c r="I108" s="290"/>
      <c r="J108" s="290"/>
      <c r="K108" s="290"/>
      <c r="L108" s="290"/>
      <c r="M108" s="290"/>
      <c r="N108" s="290"/>
      <c r="O108" s="290"/>
      <c r="P108" s="290"/>
      <c r="Q108" s="290"/>
      <c r="R108" s="290"/>
    </row>
    <row r="109" spans="1:18" ht="16" x14ac:dyDescent="0.2">
      <c r="A109" s="291"/>
      <c r="B109" s="291"/>
      <c r="C109" s="291"/>
      <c r="D109" s="291"/>
      <c r="E109" s="291"/>
      <c r="F109" s="291"/>
      <c r="G109" s="291"/>
      <c r="H109" s="291"/>
      <c r="I109" s="290"/>
      <c r="J109" s="290"/>
      <c r="K109" s="290"/>
      <c r="L109" s="290"/>
      <c r="M109" s="290"/>
      <c r="N109" s="290"/>
      <c r="O109" s="290"/>
      <c r="P109" s="290"/>
      <c r="Q109" s="290"/>
      <c r="R109" s="290"/>
    </row>
    <row r="110" spans="1:18" ht="16" x14ac:dyDescent="0.2">
      <c r="A110" s="291"/>
      <c r="B110" s="291"/>
      <c r="C110" s="291"/>
      <c r="D110" s="291"/>
      <c r="E110" s="291"/>
      <c r="F110" s="291"/>
      <c r="G110" s="291"/>
      <c r="H110" s="291"/>
      <c r="I110" s="290"/>
      <c r="J110" s="290"/>
      <c r="K110" s="290"/>
      <c r="L110" s="290"/>
      <c r="M110" s="290"/>
      <c r="N110" s="290"/>
      <c r="O110" s="290"/>
      <c r="P110" s="290"/>
      <c r="Q110" s="290"/>
      <c r="R110" s="290"/>
    </row>
    <row r="111" spans="1:18" ht="16" x14ac:dyDescent="0.2">
      <c r="A111" s="291"/>
      <c r="B111" s="291"/>
      <c r="C111" s="291"/>
      <c r="D111" s="291"/>
      <c r="E111" s="291"/>
      <c r="F111" s="291"/>
      <c r="G111" s="291"/>
      <c r="H111" s="291"/>
      <c r="I111" s="290"/>
      <c r="J111" s="290"/>
      <c r="K111" s="290"/>
      <c r="L111" s="290"/>
      <c r="M111" s="290"/>
      <c r="N111" s="290"/>
      <c r="O111" s="290"/>
      <c r="P111" s="290"/>
      <c r="Q111" s="290"/>
      <c r="R111" s="290"/>
    </row>
    <row r="112" spans="1:18" ht="16" x14ac:dyDescent="0.2">
      <c r="A112" s="291"/>
      <c r="B112" s="291"/>
      <c r="C112" s="291"/>
      <c r="D112" s="291"/>
      <c r="E112" s="291"/>
      <c r="F112" s="291"/>
      <c r="G112" s="291"/>
      <c r="H112" s="291"/>
      <c r="I112" s="290"/>
      <c r="J112" s="290"/>
      <c r="K112" s="290"/>
      <c r="L112" s="290"/>
      <c r="M112" s="290"/>
      <c r="N112" s="290"/>
      <c r="O112" s="290"/>
      <c r="P112" s="290"/>
      <c r="Q112" s="290"/>
      <c r="R112" s="290"/>
    </row>
    <row r="113" spans="1:18" ht="16" x14ac:dyDescent="0.2">
      <c r="A113" s="291"/>
      <c r="B113" s="291"/>
      <c r="C113" s="291"/>
      <c r="D113" s="291"/>
      <c r="E113" s="291"/>
      <c r="F113" s="291"/>
      <c r="G113" s="291"/>
      <c r="H113" s="291"/>
      <c r="I113" s="290"/>
      <c r="J113" s="290"/>
      <c r="K113" s="290"/>
      <c r="L113" s="290"/>
      <c r="M113" s="290"/>
      <c r="N113" s="290"/>
      <c r="O113" s="290"/>
      <c r="P113" s="290"/>
      <c r="Q113" s="290"/>
      <c r="R113" s="290"/>
    </row>
    <row r="114" spans="1:18" ht="16" x14ac:dyDescent="0.2">
      <c r="A114" s="291"/>
      <c r="B114" s="291"/>
      <c r="C114" s="291"/>
      <c r="D114" s="291"/>
      <c r="E114" s="291"/>
      <c r="F114" s="291"/>
      <c r="G114" s="291"/>
      <c r="H114" s="291"/>
      <c r="I114" s="290"/>
      <c r="J114" s="290"/>
      <c r="K114" s="290"/>
      <c r="L114" s="290"/>
      <c r="M114" s="290"/>
      <c r="N114" s="290"/>
      <c r="O114" s="290"/>
      <c r="P114" s="290"/>
      <c r="Q114" s="290"/>
      <c r="R114" s="290"/>
    </row>
    <row r="115" spans="1:18" ht="16" x14ac:dyDescent="0.2">
      <c r="A115" s="291"/>
      <c r="B115" s="291"/>
      <c r="C115" s="291"/>
      <c r="D115" s="291"/>
      <c r="E115" s="291"/>
      <c r="F115" s="291"/>
      <c r="G115" s="291"/>
      <c r="H115" s="291"/>
      <c r="I115" s="290"/>
      <c r="J115" s="290"/>
      <c r="K115" s="290"/>
      <c r="L115" s="290"/>
      <c r="M115" s="290"/>
      <c r="N115" s="290"/>
      <c r="O115" s="290"/>
      <c r="P115" s="290"/>
      <c r="Q115" s="290"/>
      <c r="R115" s="290"/>
    </row>
    <row r="116" spans="1:18" ht="16" x14ac:dyDescent="0.2">
      <c r="A116" s="291"/>
      <c r="B116" s="291"/>
      <c r="C116" s="291"/>
      <c r="D116" s="291"/>
      <c r="E116" s="291"/>
      <c r="F116" s="291"/>
      <c r="G116" s="291"/>
      <c r="H116" s="291"/>
      <c r="I116" s="290"/>
      <c r="J116" s="290"/>
      <c r="K116" s="290"/>
      <c r="L116" s="290"/>
      <c r="M116" s="290"/>
      <c r="N116" s="290"/>
      <c r="O116" s="290"/>
      <c r="P116" s="290"/>
      <c r="Q116" s="290"/>
      <c r="R116" s="290"/>
    </row>
    <row r="117" spans="1:18" ht="16" x14ac:dyDescent="0.2">
      <c r="A117" s="291"/>
      <c r="B117" s="291"/>
      <c r="C117" s="291"/>
      <c r="D117" s="291"/>
      <c r="E117" s="291"/>
      <c r="F117" s="291"/>
      <c r="G117" s="291"/>
      <c r="H117" s="291"/>
      <c r="I117" s="290"/>
      <c r="J117" s="290"/>
      <c r="K117" s="290"/>
      <c r="L117" s="290"/>
      <c r="M117" s="290"/>
      <c r="N117" s="290"/>
      <c r="O117" s="290"/>
      <c r="P117" s="290"/>
      <c r="Q117" s="290"/>
      <c r="R117" s="290"/>
    </row>
    <row r="118" spans="1:18" ht="16" x14ac:dyDescent="0.2">
      <c r="A118" s="291"/>
      <c r="B118" s="291"/>
      <c r="C118" s="291"/>
      <c r="D118" s="291"/>
      <c r="E118" s="291"/>
      <c r="F118" s="291"/>
      <c r="G118" s="291"/>
      <c r="H118" s="291"/>
      <c r="I118" s="290"/>
      <c r="J118" s="290"/>
      <c r="K118" s="290"/>
      <c r="L118" s="290"/>
      <c r="M118" s="290"/>
      <c r="N118" s="290"/>
      <c r="O118" s="290"/>
      <c r="P118" s="290"/>
      <c r="Q118" s="290"/>
      <c r="R118" s="290"/>
    </row>
    <row r="119" spans="1:18" ht="16" x14ac:dyDescent="0.2">
      <c r="A119" s="291"/>
      <c r="B119" s="291"/>
      <c r="C119" s="291"/>
      <c r="D119" s="291"/>
      <c r="E119" s="291"/>
      <c r="F119" s="291"/>
      <c r="G119" s="291"/>
      <c r="H119" s="291"/>
      <c r="I119" s="290"/>
      <c r="J119" s="290"/>
      <c r="K119" s="290"/>
      <c r="L119" s="290"/>
      <c r="M119" s="290"/>
      <c r="N119" s="290"/>
      <c r="O119" s="290"/>
      <c r="P119" s="290"/>
      <c r="Q119" s="290"/>
      <c r="R119" s="290"/>
    </row>
    <row r="120" spans="1:18" ht="16" x14ac:dyDescent="0.2">
      <c r="A120" s="291"/>
      <c r="B120" s="291"/>
      <c r="C120" s="291"/>
      <c r="D120" s="291"/>
      <c r="E120" s="291"/>
      <c r="F120" s="291"/>
      <c r="G120" s="291"/>
      <c r="H120" s="291"/>
      <c r="I120" s="290"/>
      <c r="J120" s="290"/>
      <c r="K120" s="290"/>
      <c r="L120" s="290"/>
      <c r="M120" s="290"/>
      <c r="N120" s="290"/>
      <c r="O120" s="290"/>
      <c r="P120" s="290"/>
      <c r="Q120" s="290"/>
      <c r="R120" s="290"/>
    </row>
    <row r="121" spans="1:18" ht="16" x14ac:dyDescent="0.2">
      <c r="A121" s="291"/>
      <c r="B121" s="291"/>
      <c r="C121" s="291"/>
      <c r="D121" s="291"/>
      <c r="E121" s="291"/>
      <c r="F121" s="291"/>
      <c r="G121" s="291"/>
      <c r="H121" s="291"/>
      <c r="I121" s="290"/>
      <c r="J121" s="290"/>
      <c r="K121" s="290"/>
      <c r="L121" s="290"/>
      <c r="M121" s="290"/>
      <c r="N121" s="290"/>
      <c r="O121" s="290"/>
      <c r="P121" s="290"/>
      <c r="Q121" s="290"/>
      <c r="R121" s="290"/>
    </row>
    <row r="122" spans="1:18" ht="16" x14ac:dyDescent="0.2">
      <c r="A122" s="291"/>
      <c r="B122" s="291"/>
      <c r="C122" s="291"/>
      <c r="D122" s="291"/>
      <c r="E122" s="291"/>
      <c r="F122" s="291"/>
      <c r="G122" s="291"/>
      <c r="H122" s="291"/>
      <c r="I122" s="290"/>
      <c r="J122" s="290"/>
      <c r="K122" s="290"/>
      <c r="L122" s="290"/>
      <c r="M122" s="290"/>
      <c r="N122" s="290"/>
      <c r="O122" s="290"/>
      <c r="P122" s="290"/>
      <c r="Q122" s="290"/>
      <c r="R122" s="290"/>
    </row>
    <row r="123" spans="1:18" ht="16" x14ac:dyDescent="0.2">
      <c r="A123" s="291"/>
      <c r="B123" s="291"/>
      <c r="C123" s="291"/>
      <c r="D123" s="291"/>
      <c r="E123" s="291"/>
      <c r="F123" s="291"/>
      <c r="G123" s="291"/>
      <c r="H123" s="291"/>
      <c r="I123" s="290"/>
      <c r="J123" s="290"/>
      <c r="K123" s="290"/>
      <c r="L123" s="290"/>
      <c r="M123" s="290"/>
      <c r="N123" s="290"/>
      <c r="O123" s="290"/>
      <c r="P123" s="290"/>
      <c r="Q123" s="290"/>
      <c r="R123" s="290"/>
    </row>
    <row r="124" spans="1:18" ht="16" x14ac:dyDescent="0.2">
      <c r="A124" s="291"/>
      <c r="B124" s="291"/>
      <c r="C124" s="291"/>
      <c r="D124" s="291"/>
      <c r="E124" s="291"/>
      <c r="F124" s="291"/>
      <c r="G124" s="291"/>
      <c r="H124" s="291"/>
      <c r="I124" s="290"/>
      <c r="J124" s="290"/>
      <c r="K124" s="290"/>
      <c r="L124" s="290"/>
      <c r="M124" s="290"/>
      <c r="N124" s="290"/>
      <c r="O124" s="290"/>
      <c r="P124" s="290"/>
      <c r="Q124" s="290"/>
      <c r="R124" s="290"/>
    </row>
    <row r="125" spans="1:18" ht="16" x14ac:dyDescent="0.2">
      <c r="A125" s="291"/>
      <c r="B125" s="291"/>
      <c r="C125" s="291"/>
      <c r="D125" s="291"/>
      <c r="E125" s="291"/>
      <c r="F125" s="291"/>
      <c r="G125" s="291"/>
      <c r="H125" s="291"/>
      <c r="I125" s="290"/>
      <c r="J125" s="290"/>
      <c r="K125" s="290"/>
      <c r="L125" s="290"/>
      <c r="M125" s="290"/>
      <c r="N125" s="290"/>
      <c r="O125" s="290"/>
      <c r="P125" s="290"/>
      <c r="Q125" s="290"/>
      <c r="R125" s="290"/>
    </row>
    <row r="126" spans="1:18" ht="16" x14ac:dyDescent="0.2">
      <c r="A126" s="291"/>
      <c r="B126" s="291"/>
      <c r="C126" s="291"/>
      <c r="D126" s="291"/>
      <c r="E126" s="291"/>
      <c r="F126" s="291"/>
      <c r="G126" s="291"/>
      <c r="H126" s="291"/>
      <c r="I126" s="290"/>
      <c r="J126" s="290"/>
      <c r="K126" s="290"/>
      <c r="L126" s="290"/>
      <c r="M126" s="290"/>
      <c r="N126" s="290"/>
      <c r="O126" s="290"/>
      <c r="P126" s="290"/>
      <c r="Q126" s="290"/>
      <c r="R126" s="290"/>
    </row>
    <row r="127" spans="1:18" ht="16" x14ac:dyDescent="0.2">
      <c r="A127" s="291"/>
      <c r="B127" s="291"/>
      <c r="C127" s="291"/>
      <c r="D127" s="291"/>
      <c r="E127" s="291"/>
      <c r="F127" s="291"/>
      <c r="G127" s="291"/>
      <c r="H127" s="291"/>
      <c r="I127" s="290"/>
      <c r="J127" s="290"/>
      <c r="K127" s="290"/>
      <c r="L127" s="290"/>
      <c r="M127" s="290"/>
      <c r="N127" s="290"/>
      <c r="O127" s="290"/>
      <c r="P127" s="290"/>
      <c r="Q127" s="290"/>
      <c r="R127" s="290"/>
    </row>
    <row r="128" spans="1:18" ht="16" x14ac:dyDescent="0.2">
      <c r="A128" s="291"/>
      <c r="B128" s="291"/>
      <c r="C128" s="291"/>
      <c r="D128" s="291"/>
      <c r="E128" s="291"/>
      <c r="F128" s="291"/>
      <c r="G128" s="291"/>
      <c r="H128" s="291"/>
      <c r="I128" s="290"/>
      <c r="J128" s="290"/>
      <c r="K128" s="290"/>
      <c r="L128" s="290"/>
      <c r="M128" s="290"/>
      <c r="N128" s="290"/>
      <c r="O128" s="290"/>
      <c r="P128" s="290"/>
      <c r="Q128" s="290"/>
      <c r="R128" s="290"/>
    </row>
    <row r="129" spans="1:18" ht="16" x14ac:dyDescent="0.2">
      <c r="A129" s="291"/>
      <c r="B129" s="291"/>
      <c r="C129" s="291"/>
      <c r="D129" s="291"/>
      <c r="E129" s="291"/>
      <c r="F129" s="291"/>
      <c r="G129" s="291"/>
      <c r="H129" s="291"/>
      <c r="I129" s="290"/>
      <c r="J129" s="290"/>
      <c r="K129" s="290"/>
      <c r="L129" s="290"/>
      <c r="M129" s="290"/>
      <c r="N129" s="290"/>
      <c r="O129" s="290"/>
      <c r="P129" s="290"/>
      <c r="Q129" s="290"/>
      <c r="R129" s="290"/>
    </row>
    <row r="130" spans="1:18" ht="16" x14ac:dyDescent="0.2">
      <c r="A130" s="291"/>
      <c r="B130" s="291"/>
      <c r="C130" s="291"/>
      <c r="D130" s="291"/>
      <c r="E130" s="291"/>
      <c r="F130" s="291"/>
      <c r="G130" s="291"/>
      <c r="H130" s="291"/>
      <c r="I130" s="290"/>
      <c r="J130" s="290"/>
      <c r="K130" s="290"/>
      <c r="L130" s="290"/>
      <c r="M130" s="290"/>
      <c r="N130" s="290"/>
      <c r="O130" s="290"/>
      <c r="P130" s="290"/>
      <c r="Q130" s="290"/>
      <c r="R130" s="290"/>
    </row>
    <row r="131" spans="1:18" ht="16" x14ac:dyDescent="0.2">
      <c r="A131" s="291"/>
      <c r="B131" s="291"/>
      <c r="C131" s="291"/>
      <c r="D131" s="291"/>
      <c r="E131" s="291"/>
      <c r="F131" s="291"/>
      <c r="G131" s="291"/>
      <c r="H131" s="291"/>
      <c r="I131" s="290"/>
      <c r="J131" s="290"/>
      <c r="K131" s="290"/>
      <c r="L131" s="290"/>
      <c r="M131" s="290"/>
      <c r="N131" s="290"/>
      <c r="O131" s="290"/>
      <c r="P131" s="290"/>
      <c r="Q131" s="290"/>
      <c r="R131" s="290"/>
    </row>
    <row r="132" spans="1:18" ht="16" x14ac:dyDescent="0.2">
      <c r="A132" s="291"/>
      <c r="B132" s="291"/>
      <c r="C132" s="291"/>
      <c r="D132" s="291"/>
      <c r="E132" s="291"/>
      <c r="F132" s="291"/>
      <c r="G132" s="291"/>
      <c r="H132" s="291"/>
      <c r="I132" s="290"/>
      <c r="J132" s="290"/>
      <c r="K132" s="290"/>
      <c r="L132" s="290"/>
      <c r="M132" s="290"/>
      <c r="N132" s="290"/>
      <c r="O132" s="290"/>
      <c r="P132" s="290"/>
      <c r="Q132" s="290"/>
      <c r="R132" s="290"/>
    </row>
    <row r="133" spans="1:18" ht="16" x14ac:dyDescent="0.2">
      <c r="A133" s="291"/>
      <c r="B133" s="291"/>
      <c r="C133" s="291"/>
      <c r="D133" s="291"/>
      <c r="E133" s="291"/>
      <c r="F133" s="291"/>
      <c r="G133" s="291"/>
      <c r="H133" s="291"/>
      <c r="I133" s="290"/>
      <c r="J133" s="290"/>
      <c r="K133" s="290"/>
      <c r="L133" s="290"/>
      <c r="M133" s="290"/>
      <c r="N133" s="290"/>
      <c r="O133" s="290"/>
      <c r="P133" s="290"/>
      <c r="Q133" s="290"/>
      <c r="R133" s="290"/>
    </row>
    <row r="134" spans="1:18" ht="16" x14ac:dyDescent="0.2">
      <c r="A134" s="291"/>
      <c r="B134" s="291"/>
      <c r="C134" s="291"/>
      <c r="D134" s="291"/>
      <c r="E134" s="291"/>
      <c r="F134" s="291"/>
      <c r="G134" s="291"/>
      <c r="H134" s="291"/>
      <c r="I134" s="290"/>
      <c r="J134" s="290"/>
      <c r="K134" s="290"/>
      <c r="L134" s="290"/>
      <c r="M134" s="290"/>
      <c r="N134" s="290"/>
      <c r="O134" s="290"/>
      <c r="P134" s="290"/>
      <c r="Q134" s="290"/>
      <c r="R134" s="290"/>
    </row>
    <row r="135" spans="1:18" ht="16" x14ac:dyDescent="0.2">
      <c r="A135" s="291"/>
      <c r="B135" s="291"/>
      <c r="C135" s="291"/>
      <c r="D135" s="291"/>
      <c r="E135" s="291"/>
      <c r="F135" s="291"/>
      <c r="G135" s="291"/>
      <c r="H135" s="291"/>
      <c r="I135" s="290"/>
      <c r="J135" s="290"/>
      <c r="K135" s="290"/>
      <c r="L135" s="290"/>
      <c r="M135" s="290"/>
      <c r="N135" s="290"/>
      <c r="O135" s="290"/>
      <c r="P135" s="290"/>
      <c r="Q135" s="290"/>
      <c r="R135" s="290"/>
    </row>
    <row r="136" spans="1:18" ht="16" x14ac:dyDescent="0.2">
      <c r="A136" s="291"/>
      <c r="B136" s="291"/>
      <c r="C136" s="291"/>
      <c r="D136" s="291"/>
      <c r="E136" s="291"/>
      <c r="F136" s="291"/>
      <c r="G136" s="291"/>
      <c r="H136" s="291"/>
      <c r="I136" s="290"/>
      <c r="J136" s="290"/>
      <c r="K136" s="290"/>
      <c r="L136" s="290"/>
      <c r="M136" s="290"/>
      <c r="N136" s="290"/>
      <c r="O136" s="290"/>
      <c r="P136" s="290"/>
      <c r="Q136" s="290"/>
      <c r="R136" s="290"/>
    </row>
    <row r="137" spans="1:18" ht="16" x14ac:dyDescent="0.2">
      <c r="A137" s="291"/>
      <c r="B137" s="291"/>
      <c r="C137" s="291"/>
      <c r="D137" s="291"/>
      <c r="E137" s="291"/>
      <c r="F137" s="291"/>
      <c r="G137" s="291"/>
      <c r="H137" s="291"/>
      <c r="I137" s="290"/>
      <c r="J137" s="290"/>
      <c r="K137" s="290"/>
      <c r="L137" s="290"/>
      <c r="M137" s="290"/>
      <c r="N137" s="290"/>
      <c r="O137" s="290"/>
      <c r="P137" s="290"/>
      <c r="Q137" s="290"/>
      <c r="R137" s="290"/>
    </row>
    <row r="138" spans="1:18" ht="16" x14ac:dyDescent="0.2">
      <c r="A138" s="291"/>
      <c r="B138" s="291"/>
      <c r="C138" s="291"/>
      <c r="D138" s="291"/>
      <c r="E138" s="291"/>
      <c r="F138" s="291"/>
      <c r="G138" s="291"/>
      <c r="H138" s="291"/>
      <c r="I138" s="290"/>
      <c r="J138" s="290"/>
      <c r="K138" s="290"/>
      <c r="L138" s="290"/>
      <c r="M138" s="290"/>
      <c r="N138" s="290"/>
      <c r="O138" s="290"/>
      <c r="P138" s="290"/>
      <c r="Q138" s="290"/>
      <c r="R138" s="290"/>
    </row>
    <row r="139" spans="1:18" ht="16" x14ac:dyDescent="0.2">
      <c r="A139" s="291"/>
      <c r="B139" s="291"/>
      <c r="C139" s="291"/>
      <c r="D139" s="291"/>
      <c r="E139" s="291"/>
      <c r="F139" s="291"/>
      <c r="G139" s="291"/>
      <c r="H139" s="291"/>
      <c r="I139" s="290"/>
      <c r="J139" s="290"/>
      <c r="K139" s="290"/>
      <c r="L139" s="290"/>
      <c r="M139" s="290"/>
      <c r="N139" s="290"/>
      <c r="O139" s="290"/>
      <c r="P139" s="290"/>
      <c r="Q139" s="290"/>
      <c r="R139" s="290"/>
    </row>
    <row r="140" spans="1:18" ht="16" x14ac:dyDescent="0.2">
      <c r="A140" s="291"/>
      <c r="B140" s="291"/>
      <c r="C140" s="291"/>
      <c r="D140" s="291"/>
      <c r="E140" s="291"/>
      <c r="F140" s="291"/>
      <c r="G140" s="291"/>
      <c r="H140" s="291"/>
      <c r="I140" s="290"/>
      <c r="J140" s="290"/>
      <c r="K140" s="290"/>
      <c r="L140" s="290"/>
      <c r="M140" s="290"/>
      <c r="N140" s="290"/>
      <c r="O140" s="290"/>
      <c r="P140" s="290"/>
      <c r="Q140" s="290"/>
      <c r="R140" s="290"/>
    </row>
    <row r="141" spans="1:18" ht="16" x14ac:dyDescent="0.2">
      <c r="A141" s="291"/>
      <c r="B141" s="291"/>
      <c r="C141" s="291"/>
      <c r="D141" s="291"/>
      <c r="E141" s="291"/>
      <c r="F141" s="291"/>
      <c r="G141" s="291"/>
      <c r="H141" s="291"/>
      <c r="I141" s="290"/>
      <c r="J141" s="290"/>
      <c r="K141" s="290"/>
      <c r="L141" s="290"/>
      <c r="M141" s="290"/>
      <c r="N141" s="290"/>
      <c r="O141" s="290"/>
      <c r="P141" s="290"/>
      <c r="Q141" s="290"/>
      <c r="R141" s="290"/>
    </row>
    <row r="142" spans="1:18" ht="16" x14ac:dyDescent="0.2">
      <c r="A142" s="291"/>
      <c r="B142" s="291"/>
      <c r="C142" s="291"/>
      <c r="D142" s="291"/>
      <c r="E142" s="291"/>
      <c r="F142" s="291"/>
      <c r="G142" s="291"/>
      <c r="H142" s="291"/>
      <c r="I142" s="290"/>
      <c r="J142" s="290"/>
      <c r="K142" s="290"/>
      <c r="L142" s="290"/>
      <c r="M142" s="290"/>
      <c r="N142" s="290"/>
      <c r="O142" s="290"/>
      <c r="P142" s="290"/>
      <c r="Q142" s="290"/>
      <c r="R142" s="290"/>
    </row>
    <row r="143" spans="1:18" ht="16" x14ac:dyDescent="0.2">
      <c r="A143" s="291"/>
      <c r="B143" s="291"/>
      <c r="C143" s="291"/>
      <c r="D143" s="291"/>
      <c r="E143" s="291"/>
      <c r="F143" s="291"/>
      <c r="G143" s="291"/>
      <c r="H143" s="291"/>
      <c r="I143" s="290"/>
      <c r="J143" s="290"/>
      <c r="K143" s="290"/>
      <c r="L143" s="290"/>
      <c r="M143" s="290"/>
      <c r="N143" s="290"/>
      <c r="O143" s="290"/>
      <c r="P143" s="290"/>
      <c r="Q143" s="290"/>
      <c r="R143" s="290"/>
    </row>
    <row r="144" spans="1:18" ht="16" x14ac:dyDescent="0.2">
      <c r="A144" s="291"/>
      <c r="B144" s="291"/>
      <c r="C144" s="291"/>
      <c r="D144" s="291"/>
      <c r="E144" s="291"/>
      <c r="F144" s="291"/>
      <c r="G144" s="291"/>
      <c r="H144" s="291"/>
      <c r="I144" s="290"/>
      <c r="J144" s="290"/>
      <c r="K144" s="290"/>
      <c r="L144" s="290"/>
      <c r="M144" s="290"/>
      <c r="N144" s="290"/>
      <c r="O144" s="290"/>
      <c r="P144" s="290"/>
      <c r="Q144" s="290"/>
      <c r="R144" s="290"/>
    </row>
    <row r="145" spans="1:8" x14ac:dyDescent="0.2">
      <c r="A145" s="291"/>
      <c r="B145" s="291"/>
      <c r="C145" s="291"/>
      <c r="D145" s="291"/>
      <c r="E145" s="291"/>
      <c r="F145" s="291"/>
      <c r="G145" s="291"/>
      <c r="H145" s="291"/>
    </row>
  </sheetData>
  <mergeCells count="1">
    <mergeCell ref="Q2:Q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5AE-B1C3-2143-BED8-865F5DD872E0}">
  <sheetPr codeName="Feuil9">
    <tabColor rgb="FFFE0000"/>
  </sheetPr>
  <dimension ref="A1:BF22"/>
  <sheetViews>
    <sheetView showGridLines="0" topLeftCell="D1" zoomScaleNormal="100" workbookViewId="0">
      <selection activeCell="BL47" sqref="BL47"/>
    </sheetView>
  </sheetViews>
  <sheetFormatPr baseColWidth="10" defaultColWidth="11" defaultRowHeight="16" x14ac:dyDescent="0.2"/>
  <cols>
    <col min="1" max="1" width="6" style="37" hidden="1" customWidth="1"/>
    <col min="2" max="2" width="17.1640625" style="37" hidden="1" customWidth="1"/>
    <col min="3" max="3" width="6.33203125" style="37" hidden="1" customWidth="1"/>
    <col min="4" max="4" width="14.6640625" style="37" customWidth="1"/>
    <col min="5" max="5" width="6.5" style="37" customWidth="1"/>
    <col min="6" max="6" width="47.5" style="37" bestFit="1"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2" width="9.33203125" style="37" customWidth="1"/>
    <col min="53" max="53" width="10.6640625" style="37" customWidth="1"/>
    <col min="54" max="57" width="9.33203125" style="37" customWidth="1"/>
    <col min="58" max="58" width="4" style="37" customWidth="1"/>
    <col min="59" max="16384" width="11" style="37"/>
  </cols>
  <sheetData>
    <row r="1" spans="1:58" s="4" customFormat="1" ht="80" customHeight="1" x14ac:dyDescent="0.25">
      <c r="A1" s="3" t="s">
        <v>217</v>
      </c>
      <c r="B1" s="5"/>
      <c r="C1" s="5"/>
      <c r="D1" s="3" t="s">
        <v>219</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8" s="41" customFormat="1" ht="12.75" customHeight="1" x14ac:dyDescent="0.2">
      <c r="A2" s="78"/>
      <c r="B2" s="78"/>
      <c r="C2" s="78"/>
      <c r="D2" s="395"/>
      <c r="E2" s="395"/>
      <c r="F2" s="395"/>
      <c r="G2" s="75" t="s">
        <v>169</v>
      </c>
      <c r="H2" s="373" t="s">
        <v>168</v>
      </c>
      <c r="I2" s="74" t="s">
        <v>167</v>
      </c>
      <c r="J2" s="74" t="s">
        <v>167</v>
      </c>
      <c r="K2" s="74" t="s">
        <v>167</v>
      </c>
      <c r="L2" s="74" t="s">
        <v>167</v>
      </c>
      <c r="M2" s="74" t="s">
        <v>167</v>
      </c>
      <c r="N2" s="74" t="s">
        <v>167</v>
      </c>
      <c r="O2" s="74" t="s">
        <v>167</v>
      </c>
      <c r="P2" s="74" t="s">
        <v>167</v>
      </c>
      <c r="Q2" s="74" t="s">
        <v>167</v>
      </c>
      <c r="R2" s="74" t="s">
        <v>167</v>
      </c>
      <c r="S2" s="74" t="s">
        <v>167</v>
      </c>
      <c r="T2" s="74" t="s">
        <v>167</v>
      </c>
      <c r="U2" s="74" t="s">
        <v>167</v>
      </c>
      <c r="V2" s="74" t="s">
        <v>167</v>
      </c>
      <c r="W2" s="373" t="s">
        <v>166</v>
      </c>
      <c r="X2" s="73" t="s">
        <v>164</v>
      </c>
      <c r="Y2" s="73" t="s">
        <v>164</v>
      </c>
      <c r="Z2" s="73" t="s">
        <v>164</v>
      </c>
      <c r="AA2" s="73" t="s">
        <v>164</v>
      </c>
      <c r="AB2" s="73" t="s">
        <v>164</v>
      </c>
      <c r="AC2" s="73" t="s">
        <v>164</v>
      </c>
      <c r="AD2" s="73" t="s">
        <v>164</v>
      </c>
      <c r="AE2" s="73" t="s">
        <v>164</v>
      </c>
      <c r="AF2" s="73" t="s">
        <v>164</v>
      </c>
      <c r="AG2" s="373" t="s">
        <v>163</v>
      </c>
      <c r="AH2" s="73" t="s">
        <v>162</v>
      </c>
      <c r="AI2" s="73" t="s">
        <v>162</v>
      </c>
      <c r="AJ2" s="73" t="s">
        <v>162</v>
      </c>
      <c r="AK2" s="73" t="s">
        <v>162</v>
      </c>
      <c r="AL2" s="73" t="s">
        <v>162</v>
      </c>
      <c r="AM2" s="73" t="s">
        <v>162</v>
      </c>
      <c r="AN2" s="73" t="s">
        <v>162</v>
      </c>
      <c r="AO2" s="73" t="s">
        <v>162</v>
      </c>
      <c r="AP2" s="73" t="s">
        <v>162</v>
      </c>
      <c r="AQ2" s="73" t="s">
        <v>162</v>
      </c>
      <c r="AR2" s="73" t="s">
        <v>162</v>
      </c>
      <c r="AS2" s="73" t="s">
        <v>162</v>
      </c>
      <c r="AT2" s="73" t="s">
        <v>162</v>
      </c>
      <c r="AU2" s="373" t="s">
        <v>161</v>
      </c>
      <c r="AV2" s="72" t="s">
        <v>160</v>
      </c>
      <c r="AW2" s="72" t="s">
        <v>160</v>
      </c>
      <c r="AX2" s="72" t="s">
        <v>160</v>
      </c>
      <c r="AY2" s="72" t="s">
        <v>160</v>
      </c>
      <c r="AZ2" s="72" t="s">
        <v>160</v>
      </c>
      <c r="BA2" s="72" t="s">
        <v>160</v>
      </c>
      <c r="BB2" s="72" t="s">
        <v>160</v>
      </c>
      <c r="BC2" s="72" t="s">
        <v>160</v>
      </c>
      <c r="BD2" s="72" t="s">
        <v>160</v>
      </c>
      <c r="BE2" s="373" t="s">
        <v>159</v>
      </c>
      <c r="BF2"/>
    </row>
    <row r="3" spans="1:58" s="41" customFormat="1" ht="26" hidden="1" customHeight="1" x14ac:dyDescent="0.15">
      <c r="A3" s="78"/>
      <c r="B3" s="78"/>
      <c r="C3" s="78"/>
      <c r="D3" s="78"/>
      <c r="E3" s="78"/>
      <c r="F3" s="78"/>
      <c r="G3" s="75" t="s">
        <v>158</v>
      </c>
      <c r="H3" s="373"/>
      <c r="I3" s="74" t="s">
        <v>157</v>
      </c>
      <c r="J3" s="74" t="s">
        <v>156</v>
      </c>
      <c r="K3" s="74" t="s">
        <v>155</v>
      </c>
      <c r="L3" s="74" t="s">
        <v>154</v>
      </c>
      <c r="M3" s="74" t="s">
        <v>153</v>
      </c>
      <c r="N3" s="74" t="s">
        <v>152</v>
      </c>
      <c r="O3" s="74" t="s">
        <v>151</v>
      </c>
      <c r="P3" s="74" t="s">
        <v>150</v>
      </c>
      <c r="Q3" s="74" t="s">
        <v>149</v>
      </c>
      <c r="R3" s="74"/>
      <c r="S3" s="74" t="s">
        <v>148</v>
      </c>
      <c r="T3" s="74" t="s">
        <v>147</v>
      </c>
      <c r="U3" s="74" t="s">
        <v>146</v>
      </c>
      <c r="V3" s="74" t="s">
        <v>145</v>
      </c>
      <c r="W3" s="373"/>
      <c r="X3" s="73" t="s">
        <v>141</v>
      </c>
      <c r="Y3" s="73" t="s">
        <v>140</v>
      </c>
      <c r="Z3" s="73" t="s">
        <v>139</v>
      </c>
      <c r="AA3" s="73" t="s">
        <v>138</v>
      </c>
      <c r="AB3" s="73" t="s">
        <v>137</v>
      </c>
      <c r="AC3" s="73" t="s">
        <v>136</v>
      </c>
      <c r="AD3" s="73" t="s">
        <v>35</v>
      </c>
      <c r="AE3" s="73" t="s">
        <v>34</v>
      </c>
      <c r="AF3" s="73" t="s">
        <v>135</v>
      </c>
      <c r="AG3" s="373"/>
      <c r="AH3" s="73" t="s">
        <v>134</v>
      </c>
      <c r="AI3" s="73" t="s">
        <v>133</v>
      </c>
      <c r="AJ3" s="73" t="s">
        <v>132</v>
      </c>
      <c r="AK3" s="73" t="s">
        <v>131</v>
      </c>
      <c r="AL3" s="73" t="s">
        <v>130</v>
      </c>
      <c r="AM3" s="73" t="s">
        <v>129</v>
      </c>
      <c r="AN3" s="73" t="s">
        <v>128</v>
      </c>
      <c r="AO3" s="73" t="s">
        <v>127</v>
      </c>
      <c r="AP3" s="73" t="s">
        <v>126</v>
      </c>
      <c r="AQ3" s="73" t="s">
        <v>125</v>
      </c>
      <c r="AR3" s="73" t="s">
        <v>124</v>
      </c>
      <c r="AS3" s="73" t="s">
        <v>123</v>
      </c>
      <c r="AT3" s="73" t="s">
        <v>122</v>
      </c>
      <c r="AU3" s="373"/>
      <c r="AV3" s="72" t="s">
        <v>121</v>
      </c>
      <c r="AW3" s="72" t="s">
        <v>120</v>
      </c>
      <c r="AX3" s="72" t="s">
        <v>119</v>
      </c>
      <c r="AY3" s="72" t="s">
        <v>118</v>
      </c>
      <c r="AZ3" s="72" t="s">
        <v>117</v>
      </c>
      <c r="BA3" s="72" t="s">
        <v>116</v>
      </c>
      <c r="BB3" s="72" t="s">
        <v>115</v>
      </c>
      <c r="BC3" s="72" t="s">
        <v>114</v>
      </c>
      <c r="BD3" s="72" t="s">
        <v>113</v>
      </c>
      <c r="BE3" s="373"/>
    </row>
    <row r="4" spans="1:58" s="41" customFormat="1" ht="60" x14ac:dyDescent="0.2">
      <c r="A4" s="77"/>
      <c r="B4" s="76" t="s">
        <v>112</v>
      </c>
      <c r="C4" s="76" t="s">
        <v>111</v>
      </c>
      <c r="D4" s="76" t="s">
        <v>32</v>
      </c>
      <c r="E4" s="76" t="s">
        <v>110</v>
      </c>
      <c r="F4" s="76" t="s">
        <v>109</v>
      </c>
      <c r="G4" s="75" t="s">
        <v>108</v>
      </c>
      <c r="H4" s="373"/>
      <c r="I4" s="74" t="s">
        <v>107</v>
      </c>
      <c r="J4" s="74" t="s">
        <v>106</v>
      </c>
      <c r="K4" s="74" t="s">
        <v>610</v>
      </c>
      <c r="L4" s="74" t="s">
        <v>104</v>
      </c>
      <c r="M4" s="74" t="s">
        <v>103</v>
      </c>
      <c r="N4" s="74" t="s">
        <v>102</v>
      </c>
      <c r="O4" s="74" t="s">
        <v>101</v>
      </c>
      <c r="P4" s="74" t="s">
        <v>100</v>
      </c>
      <c r="Q4" s="74" t="s">
        <v>99</v>
      </c>
      <c r="R4" s="74" t="s">
        <v>98</v>
      </c>
      <c r="S4" s="74" t="s">
        <v>97</v>
      </c>
      <c r="T4" s="74" t="s">
        <v>96</v>
      </c>
      <c r="U4" s="74" t="s">
        <v>95</v>
      </c>
      <c r="V4" s="74" t="s">
        <v>94</v>
      </c>
      <c r="W4" s="373"/>
      <c r="X4" s="73" t="s">
        <v>92</v>
      </c>
      <c r="Y4" s="73" t="s">
        <v>91</v>
      </c>
      <c r="Z4" s="73" t="s">
        <v>90</v>
      </c>
      <c r="AA4" s="73" t="s">
        <v>89</v>
      </c>
      <c r="AB4" s="73" t="s">
        <v>88</v>
      </c>
      <c r="AC4" s="73" t="s">
        <v>87</v>
      </c>
      <c r="AD4" s="73" t="s">
        <v>35</v>
      </c>
      <c r="AE4" s="73" t="s">
        <v>86</v>
      </c>
      <c r="AF4" s="73" t="s">
        <v>85</v>
      </c>
      <c r="AG4" s="373"/>
      <c r="AH4" s="73" t="s">
        <v>611</v>
      </c>
      <c r="AI4" s="73" t="s">
        <v>83</v>
      </c>
      <c r="AJ4" s="73" t="s">
        <v>82</v>
      </c>
      <c r="AK4" s="73" t="s">
        <v>81</v>
      </c>
      <c r="AL4" s="73" t="s">
        <v>80</v>
      </c>
      <c r="AM4" s="73" t="s">
        <v>79</v>
      </c>
      <c r="AN4" s="73" t="s">
        <v>78</v>
      </c>
      <c r="AO4" s="73" t="s">
        <v>77</v>
      </c>
      <c r="AP4" s="73" t="s">
        <v>76</v>
      </c>
      <c r="AQ4" s="73" t="s">
        <v>75</v>
      </c>
      <c r="AR4" s="73" t="s">
        <v>74</v>
      </c>
      <c r="AS4" s="73" t="s">
        <v>73</v>
      </c>
      <c r="AT4" s="73" t="s">
        <v>72</v>
      </c>
      <c r="AU4" s="373"/>
      <c r="AV4" s="72" t="s">
        <v>71</v>
      </c>
      <c r="AW4" s="72" t="s">
        <v>70</v>
      </c>
      <c r="AX4" s="72" t="s">
        <v>612</v>
      </c>
      <c r="AY4" s="72" t="s">
        <v>613</v>
      </c>
      <c r="AZ4" s="72" t="s">
        <v>614</v>
      </c>
      <c r="BA4" s="72" t="s">
        <v>615</v>
      </c>
      <c r="BB4" s="72" t="s">
        <v>65</v>
      </c>
      <c r="BC4" s="72" t="s">
        <v>64</v>
      </c>
      <c r="BD4" s="72" t="s">
        <v>63</v>
      </c>
      <c r="BE4" s="373"/>
      <c r="BF4"/>
    </row>
    <row r="5" spans="1:58" s="41" customFormat="1" ht="15" x14ac:dyDescent="0.2">
      <c r="A5" s="51" t="s">
        <v>42</v>
      </c>
      <c r="B5" s="60"/>
      <c r="C5" s="60"/>
      <c r="D5" s="129"/>
      <c r="E5" s="60" t="s">
        <v>62</v>
      </c>
      <c r="F5" s="60" t="s">
        <v>61</v>
      </c>
      <c r="G5" s="56" t="str">
        <f>IF(ISBLANK(ETPT_TJ_DDG!$D$5),"",IF(ISERROR(ETPT_TJ!G5),"",IF(ETPT_TJ!G5=0,"",ETPT_TJ!G5)))</f>
        <v/>
      </c>
      <c r="H5" s="46">
        <f t="shared" ref="H5:H15" si="0">SUM(G5)</f>
        <v>0</v>
      </c>
      <c r="I5" s="56" t="str">
        <f>IF(ISBLANK(ETPT_TJ_DDG!$D$5),"",IF(ISERROR(ETPT_TJ!I5),"",IF(ETPT_TJ!I5=0,"",ETPT_TJ!I5)))</f>
        <v/>
      </c>
      <c r="J5" s="56" t="str">
        <f>IF(ISBLANK(ETPT_TJ_DDG!$D$5),"",IF(ISERROR(ETPT_TJ!J5),"",IF(ETPT_TJ!J5=0,"",ETPT_TJ!J5)))</f>
        <v/>
      </c>
      <c r="K5" s="56" t="str">
        <f>IF(ISBLANK(ETPT_TJ_DDG!$D$5),"",IF(ISERROR(ETPT_TJ!K5),"",IF(ETPT_TJ!K5=0,"",ETPT_TJ!K5)))</f>
        <v/>
      </c>
      <c r="L5" s="56" t="str">
        <f>IF(ISBLANK(ETPT_TJ_DDG!$D$5),"",IF(ISERROR(ETPT_TJ!L5),"",IF(ETPT_TJ!L5=0,"",ETPT_TJ!L5)))</f>
        <v/>
      </c>
      <c r="M5" s="56" t="str">
        <f>IF(ISBLANK(ETPT_TJ_DDG!$D$5),"",IF(ISERROR(ETPT_TJ!M5),"",IF(ETPT_TJ!M5=0,"",ETPT_TJ!M5)))</f>
        <v/>
      </c>
      <c r="N5" s="56" t="str">
        <f>IF(ISBLANK(ETPT_TJ_DDG!$D$5),"",IF(ISERROR(ETPT_TJ!N5),"",IF(ETPT_TJ!N5=0,"",ETPT_TJ!N5)))</f>
        <v/>
      </c>
      <c r="O5" s="56" t="str">
        <f>IF(ISBLANK(ETPT_TJ_DDG!$D$5),"",IF(ISERROR(ETPT_TJ!O5),"",IF(ETPT_TJ!O5=0,"",ETPT_TJ!O5)))</f>
        <v/>
      </c>
      <c r="P5" s="56" t="str">
        <f>IF(ISBLANK(ETPT_TJ_DDG!$D$5),"",IF(ISERROR(ETPT_TJ!P5),"",IF(ETPT_TJ!P5=0,"",ETPT_TJ!P5)))</f>
        <v/>
      </c>
      <c r="Q5" s="56" t="str">
        <f>IF(ISBLANK(ETPT_TJ_DDG!$D$5),"",IF(ISERROR(ETPT_TJ!Q5),"",IF(ETPT_TJ!Q5=0,"",ETPT_TJ!Q5)))</f>
        <v/>
      </c>
      <c r="R5" s="56" t="str">
        <f>IF(ISBLANK(ETPT_TJ_DDG!$D$5),"",IF(ISERROR(ETPT_TJ!R5),"",IF(ETPT_TJ!R5=0,"",ETPT_TJ!R5)))</f>
        <v/>
      </c>
      <c r="S5" s="56" t="str">
        <f>IF(ISBLANK(ETPT_TJ_DDG!$D$5),"",IF(ISERROR(ETPT_TJ!S5),"",IF(ETPT_TJ!S5=0,"",ETPT_TJ!S5)))</f>
        <v/>
      </c>
      <c r="T5" s="56" t="str">
        <f>IF(ISBLANK(ETPT_TJ_DDG!$D$5),"",IF(ISERROR(ETPT_TJ!T5),"",IF(ETPT_TJ!T5=0,"",ETPT_TJ!T5)))</f>
        <v/>
      </c>
      <c r="U5" s="56" t="str">
        <f>IF(ISBLANK(ETPT_TJ_DDG!$D$5),"",IF(ISERROR(ETPT_TJ!U5),"",IF(ETPT_TJ!U5=0,"",ETPT_TJ!U5)))</f>
        <v/>
      </c>
      <c r="V5" s="56" t="str">
        <f>IF(ISBLANK(ETPT_TJ_DDG!$D$5),"",IF(ISERROR(ETPT_TJ!V5),"",IF(ETPT_TJ!V5=0,"",ETPT_TJ!V5)))</f>
        <v/>
      </c>
      <c r="W5" s="46">
        <f t="shared" ref="W5:W15" si="1">SUM(I5:V5)</f>
        <v>0</v>
      </c>
      <c r="X5" s="56" t="str">
        <f>IF(ISBLANK(ETPT_TJ_DDG!$D$5),"",IF(ISERROR(ETPT_TJ!X5),"",IF(ETPT_TJ!X5=0,"",ETPT_TJ!X5)))</f>
        <v/>
      </c>
      <c r="Y5" s="56" t="str">
        <f>IF(ISBLANK(ETPT_TJ_DDG!$D$5),"",IF(ISERROR(ETPT_TJ!Y5),"",IF(ETPT_TJ!Y5=0,"",ETPT_TJ!Y5)))</f>
        <v/>
      </c>
      <c r="Z5" s="56" t="str">
        <f>IF(ISBLANK(ETPT_TJ_DDG!$D$5),"",IF(ISERROR(ETPT_TJ!Z5),"",IF(ETPT_TJ!Z5=0,"",ETPT_TJ!Z5)))</f>
        <v/>
      </c>
      <c r="AA5" s="56" t="str">
        <f>IF(ISBLANK(ETPT_TJ_DDG!$D$5),"",IF(ISERROR(ETPT_TJ!AA5),"",IF(ETPT_TJ!AA5=0,"",ETPT_TJ!AA5)))</f>
        <v/>
      </c>
      <c r="AB5" s="56" t="str">
        <f>IF(ISBLANK(ETPT_TJ_DDG!$D$5),"",IF(ISERROR(ETPT_TJ!AB5),"",IF(ETPT_TJ!AB5=0,"",ETPT_TJ!AB5)))</f>
        <v/>
      </c>
      <c r="AC5" s="56" t="str">
        <f>IF(ISBLANK(ETPT_TJ_DDG!$D$5),"",IF(ISERROR(ETPT_TJ!AC5),"",IF(ETPT_TJ!AC5=0,"",ETPT_TJ!AC5)))</f>
        <v/>
      </c>
      <c r="AD5" s="56" t="str">
        <f>IF(ISBLANK(ETPT_TJ_DDG!$D$5),"",IF(ISERROR(ETPT_TJ!AD5),"",IF(ETPT_TJ!AD5=0,"",ETPT_TJ!AD5)))</f>
        <v/>
      </c>
      <c r="AE5" s="56" t="str">
        <f>IF(ISBLANK(ETPT_TJ_DDG!$D$5),"",IF(ISERROR(ETPT_TJ!AE5),"",IF(ETPT_TJ!AE5=0,"",ETPT_TJ!AE5)))</f>
        <v/>
      </c>
      <c r="AF5" s="56" t="str">
        <f>IF(ISBLANK(ETPT_TJ_DDG!$D$5),"",IF(ISERROR(ETPT_TJ!AF5),"",IF(ETPT_TJ!AF5=0,"",ETPT_TJ!AF5)))</f>
        <v/>
      </c>
      <c r="AG5" s="46">
        <f t="shared" ref="AG5:AG15" si="2">SUM(X5:AF5)</f>
        <v>0</v>
      </c>
      <c r="AH5" s="56" t="str">
        <f>IF(ISBLANK(ETPT_TJ_DDG!$D$5),"",IF(ISERROR(ETPT_TJ!AH5),"",IF(ETPT_TJ!AH5=0,"",ETPT_TJ!AH5)))</f>
        <v/>
      </c>
      <c r="AI5" s="56" t="str">
        <f>IF(ISBLANK(ETPT_TJ_DDG!$D$5),"",IF(ISERROR(ETPT_TJ!AI5),"",IF(ETPT_TJ!AI5=0,"",ETPT_TJ!AI5)))</f>
        <v/>
      </c>
      <c r="AJ5" s="56" t="str">
        <f>IF(ISBLANK(ETPT_TJ_DDG!$D$5),"",IF(ISERROR(ETPT_TJ!AJ5),"",IF(ETPT_TJ!AJ5=0,"",ETPT_TJ!AJ5)))</f>
        <v/>
      </c>
      <c r="AK5" s="56" t="str">
        <f>IF(ISBLANK(ETPT_TJ_DDG!$D$5),"",IF(ISERROR(ETPT_TJ!AK5),"",IF(ETPT_TJ!AK5=0,"",ETPT_TJ!AK5)))</f>
        <v/>
      </c>
      <c r="AL5" s="56" t="str">
        <f>IF(ISBLANK(ETPT_TJ_DDG!$D$5),"",IF(ISERROR(ETPT_TJ!AL5),"",IF(ETPT_TJ!AL5=0,"",ETPT_TJ!AL5)))</f>
        <v/>
      </c>
      <c r="AM5" s="56" t="str">
        <f>IF(ISBLANK(ETPT_TJ_DDG!$D$5),"",IF(ISERROR(ETPT_TJ!AM5),"",IF(ETPT_TJ!AM5=0,"",ETPT_TJ!AM5)))</f>
        <v/>
      </c>
      <c r="AN5" s="56" t="str">
        <f>IF(ISBLANK(ETPT_TJ_DDG!$D$5),"",IF(ISERROR(ETPT_TJ!AN5),"",IF(ETPT_TJ!AN5=0,"",ETPT_TJ!AN5)))</f>
        <v/>
      </c>
      <c r="AO5" s="56" t="str">
        <f>IF(ISBLANK(ETPT_TJ_DDG!$D$5),"",IF(ISERROR(ETPT_TJ!AO5),"",IF(ETPT_TJ!AO5=0,"",ETPT_TJ!AO5)))</f>
        <v/>
      </c>
      <c r="AP5" s="56" t="str">
        <f>IF(ISBLANK(ETPT_TJ_DDG!$D$5),"",IF(ISERROR(ETPT_TJ!AP5),"",IF(ETPT_TJ!AP5=0,"",ETPT_TJ!AP5)))</f>
        <v/>
      </c>
      <c r="AQ5" s="56" t="str">
        <f>IF(ISBLANK(ETPT_TJ_DDG!$D$5),"",IF(ISERROR(ETPT_TJ!AQ5),"",IF(ETPT_TJ!AQ5=0,"",ETPT_TJ!AQ5)))</f>
        <v/>
      </c>
      <c r="AR5" s="56" t="str">
        <f>IF(ISBLANK(ETPT_TJ_DDG!$D$5),"",IF(ISERROR(ETPT_TJ!AR5),"",IF(ETPT_TJ!AR5=0,"",ETPT_TJ!AR5)))</f>
        <v/>
      </c>
      <c r="AS5" s="56" t="str">
        <f>IF(ISBLANK(ETPT_TJ_DDG!$D$5),"",IF(ISERROR(ETPT_TJ!AS5),"",IF(ETPT_TJ!AS5=0,"",ETPT_TJ!AS5)))</f>
        <v/>
      </c>
      <c r="AT5" s="56" t="str">
        <f>IF(ISBLANK(ETPT_TJ_DDG!$D$5),"",IF(ISERROR(ETPT_TJ!AT5),"",IF(ETPT_TJ!AT5=0,"",ETPT_TJ!AT5)))</f>
        <v/>
      </c>
      <c r="AU5" s="46">
        <f t="shared" ref="AU5:AU15" si="3">SUM(AH5:AT5)</f>
        <v>0</v>
      </c>
      <c r="AV5" s="52"/>
      <c r="AW5" s="52"/>
      <c r="AX5" s="66"/>
      <c r="AY5" s="66"/>
      <c r="AZ5" s="66"/>
      <c r="BA5" s="66"/>
      <c r="BB5" s="66"/>
      <c r="BC5" s="66"/>
      <c r="BD5" s="52"/>
      <c r="BE5" s="46">
        <f t="shared" ref="BE5:BE15" si="4">SUM(AV5:BD5)</f>
        <v>0</v>
      </c>
      <c r="BF5"/>
    </row>
    <row r="6" spans="1:58" s="41" customFormat="1" ht="12" x14ac:dyDescent="0.15">
      <c r="A6" s="51" t="s">
        <v>42</v>
      </c>
      <c r="B6" s="60"/>
      <c r="C6" s="60"/>
      <c r="D6" s="130" t="str">
        <f t="shared" ref="D6:D15" si="5">IF(ISBLANK($D$5),"",$D$5)</f>
        <v/>
      </c>
      <c r="E6" s="60" t="s">
        <v>60</v>
      </c>
      <c r="F6" s="60" t="s">
        <v>59</v>
      </c>
      <c r="G6" s="56" t="str">
        <f>IF(ISBLANK(ETPT_TJ_DDG!$D$5),"",IF(ISERROR(ETPT_TJ!G6),"",IF(ETPT_TJ!G6=0,"",ETPT_TJ!G6)))</f>
        <v/>
      </c>
      <c r="H6" s="46">
        <f t="shared" si="0"/>
        <v>0</v>
      </c>
      <c r="I6" s="56" t="str">
        <f>IF(ISBLANK(ETPT_TJ_DDG!$D$5),"",IF(ISERROR(ETPT_TJ!I6),"",IF(ETPT_TJ!I6=0,"",ETPT_TJ!I6)))</f>
        <v/>
      </c>
      <c r="J6" s="56" t="str">
        <f>IF(ISBLANK(ETPT_TJ_DDG!$D$5),"",IF(ISERROR(ETPT_TJ!J6),"",IF(ETPT_TJ!J6=0,"",ETPT_TJ!J6)))</f>
        <v/>
      </c>
      <c r="K6" s="56" t="str">
        <f>IF(ISBLANK(ETPT_TJ_DDG!$D$5),"",IF(ISERROR(ETPT_TJ!K6),"",IF(ETPT_TJ!K6=0,"",ETPT_TJ!K6)))</f>
        <v/>
      </c>
      <c r="L6" s="56" t="str">
        <f>IF(ISBLANK(ETPT_TJ_DDG!$D$5),"",IF(ISERROR(ETPT_TJ!L6),"",IF(ETPT_TJ!L6=0,"",ETPT_TJ!L6)))</f>
        <v/>
      </c>
      <c r="M6" s="56" t="str">
        <f>IF(ISBLANK(ETPT_TJ_DDG!$D$5),"",IF(ISERROR(ETPT_TJ!M6),"",IF(ETPT_TJ!M6=0,"",ETPT_TJ!M6)))</f>
        <v/>
      </c>
      <c r="N6" s="56" t="str">
        <f>IF(ISBLANK(ETPT_TJ_DDG!$D$5),"",IF(ISERROR(ETPT_TJ!N6),"",IF(ETPT_TJ!N6=0,"",ETPT_TJ!N6)))</f>
        <v/>
      </c>
      <c r="O6" s="56" t="str">
        <f>IF(ISBLANK(ETPT_TJ_DDG!$D$5),"",IF(ISERROR(ETPT_TJ!O6),"",IF(ETPT_TJ!O6=0,"",ETPT_TJ!O6)))</f>
        <v/>
      </c>
      <c r="P6" s="56" t="str">
        <f>IF(ISBLANK(ETPT_TJ_DDG!$D$5),"",IF(ISERROR(ETPT_TJ!P6),"",IF(ETPT_TJ!P6=0,"",ETPT_TJ!P6)))</f>
        <v/>
      </c>
      <c r="Q6" s="56" t="str">
        <f>IF(ISBLANK(ETPT_TJ_DDG!$D$5),"",IF(ISERROR(ETPT_TJ!Q6),"",IF(ETPT_TJ!Q6=0,"",ETPT_TJ!Q6)))</f>
        <v/>
      </c>
      <c r="R6" s="56" t="str">
        <f>IF(ISBLANK(ETPT_TJ_DDG!$D$5),"",IF(ISERROR(ETPT_TJ!R6),"",IF(ETPT_TJ!R6=0,"",ETPT_TJ!R6)))</f>
        <v/>
      </c>
      <c r="S6" s="56" t="str">
        <f>IF(ISBLANK(ETPT_TJ_DDG!$D$5),"",IF(ISERROR(ETPT_TJ!S6),"",IF(ETPT_TJ!S6=0,"",ETPT_TJ!S6)))</f>
        <v/>
      </c>
      <c r="T6" s="56" t="str">
        <f>IF(ISBLANK(ETPT_TJ_DDG!$D$5),"",IF(ISERROR(ETPT_TJ!T6),"",IF(ETPT_TJ!T6=0,"",ETPT_TJ!T6)))</f>
        <v/>
      </c>
      <c r="U6" s="56" t="str">
        <f>IF(ISBLANK(ETPT_TJ_DDG!$D$5),"",IF(ISERROR(ETPT_TJ!U6),"",IF(ETPT_TJ!U6=0,"",ETPT_TJ!U6)))</f>
        <v/>
      </c>
      <c r="V6" s="56" t="str">
        <f>IF(ISBLANK(ETPT_TJ_DDG!$D$5),"",IF(ISERROR(ETPT_TJ!V6),"",IF(ETPT_TJ!V6=0,"",ETPT_TJ!V6)))</f>
        <v/>
      </c>
      <c r="W6" s="46">
        <f t="shared" si="1"/>
        <v>0</v>
      </c>
      <c r="X6" s="56" t="str">
        <f>IF(ISBLANK(ETPT_TJ_DDG!$D$5),"",IF(ISERROR(ETPT_TJ!X6),"",IF(ETPT_TJ!X6=0,"",ETPT_TJ!X6)))</f>
        <v/>
      </c>
      <c r="Y6" s="56" t="str">
        <f>IF(ISBLANK(ETPT_TJ_DDG!$D$5),"",IF(ISERROR(ETPT_TJ!Y6),"",IF(ETPT_TJ!Y6=0,"",ETPT_TJ!Y6)))</f>
        <v/>
      </c>
      <c r="Z6" s="56" t="str">
        <f>IF(ISBLANK(ETPT_TJ_DDG!$D$5),"",IF(ISERROR(ETPT_TJ!Z6),"",IF(ETPT_TJ!Z6=0,"",ETPT_TJ!Z6)))</f>
        <v/>
      </c>
      <c r="AA6" s="56" t="str">
        <f>IF(ISBLANK(ETPT_TJ_DDG!$D$5),"",IF(ISERROR(ETPT_TJ!AA6),"",IF(ETPT_TJ!AA6=0,"",ETPT_TJ!AA6)))</f>
        <v/>
      </c>
      <c r="AB6" s="56" t="str">
        <f>IF(ISBLANK(ETPT_TJ_DDG!$D$5),"",IF(ISERROR(ETPT_TJ!AB6),"",IF(ETPT_TJ!AB6=0,"",ETPT_TJ!AB6)))</f>
        <v/>
      </c>
      <c r="AC6" s="56" t="str">
        <f>IF(ISBLANK(ETPT_TJ_DDG!$D$5),"",IF(ISERROR(ETPT_TJ!AC6),"",IF(ETPT_TJ!AC6=0,"",ETPT_TJ!AC6)))</f>
        <v/>
      </c>
      <c r="AD6" s="56" t="str">
        <f>IF(ISBLANK(ETPT_TJ_DDG!$D$5),"",IF(ISERROR(ETPT_TJ!AD6),"",IF(ETPT_TJ!AD6=0,"",ETPT_TJ!AD6)))</f>
        <v/>
      </c>
      <c r="AE6" s="56" t="str">
        <f>IF(ISBLANK(ETPT_TJ_DDG!$D$5),"",IF(ISERROR(ETPT_TJ!AE6),"",IF(ETPT_TJ!AE6=0,"",ETPT_TJ!AE6)))</f>
        <v/>
      </c>
      <c r="AF6" s="56" t="str">
        <f>IF(ISBLANK(ETPT_TJ_DDG!$D$5),"",IF(ISERROR(ETPT_TJ!AF6),"",IF(ETPT_TJ!AF6=0,"",ETPT_TJ!AF6)))</f>
        <v/>
      </c>
      <c r="AG6" s="46">
        <f t="shared" si="2"/>
        <v>0</v>
      </c>
      <c r="AH6" s="56" t="str">
        <f>IF(ISBLANK(ETPT_TJ_DDG!$D$5),"",IF(ISERROR(ETPT_TJ!AH6),"",IF(ETPT_TJ!AH6=0,"",ETPT_TJ!AH6)))</f>
        <v/>
      </c>
      <c r="AI6" s="56" t="str">
        <f>IF(ISBLANK(ETPT_TJ_DDG!$D$5),"",IF(ISERROR(ETPT_TJ!AI6),"",IF(ETPT_TJ!AI6=0,"",ETPT_TJ!AI6)))</f>
        <v/>
      </c>
      <c r="AJ6" s="56" t="str">
        <f>IF(ISBLANK(ETPT_TJ_DDG!$D$5),"",IF(ISERROR(ETPT_TJ!AJ6),"",IF(ETPT_TJ!AJ6=0,"",ETPT_TJ!AJ6)))</f>
        <v/>
      </c>
      <c r="AK6" s="56" t="str">
        <f>IF(ISBLANK(ETPT_TJ_DDG!$D$5),"",IF(ISERROR(ETPT_TJ!AK6),"",IF(ETPT_TJ!AK6=0,"",ETPT_TJ!AK6)))</f>
        <v/>
      </c>
      <c r="AL6" s="56" t="str">
        <f>IF(ISBLANK(ETPT_TJ_DDG!$D$5),"",IF(ISERROR(ETPT_TJ!AL6),"",IF(ETPT_TJ!AL6=0,"",ETPT_TJ!AL6)))</f>
        <v/>
      </c>
      <c r="AM6" s="56" t="str">
        <f>IF(ISBLANK(ETPT_TJ_DDG!$D$5),"",IF(ISERROR(ETPT_TJ!AM6),"",IF(ETPT_TJ!AM6=0,"",ETPT_TJ!AM6)))</f>
        <v/>
      </c>
      <c r="AN6" s="56" t="str">
        <f>IF(ISBLANK(ETPT_TJ_DDG!$D$5),"",IF(ISERROR(ETPT_TJ!AN6),"",IF(ETPT_TJ!AN6=0,"",ETPT_TJ!AN6)))</f>
        <v/>
      </c>
      <c r="AO6" s="56" t="str">
        <f>IF(ISBLANK(ETPT_TJ_DDG!$D$5),"",IF(ISERROR(ETPT_TJ!AO6),"",IF(ETPT_TJ!AO6=0,"",ETPT_TJ!AO6)))</f>
        <v/>
      </c>
      <c r="AP6" s="56" t="str">
        <f>IF(ISBLANK(ETPT_TJ_DDG!$D$5),"",IF(ISERROR(ETPT_TJ!AP6),"",IF(ETPT_TJ!AP6=0,"",ETPT_TJ!AP6)))</f>
        <v/>
      </c>
      <c r="AQ6" s="56" t="str">
        <f>IF(ISBLANK(ETPT_TJ_DDG!$D$5),"",IF(ISERROR(ETPT_TJ!AQ6),"",IF(ETPT_TJ!AQ6=0,"",ETPT_TJ!AQ6)))</f>
        <v/>
      </c>
      <c r="AR6" s="56" t="str">
        <f>IF(ISBLANK(ETPT_TJ_DDG!$D$5),"",IF(ISERROR(ETPT_TJ!AR6),"",IF(ETPT_TJ!AR6=0,"",ETPT_TJ!AR6)))</f>
        <v/>
      </c>
      <c r="AS6" s="56" t="str">
        <f>IF(ISBLANK(ETPT_TJ_DDG!$D$5),"",IF(ISERROR(ETPT_TJ!AS6),"",IF(ETPT_TJ!AS6=0,"",ETPT_TJ!AS6)))</f>
        <v/>
      </c>
      <c r="AT6" s="56" t="str">
        <f>IF(ISBLANK(ETPT_TJ_DDG!$D$5),"",IF(ISERROR(ETPT_TJ!AT6),"",IF(ETPT_TJ!AT6=0,"",ETPT_TJ!AT6)))</f>
        <v/>
      </c>
      <c r="AU6" s="46">
        <f t="shared" si="3"/>
        <v>0</v>
      </c>
      <c r="AV6" s="52"/>
      <c r="AW6" s="52"/>
      <c r="AX6" s="52"/>
      <c r="AY6" s="52"/>
      <c r="AZ6" s="52"/>
      <c r="BA6" s="52"/>
      <c r="BB6" s="52"/>
      <c r="BC6" s="66"/>
      <c r="BD6" s="52"/>
      <c r="BE6" s="46">
        <f t="shared" si="4"/>
        <v>0</v>
      </c>
    </row>
    <row r="7" spans="1:58" s="41" customFormat="1" ht="14.25" customHeight="1" x14ac:dyDescent="0.15">
      <c r="A7" s="51" t="s">
        <v>42</v>
      </c>
      <c r="B7" s="60"/>
      <c r="C7" s="60"/>
      <c r="D7" s="130" t="str">
        <f t="shared" si="5"/>
        <v/>
      </c>
      <c r="E7" s="60" t="s">
        <v>58</v>
      </c>
      <c r="F7" s="60" t="s">
        <v>57</v>
      </c>
      <c r="G7" s="56" t="str">
        <f>IF(ISBLANK(ETPT_TJ_DDG!$D$5),"",IF(ISERROR(ETPT_TJ!G7),"",IF(ETPT_TJ!G7=0,"",ETPT_TJ!G7)))</f>
        <v/>
      </c>
      <c r="H7" s="46">
        <f t="shared" si="0"/>
        <v>0</v>
      </c>
      <c r="I7" s="56" t="str">
        <f>IF(ISBLANK(ETPT_TJ_DDG!$D$5),"",IF(ISERROR(ETPT_TJ!I7),"",IF(ETPT_TJ!I7=0,"",ETPT_TJ!I7)))</f>
        <v/>
      </c>
      <c r="J7" s="56" t="str">
        <f>IF(ISBLANK(ETPT_TJ_DDG!$D$5),"",IF(ISERROR(ETPT_TJ!J7),"",IF(ETPT_TJ!J7=0,"",ETPT_TJ!J7)))</f>
        <v/>
      </c>
      <c r="K7" s="56" t="str">
        <f>IF(ISBLANK(ETPT_TJ_DDG!$D$5),"",IF(ISERROR(ETPT_TJ!K7),"",IF(ETPT_TJ!K7=0,"",ETPT_TJ!K7)))</f>
        <v/>
      </c>
      <c r="L7" s="56" t="str">
        <f>IF(ISBLANK(ETPT_TJ_DDG!$D$5),"",IF(ISERROR(ETPT_TJ!L7),"",IF(ETPT_TJ!L7=0,"",ETPT_TJ!L7)))</f>
        <v/>
      </c>
      <c r="M7" s="56" t="str">
        <f>IF(ISBLANK(ETPT_TJ_DDG!$D$5),"",IF(ISERROR(ETPT_TJ!M7),"",IF(ETPT_TJ!M7=0,"",ETPT_TJ!M7)))</f>
        <v/>
      </c>
      <c r="N7" s="56" t="str">
        <f>IF(ISBLANK(ETPT_TJ_DDG!$D$5),"",IF(ISERROR(ETPT_TJ!N7),"",IF(ETPT_TJ!N7=0,"",ETPT_TJ!N7)))</f>
        <v/>
      </c>
      <c r="O7" s="56" t="str">
        <f>IF(ISBLANK(ETPT_TJ_DDG!$D$5),"",IF(ISERROR(ETPT_TJ!O7),"",IF(ETPT_TJ!O7=0,"",ETPT_TJ!O7)))</f>
        <v/>
      </c>
      <c r="P7" s="56" t="str">
        <f>IF(ISBLANK(ETPT_TJ_DDG!$D$5),"",IF(ISERROR(ETPT_TJ!P7),"",IF(ETPT_TJ!P7=0,"",ETPT_TJ!P7)))</f>
        <v/>
      </c>
      <c r="Q7" s="56" t="str">
        <f>IF(ISBLANK(ETPT_TJ_DDG!$D$5),"",IF(ISERROR(ETPT_TJ!Q7),"",IF(ETPT_TJ!Q7=0,"",ETPT_TJ!Q7)))</f>
        <v/>
      </c>
      <c r="R7" s="56" t="str">
        <f>IF(ISBLANK(ETPT_TJ_DDG!$D$5),"",IF(ISERROR(ETPT_TJ!R7),"",IF(ETPT_TJ!R7=0,"",ETPT_TJ!R7)))</f>
        <v/>
      </c>
      <c r="S7" s="56" t="str">
        <f>IF(ISBLANK(ETPT_TJ_DDG!$D$5),"",IF(ISERROR(ETPT_TJ!S7),"",IF(ETPT_TJ!S7=0,"",ETPT_TJ!S7)))</f>
        <v/>
      </c>
      <c r="T7" s="56" t="str">
        <f>IF(ISBLANK(ETPT_TJ_DDG!$D$5),"",IF(ISERROR(ETPT_TJ!T7),"",IF(ETPT_TJ!T7=0,"",ETPT_TJ!T7)))</f>
        <v/>
      </c>
      <c r="U7" s="56" t="str">
        <f>IF(ISBLANK(ETPT_TJ_DDG!$D$5),"",IF(ISERROR(ETPT_TJ!U7),"",IF(ETPT_TJ!U7=0,"",ETPT_TJ!U7)))</f>
        <v/>
      </c>
      <c r="V7" s="56" t="str">
        <f>IF(ISBLANK(ETPT_TJ_DDG!$D$5),"",IF(ISERROR(ETPT_TJ!V7),"",IF(ETPT_TJ!V7=0,"",ETPT_TJ!V7)))</f>
        <v/>
      </c>
      <c r="W7" s="46">
        <f t="shared" si="1"/>
        <v>0</v>
      </c>
      <c r="X7" s="56" t="str">
        <f>IF(ISBLANK(ETPT_TJ_DDG!$D$5),"",IF(ISERROR(ETPT_TJ!X7),"",IF(ETPT_TJ!X7=0,"",ETPT_TJ!X7)))</f>
        <v/>
      </c>
      <c r="Y7" s="56" t="str">
        <f>IF(ISBLANK(ETPT_TJ_DDG!$D$5),"",IF(ISERROR(ETPT_TJ!Y7),"",IF(ETPT_TJ!Y7=0,"",ETPT_TJ!Y7)))</f>
        <v/>
      </c>
      <c r="Z7" s="56" t="str">
        <f>IF(ISBLANK(ETPT_TJ_DDG!$D$5),"",IF(ISERROR(ETPT_TJ!Z7),"",IF(ETPT_TJ!Z7=0,"",ETPT_TJ!Z7)))</f>
        <v/>
      </c>
      <c r="AA7" s="56" t="str">
        <f>IF(ISBLANK(ETPT_TJ_DDG!$D$5),"",IF(ISERROR(ETPT_TJ!AA7),"",IF(ETPT_TJ!AA7=0,"",ETPT_TJ!AA7)))</f>
        <v/>
      </c>
      <c r="AB7" s="56" t="str">
        <f>IF(ISBLANK(ETPT_TJ_DDG!$D$5),"",IF(ISERROR(ETPT_TJ!AB7),"",IF(ETPT_TJ!AB7=0,"",ETPT_TJ!AB7)))</f>
        <v/>
      </c>
      <c r="AC7" s="56" t="str">
        <f>IF(ISBLANK(ETPT_TJ_DDG!$D$5),"",IF(ISERROR(ETPT_TJ!AC7),"",IF(ETPT_TJ!AC7=0,"",ETPT_TJ!AC7)))</f>
        <v/>
      </c>
      <c r="AD7" s="56" t="str">
        <f>IF(ISBLANK(ETPT_TJ_DDG!$D$5),"",IF(ISERROR(ETPT_TJ!AD7),"",IF(ETPT_TJ!AD7=0,"",ETPT_TJ!AD7)))</f>
        <v/>
      </c>
      <c r="AE7" s="56" t="str">
        <f>IF(ISBLANK(ETPT_TJ_DDG!$D$5),"",IF(ISERROR(ETPT_TJ!AE7),"",IF(ETPT_TJ!AE7=0,"",ETPT_TJ!AE7)))</f>
        <v/>
      </c>
      <c r="AF7" s="56" t="str">
        <f>IF(ISBLANK(ETPT_TJ_DDG!$D$5),"",IF(ISERROR(ETPT_TJ!AF7),"",IF(ETPT_TJ!AF7=0,"",ETPT_TJ!AF7)))</f>
        <v/>
      </c>
      <c r="AG7" s="46">
        <f t="shared" si="2"/>
        <v>0</v>
      </c>
      <c r="AH7" s="56" t="str">
        <f>IF(ISBLANK(ETPT_TJ_DDG!$D$5),"",IF(ISERROR(ETPT_TJ!AH7),"",IF(ETPT_TJ!AH7=0,"",ETPT_TJ!AH7)))</f>
        <v/>
      </c>
      <c r="AI7" s="56" t="str">
        <f>IF(ISBLANK(ETPT_TJ_DDG!$D$5),"",IF(ISERROR(ETPT_TJ!AI7),"",IF(ETPT_TJ!AI7=0,"",ETPT_TJ!AI7)))</f>
        <v/>
      </c>
      <c r="AJ7" s="56" t="str">
        <f>IF(ISBLANK(ETPT_TJ_DDG!$D$5),"",IF(ISERROR(ETPT_TJ!AJ7),"",IF(ETPT_TJ!AJ7=0,"",ETPT_TJ!AJ7)))</f>
        <v/>
      </c>
      <c r="AK7" s="56" t="str">
        <f>IF(ISBLANK(ETPT_TJ_DDG!$D$5),"",IF(ISERROR(ETPT_TJ!AK7),"",IF(ETPT_TJ!AK7=0,"",ETPT_TJ!AK7)))</f>
        <v/>
      </c>
      <c r="AL7" s="56" t="str">
        <f>IF(ISBLANK(ETPT_TJ_DDG!$D$5),"",IF(ISERROR(ETPT_TJ!AL7),"",IF(ETPT_TJ!AL7=0,"",ETPT_TJ!AL7)))</f>
        <v/>
      </c>
      <c r="AM7" s="56" t="str">
        <f>IF(ISBLANK(ETPT_TJ_DDG!$D$5),"",IF(ISERROR(ETPT_TJ!AM7),"",IF(ETPT_TJ!AM7=0,"",ETPT_TJ!AM7)))</f>
        <v/>
      </c>
      <c r="AN7" s="56" t="str">
        <f>IF(ISBLANK(ETPT_TJ_DDG!$D$5),"",IF(ISERROR(ETPT_TJ!AN7),"",IF(ETPT_TJ!AN7=0,"",ETPT_TJ!AN7)))</f>
        <v/>
      </c>
      <c r="AO7" s="56" t="str">
        <f>IF(ISBLANK(ETPT_TJ_DDG!$D$5),"",IF(ISERROR(ETPT_TJ!AO7),"",IF(ETPT_TJ!AO7=0,"",ETPT_TJ!AO7)))</f>
        <v/>
      </c>
      <c r="AP7" s="56" t="str">
        <f>IF(ISBLANK(ETPT_TJ_DDG!$D$5),"",IF(ISERROR(ETPT_TJ!AP7),"",IF(ETPT_TJ!AP7=0,"",ETPT_TJ!AP7)))</f>
        <v/>
      </c>
      <c r="AQ7" s="56" t="str">
        <f>IF(ISBLANK(ETPT_TJ_DDG!$D$5),"",IF(ISERROR(ETPT_TJ!AQ7),"",IF(ETPT_TJ!AQ7=0,"",ETPT_TJ!AQ7)))</f>
        <v/>
      </c>
      <c r="AR7" s="56" t="str">
        <f>IF(ISBLANK(ETPT_TJ_DDG!$D$5),"",IF(ISERROR(ETPT_TJ!AR7),"",IF(ETPT_TJ!AR7=0,"",ETPT_TJ!AR7)))</f>
        <v/>
      </c>
      <c r="AS7" s="56" t="str">
        <f>IF(ISBLANK(ETPT_TJ_DDG!$D$5),"",IF(ISERROR(ETPT_TJ!AS7),"",IF(ETPT_TJ!AS7=0,"",ETPT_TJ!AS7)))</f>
        <v/>
      </c>
      <c r="AT7" s="56" t="str">
        <f>IF(ISBLANK(ETPT_TJ_DDG!$D$5),"",IF(ISERROR(ETPT_TJ!AT7),"",IF(ETPT_TJ!AT7=0,"",ETPT_TJ!AT7)))</f>
        <v/>
      </c>
      <c r="AU7" s="46">
        <f t="shared" si="3"/>
        <v>0</v>
      </c>
      <c r="AV7" s="52"/>
      <c r="AW7" s="52"/>
      <c r="AX7" s="52"/>
      <c r="AY7" s="52"/>
      <c r="AZ7" s="52"/>
      <c r="BA7" s="52"/>
      <c r="BB7" s="52"/>
      <c r="BC7" s="52"/>
      <c r="BD7" s="52"/>
      <c r="BE7" s="46">
        <f t="shared" si="4"/>
        <v>0</v>
      </c>
    </row>
    <row r="8" spans="1:58" s="41" customFormat="1" ht="14.25" customHeight="1" x14ac:dyDescent="0.15">
      <c r="A8" s="51" t="s">
        <v>42</v>
      </c>
      <c r="B8" s="60"/>
      <c r="C8" s="60"/>
      <c r="D8" s="130" t="str">
        <f t="shared" si="5"/>
        <v/>
      </c>
      <c r="E8" s="60" t="s">
        <v>56</v>
      </c>
      <c r="F8" s="60" t="s">
        <v>55</v>
      </c>
      <c r="G8" s="56" t="str">
        <f>IF(ISBLANK(ETPT_TJ_DDG!$D$5),"",IF(ISERROR(ETPT_TJ!G8),"",IF(ETPT_TJ!G8=0,"",ETPT_TJ!G8)))</f>
        <v/>
      </c>
      <c r="H8" s="46">
        <f t="shared" si="0"/>
        <v>0</v>
      </c>
      <c r="I8" s="56" t="str">
        <f>IF(ISBLANK(ETPT_TJ_DDG!$D$5),"",IF(ISERROR(ETPT_TJ!I8),"",IF(ETPT_TJ!I8=0,"",ETPT_TJ!I8)))</f>
        <v/>
      </c>
      <c r="J8" s="56" t="str">
        <f>IF(ISBLANK(ETPT_TJ_DDG!$D$5),"",IF(ISERROR(ETPT_TJ!J8),"",IF(ETPT_TJ!J8=0,"",ETPT_TJ!J8)))</f>
        <v/>
      </c>
      <c r="K8" s="56" t="str">
        <f>IF(ISBLANK(ETPT_TJ_DDG!$D$5),"",IF(ISERROR(ETPT_TJ!K8),"",IF(ETPT_TJ!K8=0,"",ETPT_TJ!K8)))</f>
        <v/>
      </c>
      <c r="L8" s="56" t="str">
        <f>IF(ISBLANK(ETPT_TJ_DDG!$D$5),"",IF(ISERROR(ETPT_TJ!L8),"",IF(ETPT_TJ!L8=0,"",ETPT_TJ!L8)))</f>
        <v/>
      </c>
      <c r="M8" s="56" t="str">
        <f>IF(ISBLANK(ETPT_TJ_DDG!$D$5),"",IF(ISERROR(ETPT_TJ!M8),"",IF(ETPT_TJ!M8=0,"",ETPT_TJ!M8)))</f>
        <v/>
      </c>
      <c r="N8" s="56" t="str">
        <f>IF(ISBLANK(ETPT_TJ_DDG!$D$5),"",IF(ISERROR(ETPT_TJ!N8),"",IF(ETPT_TJ!N8=0,"",ETPT_TJ!N8)))</f>
        <v/>
      </c>
      <c r="O8" s="56" t="str">
        <f>IF(ISBLANK(ETPT_TJ_DDG!$D$5),"",IF(ISERROR(ETPT_TJ!O8),"",IF(ETPT_TJ!O8=0,"",ETPT_TJ!O8)))</f>
        <v/>
      </c>
      <c r="P8" s="56" t="str">
        <f>IF(ISBLANK(ETPT_TJ_DDG!$D$5),"",IF(ISERROR(ETPT_TJ!P8),"",IF(ETPT_TJ!P8=0,"",ETPT_TJ!P8)))</f>
        <v/>
      </c>
      <c r="Q8" s="56" t="str">
        <f>IF(ISBLANK(ETPT_TJ_DDG!$D$5),"",IF(ISERROR(ETPT_TJ!Q8),"",IF(ETPT_TJ!Q8=0,"",ETPT_TJ!Q8)))</f>
        <v/>
      </c>
      <c r="R8" s="56" t="str">
        <f>IF(ISBLANK(ETPT_TJ_DDG!$D$5),"",IF(ISERROR(ETPT_TJ!R8),"",IF(ETPT_TJ!R8=0,"",ETPT_TJ!R8)))</f>
        <v/>
      </c>
      <c r="S8" s="56" t="str">
        <f>IF(ISBLANK(ETPT_TJ_DDG!$D$5),"",IF(ISERROR(ETPT_TJ!S8),"",IF(ETPT_TJ!S8=0,"",ETPT_TJ!S8)))</f>
        <v/>
      </c>
      <c r="T8" s="56" t="str">
        <f>IF(ISBLANK(ETPT_TJ_DDG!$D$5),"",IF(ISERROR(ETPT_TJ!T8),"",IF(ETPT_TJ!T8=0,"",ETPT_TJ!T8)))</f>
        <v/>
      </c>
      <c r="U8" s="56" t="str">
        <f>IF(ISBLANK(ETPT_TJ_DDG!$D$5),"",IF(ISERROR(ETPT_TJ!U8),"",IF(ETPT_TJ!U8=0,"",ETPT_TJ!U8)))</f>
        <v/>
      </c>
      <c r="V8" s="56" t="str">
        <f>IF(ISBLANK(ETPT_TJ_DDG!$D$5),"",IF(ISERROR(ETPT_TJ!V8),"",IF(ETPT_TJ!V8=0,"",ETPT_TJ!V8)))</f>
        <v/>
      </c>
      <c r="W8" s="46">
        <f t="shared" si="1"/>
        <v>0</v>
      </c>
      <c r="X8" s="56" t="str">
        <f>IF(ISBLANK(ETPT_TJ_DDG!$D$5),"",IF(ISERROR(ETPT_TJ!X8),"",IF(ETPT_TJ!X8=0,"",ETPT_TJ!X8)))</f>
        <v/>
      </c>
      <c r="Y8" s="56" t="str">
        <f>IF(ISBLANK(ETPT_TJ_DDG!$D$5),"",IF(ISERROR(ETPT_TJ!#REF!),"",IF(ETPT_TJ!#REF!=0,"",ETPT_TJ!#REF!)))</f>
        <v/>
      </c>
      <c r="Z8" s="56" t="str">
        <f>IF(ISBLANK(ETPT_TJ_DDG!$D$5),"",IF(ISERROR(ETPT_TJ!Z8),"",IF(ETPT_TJ!Z8=0,"",ETPT_TJ!Z8)))</f>
        <v/>
      </c>
      <c r="AA8" s="56" t="str">
        <f>IF(ISBLANK(ETPT_TJ_DDG!$D$5),"",IF(ISERROR(ETPT_TJ!AA8),"",IF(ETPT_TJ!AA8=0,"",ETPT_TJ!AA8)))</f>
        <v/>
      </c>
      <c r="AB8" s="56" t="str">
        <f>IF(ISBLANK(ETPT_TJ_DDG!$D$5),"",IF(ISERROR(ETPT_TJ!AB8),"",IF(ETPT_TJ!AB8=0,"",ETPT_TJ!AB8)))</f>
        <v/>
      </c>
      <c r="AC8" s="56" t="str">
        <f>IF(ISBLANK(ETPT_TJ_DDG!$D$5),"",IF(ISERROR(ETPT_TJ!AC8),"",IF(ETPT_TJ!AC8=0,"",ETPT_TJ!AC8)))</f>
        <v/>
      </c>
      <c r="AD8" s="56" t="str">
        <f>IF(ISBLANK(ETPT_TJ_DDG!$D$5),"",IF(ISERROR(ETPT_TJ!AD8),"",IF(ETPT_TJ!AD8=0,"",ETPT_TJ!AD8)))</f>
        <v/>
      </c>
      <c r="AE8" s="56" t="str">
        <f>IF(ISBLANK(ETPT_TJ_DDG!$D$5),"",IF(ISERROR(ETPT_TJ!AE8),"",IF(ETPT_TJ!AE8=0,"",ETPT_TJ!AE8)))</f>
        <v/>
      </c>
      <c r="AF8" s="56" t="str">
        <f>IF(ISBLANK(ETPT_TJ_DDG!$D$5),"",IF(ISERROR(ETPT_TJ!AF8),"",IF(ETPT_TJ!AF8=0,"",ETPT_TJ!AF8)))</f>
        <v/>
      </c>
      <c r="AG8" s="46">
        <f t="shared" si="2"/>
        <v>0</v>
      </c>
      <c r="AH8" s="56" t="str">
        <f>IF(ISBLANK(ETPT_TJ_DDG!$D$5),"",IF(ISERROR(ETPT_TJ!AH8),"",IF(ETPT_TJ!AH8=0,"",ETPT_TJ!AH8)))</f>
        <v/>
      </c>
      <c r="AI8" s="56" t="str">
        <f>IF(ISBLANK(ETPT_TJ_DDG!$D$5),"",IF(ISERROR(ETPT_TJ!AI8),"",IF(ETPT_TJ!AI8=0,"",ETPT_TJ!AI8)))</f>
        <v/>
      </c>
      <c r="AJ8" s="56" t="str">
        <f>IF(ISBLANK(ETPT_TJ_DDG!$D$5),"",IF(ISERROR(ETPT_TJ!AJ8),"",IF(ETPT_TJ!AJ8=0,"",ETPT_TJ!AJ8)))</f>
        <v/>
      </c>
      <c r="AK8" s="56" t="str">
        <f>IF(ISBLANK(ETPT_TJ_DDG!$D$5),"",IF(ISERROR(ETPT_TJ!AK8),"",IF(ETPT_TJ!AK8=0,"",ETPT_TJ!AK8)))</f>
        <v/>
      </c>
      <c r="AL8" s="56" t="str">
        <f>IF(ISBLANK(ETPT_TJ_DDG!$D$5),"",IF(ISERROR(ETPT_TJ!AL8),"",IF(ETPT_TJ!AL8=0,"",ETPT_TJ!AL8)))</f>
        <v/>
      </c>
      <c r="AM8" s="56" t="str">
        <f>IF(ISBLANK(ETPT_TJ_DDG!$D$5),"",IF(ISERROR(ETPT_TJ!AM8),"",IF(ETPT_TJ!AM8=0,"",ETPT_TJ!AM8)))</f>
        <v/>
      </c>
      <c r="AN8" s="56" t="str">
        <f>IF(ISBLANK(ETPT_TJ_DDG!$D$5),"",IF(ISERROR(ETPT_TJ!AN8),"",IF(ETPT_TJ!AN8=0,"",ETPT_TJ!AN8)))</f>
        <v/>
      </c>
      <c r="AO8" s="56" t="str">
        <f>IF(ISBLANK(ETPT_TJ_DDG!$D$5),"",IF(ISERROR(ETPT_TJ!AO8),"",IF(ETPT_TJ!AO8=0,"",ETPT_TJ!AO8)))</f>
        <v/>
      </c>
      <c r="AP8" s="56" t="str">
        <f>IF(ISBLANK(ETPT_TJ_DDG!$D$5),"",IF(ISERROR(ETPT_TJ!AP8),"",IF(ETPT_TJ!AP8=0,"",ETPT_TJ!AP8)))</f>
        <v/>
      </c>
      <c r="AQ8" s="56" t="str">
        <f>IF(ISBLANK(ETPT_TJ_DDG!$D$5),"",IF(ISERROR(ETPT_TJ!AQ8),"",IF(ETPT_TJ!AQ8=0,"",ETPT_TJ!AQ8)))</f>
        <v/>
      </c>
      <c r="AR8" s="56" t="str">
        <f>IF(ISBLANK(ETPT_TJ_DDG!$D$5),"",IF(ISERROR(ETPT_TJ!AR8),"",IF(ETPT_TJ!AR8=0,"",ETPT_TJ!AR8)))</f>
        <v/>
      </c>
      <c r="AS8" s="56" t="str">
        <f>IF(ISBLANK(ETPT_TJ_DDG!$D$5),"",IF(ISERROR(ETPT_TJ!AS8),"",IF(ETPT_TJ!AS8=0,"",ETPT_TJ!AS8)))</f>
        <v/>
      </c>
      <c r="AT8" s="56" t="str">
        <f>IF(ISBLANK(ETPT_TJ_DDG!$D$5),"",IF(ISERROR(ETPT_TJ!AT8),"",IF(ETPT_TJ!AT8=0,"",ETPT_TJ!AT8)))</f>
        <v/>
      </c>
      <c r="AU8" s="46">
        <f t="shared" si="3"/>
        <v>0</v>
      </c>
      <c r="AV8" s="52"/>
      <c r="AW8" s="52"/>
      <c r="AX8" s="52"/>
      <c r="AY8" s="52"/>
      <c r="AZ8" s="52"/>
      <c r="BA8" s="52"/>
      <c r="BB8" s="52"/>
      <c r="BC8" s="52"/>
      <c r="BD8" s="52"/>
      <c r="BE8" s="46">
        <f t="shared" si="4"/>
        <v>0</v>
      </c>
    </row>
    <row r="9" spans="1:58" s="41" customFormat="1" ht="14.25" customHeight="1" x14ac:dyDescent="0.15">
      <c r="A9" s="51" t="s">
        <v>42</v>
      </c>
      <c r="B9" s="60"/>
      <c r="C9" s="60"/>
      <c r="D9" s="130" t="str">
        <f t="shared" si="5"/>
        <v/>
      </c>
      <c r="E9" s="60" t="s">
        <v>54</v>
      </c>
      <c r="F9" s="60" t="s">
        <v>53</v>
      </c>
      <c r="G9" s="56" t="str">
        <f>IF(ISBLANK(ETPT_TJ_DDG!$D$5),"",IF(ISERROR(ETPT_TJ!G9),"",IF(ETPT_TJ!G9=0,"",ETPT_TJ!G9)))</f>
        <v/>
      </c>
      <c r="H9" s="46">
        <f t="shared" si="0"/>
        <v>0</v>
      </c>
      <c r="I9" s="56" t="str">
        <f>IF(ISBLANK(ETPT_TJ_DDG!$D$5),"",IF(ISERROR(ETPT_TJ!I9),"",IF(ETPT_TJ!I9=0,"",ETPT_TJ!I9)))</f>
        <v/>
      </c>
      <c r="J9" s="56" t="str">
        <f>IF(ISBLANK(ETPT_TJ_DDG!$D$5),"",IF(ISERROR(ETPT_TJ!J9),"",IF(ETPT_TJ!J9=0,"",ETPT_TJ!J9)))</f>
        <v/>
      </c>
      <c r="K9" s="56" t="str">
        <f>IF(ISBLANK(ETPT_TJ_DDG!$D$5),"",IF(ISERROR(ETPT_TJ!K9),"",IF(ETPT_TJ!K9=0,"",ETPT_TJ!K9)))</f>
        <v/>
      </c>
      <c r="L9" s="56" t="str">
        <f>IF(ISBLANK(ETPT_TJ_DDG!$D$5),"",IF(ISERROR(ETPT_TJ!L9),"",IF(ETPT_TJ!L9=0,"",ETPT_TJ!L9)))</f>
        <v/>
      </c>
      <c r="M9" s="56" t="str">
        <f>IF(ISBLANK(ETPT_TJ_DDG!$D$5),"",IF(ISERROR(ETPT_TJ!M9),"",IF(ETPT_TJ!M9=0,"",ETPT_TJ!M9)))</f>
        <v/>
      </c>
      <c r="N9" s="56" t="str">
        <f>IF(ISBLANK(ETPT_TJ_DDG!$D$5),"",IF(ISERROR(ETPT_TJ!N9),"",IF(ETPT_TJ!N9=0,"",ETPT_TJ!N9)))</f>
        <v/>
      </c>
      <c r="O9" s="56" t="str">
        <f>IF(ISBLANK(ETPT_TJ_DDG!$D$5),"",IF(ISERROR(ETPT_TJ!O9),"",IF(ETPT_TJ!O9=0,"",ETPT_TJ!O9)))</f>
        <v/>
      </c>
      <c r="P9" s="56" t="str">
        <f>IF(ISBLANK(ETPT_TJ_DDG!$D$5),"",IF(ISERROR(ETPT_TJ!P9),"",IF(ETPT_TJ!P9=0,"",ETPT_TJ!P9)))</f>
        <v/>
      </c>
      <c r="Q9" s="56" t="str">
        <f>IF(ISBLANK(ETPT_TJ_DDG!$D$5),"",IF(ISERROR(ETPT_TJ!Q9),"",IF(ETPT_TJ!Q9=0,"",ETPT_TJ!Q9)))</f>
        <v/>
      </c>
      <c r="R9" s="56" t="str">
        <f>IF(ISBLANK(ETPT_TJ_DDG!$D$5),"",IF(ISERROR(ETPT_TJ!R9),"",IF(ETPT_TJ!R9=0,"",ETPT_TJ!R9)))</f>
        <v/>
      </c>
      <c r="S9" s="56" t="str">
        <f>IF(ISBLANK(ETPT_TJ_DDG!$D$5),"",IF(ISERROR(ETPT_TJ!S9),"",IF(ETPT_TJ!S9=0,"",ETPT_TJ!S9)))</f>
        <v/>
      </c>
      <c r="T9" s="56" t="str">
        <f>IF(ISBLANK(ETPT_TJ_DDG!$D$5),"",IF(ISERROR(ETPT_TJ!T9),"",IF(ETPT_TJ!T9=0,"",ETPT_TJ!T9)))</f>
        <v/>
      </c>
      <c r="U9" s="56" t="str">
        <f>IF(ISBLANK(ETPT_TJ_DDG!$D$5),"",IF(ISERROR(ETPT_TJ!U9),"",IF(ETPT_TJ!U9=0,"",ETPT_TJ!U9)))</f>
        <v/>
      </c>
      <c r="V9" s="56" t="str">
        <f>IF(ISBLANK(ETPT_TJ_DDG!$D$5),"",IF(ISERROR(ETPT_TJ!V9),"",IF(ETPT_TJ!V9=0,"",ETPT_TJ!V9)))</f>
        <v/>
      </c>
      <c r="W9" s="46">
        <f t="shared" si="1"/>
        <v>0</v>
      </c>
      <c r="X9" s="56" t="str">
        <f>IF(ISBLANK(ETPT_TJ_DDG!$D$5),"",IF(ISERROR(ETPT_TJ!X9),"",IF(ETPT_TJ!X9=0,"",ETPT_TJ!X9)))</f>
        <v/>
      </c>
      <c r="Y9" s="56" t="str">
        <f>IF(ISBLANK(ETPT_TJ_DDG!$D$5),"",IF(ISERROR(ETPT_TJ!Y8),"",IF(ETPT_TJ!Y8=0,"",ETPT_TJ!Y8)))</f>
        <v/>
      </c>
      <c r="Z9" s="56" t="str">
        <f>IF(ISBLANK(ETPT_TJ_DDG!$D$5),"",IF(ISERROR(ETPT_TJ!Z9),"",IF(ETPT_TJ!Z9=0,"",ETPT_TJ!Z9)))</f>
        <v/>
      </c>
      <c r="AA9" s="56" t="str">
        <f>IF(ISBLANK(ETPT_TJ_DDG!$D$5),"",IF(ISERROR(ETPT_TJ!AA9),"",IF(ETPT_TJ!AA9=0,"",ETPT_TJ!AA9)))</f>
        <v/>
      </c>
      <c r="AB9" s="56" t="str">
        <f>IF(ISBLANK(ETPT_TJ_DDG!$D$5),"",IF(ISERROR(ETPT_TJ!AB9),"",IF(ETPT_TJ!AB9=0,"",ETPT_TJ!AB9)))</f>
        <v/>
      </c>
      <c r="AC9" s="56" t="str">
        <f>IF(ISBLANK(ETPT_TJ_DDG!$D$5),"",IF(ISERROR(ETPT_TJ!AC9),"",IF(ETPT_TJ!AC9=0,"",ETPT_TJ!AC9)))</f>
        <v/>
      </c>
      <c r="AD9" s="56" t="str">
        <f>IF(ISBLANK(ETPT_TJ_DDG!$D$5),"",IF(ISERROR(ETPT_TJ!AD9),"",IF(ETPT_TJ!AD9=0,"",ETPT_TJ!AD9)))</f>
        <v/>
      </c>
      <c r="AE9" s="56" t="str">
        <f>IF(ISBLANK(ETPT_TJ_DDG!$D$5),"",IF(ISERROR(ETPT_TJ!AE9),"",IF(ETPT_TJ!AE9=0,"",ETPT_TJ!AE9)))</f>
        <v/>
      </c>
      <c r="AF9" s="56" t="str">
        <f>IF(ISBLANK(ETPT_TJ_DDG!$D$5),"",IF(ISERROR(ETPT_TJ!AF9),"",IF(ETPT_TJ!AF9=0,"",ETPT_TJ!AF9)))</f>
        <v/>
      </c>
      <c r="AG9" s="46">
        <f t="shared" si="2"/>
        <v>0</v>
      </c>
      <c r="AH9" s="56" t="str">
        <f>IF(ISBLANK(ETPT_TJ_DDG!$D$5),"",IF(ISERROR(ETPT_TJ!AH9),"",IF(ETPT_TJ!AH9=0,"",ETPT_TJ!AH9)))</f>
        <v/>
      </c>
      <c r="AI9" s="56" t="str">
        <f>IF(ISBLANK(ETPT_TJ_DDG!$D$5),"",IF(ISERROR(ETPT_TJ!AI9),"",IF(ETPT_TJ!AI9=0,"",ETPT_TJ!AI9)))</f>
        <v/>
      </c>
      <c r="AJ9" s="56" t="str">
        <f>IF(ISBLANK(ETPT_TJ_DDG!$D$5),"",IF(ISERROR(ETPT_TJ!AJ9),"",IF(ETPT_TJ!AJ9=0,"",ETPT_TJ!AJ9)))</f>
        <v/>
      </c>
      <c r="AK9" s="56" t="str">
        <f>IF(ISBLANK(ETPT_TJ_DDG!$D$5),"",IF(ISERROR(ETPT_TJ!AK9),"",IF(ETPT_TJ!AK9=0,"",ETPT_TJ!AK9)))</f>
        <v/>
      </c>
      <c r="AL9" s="56" t="str">
        <f>IF(ISBLANK(ETPT_TJ_DDG!$D$5),"",IF(ISERROR(ETPT_TJ!AL9),"",IF(ETPT_TJ!AL9=0,"",ETPT_TJ!AL9)))</f>
        <v/>
      </c>
      <c r="AM9" s="56" t="str">
        <f>IF(ISBLANK(ETPT_TJ_DDG!$D$5),"",IF(ISERROR(ETPT_TJ!AM9),"",IF(ETPT_TJ!AM9=0,"",ETPT_TJ!AM9)))</f>
        <v/>
      </c>
      <c r="AN9" s="56" t="str">
        <f>IF(ISBLANK(ETPT_TJ_DDG!$D$5),"",IF(ISERROR(ETPT_TJ!AN9),"",IF(ETPT_TJ!AN9=0,"",ETPT_TJ!AN9)))</f>
        <v/>
      </c>
      <c r="AO9" s="56" t="str">
        <f>IF(ISBLANK(ETPT_TJ_DDG!$D$5),"",IF(ISERROR(ETPT_TJ!AO9),"",IF(ETPT_TJ!AO9=0,"",ETPT_TJ!AO9)))</f>
        <v/>
      </c>
      <c r="AP9" s="56" t="str">
        <f>IF(ISBLANK(ETPT_TJ_DDG!$D$5),"",IF(ISERROR(ETPT_TJ!AP9),"",IF(ETPT_TJ!AP9=0,"",ETPT_TJ!AP9)))</f>
        <v/>
      </c>
      <c r="AQ9" s="56" t="str">
        <f>IF(ISBLANK(ETPT_TJ_DDG!$D$5),"",IF(ISERROR(ETPT_TJ!AQ9),"",IF(ETPT_TJ!AQ9=0,"",ETPT_TJ!AQ9)))</f>
        <v/>
      </c>
      <c r="AR9" s="56" t="str">
        <f>IF(ISBLANK(ETPT_TJ_DDG!$D$5),"",IF(ISERROR(ETPT_TJ!AR9),"",IF(ETPT_TJ!AR9=0,"",ETPT_TJ!AR9)))</f>
        <v/>
      </c>
      <c r="AS9" s="56" t="str">
        <f>IF(ISBLANK(ETPT_TJ_DDG!$D$5),"",IF(ISERROR(ETPT_TJ!AS9),"",IF(ETPT_TJ!AS9=0,"",ETPT_TJ!AS9)))</f>
        <v/>
      </c>
      <c r="AT9" s="56" t="str">
        <f>IF(ISBLANK(ETPT_TJ_DDG!$D$5),"",IF(ISERROR(ETPT_TJ!AT9),"",IF(ETPT_TJ!AT9=0,"",ETPT_TJ!AT9)))</f>
        <v/>
      </c>
      <c r="AU9" s="46">
        <f t="shared" si="3"/>
        <v>0</v>
      </c>
      <c r="AV9" s="52"/>
      <c r="AW9" s="52"/>
      <c r="AX9" s="52"/>
      <c r="AY9" s="52"/>
      <c r="AZ9" s="52"/>
      <c r="BA9" s="52"/>
      <c r="BB9" s="52"/>
      <c r="BC9" s="52"/>
      <c r="BD9" s="52"/>
      <c r="BE9" s="46">
        <f t="shared" si="4"/>
        <v>0</v>
      </c>
    </row>
    <row r="10" spans="1:58" s="41" customFormat="1" ht="14.25" customHeight="1" x14ac:dyDescent="0.15">
      <c r="A10" s="51" t="s">
        <v>42</v>
      </c>
      <c r="B10" s="60"/>
      <c r="C10" s="60"/>
      <c r="D10" s="130" t="str">
        <f t="shared" si="5"/>
        <v/>
      </c>
      <c r="E10" s="60" t="s">
        <v>52</v>
      </c>
      <c r="F10" s="60" t="s">
        <v>51</v>
      </c>
      <c r="G10" s="56" t="str">
        <f>IF(ISBLANK(ETPT_TJ_DDG!$D$5),"",IF(ISERROR(ETPT_TJ!G10),"",IF(ETPT_TJ!G10=0,"",ETPT_TJ!G10)))</f>
        <v/>
      </c>
      <c r="H10" s="46">
        <f t="shared" si="0"/>
        <v>0</v>
      </c>
      <c r="I10" s="56" t="str">
        <f>IF(ISBLANK(ETPT_TJ_DDG!$D$5),"",IF(ISERROR(ETPT_TJ!I10),"",IF(ETPT_TJ!I10=0,"",ETPT_TJ!I10)))</f>
        <v/>
      </c>
      <c r="J10" s="56" t="str">
        <f>IF(ISBLANK(ETPT_TJ_DDG!$D$5),"",IF(ISERROR(ETPT_TJ!J10),"",IF(ETPT_TJ!J10=0,"",ETPT_TJ!J10)))</f>
        <v/>
      </c>
      <c r="K10" s="56" t="str">
        <f>IF(ISBLANK(ETPT_TJ_DDG!$D$5),"",IF(ISERROR(ETPT_TJ!K10),"",IF(ETPT_TJ!K10=0,"",ETPT_TJ!K10)))</f>
        <v/>
      </c>
      <c r="L10" s="56" t="str">
        <f>IF(ISBLANK(ETPT_TJ_DDG!$D$5),"",IF(ISERROR(ETPT_TJ!L10),"",IF(ETPT_TJ!L10=0,"",ETPT_TJ!L10)))</f>
        <v/>
      </c>
      <c r="M10" s="56" t="str">
        <f>IF(ISBLANK(ETPT_TJ_DDG!$D$5),"",IF(ISERROR(ETPT_TJ!M10),"",IF(ETPT_TJ!M10=0,"",ETPT_TJ!M10)))</f>
        <v/>
      </c>
      <c r="N10" s="56" t="str">
        <f>IF(ISBLANK(ETPT_TJ_DDG!$D$5),"",IF(ISERROR(ETPT_TJ!N10),"",IF(ETPT_TJ!N10=0,"",ETPT_TJ!N10)))</f>
        <v/>
      </c>
      <c r="O10" s="56" t="str">
        <f>IF(ISBLANK(ETPT_TJ_DDG!$D$5),"",IF(ISERROR(ETPT_TJ!O10),"",IF(ETPT_TJ!O10=0,"",ETPT_TJ!O10)))</f>
        <v/>
      </c>
      <c r="P10" s="56" t="str">
        <f>IF(ISBLANK(ETPT_TJ_DDG!$D$5),"",IF(ISERROR(ETPT_TJ!P10),"",IF(ETPT_TJ!P10=0,"",ETPT_TJ!P10)))</f>
        <v/>
      </c>
      <c r="Q10" s="56" t="str">
        <f>IF(ISBLANK(ETPT_TJ_DDG!$D$5),"",IF(ISERROR(ETPT_TJ!Q10),"",IF(ETPT_TJ!Q10=0,"",ETPT_TJ!Q10)))</f>
        <v/>
      </c>
      <c r="R10" s="56" t="str">
        <f>IF(ISBLANK(ETPT_TJ_DDG!$D$5),"",IF(ISERROR(ETPT_TJ!R10),"",IF(ETPT_TJ!R10=0,"",ETPT_TJ!R10)))</f>
        <v/>
      </c>
      <c r="S10" s="56" t="str">
        <f>IF(ISBLANK(ETPT_TJ_DDG!$D$5),"",IF(ISERROR(ETPT_TJ!S10),"",IF(ETPT_TJ!S10=0,"",ETPT_TJ!S10)))</f>
        <v/>
      </c>
      <c r="T10" s="56" t="str">
        <f>IF(ISBLANK(ETPT_TJ_DDG!$D$5),"",IF(ISERROR(ETPT_TJ!T10),"",IF(ETPT_TJ!T10=0,"",ETPT_TJ!T10)))</f>
        <v/>
      </c>
      <c r="U10" s="56" t="str">
        <f>IF(ISBLANK(ETPT_TJ_DDG!$D$5),"",IF(ISERROR(ETPT_TJ!U10),"",IF(ETPT_TJ!U10=0,"",ETPT_TJ!U10)))</f>
        <v/>
      </c>
      <c r="V10" s="56" t="str">
        <f>IF(ISBLANK(ETPT_TJ_DDG!$D$5),"",IF(ISERROR(ETPT_TJ!V10),"",IF(ETPT_TJ!V10=0,"",ETPT_TJ!V10)))</f>
        <v/>
      </c>
      <c r="W10" s="46">
        <f t="shared" si="1"/>
        <v>0</v>
      </c>
      <c r="X10" s="56" t="str">
        <f>IF(ISBLANK(ETPT_TJ_DDG!$D$5),"",IF(ISERROR(ETPT_TJ!X10),"",IF(ETPT_TJ!X10=0,"",ETPT_TJ!X10)))</f>
        <v/>
      </c>
      <c r="Y10" s="56" t="str">
        <f>IF(ISBLANK(ETPT_TJ_DDG!$D$5),"",IF(ISERROR(ETPT_TJ!Y10),"",IF(ETPT_TJ!Y10=0,"",ETPT_TJ!Y10)))</f>
        <v/>
      </c>
      <c r="Z10" s="56" t="str">
        <f>IF(ISBLANK(ETPT_TJ_DDG!$D$5),"",IF(ISERROR(ETPT_TJ!Z10),"",IF(ETPT_TJ!Z10=0,"",ETPT_TJ!Z10)))</f>
        <v/>
      </c>
      <c r="AA10" s="56" t="str">
        <f>IF(ISBLANK(ETPT_TJ_DDG!$D$5),"",IF(ISERROR(ETPT_TJ!AA10),"",IF(ETPT_TJ!AA10=0,"",ETPT_TJ!AA10)))</f>
        <v/>
      </c>
      <c r="AB10" s="56" t="str">
        <f>IF(ISBLANK(ETPT_TJ_DDG!$D$5),"",IF(ISERROR(ETPT_TJ!AB10),"",IF(ETPT_TJ!AB10=0,"",ETPT_TJ!AB10)))</f>
        <v/>
      </c>
      <c r="AC10" s="56" t="str">
        <f>IF(ISBLANK(ETPT_TJ_DDG!$D$5),"",IF(ISERROR(ETPT_TJ!AC10),"",IF(ETPT_TJ!AC10=0,"",ETPT_TJ!AC10)))</f>
        <v/>
      </c>
      <c r="AD10" s="56" t="str">
        <f>IF(ISBLANK(ETPT_TJ_DDG!$D$5),"",IF(ISERROR(ETPT_TJ!AD10),"",IF(ETPT_TJ!AD10=0,"",ETPT_TJ!AD10)))</f>
        <v/>
      </c>
      <c r="AE10" s="56" t="str">
        <f>IF(ISBLANK(ETPT_TJ_DDG!$D$5),"",IF(ISERROR(ETPT_TJ!AE10),"",IF(ETPT_TJ!AE10=0,"",ETPT_TJ!AE10)))</f>
        <v/>
      </c>
      <c r="AF10" s="56" t="str">
        <f>IF(ISBLANK(ETPT_TJ_DDG!$D$5),"",IF(ISERROR(ETPT_TJ!AF10),"",IF(ETPT_TJ!AF10=0,"",ETPT_TJ!AF10)))</f>
        <v/>
      </c>
      <c r="AG10" s="46">
        <f t="shared" si="2"/>
        <v>0</v>
      </c>
      <c r="AH10" s="56" t="str">
        <f>IF(ISBLANK(ETPT_TJ_DDG!$D$5),"",IF(ISERROR(ETPT_TJ!AH10),"",IF(ETPT_TJ!AH10=0,"",ETPT_TJ!AH10)))</f>
        <v/>
      </c>
      <c r="AI10" s="56" t="str">
        <f>IF(ISBLANK(ETPT_TJ_DDG!$D$5),"",IF(ISERROR(ETPT_TJ!AI10),"",IF(ETPT_TJ!AI10=0,"",ETPT_TJ!AI10)))</f>
        <v/>
      </c>
      <c r="AJ10" s="56" t="str">
        <f>IF(ISBLANK(ETPT_TJ_DDG!$D$5),"",IF(ISERROR(ETPT_TJ!AJ10),"",IF(ETPT_TJ!AJ10=0,"",ETPT_TJ!AJ10)))</f>
        <v/>
      </c>
      <c r="AK10" s="56" t="str">
        <f>IF(ISBLANK(ETPT_TJ_DDG!$D$5),"",IF(ISERROR(ETPT_TJ!AK10),"",IF(ETPT_TJ!AK10=0,"",ETPT_TJ!AK10)))</f>
        <v/>
      </c>
      <c r="AL10" s="56" t="str">
        <f>IF(ISBLANK(ETPT_TJ_DDG!$D$5),"",IF(ISERROR(ETPT_TJ!AL10),"",IF(ETPT_TJ!AL10=0,"",ETPT_TJ!AL10)))</f>
        <v/>
      </c>
      <c r="AM10" s="56" t="str">
        <f>IF(ISBLANK(ETPT_TJ_DDG!$D$5),"",IF(ISERROR(ETPT_TJ!AM10),"",IF(ETPT_TJ!AM10=0,"",ETPT_TJ!AM10)))</f>
        <v/>
      </c>
      <c r="AN10" s="56" t="str">
        <f>IF(ISBLANK(ETPT_TJ_DDG!$D$5),"",IF(ISERROR(ETPT_TJ!AN10),"",IF(ETPT_TJ!AN10=0,"",ETPT_TJ!AN10)))</f>
        <v/>
      </c>
      <c r="AO10" s="56" t="str">
        <f>IF(ISBLANK(ETPT_TJ_DDG!$D$5),"",IF(ISERROR(ETPT_TJ!AO10),"",IF(ETPT_TJ!AO10=0,"",ETPT_TJ!AO10)))</f>
        <v/>
      </c>
      <c r="AP10" s="56" t="str">
        <f>IF(ISBLANK(ETPT_TJ_DDG!$D$5),"",IF(ISERROR(ETPT_TJ!AP10),"",IF(ETPT_TJ!AP10=0,"",ETPT_TJ!AP10)))</f>
        <v/>
      </c>
      <c r="AQ10" s="56" t="str">
        <f>IF(ISBLANK(ETPT_TJ_DDG!$D$5),"",IF(ISERROR(ETPT_TJ!AQ10),"",IF(ETPT_TJ!AQ10=0,"",ETPT_TJ!AQ10)))</f>
        <v/>
      </c>
      <c r="AR10" s="56" t="str">
        <f>IF(ISBLANK(ETPT_TJ_DDG!$D$5),"",IF(ISERROR(ETPT_TJ!AR10),"",IF(ETPT_TJ!AR10=0,"",ETPT_TJ!AR10)))</f>
        <v/>
      </c>
      <c r="AS10" s="56" t="str">
        <f>IF(ISBLANK(ETPT_TJ_DDG!$D$5),"",IF(ISERROR(ETPT_TJ!AS10),"",IF(ETPT_TJ!AS10=0,"",ETPT_TJ!AS10)))</f>
        <v/>
      </c>
      <c r="AT10" s="56" t="str">
        <f>IF(ISBLANK(ETPT_TJ_DDG!$D$5),"",IF(ISERROR(ETPT_TJ!AT10),"",IF(ETPT_TJ!AT10=0,"",ETPT_TJ!AT10)))</f>
        <v/>
      </c>
      <c r="AU10" s="46">
        <f t="shared" si="3"/>
        <v>0</v>
      </c>
      <c r="AV10" s="52"/>
      <c r="AW10" s="52"/>
      <c r="AX10" s="52"/>
      <c r="AY10" s="52"/>
      <c r="AZ10" s="52"/>
      <c r="BA10" s="52"/>
      <c r="BB10" s="52"/>
      <c r="BC10" s="52"/>
      <c r="BD10" s="52"/>
      <c r="BE10" s="46">
        <f t="shared" si="4"/>
        <v>0</v>
      </c>
    </row>
    <row r="11" spans="1:58" s="41" customFormat="1" ht="14.25" customHeight="1" x14ac:dyDescent="0.15">
      <c r="A11" s="51" t="s">
        <v>42</v>
      </c>
      <c r="B11" s="60"/>
      <c r="C11" s="60"/>
      <c r="D11" s="130" t="str">
        <f t="shared" si="5"/>
        <v/>
      </c>
      <c r="E11" s="60" t="s">
        <v>50</v>
      </c>
      <c r="F11" s="60" t="s">
        <v>49</v>
      </c>
      <c r="G11" s="56" t="str">
        <f>IF(ISBLANK(ETPT_TJ_DDG!$D$5),"",IF(ISERROR(ETPT_TJ!G11),"",IF(ETPT_TJ!G11=0,"",ETPT_TJ!G11)))</f>
        <v/>
      </c>
      <c r="H11" s="46">
        <f t="shared" si="0"/>
        <v>0</v>
      </c>
      <c r="I11" s="56" t="str">
        <f>IF(ISBLANK(ETPT_TJ_DDG!$D$5),"",IF(ISERROR(ETPT_TJ!I11),"",IF(ETPT_TJ!I11=0,"",ETPT_TJ!I11)))</f>
        <v/>
      </c>
      <c r="J11" s="56" t="str">
        <f>IF(ISBLANK(ETPT_TJ_DDG!$D$5),"",IF(ISERROR(ETPT_TJ!J11),"",IF(ETPT_TJ!J11=0,"",ETPT_TJ!J11)))</f>
        <v/>
      </c>
      <c r="K11" s="56" t="str">
        <f>IF(ISBLANK(ETPT_TJ_DDG!$D$5),"",IF(ISERROR(ETPT_TJ!K11),"",IF(ETPT_TJ!K11=0,"",ETPT_TJ!K11)))</f>
        <v/>
      </c>
      <c r="L11" s="56" t="str">
        <f>IF(ISBLANK(ETPT_TJ_DDG!$D$5),"",IF(ISERROR(ETPT_TJ!L11),"",IF(ETPT_TJ!L11=0,"",ETPT_TJ!L11)))</f>
        <v/>
      </c>
      <c r="M11" s="56" t="str">
        <f>IF(ISBLANK(ETPT_TJ_DDG!$D$5),"",IF(ISERROR(ETPT_TJ!M11),"",IF(ETPT_TJ!M11=0,"",ETPT_TJ!M11)))</f>
        <v/>
      </c>
      <c r="N11" s="56" t="str">
        <f>IF(ISBLANK(ETPT_TJ_DDG!$D$5),"",IF(ISERROR(ETPT_TJ!N11),"",IF(ETPT_TJ!N11=0,"",ETPT_TJ!N11)))</f>
        <v/>
      </c>
      <c r="O11" s="56" t="str">
        <f>IF(ISBLANK(ETPT_TJ_DDG!$D$5),"",IF(ISERROR(ETPT_TJ!O11),"",IF(ETPT_TJ!O11=0,"",ETPT_TJ!O11)))</f>
        <v/>
      </c>
      <c r="P11" s="56" t="str">
        <f>IF(ISBLANK(ETPT_TJ_DDG!$D$5),"",IF(ISERROR(ETPT_TJ!P11),"",IF(ETPT_TJ!P11=0,"",ETPT_TJ!P11)))</f>
        <v/>
      </c>
      <c r="Q11" s="56" t="str">
        <f>IF(ISBLANK(ETPT_TJ_DDG!$D$5),"",IF(ISERROR(ETPT_TJ!Q11),"",IF(ETPT_TJ!Q11=0,"",ETPT_TJ!Q11)))</f>
        <v/>
      </c>
      <c r="R11" s="56" t="str">
        <f>IF(ISBLANK(ETPT_TJ_DDG!$D$5),"",IF(ISERROR(ETPT_TJ!R11),"",IF(ETPT_TJ!R11=0,"",ETPT_TJ!R11)))</f>
        <v/>
      </c>
      <c r="S11" s="56" t="str">
        <f>IF(ISBLANK(ETPT_TJ_DDG!$D$5),"",IF(ISERROR(ETPT_TJ!S11),"",IF(ETPT_TJ!S11=0,"",ETPT_TJ!S11)))</f>
        <v/>
      </c>
      <c r="T11" s="56" t="str">
        <f>IF(ISBLANK(ETPT_TJ_DDG!$D$5),"",IF(ISERROR(ETPT_TJ!T11),"",IF(ETPT_TJ!T11=0,"",ETPT_TJ!T11)))</f>
        <v/>
      </c>
      <c r="U11" s="56" t="str">
        <f>IF(ISBLANK(ETPT_TJ_DDG!$D$5),"",IF(ISERROR(ETPT_TJ!U11),"",IF(ETPT_TJ!U11=0,"",ETPT_TJ!U11)))</f>
        <v/>
      </c>
      <c r="V11" s="56" t="str">
        <f>IF(ISBLANK(ETPT_TJ_DDG!$D$5),"",IF(ISERROR(ETPT_TJ!V11),"",IF(ETPT_TJ!V11=0,"",ETPT_TJ!V11)))</f>
        <v/>
      </c>
      <c r="W11" s="46">
        <f t="shared" si="1"/>
        <v>0</v>
      </c>
      <c r="X11" s="56" t="str">
        <f>IF(ISBLANK(ETPT_TJ_DDG!$D$5),"",IF(ISERROR(ETPT_TJ!X11),"",IF(ETPT_TJ!X11=0,"",ETPT_TJ!X11)))</f>
        <v/>
      </c>
      <c r="Y11" s="56" t="str">
        <f>IF(ISBLANK(ETPT_TJ_DDG!$D$5),"",IF(ISERROR(ETPT_TJ!Y11),"",IF(ETPT_TJ!Y11=0,"",ETPT_TJ!Y11)))</f>
        <v/>
      </c>
      <c r="Z11" s="56" t="str">
        <f>IF(ISBLANK(ETPT_TJ_DDG!$D$5),"",IF(ISERROR(ETPT_TJ!Z11),"",IF(ETPT_TJ!Z11=0,"",ETPT_TJ!Z11)))</f>
        <v/>
      </c>
      <c r="AA11" s="56" t="str">
        <f>IF(ISBLANK(ETPT_TJ_DDG!$D$5),"",IF(ISERROR(ETPT_TJ!AA11),"",IF(ETPT_TJ!AA11=0,"",ETPT_TJ!AA11)))</f>
        <v/>
      </c>
      <c r="AB11" s="56" t="str">
        <f>IF(ISBLANK(ETPT_TJ_DDG!$D$5),"",IF(ISERROR(ETPT_TJ!AB11),"",IF(ETPT_TJ!AB11=0,"",ETPT_TJ!AB11)))</f>
        <v/>
      </c>
      <c r="AC11" s="56" t="str">
        <f>IF(ISBLANK(ETPT_TJ_DDG!$D$5),"",IF(ISERROR(ETPT_TJ!AC11),"",IF(ETPT_TJ!AC11=0,"",ETPT_TJ!AC11)))</f>
        <v/>
      </c>
      <c r="AD11" s="56" t="str">
        <f>IF(ISBLANK(ETPT_TJ_DDG!$D$5),"",IF(ISERROR(ETPT_TJ!AD11),"",IF(ETPT_TJ!AD11=0,"",ETPT_TJ!AD11)))</f>
        <v/>
      </c>
      <c r="AE11" s="56" t="str">
        <f>IF(ISBLANK(ETPT_TJ_DDG!$D$5),"",IF(ISERROR(ETPT_TJ!AE11),"",IF(ETPT_TJ!AE11=0,"",ETPT_TJ!AE11)))</f>
        <v/>
      </c>
      <c r="AF11" s="56" t="str">
        <f>IF(ISBLANK(ETPT_TJ_DDG!$D$5),"",IF(ISERROR(ETPT_TJ!AF11),"",IF(ETPT_TJ!AF11=0,"",ETPT_TJ!AF11)))</f>
        <v/>
      </c>
      <c r="AG11" s="46">
        <f t="shared" si="2"/>
        <v>0</v>
      </c>
      <c r="AH11" s="56" t="str">
        <f>IF(ISBLANK(ETPT_TJ_DDG!$D$5),"",IF(ISERROR(ETPT_TJ!AH11),"",IF(ETPT_TJ!AH11=0,"",ETPT_TJ!AH11)))</f>
        <v/>
      </c>
      <c r="AI11" s="56" t="str">
        <f>IF(ISBLANK(ETPT_TJ_DDG!$D$5),"",IF(ISERROR(ETPT_TJ!AI11),"",IF(ETPT_TJ!AI11=0,"",ETPT_TJ!AI11)))</f>
        <v/>
      </c>
      <c r="AJ11" s="56" t="str">
        <f>IF(ISBLANK(ETPT_TJ_DDG!$D$5),"",IF(ISERROR(ETPT_TJ!AJ11),"",IF(ETPT_TJ!AJ11=0,"",ETPT_TJ!AJ11)))</f>
        <v/>
      </c>
      <c r="AK11" s="56" t="str">
        <f>IF(ISBLANK(ETPT_TJ_DDG!$D$5),"",IF(ISERROR(ETPT_TJ!AK11),"",IF(ETPT_TJ!AK11=0,"",ETPT_TJ!AK11)))</f>
        <v/>
      </c>
      <c r="AL11" s="56" t="str">
        <f>IF(ISBLANK(ETPT_TJ_DDG!$D$5),"",IF(ISERROR(ETPT_TJ!AL11),"",IF(ETPT_TJ!AL11=0,"",ETPT_TJ!AL11)))</f>
        <v/>
      </c>
      <c r="AM11" s="56" t="str">
        <f>IF(ISBLANK(ETPT_TJ_DDG!$D$5),"",IF(ISERROR(ETPT_TJ!AM11),"",IF(ETPT_TJ!AM11=0,"",ETPT_TJ!AM11)))</f>
        <v/>
      </c>
      <c r="AN11" s="56" t="str">
        <f>IF(ISBLANK(ETPT_TJ_DDG!$D$5),"",IF(ISERROR(ETPT_TJ!AN11),"",IF(ETPT_TJ!AN11=0,"",ETPT_TJ!AN11)))</f>
        <v/>
      </c>
      <c r="AO11" s="56" t="str">
        <f>IF(ISBLANK(ETPT_TJ_DDG!$D$5),"",IF(ISERROR(ETPT_TJ!AO11),"",IF(ETPT_TJ!AO11=0,"",ETPT_TJ!AO11)))</f>
        <v/>
      </c>
      <c r="AP11" s="56" t="str">
        <f>IF(ISBLANK(ETPT_TJ_DDG!$D$5),"",IF(ISERROR(ETPT_TJ!AP11),"",IF(ETPT_TJ!AP11=0,"",ETPT_TJ!AP11)))</f>
        <v/>
      </c>
      <c r="AQ11" s="56" t="str">
        <f>IF(ISBLANK(ETPT_TJ_DDG!$D$5),"",IF(ISERROR(ETPT_TJ!AQ11),"",IF(ETPT_TJ!AQ11=0,"",ETPT_TJ!AQ11)))</f>
        <v/>
      </c>
      <c r="AR11" s="56" t="str">
        <f>IF(ISBLANK(ETPT_TJ_DDG!$D$5),"",IF(ISERROR(ETPT_TJ!AR11),"",IF(ETPT_TJ!AR11=0,"",ETPT_TJ!AR11)))</f>
        <v/>
      </c>
      <c r="AS11" s="56" t="str">
        <f>IF(ISBLANK(ETPT_TJ_DDG!$D$5),"",IF(ISERROR(ETPT_TJ!AS11),"",IF(ETPT_TJ!AS11=0,"",ETPT_TJ!AS11)))</f>
        <v/>
      </c>
      <c r="AT11" s="56" t="str">
        <f>IF(ISBLANK(ETPT_TJ_DDG!$D$5),"",IF(ISERROR(ETPT_TJ!AT11),"",IF(ETPT_TJ!AT11=0,"",ETPT_TJ!AT11)))</f>
        <v/>
      </c>
      <c r="AU11" s="46">
        <f t="shared" si="3"/>
        <v>0</v>
      </c>
      <c r="AV11" s="52"/>
      <c r="AW11" s="52"/>
      <c r="AX11" s="52"/>
      <c r="AY11" s="52"/>
      <c r="AZ11" s="52"/>
      <c r="BA11" s="52"/>
      <c r="BB11" s="52"/>
      <c r="BC11" s="52"/>
      <c r="BD11" s="52"/>
      <c r="BE11" s="46">
        <f t="shared" si="4"/>
        <v>0</v>
      </c>
    </row>
    <row r="12" spans="1:58" s="41" customFormat="1" ht="14.25" customHeight="1" x14ac:dyDescent="0.15">
      <c r="A12" s="51" t="s">
        <v>42</v>
      </c>
      <c r="B12" s="60"/>
      <c r="C12" s="60"/>
      <c r="D12" s="130" t="str">
        <f t="shared" si="5"/>
        <v/>
      </c>
      <c r="E12" s="60" t="s">
        <v>48</v>
      </c>
      <c r="F12" s="60" t="s">
        <v>47</v>
      </c>
      <c r="G12" s="56" t="str">
        <f>IF(ISBLANK(ETPT_TJ_DDG!$D$5),"",IF(ISERROR(ETPT_TJ!G12),"",IF(ETPT_TJ!G12=0,"",ETPT_TJ!G12)))</f>
        <v/>
      </c>
      <c r="H12" s="46">
        <f t="shared" si="0"/>
        <v>0</v>
      </c>
      <c r="I12" s="56" t="str">
        <f>IF(ISBLANK(ETPT_TJ_DDG!$D$5),"",IF(ISERROR(ETPT_TJ!I12),"",IF(ETPT_TJ!I12=0,"",ETPT_TJ!I12)))</f>
        <v/>
      </c>
      <c r="J12" s="56" t="str">
        <f>IF(ISBLANK(ETPT_TJ_DDG!$D$5),"",IF(ISERROR(ETPT_TJ!J12),"",IF(ETPT_TJ!J12=0,"",ETPT_TJ!J12)))</f>
        <v/>
      </c>
      <c r="K12" s="56" t="str">
        <f>IF(ISBLANK(ETPT_TJ_DDG!$D$5),"",IF(ISERROR(ETPT_TJ!K12),"",IF(ETPT_TJ!K12=0,"",ETPT_TJ!K12)))</f>
        <v/>
      </c>
      <c r="L12" s="56" t="str">
        <f>IF(ISBLANK(ETPT_TJ_DDG!$D$5),"",IF(ISERROR(ETPT_TJ!L12),"",IF(ETPT_TJ!L12=0,"",ETPT_TJ!L12)))</f>
        <v/>
      </c>
      <c r="M12" s="56" t="str">
        <f>IF(ISBLANK(ETPT_TJ_DDG!$D$5),"",IF(ISERROR(ETPT_TJ!M12),"",IF(ETPT_TJ!M12=0,"",ETPT_TJ!M12)))</f>
        <v/>
      </c>
      <c r="N12" s="56" t="str">
        <f>IF(ISBLANK(ETPT_TJ_DDG!$D$5),"",IF(ISERROR(ETPT_TJ!N12),"",IF(ETPT_TJ!N12=0,"",ETPT_TJ!N12)))</f>
        <v/>
      </c>
      <c r="O12" s="56" t="str">
        <f>IF(ISBLANK(ETPT_TJ_DDG!$D$5),"",IF(ISERROR(ETPT_TJ!O12),"",IF(ETPT_TJ!O12=0,"",ETPT_TJ!O12)))</f>
        <v/>
      </c>
      <c r="P12" s="56" t="str">
        <f>IF(ISBLANK(ETPT_TJ_DDG!$D$5),"",IF(ISERROR(ETPT_TJ!P12),"",IF(ETPT_TJ!P12=0,"",ETPT_TJ!P12)))</f>
        <v/>
      </c>
      <c r="Q12" s="56" t="str">
        <f>IF(ISBLANK(ETPT_TJ_DDG!$D$5),"",IF(ISERROR(ETPT_TJ!Q12),"",IF(ETPT_TJ!Q12=0,"",ETPT_TJ!Q12)))</f>
        <v/>
      </c>
      <c r="R12" s="56" t="str">
        <f>IF(ISBLANK(ETPT_TJ_DDG!$D$5),"",IF(ISERROR(ETPT_TJ!R12),"",IF(ETPT_TJ!R12=0,"",ETPT_TJ!R12)))</f>
        <v/>
      </c>
      <c r="S12" s="56" t="str">
        <f>IF(ISBLANK(ETPT_TJ_DDG!$D$5),"",IF(ISERROR(ETPT_TJ!S12),"",IF(ETPT_TJ!S12=0,"",ETPT_TJ!S12)))</f>
        <v/>
      </c>
      <c r="T12" s="56" t="str">
        <f>IF(ISBLANK(ETPT_TJ_DDG!$D$5),"",IF(ISERROR(ETPT_TJ!T12),"",IF(ETPT_TJ!T12=0,"",ETPT_TJ!T12)))</f>
        <v/>
      </c>
      <c r="U12" s="56" t="str">
        <f>IF(ISBLANK(ETPT_TJ_DDG!$D$5),"",IF(ISERROR(ETPT_TJ!U12),"",IF(ETPT_TJ!U12=0,"",ETPT_TJ!U12)))</f>
        <v/>
      </c>
      <c r="V12" s="56" t="str">
        <f>IF(ISBLANK(ETPT_TJ_DDG!$D$5),"",IF(ISERROR(ETPT_TJ!V12),"",IF(ETPT_TJ!V12=0,"",ETPT_TJ!V12)))</f>
        <v/>
      </c>
      <c r="W12" s="46">
        <f t="shared" si="1"/>
        <v>0</v>
      </c>
      <c r="X12" s="56" t="str">
        <f>IF(ISBLANK(ETPT_TJ_DDG!$D$5),"",IF(ISERROR(ETPT_TJ!X12),"",IF(ETPT_TJ!X12=0,"",ETPT_TJ!X12)))</f>
        <v/>
      </c>
      <c r="Y12" s="56" t="str">
        <f>IF(ISBLANK(ETPT_TJ_DDG!$D$5),"",IF(ISERROR(ETPT_TJ!Y12),"",IF(ETPT_TJ!Y12=0,"",ETPT_TJ!Y12)))</f>
        <v/>
      </c>
      <c r="Z12" s="56" t="str">
        <f>IF(ISBLANK(ETPT_TJ_DDG!$D$5),"",IF(ISERROR(ETPT_TJ!Z12),"",IF(ETPT_TJ!Z12=0,"",ETPT_TJ!Z12)))</f>
        <v/>
      </c>
      <c r="AA12" s="56" t="str">
        <f>IF(ISBLANK(ETPT_TJ_DDG!$D$5),"",IF(ISERROR(ETPT_TJ!AA12),"",IF(ETPT_TJ!AA12=0,"",ETPT_TJ!AA12)))</f>
        <v/>
      </c>
      <c r="AB12" s="56" t="str">
        <f>IF(ISBLANK(ETPT_TJ_DDG!$D$5),"",IF(ISERROR(ETPT_TJ!AB12),"",IF(ETPT_TJ!AB12=0,"",ETPT_TJ!AB12)))</f>
        <v/>
      </c>
      <c r="AC12" s="56" t="str">
        <f>IF(ISBLANK(ETPT_TJ_DDG!$D$5),"",IF(ISERROR(ETPT_TJ!AC12),"",IF(ETPT_TJ!AC12=0,"",ETPT_TJ!AC12)))</f>
        <v/>
      </c>
      <c r="AD12" s="56" t="str">
        <f>IF(ISBLANK(ETPT_TJ_DDG!$D$5),"",IF(ISERROR(ETPT_TJ!AD12),"",IF(ETPT_TJ!AD12=0,"",ETPT_TJ!AD12)))</f>
        <v/>
      </c>
      <c r="AE12" s="56" t="str">
        <f>IF(ISBLANK(ETPT_TJ_DDG!$D$5),"",IF(ISERROR(ETPT_TJ!AE12),"",IF(ETPT_TJ!AE12=0,"",ETPT_TJ!AE12)))</f>
        <v/>
      </c>
      <c r="AF12" s="56" t="str">
        <f>IF(ISBLANK(ETPT_TJ_DDG!$D$5),"",IF(ISERROR(ETPT_TJ!AF12),"",IF(ETPT_TJ!AF12=0,"",ETPT_TJ!AF12)))</f>
        <v/>
      </c>
      <c r="AG12" s="46">
        <f t="shared" si="2"/>
        <v>0</v>
      </c>
      <c r="AH12" s="56" t="str">
        <f>IF(ISBLANK(ETPT_TJ_DDG!$D$5),"",IF(ISERROR(ETPT_TJ!AH12),"",IF(ETPT_TJ!AH12=0,"",ETPT_TJ!AH12)))</f>
        <v/>
      </c>
      <c r="AI12" s="56" t="str">
        <f>IF(ISBLANK(ETPT_TJ_DDG!$D$5),"",IF(ISERROR(ETPT_TJ!AI12),"",IF(ETPT_TJ!AI12=0,"",ETPT_TJ!AI12)))</f>
        <v/>
      </c>
      <c r="AJ12" s="56" t="str">
        <f>IF(ISBLANK(ETPT_TJ_DDG!$D$5),"",IF(ISERROR(ETPT_TJ!AJ12),"",IF(ETPT_TJ!AJ12=0,"",ETPT_TJ!AJ12)))</f>
        <v/>
      </c>
      <c r="AK12" s="56" t="str">
        <f>IF(ISBLANK(ETPT_TJ_DDG!$D$5),"",IF(ISERROR(ETPT_TJ!AK12),"",IF(ETPT_TJ!AK12=0,"",ETPT_TJ!AK12)))</f>
        <v/>
      </c>
      <c r="AL12" s="56" t="str">
        <f>IF(ISBLANK(ETPT_TJ_DDG!$D$5),"",IF(ISERROR(ETPT_TJ!AL12),"",IF(ETPT_TJ!AL12=0,"",ETPT_TJ!AL12)))</f>
        <v/>
      </c>
      <c r="AM12" s="56" t="str">
        <f>IF(ISBLANK(ETPT_TJ_DDG!$D$5),"",IF(ISERROR(ETPT_TJ!AM12),"",IF(ETPT_TJ!AM12=0,"",ETPT_TJ!AM12)))</f>
        <v/>
      </c>
      <c r="AN12" s="56" t="str">
        <f>IF(ISBLANK(ETPT_TJ_DDG!$D$5),"",IF(ISERROR(ETPT_TJ!AN12),"",IF(ETPT_TJ!AN12=0,"",ETPT_TJ!AN12)))</f>
        <v/>
      </c>
      <c r="AO12" s="56" t="str">
        <f>IF(ISBLANK(ETPT_TJ_DDG!$D$5),"",IF(ISERROR(ETPT_TJ!AO12),"",IF(ETPT_TJ!AO12=0,"",ETPT_TJ!AO12)))</f>
        <v/>
      </c>
      <c r="AP12" s="56" t="str">
        <f>IF(ISBLANK(ETPT_TJ_DDG!$D$5),"",IF(ISERROR(ETPT_TJ!AP12),"",IF(ETPT_TJ!AP12=0,"",ETPT_TJ!AP12)))</f>
        <v/>
      </c>
      <c r="AQ12" s="56" t="str">
        <f>IF(ISBLANK(ETPT_TJ_DDG!$D$5),"",IF(ISERROR(ETPT_TJ!AQ12),"",IF(ETPT_TJ!AQ12=0,"",ETPT_TJ!AQ12)))</f>
        <v/>
      </c>
      <c r="AR12" s="56" t="str">
        <f>IF(ISBLANK(ETPT_TJ_DDG!$D$5),"",IF(ISERROR(ETPT_TJ!AR12),"",IF(ETPT_TJ!AR12=0,"",ETPT_TJ!AR12)))</f>
        <v/>
      </c>
      <c r="AS12" s="56" t="str">
        <f>IF(ISBLANK(ETPT_TJ_DDG!$D$5),"",IF(ISERROR(ETPT_TJ!AS12),"",IF(ETPT_TJ!AS12=0,"",ETPT_TJ!AS12)))</f>
        <v/>
      </c>
      <c r="AT12" s="56" t="str">
        <f>IF(ISBLANK(ETPT_TJ_DDG!$D$5),"",IF(ISERROR(ETPT_TJ!AT12),"",IF(ETPT_TJ!AT12=0,"",ETPT_TJ!AT12)))</f>
        <v/>
      </c>
      <c r="AU12" s="46">
        <f t="shared" si="3"/>
        <v>0</v>
      </c>
      <c r="AV12" s="52"/>
      <c r="AW12" s="52"/>
      <c r="AX12" s="52"/>
      <c r="AY12" s="52"/>
      <c r="AZ12" s="52"/>
      <c r="BA12" s="52"/>
      <c r="BB12" s="52"/>
      <c r="BC12" s="52"/>
      <c r="BD12" s="52"/>
      <c r="BE12" s="46">
        <f t="shared" si="4"/>
        <v>0</v>
      </c>
    </row>
    <row r="13" spans="1:58" s="41" customFormat="1" ht="14.25" customHeight="1" x14ac:dyDescent="0.15">
      <c r="A13" s="51" t="s">
        <v>42</v>
      </c>
      <c r="B13" s="60"/>
      <c r="C13" s="60"/>
      <c r="D13" s="130" t="str">
        <f t="shared" si="5"/>
        <v/>
      </c>
      <c r="E13" s="60" t="s">
        <v>46</v>
      </c>
      <c r="F13" s="60" t="s">
        <v>45</v>
      </c>
      <c r="G13" s="56" t="str">
        <f>IF(ISBLANK(ETPT_TJ_DDG!$D$5),"",IF(ISERROR(ETPT_TJ!G13),"",IF(ETPT_TJ!G13=0,"",ETPT_TJ!G13)))</f>
        <v/>
      </c>
      <c r="H13" s="46">
        <f t="shared" si="0"/>
        <v>0</v>
      </c>
      <c r="I13" s="56" t="str">
        <f>IF(ISBLANK(ETPT_TJ_DDG!$D$5),"",IF(ISERROR(ETPT_TJ!I13),"",IF(ETPT_TJ!I13=0,"",ETPT_TJ!I13)))</f>
        <v/>
      </c>
      <c r="J13" s="56" t="str">
        <f>IF(ISBLANK(ETPT_TJ_DDG!$D$5),"",IF(ISERROR(ETPT_TJ!J13),"",IF(ETPT_TJ!J13=0,"",ETPT_TJ!J13)))</f>
        <v/>
      </c>
      <c r="K13" s="56" t="str">
        <f>IF(ISBLANK(ETPT_TJ_DDG!$D$5),"",IF(ISERROR(ETPT_TJ!K13),"",IF(ETPT_TJ!K13=0,"",ETPT_TJ!K13)))</f>
        <v/>
      </c>
      <c r="L13" s="56" t="str">
        <f>IF(ISBLANK(ETPT_TJ_DDG!$D$5),"",IF(ISERROR(ETPT_TJ!L13),"",IF(ETPT_TJ!L13=0,"",ETPT_TJ!L13)))</f>
        <v/>
      </c>
      <c r="M13" s="56" t="str">
        <f>IF(ISBLANK(ETPT_TJ_DDG!$D$5),"",IF(ISERROR(ETPT_TJ!M13),"",IF(ETPT_TJ!M13=0,"",ETPT_TJ!M13)))</f>
        <v/>
      </c>
      <c r="N13" s="56" t="str">
        <f>IF(ISBLANK(ETPT_TJ_DDG!$D$5),"",IF(ISERROR(ETPT_TJ!N13),"",IF(ETPT_TJ!N13=0,"",ETPT_TJ!N13)))</f>
        <v/>
      </c>
      <c r="O13" s="56" t="str">
        <f>IF(ISBLANK(ETPT_TJ_DDG!$D$5),"",IF(ISERROR(ETPT_TJ!O13),"",IF(ETPT_TJ!O13=0,"",ETPT_TJ!O13)))</f>
        <v/>
      </c>
      <c r="P13" s="56" t="str">
        <f>IF(ISBLANK(ETPT_TJ_DDG!$D$5),"",IF(ISERROR(ETPT_TJ!P13),"",IF(ETPT_TJ!P13=0,"",ETPT_TJ!P13)))</f>
        <v/>
      </c>
      <c r="Q13" s="56" t="str">
        <f>IF(ISBLANK(ETPT_TJ_DDG!$D$5),"",IF(ISERROR(ETPT_TJ!Q13),"",IF(ETPT_TJ!Q13=0,"",ETPT_TJ!Q13)))</f>
        <v/>
      </c>
      <c r="R13" s="56" t="str">
        <f>IF(ISBLANK(ETPT_TJ_DDG!$D$5),"",IF(ISERROR(ETPT_TJ!R13),"",IF(ETPT_TJ!R13=0,"",ETPT_TJ!R13)))</f>
        <v/>
      </c>
      <c r="S13" s="56" t="str">
        <f>IF(ISBLANK(ETPT_TJ_DDG!$D$5),"",IF(ISERROR(ETPT_TJ!S13),"",IF(ETPT_TJ!S13=0,"",ETPT_TJ!S13)))</f>
        <v/>
      </c>
      <c r="T13" s="56" t="str">
        <f>IF(ISBLANK(ETPT_TJ_DDG!$D$5),"",IF(ISERROR(ETPT_TJ!T13),"",IF(ETPT_TJ!T13=0,"",ETPT_TJ!T13)))</f>
        <v/>
      </c>
      <c r="U13" s="56" t="str">
        <f>IF(ISBLANK(ETPT_TJ_DDG!$D$5),"",IF(ISERROR(ETPT_TJ!U13),"",IF(ETPT_TJ!U13=0,"",ETPT_TJ!U13)))</f>
        <v/>
      </c>
      <c r="V13" s="56" t="str">
        <f>IF(ISBLANK(ETPT_TJ_DDG!$D$5),"",IF(ISERROR(ETPT_TJ!V13),"",IF(ETPT_TJ!V13=0,"",ETPT_TJ!V13)))</f>
        <v/>
      </c>
      <c r="W13" s="46">
        <f t="shared" si="1"/>
        <v>0</v>
      </c>
      <c r="X13" s="56" t="str">
        <f>IF(ISBLANK(ETPT_TJ_DDG!$D$5),"",IF(ISERROR(ETPT_TJ!X13),"",IF(ETPT_TJ!X13=0,"",ETPT_TJ!X13)))</f>
        <v/>
      </c>
      <c r="Y13" s="56" t="str">
        <f>IF(ISBLANK(ETPT_TJ_DDG!$D$5),"",IF(ISERROR(ETPT_TJ!Y13),"",IF(ETPT_TJ!Y13=0,"",ETPT_TJ!Y13)))</f>
        <v/>
      </c>
      <c r="Z13" s="56" t="str">
        <f>IF(ISBLANK(ETPT_TJ_DDG!$D$5),"",IF(ISERROR(ETPT_TJ!Z13),"",IF(ETPT_TJ!Z13=0,"",ETPT_TJ!Z13)))</f>
        <v/>
      </c>
      <c r="AA13" s="56" t="str">
        <f>IF(ISBLANK(ETPT_TJ_DDG!$D$5),"",IF(ISERROR(ETPT_TJ!AA13),"",IF(ETPT_TJ!AA13=0,"",ETPT_TJ!AA13)))</f>
        <v/>
      </c>
      <c r="AB13" s="56" t="str">
        <f>IF(ISBLANK(ETPT_TJ_DDG!$D$5),"",IF(ISERROR(ETPT_TJ!AB13),"",IF(ETPT_TJ!AB13=0,"",ETPT_TJ!AB13)))</f>
        <v/>
      </c>
      <c r="AC13" s="56" t="str">
        <f>IF(ISBLANK(ETPT_TJ_DDG!$D$5),"",IF(ISERROR(ETPT_TJ!AC13),"",IF(ETPT_TJ!AC13=0,"",ETPT_TJ!AC13)))</f>
        <v/>
      </c>
      <c r="AD13" s="56" t="str">
        <f>IF(ISBLANK(ETPT_TJ_DDG!$D$5),"",IF(ISERROR(ETPT_TJ!AD13),"",IF(ETPT_TJ!AD13=0,"",ETPT_TJ!AD13)))</f>
        <v/>
      </c>
      <c r="AE13" s="56" t="str">
        <f>IF(ISBLANK(ETPT_TJ_DDG!$D$5),"",IF(ISERROR(ETPT_TJ!AE13),"",IF(ETPT_TJ!AE13=0,"",ETPT_TJ!AE13)))</f>
        <v/>
      </c>
      <c r="AF13" s="56" t="str">
        <f>IF(ISBLANK(ETPT_TJ_DDG!$D$5),"",IF(ISERROR(ETPT_TJ!AF13),"",IF(ETPT_TJ!AF13=0,"",ETPT_TJ!AF13)))</f>
        <v/>
      </c>
      <c r="AG13" s="46">
        <f t="shared" si="2"/>
        <v>0</v>
      </c>
      <c r="AH13" s="56" t="str">
        <f>IF(ISBLANK(ETPT_TJ_DDG!$D$5),"",IF(ISERROR(ETPT_TJ!AH13),"",IF(ETPT_TJ!AH13=0,"",ETPT_TJ!AH13)))</f>
        <v/>
      </c>
      <c r="AI13" s="56" t="str">
        <f>IF(ISBLANK(ETPT_TJ_DDG!$D$5),"",IF(ISERROR(ETPT_TJ!AI13),"",IF(ETPT_TJ!AI13=0,"",ETPT_TJ!AI13)))</f>
        <v/>
      </c>
      <c r="AJ13" s="56" t="str">
        <f>IF(ISBLANK(ETPT_TJ_DDG!$D$5),"",IF(ISERROR(ETPT_TJ!AJ13),"",IF(ETPT_TJ!AJ13=0,"",ETPT_TJ!AJ13)))</f>
        <v/>
      </c>
      <c r="AK13" s="56" t="str">
        <f>IF(ISBLANK(ETPT_TJ_DDG!$D$5),"",IF(ISERROR(ETPT_TJ!AK13),"",IF(ETPT_TJ!AK13=0,"",ETPT_TJ!AK13)))</f>
        <v/>
      </c>
      <c r="AL13" s="56" t="str">
        <f>IF(ISBLANK(ETPT_TJ_DDG!$D$5),"",IF(ISERROR(ETPT_TJ!AL13),"",IF(ETPT_TJ!AL13=0,"",ETPT_TJ!AL13)))</f>
        <v/>
      </c>
      <c r="AM13" s="56" t="str">
        <f>IF(ISBLANK(ETPT_TJ_DDG!$D$5),"",IF(ISERROR(ETPT_TJ!AM13),"",IF(ETPT_TJ!AM13=0,"",ETPT_TJ!AM13)))</f>
        <v/>
      </c>
      <c r="AN13" s="56" t="str">
        <f>IF(ISBLANK(ETPT_TJ_DDG!$D$5),"",IF(ISERROR(ETPT_TJ!AN13),"",IF(ETPT_TJ!AN13=0,"",ETPT_TJ!AN13)))</f>
        <v/>
      </c>
      <c r="AO13" s="56" t="str">
        <f>IF(ISBLANK(ETPT_TJ_DDG!$D$5),"",IF(ISERROR(ETPT_TJ!AO13),"",IF(ETPT_TJ!AO13=0,"",ETPT_TJ!AO13)))</f>
        <v/>
      </c>
      <c r="AP13" s="56" t="str">
        <f>IF(ISBLANK(ETPT_TJ_DDG!$D$5),"",IF(ISERROR(ETPT_TJ!AP13),"",IF(ETPT_TJ!AP13=0,"",ETPT_TJ!AP13)))</f>
        <v/>
      </c>
      <c r="AQ13" s="56" t="str">
        <f>IF(ISBLANK(ETPT_TJ_DDG!$D$5),"",IF(ISERROR(ETPT_TJ!AQ13),"",IF(ETPT_TJ!AQ13=0,"",ETPT_TJ!AQ13)))</f>
        <v/>
      </c>
      <c r="AR13" s="56" t="str">
        <f>IF(ISBLANK(ETPT_TJ_DDG!$D$5),"",IF(ISERROR(ETPT_TJ!AR13),"",IF(ETPT_TJ!AR13=0,"",ETPT_TJ!AR13)))</f>
        <v/>
      </c>
      <c r="AS13" s="56" t="str">
        <f>IF(ISBLANK(ETPT_TJ_DDG!$D$5),"",IF(ISERROR(ETPT_TJ!AS13),"",IF(ETPT_TJ!AS13=0,"",ETPT_TJ!AS13)))</f>
        <v/>
      </c>
      <c r="AT13" s="56" t="str">
        <f>IF(ISBLANK(ETPT_TJ_DDG!$D$5),"",IF(ISERROR(ETPT_TJ!AT13),"",IF(ETPT_TJ!AT13=0,"",ETPT_TJ!AT13)))</f>
        <v/>
      </c>
      <c r="AU13" s="46">
        <f t="shared" si="3"/>
        <v>0</v>
      </c>
      <c r="AV13" s="52"/>
      <c r="AW13" s="52"/>
      <c r="AX13" s="52"/>
      <c r="AY13" s="52"/>
      <c r="AZ13" s="52"/>
      <c r="BA13" s="52"/>
      <c r="BB13" s="52"/>
      <c r="BC13" s="52"/>
      <c r="BD13" s="52"/>
      <c r="BE13" s="46">
        <f t="shared" si="4"/>
        <v>0</v>
      </c>
    </row>
    <row r="14" spans="1:58" s="41" customFormat="1" ht="14.25" customHeight="1" x14ac:dyDescent="0.15">
      <c r="A14" s="51" t="s">
        <v>42</v>
      </c>
      <c r="B14" s="60"/>
      <c r="C14" s="60"/>
      <c r="D14" s="130" t="str">
        <f t="shared" si="5"/>
        <v/>
      </c>
      <c r="E14" s="60" t="s">
        <v>44</v>
      </c>
      <c r="F14" s="60" t="s">
        <v>43</v>
      </c>
      <c r="G14" s="56" t="str">
        <f>IF(ISBLANK(ETPT_TJ_DDG!$D$5),"",IF(ISERROR(ETPT_TJ!G14),"",IF(ETPT_TJ!G14=0,"",ETPT_TJ!G14)))</f>
        <v/>
      </c>
      <c r="H14" s="46">
        <f t="shared" si="0"/>
        <v>0</v>
      </c>
      <c r="I14" s="56" t="str">
        <f>IF(ISBLANK(ETPT_TJ_DDG!$D$5),"",IF(ISERROR(ETPT_TJ!I14),"",IF(ETPT_TJ!I14=0,"",ETPT_TJ!I14)))</f>
        <v/>
      </c>
      <c r="J14" s="56" t="str">
        <f>IF(ISBLANK(ETPT_TJ_DDG!$D$5),"",IF(ISERROR(ETPT_TJ!J14),"",IF(ETPT_TJ!J14=0,"",ETPT_TJ!J14)))</f>
        <v/>
      </c>
      <c r="K14" s="56" t="str">
        <f>IF(ISBLANK(ETPT_TJ_DDG!$D$5),"",IF(ISERROR(ETPT_TJ!K14),"",IF(ETPT_TJ!K14=0,"",ETPT_TJ!K14)))</f>
        <v/>
      </c>
      <c r="L14" s="56" t="str">
        <f>IF(ISBLANK(ETPT_TJ_DDG!$D$5),"",IF(ISERROR(ETPT_TJ!L14),"",IF(ETPT_TJ!L14=0,"",ETPT_TJ!L14)))</f>
        <v/>
      </c>
      <c r="M14" s="56" t="str">
        <f>IF(ISBLANK(ETPT_TJ_DDG!$D$5),"",IF(ISERROR(ETPT_TJ!M14),"",IF(ETPT_TJ!M14=0,"",ETPT_TJ!M14)))</f>
        <v/>
      </c>
      <c r="N14" s="56" t="str">
        <f>IF(ISBLANK(ETPT_TJ_DDG!$D$5),"",IF(ISERROR(ETPT_TJ!N14),"",IF(ETPT_TJ!N14=0,"",ETPT_TJ!N14)))</f>
        <v/>
      </c>
      <c r="O14" s="56" t="str">
        <f>IF(ISBLANK(ETPT_TJ_DDG!$D$5),"",IF(ISERROR(ETPT_TJ!O14),"",IF(ETPT_TJ!O14=0,"",ETPT_TJ!O14)))</f>
        <v/>
      </c>
      <c r="P14" s="56" t="str">
        <f>IF(ISBLANK(ETPT_TJ_DDG!$D$5),"",IF(ISERROR(ETPT_TJ!P14),"",IF(ETPT_TJ!P14=0,"",ETPT_TJ!P14)))</f>
        <v/>
      </c>
      <c r="Q14" s="56" t="str">
        <f>IF(ISBLANK(ETPT_TJ_DDG!$D$5),"",IF(ISERROR(ETPT_TJ!Q14),"",IF(ETPT_TJ!Q14=0,"",ETPT_TJ!Q14)))</f>
        <v/>
      </c>
      <c r="R14" s="56" t="str">
        <f>IF(ISBLANK(ETPT_TJ_DDG!$D$5),"",IF(ISERROR(ETPT_TJ!R14),"",IF(ETPT_TJ!R14=0,"",ETPT_TJ!R14)))</f>
        <v/>
      </c>
      <c r="S14" s="56" t="str">
        <f>IF(ISBLANK(ETPT_TJ_DDG!$D$5),"",IF(ISERROR(ETPT_TJ!S14),"",IF(ETPT_TJ!S14=0,"",ETPT_TJ!S14)))</f>
        <v/>
      </c>
      <c r="T14" s="56" t="str">
        <f>IF(ISBLANK(ETPT_TJ_DDG!$D$5),"",IF(ISERROR(ETPT_TJ!T14),"",IF(ETPT_TJ!T14=0,"",ETPT_TJ!T14)))</f>
        <v/>
      </c>
      <c r="U14" s="56" t="str">
        <f>IF(ISBLANK(ETPT_TJ_DDG!$D$5),"",IF(ISERROR(ETPT_TJ!U14),"",IF(ETPT_TJ!U14=0,"",ETPT_TJ!U14)))</f>
        <v/>
      </c>
      <c r="V14" s="56" t="str">
        <f>IF(ISBLANK(ETPT_TJ_DDG!$D$5),"",IF(ISERROR(ETPT_TJ!V14),"",IF(ETPT_TJ!V14=0,"",ETPT_TJ!V14)))</f>
        <v/>
      </c>
      <c r="W14" s="46">
        <f t="shared" si="1"/>
        <v>0</v>
      </c>
      <c r="X14" s="56" t="str">
        <f>IF(ISBLANK(ETPT_TJ_DDG!$D$5),"",IF(ISERROR(ETPT_TJ!X14),"",IF(ETPT_TJ!X14=0,"",ETPT_TJ!X14)))</f>
        <v/>
      </c>
      <c r="Y14" s="56" t="str">
        <f>IF(ISBLANK(ETPT_TJ_DDG!$D$5),"",IF(ISERROR(ETPT_TJ!Y14),"",IF(ETPT_TJ!Y14=0,"",ETPT_TJ!Y14)))</f>
        <v/>
      </c>
      <c r="Z14" s="56" t="str">
        <f>IF(ISBLANK(ETPT_TJ_DDG!$D$5),"",IF(ISERROR(ETPT_TJ!Z14),"",IF(ETPT_TJ!Z14=0,"",ETPT_TJ!Z14)))</f>
        <v/>
      </c>
      <c r="AA14" s="56" t="str">
        <f>IF(ISBLANK(ETPT_TJ_DDG!$D$5),"",IF(ISERROR(ETPT_TJ!AA14),"",IF(ETPT_TJ!AA14=0,"",ETPT_TJ!AA14)))</f>
        <v/>
      </c>
      <c r="AB14" s="56" t="str">
        <f>IF(ISBLANK(ETPT_TJ_DDG!$D$5),"",IF(ISERROR(ETPT_TJ!AB14),"",IF(ETPT_TJ!AB14=0,"",ETPT_TJ!AB14)))</f>
        <v/>
      </c>
      <c r="AC14" s="56" t="str">
        <f>IF(ISBLANK(ETPT_TJ_DDG!$D$5),"",IF(ISERROR(ETPT_TJ!AC14),"",IF(ETPT_TJ!AC14=0,"",ETPT_TJ!AC14)))</f>
        <v/>
      </c>
      <c r="AD14" s="56" t="str">
        <f>IF(ISBLANK(ETPT_TJ_DDG!$D$5),"",IF(ISERROR(ETPT_TJ!AD14),"",IF(ETPT_TJ!AD14=0,"",ETPT_TJ!AD14)))</f>
        <v/>
      </c>
      <c r="AE14" s="56" t="str">
        <f>IF(ISBLANK(ETPT_TJ_DDG!$D$5),"",IF(ISERROR(ETPT_TJ!AE14),"",IF(ETPT_TJ!AE14=0,"",ETPT_TJ!AE14)))</f>
        <v/>
      </c>
      <c r="AF14" s="56" t="str">
        <f>IF(ISBLANK(ETPT_TJ_DDG!$D$5),"",IF(ISERROR(ETPT_TJ!AF14),"",IF(ETPT_TJ!AF14=0,"",ETPT_TJ!AF14)))</f>
        <v/>
      </c>
      <c r="AG14" s="46">
        <f t="shared" si="2"/>
        <v>0</v>
      </c>
      <c r="AH14" s="56" t="str">
        <f>IF(ISBLANK(ETPT_TJ_DDG!$D$5),"",IF(ISERROR(ETPT_TJ!AH14),"",IF(ETPT_TJ!AH14=0,"",ETPT_TJ!AH14)))</f>
        <v/>
      </c>
      <c r="AI14" s="56" t="str">
        <f>IF(ISBLANK(ETPT_TJ_DDG!$D$5),"",IF(ISERROR(ETPT_TJ!AI14),"",IF(ETPT_TJ!AI14=0,"",ETPT_TJ!AI14)))</f>
        <v/>
      </c>
      <c r="AJ14" s="56" t="str">
        <f>IF(ISBLANK(ETPT_TJ_DDG!$D$5),"",IF(ISERROR(ETPT_TJ!AJ14),"",IF(ETPT_TJ!AJ14=0,"",ETPT_TJ!AJ14)))</f>
        <v/>
      </c>
      <c r="AK14" s="56" t="str">
        <f>IF(ISBLANK(ETPT_TJ_DDG!$D$5),"",IF(ISERROR(ETPT_TJ!AK14),"",IF(ETPT_TJ!AK14=0,"",ETPT_TJ!AK14)))</f>
        <v/>
      </c>
      <c r="AL14" s="56" t="str">
        <f>IF(ISBLANK(ETPT_TJ_DDG!$D$5),"",IF(ISERROR(ETPT_TJ!AL14),"",IF(ETPT_TJ!AL14=0,"",ETPT_TJ!AL14)))</f>
        <v/>
      </c>
      <c r="AM14" s="56" t="str">
        <f>IF(ISBLANK(ETPT_TJ_DDG!$D$5),"",IF(ISERROR(ETPT_TJ!AM14),"",IF(ETPT_TJ!AM14=0,"",ETPT_TJ!AM14)))</f>
        <v/>
      </c>
      <c r="AN14" s="56" t="str">
        <f>IF(ISBLANK(ETPT_TJ_DDG!$D$5),"",IF(ISERROR(ETPT_TJ!AN14),"",IF(ETPT_TJ!AN14=0,"",ETPT_TJ!AN14)))</f>
        <v/>
      </c>
      <c r="AO14" s="56" t="str">
        <f>IF(ISBLANK(ETPT_TJ_DDG!$D$5),"",IF(ISERROR(ETPT_TJ!AO14),"",IF(ETPT_TJ!AO14=0,"",ETPT_TJ!AO14)))</f>
        <v/>
      </c>
      <c r="AP14" s="56" t="str">
        <f>IF(ISBLANK(ETPT_TJ_DDG!$D$5),"",IF(ISERROR(ETPT_TJ!AP14),"",IF(ETPT_TJ!AP14=0,"",ETPT_TJ!AP14)))</f>
        <v/>
      </c>
      <c r="AQ14" s="56" t="str">
        <f>IF(ISBLANK(ETPT_TJ_DDG!$D$5),"",IF(ISERROR(ETPT_TJ!AQ14),"",IF(ETPT_TJ!AQ14=0,"",ETPT_TJ!AQ14)))</f>
        <v/>
      </c>
      <c r="AR14" s="56" t="str">
        <f>IF(ISBLANK(ETPT_TJ_DDG!$D$5),"",IF(ISERROR(ETPT_TJ!AR14),"",IF(ETPT_TJ!AR14=0,"",ETPT_TJ!AR14)))</f>
        <v/>
      </c>
      <c r="AS14" s="56" t="str">
        <f>IF(ISBLANK(ETPT_TJ_DDG!$D$5),"",IF(ISERROR(ETPT_TJ!AS14),"",IF(ETPT_TJ!AS14=0,"",ETPT_TJ!AS14)))</f>
        <v/>
      </c>
      <c r="AT14" s="56" t="str">
        <f>IF(ISBLANK(ETPT_TJ_DDG!$D$5),"",IF(ISERROR(ETPT_TJ!AT14),"",IF(ETPT_TJ!AT14=0,"",ETPT_TJ!AT14)))</f>
        <v/>
      </c>
      <c r="AU14" s="46">
        <f t="shared" si="3"/>
        <v>0</v>
      </c>
      <c r="AV14" s="52"/>
      <c r="AW14" s="52"/>
      <c r="AX14" s="52"/>
      <c r="AY14" s="52"/>
      <c r="AZ14" s="52"/>
      <c r="BA14" s="52"/>
      <c r="BB14" s="52"/>
      <c r="BC14" s="52"/>
      <c r="BD14" s="52"/>
      <c r="BE14" s="46">
        <f t="shared" si="4"/>
        <v>0</v>
      </c>
    </row>
    <row r="15" spans="1:58" s="41" customFormat="1" ht="14.25" customHeight="1" x14ac:dyDescent="0.15">
      <c r="A15" s="51" t="s">
        <v>42</v>
      </c>
      <c r="B15" s="60"/>
      <c r="C15" s="60"/>
      <c r="D15" s="130" t="str">
        <f t="shared" si="5"/>
        <v/>
      </c>
      <c r="E15" s="60" t="s">
        <v>41</v>
      </c>
      <c r="F15" s="60" t="s">
        <v>40</v>
      </c>
      <c r="G15" s="56" t="str">
        <f>IF(ISBLANK(ETPT_TJ_DDG!$D$5),"",IF(ISERROR(ETPT_TJ!G15),"",IF(ETPT_TJ!G15=0,"",ETPT_TJ!G15)))</f>
        <v/>
      </c>
      <c r="H15" s="46">
        <f t="shared" si="0"/>
        <v>0</v>
      </c>
      <c r="I15" s="56" t="str">
        <f>IF(ISBLANK(ETPT_TJ_DDG!$D$5),"",IF(ISERROR(ETPT_TJ!I15),"",IF(ETPT_TJ!I15=0,"",ETPT_TJ!I15)))</f>
        <v/>
      </c>
      <c r="J15" s="56" t="str">
        <f>IF(ISBLANK(ETPT_TJ_DDG!$D$5),"",IF(ISERROR(ETPT_TJ!J15),"",IF(ETPT_TJ!J15=0,"",ETPT_TJ!J15)))</f>
        <v/>
      </c>
      <c r="K15" s="56" t="str">
        <f>IF(ISBLANK(ETPT_TJ_DDG!$D$5),"",IF(ISERROR(ETPT_TJ!K15),"",IF(ETPT_TJ!K15=0,"",ETPT_TJ!K15)))</f>
        <v/>
      </c>
      <c r="L15" s="56" t="str">
        <f>IF(ISBLANK(ETPT_TJ_DDG!$D$5),"",IF(ISERROR(ETPT_TJ!L15),"",IF(ETPT_TJ!L15=0,"",ETPT_TJ!L15)))</f>
        <v/>
      </c>
      <c r="M15" s="56" t="str">
        <f>IF(ISBLANK(ETPT_TJ_DDG!$D$5),"",IF(ISERROR(ETPT_TJ!M15),"",IF(ETPT_TJ!M15=0,"",ETPT_TJ!M15)))</f>
        <v/>
      </c>
      <c r="N15" s="56" t="str">
        <f>IF(ISBLANK(ETPT_TJ_DDG!$D$5),"",IF(ISERROR(ETPT_TJ!N15),"",IF(ETPT_TJ!N15=0,"",ETPT_TJ!N15)))</f>
        <v/>
      </c>
      <c r="O15" s="56" t="str">
        <f>IF(ISBLANK(ETPT_TJ_DDG!$D$5),"",IF(ISERROR(ETPT_TJ!O15),"",IF(ETPT_TJ!O15=0,"",ETPT_TJ!O15)))</f>
        <v/>
      </c>
      <c r="P15" s="56" t="str">
        <f>IF(ISBLANK(ETPT_TJ_DDG!$D$5),"",IF(ISERROR(ETPT_TJ!P15),"",IF(ETPT_TJ!P15=0,"",ETPT_TJ!P15)))</f>
        <v/>
      </c>
      <c r="Q15" s="56" t="str">
        <f>IF(ISBLANK(ETPT_TJ_DDG!$D$5),"",IF(ISERROR(ETPT_TJ!Q15),"",IF(ETPT_TJ!Q15=0,"",ETPT_TJ!Q15)))</f>
        <v/>
      </c>
      <c r="R15" s="56" t="str">
        <f>IF(ISBLANK(ETPT_TJ_DDG!$D$5),"",IF(ISERROR(ETPT_TJ!R15),"",IF(ETPT_TJ!R15=0,"",ETPT_TJ!R15)))</f>
        <v/>
      </c>
      <c r="S15" s="56" t="str">
        <f>IF(ISBLANK(ETPT_TJ_DDG!$D$5),"",IF(ISERROR(ETPT_TJ!S15),"",IF(ETPT_TJ!S15=0,"",ETPT_TJ!S15)))</f>
        <v/>
      </c>
      <c r="T15" s="56" t="str">
        <f>IF(ISBLANK(ETPT_TJ_DDG!$D$5),"",IF(ISERROR(ETPT_TJ!T15),"",IF(ETPT_TJ!T15=0,"",ETPT_TJ!T15)))</f>
        <v/>
      </c>
      <c r="U15" s="56" t="str">
        <f>IF(ISBLANK(ETPT_TJ_DDG!$D$5),"",IF(ISERROR(ETPT_TJ!U15),"",IF(ETPT_TJ!U15=0,"",ETPT_TJ!U15)))</f>
        <v/>
      </c>
      <c r="V15" s="56" t="str">
        <f>IF(ISBLANK(ETPT_TJ_DDG!$D$5),"",IF(ISERROR(ETPT_TJ!V15),"",IF(ETPT_TJ!V15=0,"",ETPT_TJ!V15)))</f>
        <v/>
      </c>
      <c r="W15" s="46">
        <f t="shared" si="1"/>
        <v>0</v>
      </c>
      <c r="X15" s="56" t="str">
        <f>IF(ISBLANK(ETPT_TJ_DDG!$D$5),"",IF(ISERROR(ETPT_TJ!X15),"",IF(ETPT_TJ!X15=0,"",ETPT_TJ!X15)))</f>
        <v/>
      </c>
      <c r="Y15" s="56" t="str">
        <f>IF(ISBLANK(ETPT_TJ_DDG!$D$5),"",IF(ISERROR(ETPT_TJ!Y15),"",IF(ETPT_TJ!Y15=0,"",ETPT_TJ!Y15)))</f>
        <v/>
      </c>
      <c r="Z15" s="56" t="str">
        <f>IF(ISBLANK(ETPT_TJ_DDG!$D$5),"",IF(ISERROR(ETPT_TJ!Z15),"",IF(ETPT_TJ!Z15=0,"",ETPT_TJ!Z15)))</f>
        <v/>
      </c>
      <c r="AA15" s="56" t="str">
        <f>IF(ISBLANK(ETPT_TJ_DDG!$D$5),"",IF(ISERROR(ETPT_TJ!AA15),"",IF(ETPT_TJ!AA15=0,"",ETPT_TJ!AA15)))</f>
        <v/>
      </c>
      <c r="AB15" s="56" t="str">
        <f>IF(ISBLANK(ETPT_TJ_DDG!$D$5),"",IF(ISERROR(ETPT_TJ!AB15),"",IF(ETPT_TJ!AB15=0,"",ETPT_TJ!AB15)))</f>
        <v/>
      </c>
      <c r="AC15" s="56" t="str">
        <f>IF(ISBLANK(ETPT_TJ_DDG!$D$5),"",IF(ISERROR(ETPT_TJ!AC15),"",IF(ETPT_TJ!AC15=0,"",ETPT_TJ!AC15)))</f>
        <v/>
      </c>
      <c r="AD15" s="56" t="str">
        <f>IF(ISBLANK(ETPT_TJ_DDG!$D$5),"",IF(ISERROR(ETPT_TJ!AD15),"",IF(ETPT_TJ!AD15=0,"",ETPT_TJ!AD15)))</f>
        <v/>
      </c>
      <c r="AE15" s="56" t="str">
        <f>IF(ISBLANK(ETPT_TJ_DDG!$D$5),"",IF(ISERROR(ETPT_TJ!AE15),"",IF(ETPT_TJ!AE15=0,"",ETPT_TJ!AE15)))</f>
        <v/>
      </c>
      <c r="AF15" s="56" t="str">
        <f>IF(ISBLANK(ETPT_TJ_DDG!$D$5),"",IF(ISERROR(ETPT_TJ!AF15),"",IF(ETPT_TJ!AF15=0,"",ETPT_TJ!AF15)))</f>
        <v/>
      </c>
      <c r="AG15" s="46">
        <f t="shared" si="2"/>
        <v>0</v>
      </c>
      <c r="AH15" s="56" t="str">
        <f>IF(ISBLANK(ETPT_TJ_DDG!$D$5),"",IF(ISERROR(ETPT_TJ!AH15),"",IF(ETPT_TJ!AH15=0,"",ETPT_TJ!AH15)))</f>
        <v/>
      </c>
      <c r="AI15" s="56" t="str">
        <f>IF(ISBLANK(ETPT_TJ_DDG!$D$5),"",IF(ISERROR(ETPT_TJ!AI15),"",IF(ETPT_TJ!AI15=0,"",ETPT_TJ!AI15)))</f>
        <v/>
      </c>
      <c r="AJ15" s="56" t="str">
        <f>IF(ISBLANK(ETPT_TJ_DDG!$D$5),"",IF(ISERROR(ETPT_TJ!AJ15),"",IF(ETPT_TJ!AJ15=0,"",ETPT_TJ!AJ15)))</f>
        <v/>
      </c>
      <c r="AK15" s="56" t="str">
        <f>IF(ISBLANK(ETPT_TJ_DDG!$D$5),"",IF(ISERROR(ETPT_TJ!AK15),"",IF(ETPT_TJ!AK15=0,"",ETPT_TJ!AK15)))</f>
        <v/>
      </c>
      <c r="AL15" s="56" t="str">
        <f>IF(ISBLANK(ETPT_TJ_DDG!$D$5),"",IF(ISERROR(ETPT_TJ!AL15),"",IF(ETPT_TJ!AL15=0,"",ETPT_TJ!AL15)))</f>
        <v/>
      </c>
      <c r="AM15" s="56" t="str">
        <f>IF(ISBLANK(ETPT_TJ_DDG!$D$5),"",IF(ISERROR(ETPT_TJ!AM15),"",IF(ETPT_TJ!AM15=0,"",ETPT_TJ!AM15)))</f>
        <v/>
      </c>
      <c r="AN15" s="56" t="str">
        <f>IF(ISBLANK(ETPT_TJ_DDG!$D$5),"",IF(ISERROR(ETPT_TJ!AN15),"",IF(ETPT_TJ!AN15=0,"",ETPT_TJ!AN15)))</f>
        <v/>
      </c>
      <c r="AO15" s="56" t="str">
        <f>IF(ISBLANK(ETPT_TJ_DDG!$D$5),"",IF(ISERROR(ETPT_TJ!AO15),"",IF(ETPT_TJ!AO15=0,"",ETPT_TJ!AO15)))</f>
        <v/>
      </c>
      <c r="AP15" s="56" t="str">
        <f>IF(ISBLANK(ETPT_TJ_DDG!$D$5),"",IF(ISERROR(ETPT_TJ!AP15),"",IF(ETPT_TJ!AP15=0,"",ETPT_TJ!AP15)))</f>
        <v/>
      </c>
      <c r="AQ15" s="56" t="str">
        <f>IF(ISBLANK(ETPT_TJ_DDG!$D$5),"",IF(ISERROR(ETPT_TJ!AQ15),"",IF(ETPT_TJ!AQ15=0,"",ETPT_TJ!AQ15)))</f>
        <v/>
      </c>
      <c r="AR15" s="56" t="str">
        <f>IF(ISBLANK(ETPT_TJ_DDG!$D$5),"",IF(ISERROR(ETPT_TJ!AR15),"",IF(ETPT_TJ!AR15=0,"",ETPT_TJ!AR15)))</f>
        <v/>
      </c>
      <c r="AS15" s="56" t="str">
        <f>IF(ISBLANK(ETPT_TJ_DDG!$D$5),"",IF(ISERROR(ETPT_TJ!AS15),"",IF(ETPT_TJ!AS15=0,"",ETPT_TJ!AS15)))</f>
        <v/>
      </c>
      <c r="AT15" s="56" t="str">
        <f>IF(ISBLANK(ETPT_TJ_DDG!$D$5),"",IF(ISERROR(ETPT_TJ!AT15),"",IF(ETPT_TJ!AT15=0,"",ETPT_TJ!AT15)))</f>
        <v/>
      </c>
      <c r="AU15" s="46">
        <f t="shared" si="3"/>
        <v>0</v>
      </c>
      <c r="AV15" s="52"/>
      <c r="AW15" s="52"/>
      <c r="AX15" s="52"/>
      <c r="AY15" s="52"/>
      <c r="AZ15" s="52"/>
      <c r="BA15" s="52"/>
      <c r="BB15" s="52"/>
      <c r="BC15" s="52"/>
      <c r="BD15" s="52"/>
      <c r="BE15" s="46">
        <f t="shared" si="4"/>
        <v>0</v>
      </c>
    </row>
    <row r="16" spans="1:58" s="41" customFormat="1" ht="14.25" customHeight="1" x14ac:dyDescent="0.15">
      <c r="A16" s="51"/>
      <c r="B16" s="50"/>
      <c r="C16" s="50"/>
      <c r="D16" s="50"/>
      <c r="E16" s="50"/>
      <c r="F16" s="49" t="s">
        <v>39</v>
      </c>
      <c r="G16" s="47">
        <f t="shared" ref="G16:AG16" si="6">SUM(G5:G15)</f>
        <v>0</v>
      </c>
      <c r="H16" s="46">
        <f t="shared" si="6"/>
        <v>0</v>
      </c>
      <c r="I16" s="47">
        <f t="shared" si="6"/>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6">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6">
        <f t="shared" si="6"/>
        <v>0</v>
      </c>
      <c r="AH16" s="47">
        <f t="shared" ref="AH16:BE16" si="7">SUM(AH5:AH15)</f>
        <v>0</v>
      </c>
      <c r="AI16" s="47">
        <f t="shared" si="7"/>
        <v>0</v>
      </c>
      <c r="AJ16" s="47">
        <f t="shared" si="7"/>
        <v>0</v>
      </c>
      <c r="AK16" s="47">
        <f t="shared" si="7"/>
        <v>0</v>
      </c>
      <c r="AL16" s="47">
        <f t="shared" si="7"/>
        <v>0</v>
      </c>
      <c r="AM16" s="47">
        <f t="shared" si="7"/>
        <v>0</v>
      </c>
      <c r="AN16" s="47">
        <f t="shared" si="7"/>
        <v>0</v>
      </c>
      <c r="AO16" s="47">
        <f t="shared" si="7"/>
        <v>0</v>
      </c>
      <c r="AP16" s="47">
        <f t="shared" si="7"/>
        <v>0</v>
      </c>
      <c r="AQ16" s="47">
        <f t="shared" si="7"/>
        <v>0</v>
      </c>
      <c r="AR16" s="47">
        <f t="shared" si="7"/>
        <v>0</v>
      </c>
      <c r="AS16" s="47">
        <f t="shared" si="7"/>
        <v>0</v>
      </c>
      <c r="AT16" s="47">
        <f t="shared" si="7"/>
        <v>0</v>
      </c>
      <c r="AU16" s="46">
        <f t="shared" si="7"/>
        <v>0</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4:57" ht="15" customHeight="1" x14ac:dyDescent="0.2">
      <c r="D17" s="395"/>
      <c r="E17" s="395"/>
      <c r="F17" s="395"/>
      <c r="G17" s="395"/>
      <c r="H17" s="395"/>
      <c r="I17" s="395"/>
      <c r="J17" s="395"/>
      <c r="K17" s="395"/>
      <c r="L17" s="395"/>
      <c r="M17" s="395"/>
      <c r="N17" s="395"/>
      <c r="O17" s="395"/>
      <c r="P17" s="395"/>
      <c r="Q17" s="395"/>
      <c r="R17" s="395"/>
      <c r="S17" s="395"/>
      <c r="T17" s="395"/>
      <c r="U17" s="395"/>
      <c r="V17" s="395"/>
      <c r="W17" s="396"/>
      <c r="X17" s="395"/>
      <c r="Y17" s="395"/>
      <c r="Z17" s="395"/>
      <c r="AA17" s="395"/>
      <c r="AB17" s="395"/>
      <c r="AC17" s="395"/>
      <c r="AD17" s="395"/>
      <c r="AE17" s="395"/>
      <c r="AF17" s="395"/>
      <c r="AG17" s="395"/>
      <c r="AH17" s="395"/>
      <c r="AI17" s="395"/>
      <c r="AJ17" s="395"/>
      <c r="AK17" s="395"/>
      <c r="AL17" s="395"/>
      <c r="AM17" s="395"/>
      <c r="AN17" s="395"/>
      <c r="AO17" s="395"/>
      <c r="AP17" s="395"/>
      <c r="AQ17" s="395"/>
      <c r="AR17" s="395"/>
      <c r="AS17" s="395"/>
      <c r="AT17" s="395"/>
      <c r="AU17" s="396"/>
      <c r="AV17" s="395"/>
      <c r="AW17" s="395"/>
      <c r="AX17" s="395"/>
      <c r="AY17" s="395"/>
      <c r="AZ17" s="395"/>
      <c r="BA17" s="395"/>
      <c r="BB17" s="395"/>
      <c r="BC17" s="395"/>
      <c r="BD17" s="395"/>
      <c r="BE17" s="395"/>
    </row>
    <row r="18" spans="4:57" hidden="1" x14ac:dyDescent="0.2">
      <c r="D18" s="395"/>
      <c r="E18" s="395"/>
      <c r="F18" s="395"/>
      <c r="G18" s="395"/>
      <c r="H18" s="395"/>
      <c r="I18" s="395"/>
      <c r="J18" s="395"/>
      <c r="K18" s="395"/>
      <c r="L18" s="395"/>
      <c r="M18" s="395"/>
      <c r="N18" s="395"/>
      <c r="O18" s="395"/>
      <c r="P18" s="395"/>
      <c r="Q18" s="395"/>
      <c r="R18" s="395"/>
      <c r="S18" s="395"/>
      <c r="T18" s="395"/>
      <c r="U18" s="395"/>
      <c r="V18" s="395"/>
      <c r="W18" s="397"/>
      <c r="X18" s="395"/>
      <c r="Y18" s="395"/>
      <c r="Z18" s="395"/>
      <c r="AA18" s="395"/>
      <c r="AB18" s="395"/>
      <c r="AC18" s="395"/>
      <c r="AD18" s="395"/>
      <c r="AE18" s="395"/>
      <c r="AF18" s="395"/>
      <c r="AG18" s="395"/>
      <c r="AH18" s="395"/>
      <c r="AI18" s="395"/>
      <c r="AJ18" s="395"/>
      <c r="AK18" s="395"/>
      <c r="AL18" s="395"/>
      <c r="AM18" s="395"/>
      <c r="AN18" s="395"/>
      <c r="AO18" s="395"/>
      <c r="AP18" s="395"/>
      <c r="AQ18" s="395"/>
      <c r="AR18" s="395"/>
      <c r="AS18" s="395"/>
      <c r="AT18" s="395"/>
      <c r="AU18" s="397">
        <f>AU16+AG16-AU14-AG14-AU13-AU12-AG13-AG12</f>
        <v>0</v>
      </c>
      <c r="AV18" s="395"/>
      <c r="AW18" s="395"/>
      <c r="AX18" s="395"/>
      <c r="AY18" s="395"/>
      <c r="AZ18" s="395"/>
      <c r="BA18" s="395"/>
      <c r="BB18" s="395"/>
      <c r="BC18" s="395"/>
      <c r="BD18" s="395"/>
      <c r="BE18" s="395"/>
    </row>
    <row r="19" spans="4:57" x14ac:dyDescent="0.2">
      <c r="D19" s="395"/>
      <c r="E19" s="395"/>
      <c r="F19" s="395"/>
      <c r="G19" s="395"/>
      <c r="H19" s="395"/>
      <c r="I19" s="395"/>
      <c r="J19" s="395"/>
      <c r="K19" s="395"/>
      <c r="L19" s="395"/>
      <c r="M19" s="395"/>
      <c r="N19" s="395"/>
      <c r="O19" s="395"/>
      <c r="P19" s="395"/>
      <c r="Q19" s="395"/>
      <c r="R19" s="395"/>
      <c r="S19" s="395"/>
      <c r="T19" s="395"/>
      <c r="U19" s="395"/>
      <c r="V19" s="395"/>
      <c r="W19" s="395"/>
      <c r="X19" s="395"/>
      <c r="Y19" s="395"/>
      <c r="Z19" s="395"/>
      <c r="AA19" s="395"/>
      <c r="AB19" s="395"/>
      <c r="AC19" s="395"/>
      <c r="AD19" s="395"/>
      <c r="AE19" s="395"/>
      <c r="AF19" s="395"/>
      <c r="AG19" s="395"/>
      <c r="AH19" s="395"/>
      <c r="AI19" s="395"/>
      <c r="AJ19" s="395"/>
      <c r="AK19" s="395"/>
      <c r="AL19" s="395"/>
      <c r="AM19" s="395"/>
      <c r="AN19" s="395"/>
      <c r="AO19" s="395"/>
      <c r="AP19" s="395"/>
      <c r="AQ19" s="395"/>
      <c r="AR19" s="395"/>
      <c r="AS19" s="395"/>
      <c r="AT19" s="395"/>
      <c r="AU19" s="395"/>
      <c r="AV19" s="395"/>
      <c r="AW19" s="395"/>
      <c r="AX19" s="395"/>
      <c r="AY19" s="395"/>
      <c r="AZ19" s="395"/>
      <c r="BA19" s="395"/>
      <c r="BB19" s="395"/>
      <c r="BC19" s="395"/>
      <c r="BD19" s="395"/>
      <c r="BE19" s="395"/>
    </row>
    <row r="20" spans="4:57" ht="24" x14ac:dyDescent="0.2">
      <c r="D20" s="395"/>
      <c r="E20" s="395"/>
      <c r="F20" s="398" t="s">
        <v>253</v>
      </c>
      <c r="G20" s="152" t="str">
        <f>IF(ISBLANK(ETPT_TJ_DDG!$D$5),"",IF(ISERROR(ETPT_TJ!G20),"",IF(ETPT_TJ!G20=0,"",ETPT_TJ!G20)))</f>
        <v/>
      </c>
      <c r="H20" s="395"/>
      <c r="I20" s="395"/>
      <c r="J20" s="395"/>
      <c r="K20" s="395"/>
      <c r="L20" s="395"/>
      <c r="M20" s="395"/>
      <c r="N20" s="395"/>
      <c r="O20" s="395"/>
      <c r="P20" s="395"/>
      <c r="Q20" s="395"/>
      <c r="R20" s="395"/>
      <c r="S20" s="395"/>
      <c r="T20" s="395"/>
      <c r="U20" s="399" t="s">
        <v>254</v>
      </c>
      <c r="V20" s="152" t="str">
        <f>IF(ISBLANK(ETPT_TJ_DDG!$D$5),"",IF(ISERROR(ETPT_TJ!V20),"",IF(ETPT_TJ!V20=0,"",ETPT_TJ!V20)))</f>
        <v/>
      </c>
      <c r="W20" s="395"/>
      <c r="X20" s="395"/>
      <c r="Y20" s="395"/>
      <c r="Z20" s="395"/>
      <c r="AA20" s="395"/>
      <c r="AB20" s="395"/>
      <c r="AC20" s="400"/>
      <c r="AD20" s="395"/>
      <c r="AE20" s="395"/>
      <c r="AF20" s="395"/>
      <c r="AG20" s="395"/>
      <c r="AH20" s="395"/>
      <c r="AI20" s="395"/>
      <c r="AJ20" s="395"/>
      <c r="AK20" s="395"/>
      <c r="AL20" s="395"/>
      <c r="AM20" s="395"/>
      <c r="AN20" s="395"/>
      <c r="AO20" s="395"/>
      <c r="AP20" s="395"/>
      <c r="AQ20" s="395"/>
      <c r="AR20" s="395"/>
      <c r="AS20" s="399" t="s">
        <v>252</v>
      </c>
      <c r="AT20" s="152" t="str">
        <f>IF(ISBLANK(ETPT_TJ_DDG!$D$5),"",IF(ISERROR(ETPT_TJ!AT20),"",IF(ETPT_TJ!AT20=0,"",ETPT_TJ!AT20)))</f>
        <v/>
      </c>
      <c r="AU20" s="395"/>
      <c r="AV20" s="395"/>
      <c r="AW20" s="395"/>
      <c r="AX20" s="395"/>
      <c r="AY20" s="395"/>
      <c r="AZ20" s="395"/>
      <c r="BA20" s="395"/>
      <c r="BB20" s="395"/>
      <c r="BC20" s="395"/>
      <c r="BD20" s="395"/>
      <c r="BE20" s="395"/>
    </row>
    <row r="21" spans="4:57" ht="17" thickBot="1" x14ac:dyDescent="0.25">
      <c r="E21" s="39"/>
    </row>
    <row r="22" spans="4:57" ht="69" customHeight="1" thickBot="1" x14ac:dyDescent="0.25">
      <c r="E22" s="377" t="s">
        <v>370</v>
      </c>
      <c r="F22" s="378"/>
      <c r="G22" s="378"/>
      <c r="H22" s="378"/>
      <c r="I22" s="378"/>
      <c r="J22" s="378"/>
      <c r="K22" s="378"/>
      <c r="L22" s="378"/>
      <c r="M22" s="378"/>
      <c r="N22" s="378"/>
      <c r="O22" s="378"/>
      <c r="P22" s="378"/>
      <c r="Q22" s="378"/>
      <c r="R22" s="378"/>
      <c r="S22" s="378"/>
      <c r="T22" s="378"/>
      <c r="U22" s="378"/>
      <c r="V22" s="378"/>
      <c r="W22" s="378"/>
      <c r="X22" s="379"/>
    </row>
  </sheetData>
  <mergeCells count="6">
    <mergeCell ref="E22:X22"/>
    <mergeCell ref="BE2:BE4"/>
    <mergeCell ref="H2:H4"/>
    <mergeCell ref="W2:W4"/>
    <mergeCell ref="AG2:AG4"/>
    <mergeCell ref="AU2:AU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F461-4586-D34F-8E14-1071CB20CB72}">
  <sheetPr codeName="Feuil15">
    <tabColor rgb="FFF7EF2D"/>
  </sheetPr>
  <dimension ref="A1:BH21"/>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3.5" style="37" customWidth="1"/>
    <col min="5" max="5" width="11" style="37"/>
    <col min="6" max="6" width="48.1640625" style="37" customWidth="1"/>
    <col min="7" max="16384" width="11" style="37"/>
  </cols>
  <sheetData>
    <row r="1" spans="1:60" s="4" customFormat="1" ht="80" customHeight="1" x14ac:dyDescent="0.25">
      <c r="A1" s="3" t="s">
        <v>217</v>
      </c>
      <c r="B1" s="5"/>
      <c r="C1" s="5"/>
      <c r="D1" s="3" t="s">
        <v>220</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x14ac:dyDescent="0.2">
      <c r="A2" s="78"/>
      <c r="B2" s="78"/>
      <c r="C2" s="78"/>
      <c r="D2" s="395"/>
      <c r="E2" s="395"/>
      <c r="F2" s="395"/>
      <c r="G2" s="75" t="s">
        <v>169</v>
      </c>
      <c r="H2" s="373" t="s">
        <v>168</v>
      </c>
      <c r="I2" s="75" t="s">
        <v>167</v>
      </c>
      <c r="J2" s="75" t="s">
        <v>167</v>
      </c>
      <c r="K2" s="75" t="s">
        <v>167</v>
      </c>
      <c r="L2" s="75" t="s">
        <v>167</v>
      </c>
      <c r="M2" s="75" t="s">
        <v>167</v>
      </c>
      <c r="N2" s="75" t="s">
        <v>167</v>
      </c>
      <c r="O2" s="75" t="s">
        <v>167</v>
      </c>
      <c r="P2" s="75" t="s">
        <v>167</v>
      </c>
      <c r="Q2" s="75" t="s">
        <v>167</v>
      </c>
      <c r="R2" s="75" t="s">
        <v>167</v>
      </c>
      <c r="S2" s="373" t="s">
        <v>166</v>
      </c>
      <c r="T2" s="75" t="s">
        <v>164</v>
      </c>
      <c r="U2" s="75" t="s">
        <v>164</v>
      </c>
      <c r="V2" s="75" t="s">
        <v>164</v>
      </c>
      <c r="W2" s="75" t="s">
        <v>164</v>
      </c>
      <c r="X2" s="75" t="s">
        <v>164</v>
      </c>
      <c r="Y2" s="75" t="s">
        <v>164</v>
      </c>
      <c r="Z2" s="75" t="s">
        <v>164</v>
      </c>
      <c r="AA2" s="75" t="s">
        <v>164</v>
      </c>
      <c r="AB2" s="75" t="s">
        <v>164</v>
      </c>
      <c r="AC2" s="373" t="s">
        <v>213</v>
      </c>
      <c r="AD2" s="75" t="s">
        <v>212</v>
      </c>
      <c r="AE2" s="75" t="s">
        <v>212</v>
      </c>
      <c r="AF2" s="75" t="s">
        <v>212</v>
      </c>
      <c r="AG2" s="373" t="s">
        <v>211</v>
      </c>
    </row>
    <row r="3" spans="1:60" ht="36" x14ac:dyDescent="0.2">
      <c r="A3" s="78"/>
      <c r="B3" s="78"/>
      <c r="C3" s="78"/>
      <c r="D3" s="395"/>
      <c r="E3" s="395"/>
      <c r="F3" s="395"/>
      <c r="G3" s="75" t="s">
        <v>158</v>
      </c>
      <c r="H3" s="373"/>
      <c r="I3" s="75" t="s">
        <v>210</v>
      </c>
      <c r="J3" s="75" t="s">
        <v>209</v>
      </c>
      <c r="K3" s="75" t="s">
        <v>208</v>
      </c>
      <c r="L3" s="75" t="s">
        <v>207</v>
      </c>
      <c r="M3" s="75" t="s">
        <v>206</v>
      </c>
      <c r="N3" s="75" t="s">
        <v>205</v>
      </c>
      <c r="O3" s="75" t="s">
        <v>204</v>
      </c>
      <c r="P3" s="75" t="s">
        <v>203</v>
      </c>
      <c r="Q3" s="75" t="s">
        <v>202</v>
      </c>
      <c r="R3" s="75" t="s">
        <v>145</v>
      </c>
      <c r="S3" s="373"/>
      <c r="T3" s="75" t="s">
        <v>201</v>
      </c>
      <c r="U3" s="75" t="s">
        <v>200</v>
      </c>
      <c r="V3" s="75" t="s">
        <v>199</v>
      </c>
      <c r="W3" s="75" t="s">
        <v>198</v>
      </c>
      <c r="X3" s="75" t="s">
        <v>197</v>
      </c>
      <c r="Y3" s="75" t="s">
        <v>196</v>
      </c>
      <c r="Z3" s="75" t="s">
        <v>195</v>
      </c>
      <c r="AA3" s="75" t="s">
        <v>194</v>
      </c>
      <c r="AB3" s="75" t="s">
        <v>193</v>
      </c>
      <c r="AC3" s="373"/>
      <c r="AD3" s="75" t="s">
        <v>192</v>
      </c>
      <c r="AE3" s="75" t="s">
        <v>128</v>
      </c>
      <c r="AF3" s="75" t="s">
        <v>122</v>
      </c>
      <c r="AG3" s="373"/>
    </row>
    <row r="4" spans="1:60" ht="60" x14ac:dyDescent="0.2">
      <c r="A4" s="78"/>
      <c r="B4" s="76" t="s">
        <v>112</v>
      </c>
      <c r="C4" s="76" t="s">
        <v>111</v>
      </c>
      <c r="D4" s="76" t="s">
        <v>32</v>
      </c>
      <c r="E4" s="76" t="s">
        <v>110</v>
      </c>
      <c r="F4" s="76" t="s">
        <v>109</v>
      </c>
      <c r="G4" s="75" t="s">
        <v>108</v>
      </c>
      <c r="H4" s="373"/>
      <c r="I4" s="75" t="s">
        <v>191</v>
      </c>
      <c r="J4" s="75" t="s">
        <v>190</v>
      </c>
      <c r="K4" s="75" t="s">
        <v>189</v>
      </c>
      <c r="L4" s="75" t="s">
        <v>188</v>
      </c>
      <c r="M4" s="75" t="s">
        <v>187</v>
      </c>
      <c r="N4" s="75" t="s">
        <v>186</v>
      </c>
      <c r="O4" s="75" t="s">
        <v>185</v>
      </c>
      <c r="P4" s="75" t="s">
        <v>184</v>
      </c>
      <c r="Q4" s="75" t="s">
        <v>183</v>
      </c>
      <c r="R4" s="75" t="s">
        <v>94</v>
      </c>
      <c r="S4" s="373"/>
      <c r="T4" s="75" t="s">
        <v>182</v>
      </c>
      <c r="U4" s="75" t="s">
        <v>181</v>
      </c>
      <c r="V4" s="75" t="s">
        <v>180</v>
      </c>
      <c r="W4" s="75" t="s">
        <v>179</v>
      </c>
      <c r="X4" s="75" t="s">
        <v>178</v>
      </c>
      <c r="Y4" s="75" t="s">
        <v>177</v>
      </c>
      <c r="Z4" s="75" t="s">
        <v>176</v>
      </c>
      <c r="AA4" s="75" t="s">
        <v>175</v>
      </c>
      <c r="AB4" s="75" t="s">
        <v>174</v>
      </c>
      <c r="AC4" s="373"/>
      <c r="AD4" s="75" t="s">
        <v>616</v>
      </c>
      <c r="AE4" s="75" t="s">
        <v>78</v>
      </c>
      <c r="AF4" s="75" t="s">
        <v>72</v>
      </c>
      <c r="AG4" s="373"/>
    </row>
    <row r="5" spans="1:60" x14ac:dyDescent="0.2">
      <c r="A5" s="81" t="s">
        <v>172</v>
      </c>
      <c r="B5" s="61"/>
      <c r="C5" s="61"/>
      <c r="D5" s="111"/>
      <c r="E5" s="61" t="s">
        <v>62</v>
      </c>
      <c r="F5" s="61" t="s">
        <v>61</v>
      </c>
      <c r="G5" s="106" t="str">
        <f>IF(ISBLANK(ETPT_TPRX_DDG!$D$5),"",IF(ISERROR(ETPT_TPRX!G5),"",IF(ETPT_TPRX!G5=0,"",ETPT_TPRX!G5)))</f>
        <v/>
      </c>
      <c r="H5" s="82">
        <f t="shared" ref="H5:H15" si="0">SUM(G5)</f>
        <v>0</v>
      </c>
      <c r="I5" s="106" t="str">
        <f>IF(ISBLANK(ETPT_TPRX_DDG!$D$5),"",IF(ISERROR(ETPT_TPRX!I5),"",IF(ETPT_TPRX!I5=0,"",ETPT_TPRX!I5)))</f>
        <v/>
      </c>
      <c r="J5" s="106" t="str">
        <f>IF(ISBLANK(ETPT_TPRX_DDG!$D$5),"",IF(ISERROR(ETPT_TPRX!J5),"",IF(ETPT_TPRX!J5=0,"",ETPT_TPRX!J5)))</f>
        <v/>
      </c>
      <c r="K5" s="106" t="str">
        <f>IF(ISBLANK(ETPT_TPRX_DDG!$D$5),"",IF(ISERROR(ETPT_TPRX!K5),"",IF(ETPT_TPRX!K5=0,"",ETPT_TPRX!K5)))</f>
        <v/>
      </c>
      <c r="L5" s="106" t="str">
        <f>IF(ISBLANK(ETPT_TPRX_DDG!$D$5),"",IF(ISERROR(ETPT_TPRX!L5),"",IF(ETPT_TPRX!L5=0,"",ETPT_TPRX!L5)))</f>
        <v/>
      </c>
      <c r="M5" s="106" t="str">
        <f>IF(ISBLANK(ETPT_TPRX_DDG!$D$5),"",IF(ISERROR(ETPT_TPRX!M5),"",IF(ETPT_TPRX!M5=0,"",ETPT_TPRX!M5)))</f>
        <v/>
      </c>
      <c r="N5" s="106" t="str">
        <f>IF(ISBLANK(ETPT_TPRX_DDG!$D$5),"",IF(ISERROR(ETPT_TPRX!N5),"",IF(ETPT_TPRX!N5=0,"",ETPT_TPRX!N5)))</f>
        <v/>
      </c>
      <c r="O5" s="106" t="str">
        <f>IF(ISBLANK(ETPT_TPRX_DDG!$D$5),"",IF(ISERROR(ETPT_TPRX!O5),"",IF(ETPT_TPRX!O5=0,"",ETPT_TPRX!O5)))</f>
        <v/>
      </c>
      <c r="P5" s="106" t="str">
        <f>IF(ISBLANK(ETPT_TPRX_DDG!$D$5),"",IF(ISERROR(ETPT_TPRX!P5),"",IF(ETPT_TPRX!P5=0,"",ETPT_TPRX!P5)))</f>
        <v/>
      </c>
      <c r="Q5" s="106" t="str">
        <f>IF(ISBLANK(ETPT_TPRX_DDG!$D$5),"",IF(ISERROR(ETPT_TPRX!Q5),"",IF(ETPT_TPRX!Q5=0,"",ETPT_TPRX!Q5)))</f>
        <v/>
      </c>
      <c r="R5" s="106" t="str">
        <f>IF(ISBLANK(ETPT_TPRX_DDG!$D$5),"",IF(ISERROR(ETPT_TPRX!R5),"",IF(ETPT_TPRX!R5=0,"",ETPT_TPRX!R5)))</f>
        <v/>
      </c>
      <c r="S5" s="82">
        <f t="shared" ref="S5:S15" si="1">SUM(I5:R5)</f>
        <v>0</v>
      </c>
      <c r="T5" s="106" t="str">
        <f>IF(ISBLANK(ETPT_TPRX_DDG!$D$5),"",IF(ISERROR(ETPT_TPRX!T5),"",IF(ETPT_TPRX!T5=0,"",ETPT_TPRX!T5)))</f>
        <v/>
      </c>
      <c r="U5" s="106" t="str">
        <f>IF(ISBLANK(ETPT_TPRX_DDG!$D$5),"",IF(ISERROR(ETPT_TPRX!U5),"",IF(ETPT_TPRX!U5=0,"",ETPT_TPRX!U5)))</f>
        <v/>
      </c>
      <c r="V5" s="106" t="str">
        <f>IF(ISBLANK(ETPT_TPRX_DDG!$D$5),"",IF(ISERROR(ETPT_TPRX!V5),"",IF(ETPT_TPRX!V5=0,"",ETPT_TPRX!V5)))</f>
        <v/>
      </c>
      <c r="W5" s="106" t="str">
        <f>IF(ISBLANK(ETPT_TPRX_DDG!$D$5),"",IF(ISERROR(ETPT_TPRX!W5),"",IF(ETPT_TPRX!W5=0,"",ETPT_TPRX!W5)))</f>
        <v/>
      </c>
      <c r="X5" s="106" t="str">
        <f>IF(ISBLANK(ETPT_TPRX_DDG!$D$5),"",IF(ISERROR(ETPT_TPRX!X5),"",IF(ETPT_TPRX!X5=0,"",ETPT_TPRX!X5)))</f>
        <v/>
      </c>
      <c r="Y5" s="106" t="str">
        <f>IF(ISBLANK(ETPT_TPRX_DDG!$D$5),"",IF(ISERROR(ETPT_TPRX!Y5),"",IF(ETPT_TPRX!Y5=0,"",ETPT_TPRX!Y5)))</f>
        <v/>
      </c>
      <c r="Z5" s="106" t="str">
        <f>IF(ISBLANK(ETPT_TPRX_DDG!$D$5),"",IF(ISERROR(ETPT_TPRX!Z5),"",IF(ETPT_TPRX!Z5=0,"",ETPT_TPRX!Z5)))</f>
        <v/>
      </c>
      <c r="AA5" s="106" t="str">
        <f>IF(ISBLANK(ETPT_TPRX_DDG!$D$5),"",IF(ISERROR(ETPT_TPRX!AA5),"",IF(ETPT_TPRX!AA5=0,"",ETPT_TPRX!AA5)))</f>
        <v/>
      </c>
      <c r="AB5" s="106" t="str">
        <f>IF(ISBLANK(ETPT_TPRX_DDG!$D$5),"",IF(ISERROR(ETPT_TPRX!AB5),"",IF(ETPT_TPRX!AB5=0,"",ETPT_TPRX!AB5)))</f>
        <v/>
      </c>
      <c r="AC5" s="82">
        <f t="shared" ref="AC5:AC15" si="2">SUM(T5:AB5)</f>
        <v>0</v>
      </c>
      <c r="AD5" s="106" t="str">
        <f>IF(ISBLANK(ETPT_TPRX_DDG!$D$5),"",IF(ISERROR(ETPT_TPRX!AD5),"",IF(ETPT_TPRX!AD5=0,"",ETPT_TPRX!AD5)))</f>
        <v/>
      </c>
      <c r="AE5" s="106" t="str">
        <f>IF(ISBLANK(ETPT_TPRX_DDG!$D$5),"",IF(ISERROR(ETPT_TPRX!AE5),"",IF(ETPT_TPRX!AE5=0,"",ETPT_TPRX!AE5)))</f>
        <v/>
      </c>
      <c r="AF5" s="106" t="str">
        <f>IF(ISBLANK(ETPT_TPRX_DDG!$D$5),"",IF(ISERROR(ETPT_TPRX!AF5),"",IF(ETPT_TPRX!AF5=0,"",ETPT_TPRX!AF5)))</f>
        <v/>
      </c>
      <c r="AG5" s="82">
        <f t="shared" ref="AG5:AG15" si="3">SUM(AD5:AF5)</f>
        <v>0</v>
      </c>
    </row>
    <row r="6" spans="1:60" x14ac:dyDescent="0.2">
      <c r="A6" s="81" t="s">
        <v>172</v>
      </c>
      <c r="B6" s="61"/>
      <c r="C6" s="61"/>
      <c r="D6" s="61" t="str">
        <f t="shared" ref="D6:D15" si="4">IF(ISBLANK($D$5),"",$D$5)</f>
        <v/>
      </c>
      <c r="E6" s="61" t="s">
        <v>60</v>
      </c>
      <c r="F6" s="61" t="s">
        <v>59</v>
      </c>
      <c r="G6" s="106" t="str">
        <f>IF(ISBLANK(ETPT_TPRX_DDG!$D$5),"",IF(ISERROR(ETPT_TPRX!G6),"",IF(ETPT_TPRX!G6=0,"",ETPT_TPRX!G6)))</f>
        <v/>
      </c>
      <c r="H6" s="82">
        <f t="shared" si="0"/>
        <v>0</v>
      </c>
      <c r="I6" s="106" t="str">
        <f>IF(ISBLANK(ETPT_TPRX_DDG!$D$5),"",IF(ISERROR(ETPT_TPRX!I6),"",IF(ETPT_TPRX!I6=0,"",ETPT_TPRX!I6)))</f>
        <v/>
      </c>
      <c r="J6" s="106" t="str">
        <f>IF(ISBLANK(ETPT_TPRX_DDG!$D$5),"",IF(ISERROR(ETPT_TPRX!J6),"",IF(ETPT_TPRX!J6=0,"",ETPT_TPRX!J6)))</f>
        <v/>
      </c>
      <c r="K6" s="106" t="str">
        <f>IF(ISBLANK(ETPT_TPRX_DDG!$D$5),"",IF(ISERROR(ETPT_TPRX!K6),"",IF(ETPT_TPRX!K6=0,"",ETPT_TPRX!K6)))</f>
        <v/>
      </c>
      <c r="L6" s="106" t="str">
        <f>IF(ISBLANK(ETPT_TPRX_DDG!$D$5),"",IF(ISERROR(ETPT_TPRX!L6),"",IF(ETPT_TPRX!L6=0,"",ETPT_TPRX!L6)))</f>
        <v/>
      </c>
      <c r="M6" s="106" t="str">
        <f>IF(ISBLANK(ETPT_TPRX_DDG!$D$5),"",IF(ISERROR(ETPT_TPRX!M6),"",IF(ETPT_TPRX!M6=0,"",ETPT_TPRX!M6)))</f>
        <v/>
      </c>
      <c r="N6" s="106" t="str">
        <f>IF(ISBLANK(ETPT_TPRX_DDG!$D$5),"",IF(ISERROR(ETPT_TPRX!N6),"",IF(ETPT_TPRX!N6=0,"",ETPT_TPRX!N6)))</f>
        <v/>
      </c>
      <c r="O6" s="106" t="str">
        <f>IF(ISBLANK(ETPT_TPRX_DDG!$D$5),"",IF(ISERROR(ETPT_TPRX!O6),"",IF(ETPT_TPRX!O6=0,"",ETPT_TPRX!O6)))</f>
        <v/>
      </c>
      <c r="P6" s="106" t="str">
        <f>IF(ISBLANK(ETPT_TPRX_DDG!$D$5),"",IF(ISERROR(ETPT_TPRX!P6),"",IF(ETPT_TPRX!P6=0,"",ETPT_TPRX!P6)))</f>
        <v/>
      </c>
      <c r="Q6" s="106" t="str">
        <f>IF(ISBLANK(ETPT_TPRX_DDG!$D$5),"",IF(ISERROR(ETPT_TPRX!Q6),"",IF(ETPT_TPRX!Q6=0,"",ETPT_TPRX!Q6)))</f>
        <v/>
      </c>
      <c r="R6" s="106" t="str">
        <f>IF(ISBLANK(ETPT_TPRX_DDG!$D$5),"",IF(ISERROR(ETPT_TPRX!R6),"",IF(ETPT_TPRX!R6=0,"",ETPT_TPRX!R6)))</f>
        <v/>
      </c>
      <c r="S6" s="82">
        <f t="shared" si="1"/>
        <v>0</v>
      </c>
      <c r="T6" s="106" t="str">
        <f>IF(ISBLANK(ETPT_TPRX_DDG!$D$5),"",IF(ISERROR(ETPT_TPRX!T6),"",IF(ETPT_TPRX!T6=0,"",ETPT_TPRX!T6)))</f>
        <v/>
      </c>
      <c r="U6" s="106" t="str">
        <f>IF(ISBLANK(ETPT_TPRX_DDG!$D$5),"",IF(ISERROR(ETPT_TPRX!U6),"",IF(ETPT_TPRX!U6=0,"",ETPT_TPRX!U6)))</f>
        <v/>
      </c>
      <c r="V6" s="106" t="str">
        <f>IF(ISBLANK(ETPT_TPRX_DDG!$D$5),"",IF(ISERROR(ETPT_TPRX!V6),"",IF(ETPT_TPRX!V6=0,"",ETPT_TPRX!V6)))</f>
        <v/>
      </c>
      <c r="W6" s="106" t="str">
        <f>IF(ISBLANK(ETPT_TPRX_DDG!$D$5),"",IF(ISERROR(ETPT_TPRX!W6),"",IF(ETPT_TPRX!W6=0,"",ETPT_TPRX!W6)))</f>
        <v/>
      </c>
      <c r="X6" s="106" t="str">
        <f>IF(ISBLANK(ETPT_TPRX_DDG!$D$5),"",IF(ISERROR(ETPT_TPRX!X6),"",IF(ETPT_TPRX!X6=0,"",ETPT_TPRX!X6)))</f>
        <v/>
      </c>
      <c r="Y6" s="106" t="str">
        <f>IF(ISBLANK(ETPT_TPRX_DDG!$D$5),"",IF(ISERROR(ETPT_TPRX!Y6),"",IF(ETPT_TPRX!Y6=0,"",ETPT_TPRX!Y6)))</f>
        <v/>
      </c>
      <c r="Z6" s="106" t="str">
        <f>IF(ISBLANK(ETPT_TPRX_DDG!$D$5),"",IF(ISERROR(ETPT_TPRX!Z6),"",IF(ETPT_TPRX!Z6=0,"",ETPT_TPRX!Z6)))</f>
        <v/>
      </c>
      <c r="AA6" s="106" t="str">
        <f>IF(ISBLANK(ETPT_TPRX_DDG!$D$5),"",IF(ISERROR(ETPT_TPRX!AA6),"",IF(ETPT_TPRX!AA6=0,"",ETPT_TPRX!AA6)))</f>
        <v/>
      </c>
      <c r="AB6" s="106" t="str">
        <f>IF(ISBLANK(ETPT_TPRX_DDG!$D$5),"",IF(ISERROR(ETPT_TPRX!AB6),"",IF(ETPT_TPRX!AB6=0,"",ETPT_TPRX!AB6)))</f>
        <v/>
      </c>
      <c r="AC6" s="82">
        <f t="shared" si="2"/>
        <v>0</v>
      </c>
      <c r="AD6" s="106" t="str">
        <f>IF(ISBLANK(ETPT_TPRX_DDG!$D$5),"",IF(ISERROR(ETPT_TPRX!AD6),"",IF(ETPT_TPRX!AD6=0,"",ETPT_TPRX!AD6)))</f>
        <v/>
      </c>
      <c r="AE6" s="106" t="str">
        <f>IF(ISBLANK(ETPT_TPRX_DDG!$D$5),"",IF(ISERROR(ETPT_TPRX!AE6),"",IF(ETPT_TPRX!AE6=0,"",ETPT_TPRX!AE6)))</f>
        <v/>
      </c>
      <c r="AF6" s="106" t="str">
        <f>IF(ISBLANK(ETPT_TPRX_DDG!$D$5),"",IF(ISERROR(ETPT_TPRX!AF6),"",IF(ETPT_TPRX!AF6=0,"",ETPT_TPRX!AF6)))</f>
        <v/>
      </c>
      <c r="AG6" s="82">
        <f t="shared" si="3"/>
        <v>0</v>
      </c>
    </row>
    <row r="7" spans="1:60" x14ac:dyDescent="0.2">
      <c r="A7" s="81" t="s">
        <v>172</v>
      </c>
      <c r="B7" s="61"/>
      <c r="C7" s="61"/>
      <c r="D7" s="61" t="str">
        <f t="shared" si="4"/>
        <v/>
      </c>
      <c r="E7" s="61" t="s">
        <v>58</v>
      </c>
      <c r="F7" s="61" t="s">
        <v>57</v>
      </c>
      <c r="G7" s="106" t="str">
        <f>IF(ISBLANK(ETPT_TPRX_DDG!$D$5),"",IF(ISERROR(ETPT_TPRX!G7),"",IF(ETPT_TPRX!G7=0,"",ETPT_TPRX!G7)))</f>
        <v/>
      </c>
      <c r="H7" s="82">
        <f t="shared" si="0"/>
        <v>0</v>
      </c>
      <c r="I7" s="106" t="str">
        <f>IF(ISBLANK(ETPT_TPRX_DDG!$D$5),"",IF(ISERROR(ETPT_TPRX!I7),"",IF(ETPT_TPRX!I7=0,"",ETPT_TPRX!I7)))</f>
        <v/>
      </c>
      <c r="J7" s="106" t="str">
        <f>IF(ISBLANK(ETPT_TPRX_DDG!$D$5),"",IF(ISERROR(ETPT_TPRX!J7),"",IF(ETPT_TPRX!J7=0,"",ETPT_TPRX!J7)))</f>
        <v/>
      </c>
      <c r="K7" s="106" t="str">
        <f>IF(ISBLANK(ETPT_TPRX_DDG!$D$5),"",IF(ISERROR(ETPT_TPRX!K7),"",IF(ETPT_TPRX!K7=0,"",ETPT_TPRX!K7)))</f>
        <v/>
      </c>
      <c r="L7" s="106" t="str">
        <f>IF(ISBLANK(ETPT_TPRX_DDG!$D$5),"",IF(ISERROR(ETPT_TPRX!L7),"",IF(ETPT_TPRX!L7=0,"",ETPT_TPRX!L7)))</f>
        <v/>
      </c>
      <c r="M7" s="106" t="str">
        <f>IF(ISBLANK(ETPT_TPRX_DDG!$D$5),"",IF(ISERROR(ETPT_TPRX!M7),"",IF(ETPT_TPRX!M7=0,"",ETPT_TPRX!M7)))</f>
        <v/>
      </c>
      <c r="N7" s="106" t="str">
        <f>IF(ISBLANK(ETPT_TPRX_DDG!$D$5),"",IF(ISERROR(ETPT_TPRX!N7),"",IF(ETPT_TPRX!N7=0,"",ETPT_TPRX!N7)))</f>
        <v/>
      </c>
      <c r="O7" s="106" t="str">
        <f>IF(ISBLANK(ETPT_TPRX_DDG!$D$5),"",IF(ISERROR(ETPT_TPRX!O7),"",IF(ETPT_TPRX!O7=0,"",ETPT_TPRX!O7)))</f>
        <v/>
      </c>
      <c r="P7" s="106" t="str">
        <f>IF(ISBLANK(ETPT_TPRX_DDG!$D$5),"",IF(ISERROR(ETPT_TPRX!P7),"",IF(ETPT_TPRX!P7=0,"",ETPT_TPRX!P7)))</f>
        <v/>
      </c>
      <c r="Q7" s="106" t="str">
        <f>IF(ISBLANK(ETPT_TPRX_DDG!$D$5),"",IF(ISERROR(ETPT_TPRX!Q7),"",IF(ETPT_TPRX!Q7=0,"",ETPT_TPRX!Q7)))</f>
        <v/>
      </c>
      <c r="R7" s="106" t="str">
        <f>IF(ISBLANK(ETPT_TPRX_DDG!$D$5),"",IF(ISERROR(ETPT_TPRX!R7),"",IF(ETPT_TPRX!R7=0,"",ETPT_TPRX!R7)))</f>
        <v/>
      </c>
      <c r="S7" s="82">
        <f t="shared" si="1"/>
        <v>0</v>
      </c>
      <c r="T7" s="106" t="str">
        <f>IF(ISBLANK(ETPT_TPRX_DDG!$D$5),"",IF(ISERROR(ETPT_TPRX!T7),"",IF(ETPT_TPRX!T7=0,"",ETPT_TPRX!T7)))</f>
        <v/>
      </c>
      <c r="U7" s="106" t="str">
        <f>IF(ISBLANK(ETPT_TPRX_DDG!$D$5),"",IF(ISERROR(ETPT_TPRX!U7),"",IF(ETPT_TPRX!U7=0,"",ETPT_TPRX!U7)))</f>
        <v/>
      </c>
      <c r="V7" s="106" t="str">
        <f>IF(ISBLANK(ETPT_TPRX_DDG!$D$5),"",IF(ISERROR(ETPT_TPRX!V7),"",IF(ETPT_TPRX!V7=0,"",ETPT_TPRX!V7)))</f>
        <v/>
      </c>
      <c r="W7" s="106" t="str">
        <f>IF(ISBLANK(ETPT_TPRX_DDG!$D$5),"",IF(ISERROR(ETPT_TPRX!W7),"",IF(ETPT_TPRX!W7=0,"",ETPT_TPRX!W7)))</f>
        <v/>
      </c>
      <c r="X7" s="106" t="str">
        <f>IF(ISBLANK(ETPT_TPRX_DDG!$D$5),"",IF(ISERROR(ETPT_TPRX!X7),"",IF(ETPT_TPRX!X7=0,"",ETPT_TPRX!X7)))</f>
        <v/>
      </c>
      <c r="Y7" s="106" t="str">
        <f>IF(ISBLANK(ETPT_TPRX_DDG!$D$5),"",IF(ISERROR(ETPT_TPRX!Y7),"",IF(ETPT_TPRX!Y7=0,"",ETPT_TPRX!Y7)))</f>
        <v/>
      </c>
      <c r="Z7" s="106" t="str">
        <f>IF(ISBLANK(ETPT_TPRX_DDG!$D$5),"",IF(ISERROR(ETPT_TPRX!Z7),"",IF(ETPT_TPRX!Z7=0,"",ETPT_TPRX!Z7)))</f>
        <v/>
      </c>
      <c r="AA7" s="106" t="str">
        <f>IF(ISBLANK(ETPT_TPRX_DDG!$D$5),"",IF(ISERROR(ETPT_TPRX!AA7),"",IF(ETPT_TPRX!AA7=0,"",ETPT_TPRX!AA7)))</f>
        <v/>
      </c>
      <c r="AB7" s="106" t="str">
        <f>IF(ISBLANK(ETPT_TPRX_DDG!$D$5),"",IF(ISERROR(ETPT_TPRX!AB7),"",IF(ETPT_TPRX!AB7=0,"",ETPT_TPRX!AB7)))</f>
        <v/>
      </c>
      <c r="AC7" s="82">
        <f t="shared" si="2"/>
        <v>0</v>
      </c>
      <c r="AD7" s="106" t="str">
        <f>IF(ISBLANK(ETPT_TPRX_DDG!$D$5),"",IF(ISERROR(ETPT_TPRX!AD7),"",IF(ETPT_TPRX!AD7=0,"",ETPT_TPRX!AD7)))</f>
        <v/>
      </c>
      <c r="AE7" s="106" t="str">
        <f>IF(ISBLANK(ETPT_TPRX_DDG!$D$5),"",IF(ISERROR(ETPT_TPRX!AE7),"",IF(ETPT_TPRX!AE7=0,"",ETPT_TPRX!AE7)))</f>
        <v/>
      </c>
      <c r="AF7" s="106" t="str">
        <f>IF(ISBLANK(ETPT_TPRX_DDG!$D$5),"",IF(ISERROR(ETPT_TPRX!AF7),"",IF(ETPT_TPRX!AF7=0,"",ETPT_TPRX!AF7)))</f>
        <v/>
      </c>
      <c r="AG7" s="82">
        <f t="shared" si="3"/>
        <v>0</v>
      </c>
    </row>
    <row r="8" spans="1:60" x14ac:dyDescent="0.2">
      <c r="A8" s="81" t="s">
        <v>172</v>
      </c>
      <c r="B8" s="61"/>
      <c r="C8" s="61"/>
      <c r="D8" s="61" t="str">
        <f t="shared" si="4"/>
        <v/>
      </c>
      <c r="E8" s="61" t="s">
        <v>56</v>
      </c>
      <c r="F8" s="61" t="s">
        <v>55</v>
      </c>
      <c r="G8" s="106" t="str">
        <f>IF(ISBLANK(ETPT_TPRX_DDG!$D$5),"",IF(ISERROR(ETPT_TPRX!G8),"",IF(ETPT_TPRX!G8=0,"",ETPT_TPRX!G8)))</f>
        <v/>
      </c>
      <c r="H8" s="82">
        <f t="shared" si="0"/>
        <v>0</v>
      </c>
      <c r="I8" s="106" t="str">
        <f>IF(ISBLANK(ETPT_TPRX_DDG!$D$5),"",IF(ISERROR(ETPT_TPRX!I8),"",IF(ETPT_TPRX!I8=0,"",ETPT_TPRX!I8)))</f>
        <v/>
      </c>
      <c r="J8" s="106" t="str">
        <f>IF(ISBLANK(ETPT_TPRX_DDG!$D$5),"",IF(ISERROR(ETPT_TPRX!J8),"",IF(ETPT_TPRX!J8=0,"",ETPT_TPRX!J8)))</f>
        <v/>
      </c>
      <c r="K8" s="106" t="str">
        <f>IF(ISBLANK(ETPT_TPRX_DDG!$D$5),"",IF(ISERROR(ETPT_TPRX!K8),"",IF(ETPT_TPRX!K8=0,"",ETPT_TPRX!K8)))</f>
        <v/>
      </c>
      <c r="L8" s="106" t="str">
        <f>IF(ISBLANK(ETPT_TPRX_DDG!$D$5),"",IF(ISERROR(ETPT_TPRX!L8),"",IF(ETPT_TPRX!L8=0,"",ETPT_TPRX!L8)))</f>
        <v/>
      </c>
      <c r="M8" s="106" t="str">
        <f>IF(ISBLANK(ETPT_TPRX_DDG!$D$5),"",IF(ISERROR(ETPT_TPRX!M8),"",IF(ETPT_TPRX!M8=0,"",ETPT_TPRX!M8)))</f>
        <v/>
      </c>
      <c r="N8" s="106" t="str">
        <f>IF(ISBLANK(ETPT_TPRX_DDG!$D$5),"",IF(ISERROR(ETPT_TPRX!N8),"",IF(ETPT_TPRX!N8=0,"",ETPT_TPRX!N8)))</f>
        <v/>
      </c>
      <c r="O8" s="106" t="str">
        <f>IF(ISBLANK(ETPT_TPRX_DDG!$D$5),"",IF(ISERROR(ETPT_TPRX!O8),"",IF(ETPT_TPRX!O8=0,"",ETPT_TPRX!O8)))</f>
        <v/>
      </c>
      <c r="P8" s="106" t="str">
        <f>IF(ISBLANK(ETPT_TPRX_DDG!$D$5),"",IF(ISERROR(ETPT_TPRX!P8),"",IF(ETPT_TPRX!P8=0,"",ETPT_TPRX!P8)))</f>
        <v/>
      </c>
      <c r="Q8" s="106" t="str">
        <f>IF(ISBLANK(ETPT_TPRX_DDG!$D$5),"",IF(ISERROR(ETPT_TPRX!Q8),"",IF(ETPT_TPRX!Q8=0,"",ETPT_TPRX!Q8)))</f>
        <v/>
      </c>
      <c r="R8" s="106" t="str">
        <f>IF(ISBLANK(ETPT_TPRX_DDG!$D$5),"",IF(ISERROR(ETPT_TPRX!R8),"",IF(ETPT_TPRX!R8=0,"",ETPT_TPRX!R8)))</f>
        <v/>
      </c>
      <c r="S8" s="82">
        <f t="shared" si="1"/>
        <v>0</v>
      </c>
      <c r="T8" s="106" t="str">
        <f>IF(ISBLANK(ETPT_TPRX_DDG!$D$5),"",IF(ISERROR(ETPT_TPRX!T8),"",IF(ETPT_TPRX!T8=0,"",ETPT_TPRX!T8)))</f>
        <v/>
      </c>
      <c r="U8" s="106" t="str">
        <f>IF(ISBLANK(ETPT_TPRX_DDG!$D$5),"",IF(ISERROR(ETPT_TPRX!U8),"",IF(ETPT_TPRX!U8=0,"",ETPT_TPRX!U8)))</f>
        <v/>
      </c>
      <c r="V8" s="106" t="str">
        <f>IF(ISBLANK(ETPT_TPRX_DDG!$D$5),"",IF(ISERROR(ETPT_TPRX!V8),"",IF(ETPT_TPRX!V8=0,"",ETPT_TPRX!V8)))</f>
        <v/>
      </c>
      <c r="W8" s="106" t="str">
        <f>IF(ISBLANK(ETPT_TPRX_DDG!$D$5),"",IF(ISERROR(ETPT_TPRX!W8),"",IF(ETPT_TPRX!W8=0,"",ETPT_TPRX!W8)))</f>
        <v/>
      </c>
      <c r="X8" s="106" t="str">
        <f>IF(ISBLANK(ETPT_TPRX_DDG!$D$5),"",IF(ISERROR(ETPT_TPRX!X8),"",IF(ETPT_TPRX!X8=0,"",ETPT_TPRX!X8)))</f>
        <v/>
      </c>
      <c r="Y8" s="106" t="str">
        <f>IF(ISBLANK(ETPT_TPRX_DDG!$D$5),"",IF(ISERROR(ETPT_TPRX!Y8),"",IF(ETPT_TPRX!Y8=0,"",ETPT_TPRX!Y8)))</f>
        <v/>
      </c>
      <c r="Z8" s="106" t="str">
        <f>IF(ISBLANK(ETPT_TPRX_DDG!$D$5),"",IF(ISERROR(ETPT_TPRX!Z8),"",IF(ETPT_TPRX!Z8=0,"",ETPT_TPRX!Z8)))</f>
        <v/>
      </c>
      <c r="AA8" s="106" t="str">
        <f>IF(ISBLANK(ETPT_TPRX_DDG!$D$5),"",IF(ISERROR(ETPT_TPRX!AA8),"",IF(ETPT_TPRX!AA8=0,"",ETPT_TPRX!AA8)))</f>
        <v/>
      </c>
      <c r="AB8" s="106" t="str">
        <f>IF(ISBLANK(ETPT_TPRX_DDG!$D$5),"",IF(ISERROR(ETPT_TPRX!AB8),"",IF(ETPT_TPRX!AB8=0,"",ETPT_TPRX!AB8)))</f>
        <v/>
      </c>
      <c r="AC8" s="82">
        <f t="shared" si="2"/>
        <v>0</v>
      </c>
      <c r="AD8" s="106" t="str">
        <f>IF(ISBLANK(ETPT_TPRX_DDG!$D$5),"",IF(ISERROR(ETPT_TPRX!AD8),"",IF(ETPT_TPRX!AD8=0,"",ETPT_TPRX!AD8)))</f>
        <v/>
      </c>
      <c r="AE8" s="106" t="str">
        <f>IF(ISBLANK(ETPT_TPRX_DDG!$D$5),"",IF(ISERROR(ETPT_TPRX!AE8),"",IF(ETPT_TPRX!AE8=0,"",ETPT_TPRX!AE8)))</f>
        <v/>
      </c>
      <c r="AF8" s="106" t="str">
        <f>IF(ISBLANK(ETPT_TPRX_DDG!$D$5),"",IF(ISERROR(ETPT_TPRX!AF8),"",IF(ETPT_TPRX!AF8=0,"",ETPT_TPRX!AF8)))</f>
        <v/>
      </c>
      <c r="AG8" s="82">
        <f t="shared" si="3"/>
        <v>0</v>
      </c>
    </row>
    <row r="9" spans="1:60" x14ac:dyDescent="0.2">
      <c r="A9" s="81" t="s">
        <v>172</v>
      </c>
      <c r="B9" s="61"/>
      <c r="C9" s="61"/>
      <c r="D9" s="61" t="str">
        <f t="shared" si="4"/>
        <v/>
      </c>
      <c r="E9" s="61" t="s">
        <v>54</v>
      </c>
      <c r="F9" s="61" t="s">
        <v>53</v>
      </c>
      <c r="G9" s="106" t="str">
        <f>IF(ISBLANK(ETPT_TPRX_DDG!$D$5),"",IF(ISERROR(ETPT_TPRX!G9),"",IF(ETPT_TPRX!G9=0,"",ETPT_TPRX!G9)))</f>
        <v/>
      </c>
      <c r="H9" s="82">
        <f t="shared" si="0"/>
        <v>0</v>
      </c>
      <c r="I9" s="106" t="str">
        <f>IF(ISBLANK(ETPT_TPRX_DDG!$D$5),"",IF(ISERROR(ETPT_TPRX!I9),"",IF(ETPT_TPRX!I9=0,"",ETPT_TPRX!I9)))</f>
        <v/>
      </c>
      <c r="J9" s="106" t="str">
        <f>IF(ISBLANK(ETPT_TPRX_DDG!$D$5),"",IF(ISERROR(ETPT_TPRX!J9),"",IF(ETPT_TPRX!J9=0,"",ETPT_TPRX!J9)))</f>
        <v/>
      </c>
      <c r="K9" s="106" t="str">
        <f>IF(ISBLANK(ETPT_TPRX_DDG!$D$5),"",IF(ISERROR(ETPT_TPRX!K9),"",IF(ETPT_TPRX!K9=0,"",ETPT_TPRX!K9)))</f>
        <v/>
      </c>
      <c r="L9" s="106" t="str">
        <f>IF(ISBLANK(ETPT_TPRX_DDG!$D$5),"",IF(ISERROR(ETPT_TPRX!L9),"",IF(ETPT_TPRX!L9=0,"",ETPT_TPRX!L9)))</f>
        <v/>
      </c>
      <c r="M9" s="106" t="str">
        <f>IF(ISBLANK(ETPT_TPRX_DDG!$D$5),"",IF(ISERROR(ETPT_TPRX!M9),"",IF(ETPT_TPRX!M9=0,"",ETPT_TPRX!M9)))</f>
        <v/>
      </c>
      <c r="N9" s="106" t="str">
        <f>IF(ISBLANK(ETPT_TPRX_DDG!$D$5),"",IF(ISERROR(ETPT_TPRX!N9),"",IF(ETPT_TPRX!N9=0,"",ETPT_TPRX!N9)))</f>
        <v/>
      </c>
      <c r="O9" s="106" t="str">
        <f>IF(ISBLANK(ETPT_TPRX_DDG!$D$5),"",IF(ISERROR(ETPT_TPRX!O9),"",IF(ETPT_TPRX!O9=0,"",ETPT_TPRX!O9)))</f>
        <v/>
      </c>
      <c r="P9" s="106" t="str">
        <f>IF(ISBLANK(ETPT_TPRX_DDG!$D$5),"",IF(ISERROR(ETPT_TPRX!P9),"",IF(ETPT_TPRX!P9=0,"",ETPT_TPRX!P9)))</f>
        <v/>
      </c>
      <c r="Q9" s="106" t="str">
        <f>IF(ISBLANK(ETPT_TPRX_DDG!$D$5),"",IF(ISERROR(ETPT_TPRX!Q9),"",IF(ETPT_TPRX!Q9=0,"",ETPT_TPRX!Q9)))</f>
        <v/>
      </c>
      <c r="R9" s="106" t="str">
        <f>IF(ISBLANK(ETPT_TPRX_DDG!$D$5),"",IF(ISERROR(ETPT_TPRX!R9),"",IF(ETPT_TPRX!R9=0,"",ETPT_TPRX!R9)))</f>
        <v/>
      </c>
      <c r="S9" s="82">
        <f t="shared" si="1"/>
        <v>0</v>
      </c>
      <c r="T9" s="106" t="str">
        <f>IF(ISBLANK(ETPT_TPRX_DDG!$D$5),"",IF(ISERROR(ETPT_TPRX!T9),"",IF(ETPT_TPRX!T9=0,"",ETPT_TPRX!T9)))</f>
        <v/>
      </c>
      <c r="U9" s="106" t="str">
        <f>IF(ISBLANK(ETPT_TPRX_DDG!$D$5),"",IF(ISERROR(ETPT_TPRX!U9),"",IF(ETPT_TPRX!U9=0,"",ETPT_TPRX!U9)))</f>
        <v/>
      </c>
      <c r="V9" s="106" t="str">
        <f>IF(ISBLANK(ETPT_TPRX_DDG!$D$5),"",IF(ISERROR(ETPT_TPRX!V9),"",IF(ETPT_TPRX!V9=0,"",ETPT_TPRX!V9)))</f>
        <v/>
      </c>
      <c r="W9" s="106" t="str">
        <f>IF(ISBLANK(ETPT_TPRX_DDG!$D$5),"",IF(ISERROR(ETPT_TPRX!W9),"",IF(ETPT_TPRX!W9=0,"",ETPT_TPRX!W9)))</f>
        <v/>
      </c>
      <c r="X9" s="106" t="str">
        <f>IF(ISBLANK(ETPT_TPRX_DDG!$D$5),"",IF(ISERROR(ETPT_TPRX!X9),"",IF(ETPT_TPRX!X9=0,"",ETPT_TPRX!X9)))</f>
        <v/>
      </c>
      <c r="Y9" s="106" t="str">
        <f>IF(ISBLANK(ETPT_TPRX_DDG!$D$5),"",IF(ISERROR(ETPT_TPRX!Y9),"",IF(ETPT_TPRX!Y9=0,"",ETPT_TPRX!Y9)))</f>
        <v/>
      </c>
      <c r="Z9" s="106" t="str">
        <f>IF(ISBLANK(ETPT_TPRX_DDG!$D$5),"",IF(ISERROR(ETPT_TPRX!Z9),"",IF(ETPT_TPRX!Z9=0,"",ETPT_TPRX!Z9)))</f>
        <v/>
      </c>
      <c r="AA9" s="106" t="str">
        <f>IF(ISBLANK(ETPT_TPRX_DDG!$D$5),"",IF(ISERROR(ETPT_TPRX!AA9),"",IF(ETPT_TPRX!AA9=0,"",ETPT_TPRX!AA9)))</f>
        <v/>
      </c>
      <c r="AB9" s="106" t="str">
        <f>IF(ISBLANK(ETPT_TPRX_DDG!$D$5),"",IF(ISERROR(ETPT_TPRX!AB9),"",IF(ETPT_TPRX!AB9=0,"",ETPT_TPRX!AB9)))</f>
        <v/>
      </c>
      <c r="AC9" s="82">
        <f t="shared" si="2"/>
        <v>0</v>
      </c>
      <c r="AD9" s="106" t="str">
        <f>IF(ISBLANK(ETPT_TPRX_DDG!$D$5),"",IF(ISERROR(ETPT_TPRX!AD9),"",IF(ETPT_TPRX!AD9=0,"",ETPT_TPRX!AD9)))</f>
        <v/>
      </c>
      <c r="AE9" s="106" t="str">
        <f>IF(ISBLANK(ETPT_TPRX_DDG!$D$5),"",IF(ISERROR(ETPT_TPRX!AE9),"",IF(ETPT_TPRX!AE9=0,"",ETPT_TPRX!AE9)))</f>
        <v/>
      </c>
      <c r="AF9" s="106" t="str">
        <f>IF(ISBLANK(ETPT_TPRX_DDG!$D$5),"",IF(ISERROR(ETPT_TPRX!AF9),"",IF(ETPT_TPRX!AF9=0,"",ETPT_TPRX!AF9)))</f>
        <v/>
      </c>
      <c r="AG9" s="82">
        <f t="shared" si="3"/>
        <v>0</v>
      </c>
    </row>
    <row r="10" spans="1:60" x14ac:dyDescent="0.2">
      <c r="A10" s="81" t="s">
        <v>172</v>
      </c>
      <c r="B10" s="61"/>
      <c r="C10" s="61"/>
      <c r="D10" s="61" t="str">
        <f t="shared" si="4"/>
        <v/>
      </c>
      <c r="E10" s="61" t="s">
        <v>52</v>
      </c>
      <c r="F10" s="61" t="s">
        <v>51</v>
      </c>
      <c r="G10" s="106" t="str">
        <f>IF(ISBLANK(ETPT_TPRX_DDG!$D$5),"",IF(ISERROR(ETPT_TPRX!G10),"",IF(ETPT_TPRX!G10=0,"",ETPT_TPRX!G10)))</f>
        <v/>
      </c>
      <c r="H10" s="82">
        <f t="shared" si="0"/>
        <v>0</v>
      </c>
      <c r="I10" s="106" t="str">
        <f>IF(ISBLANK(ETPT_TPRX_DDG!$D$5),"",IF(ISERROR(ETPT_TPRX!I10),"",IF(ETPT_TPRX!I10=0,"",ETPT_TPRX!I10)))</f>
        <v/>
      </c>
      <c r="J10" s="106" t="str">
        <f>IF(ISBLANK(ETPT_TPRX_DDG!$D$5),"",IF(ISERROR(ETPT_TPRX!J10),"",IF(ETPT_TPRX!J10=0,"",ETPT_TPRX!J10)))</f>
        <v/>
      </c>
      <c r="K10" s="106" t="str">
        <f>IF(ISBLANK(ETPT_TPRX_DDG!$D$5),"",IF(ISERROR(ETPT_TPRX!K10),"",IF(ETPT_TPRX!K10=0,"",ETPT_TPRX!K10)))</f>
        <v/>
      </c>
      <c r="L10" s="106" t="str">
        <f>IF(ISBLANK(ETPT_TPRX_DDG!$D$5),"",IF(ISERROR(ETPT_TPRX!L10),"",IF(ETPT_TPRX!L10=0,"",ETPT_TPRX!L10)))</f>
        <v/>
      </c>
      <c r="M10" s="106" t="str">
        <f>IF(ISBLANK(ETPT_TPRX_DDG!$D$5),"",IF(ISERROR(ETPT_TPRX!M10),"",IF(ETPT_TPRX!M10=0,"",ETPT_TPRX!M10)))</f>
        <v/>
      </c>
      <c r="N10" s="106" t="str">
        <f>IF(ISBLANK(ETPT_TPRX_DDG!$D$5),"",IF(ISERROR(ETPT_TPRX!N10),"",IF(ETPT_TPRX!N10=0,"",ETPT_TPRX!N10)))</f>
        <v/>
      </c>
      <c r="O10" s="106" t="str">
        <f>IF(ISBLANK(ETPT_TPRX_DDG!$D$5),"",IF(ISERROR(ETPT_TPRX!O10),"",IF(ETPT_TPRX!O10=0,"",ETPT_TPRX!O10)))</f>
        <v/>
      </c>
      <c r="P10" s="106" t="str">
        <f>IF(ISBLANK(ETPT_TPRX_DDG!$D$5),"",IF(ISERROR(ETPT_TPRX!P10),"",IF(ETPT_TPRX!P10=0,"",ETPT_TPRX!P10)))</f>
        <v/>
      </c>
      <c r="Q10" s="106" t="str">
        <f>IF(ISBLANK(ETPT_TPRX_DDG!$D$5),"",IF(ISERROR(ETPT_TPRX!Q10),"",IF(ETPT_TPRX!Q10=0,"",ETPT_TPRX!Q10)))</f>
        <v/>
      </c>
      <c r="R10" s="106" t="str">
        <f>IF(ISBLANK(ETPT_TPRX_DDG!$D$5),"",IF(ISERROR(ETPT_TPRX!R10),"",IF(ETPT_TPRX!R10=0,"",ETPT_TPRX!R10)))</f>
        <v/>
      </c>
      <c r="S10" s="82">
        <f t="shared" si="1"/>
        <v>0</v>
      </c>
      <c r="T10" s="106" t="str">
        <f>IF(ISBLANK(ETPT_TPRX_DDG!$D$5),"",IF(ISERROR(ETPT_TPRX!T10),"",IF(ETPT_TPRX!T10=0,"",ETPT_TPRX!T10)))</f>
        <v/>
      </c>
      <c r="U10" s="106" t="str">
        <f>IF(ISBLANK(ETPT_TPRX_DDG!$D$5),"",IF(ISERROR(ETPT_TPRX!U10),"",IF(ETPT_TPRX!U10=0,"",ETPT_TPRX!U10)))</f>
        <v/>
      </c>
      <c r="V10" s="106" t="str">
        <f>IF(ISBLANK(ETPT_TPRX_DDG!$D$5),"",IF(ISERROR(ETPT_TPRX!V10),"",IF(ETPT_TPRX!V10=0,"",ETPT_TPRX!V10)))</f>
        <v/>
      </c>
      <c r="W10" s="106" t="str">
        <f>IF(ISBLANK(ETPT_TPRX_DDG!$D$5),"",IF(ISERROR(ETPT_TPRX!W10),"",IF(ETPT_TPRX!W10=0,"",ETPT_TPRX!W10)))</f>
        <v/>
      </c>
      <c r="X10" s="106" t="str">
        <f>IF(ISBLANK(ETPT_TPRX_DDG!$D$5),"",IF(ISERROR(ETPT_TPRX!X10),"",IF(ETPT_TPRX!X10=0,"",ETPT_TPRX!X10)))</f>
        <v/>
      </c>
      <c r="Y10" s="106" t="str">
        <f>IF(ISBLANK(ETPT_TPRX_DDG!$D$5),"",IF(ISERROR(ETPT_TPRX!Y10),"",IF(ETPT_TPRX!Y10=0,"",ETPT_TPRX!Y10)))</f>
        <v/>
      </c>
      <c r="Z10" s="106" t="str">
        <f>IF(ISBLANK(ETPT_TPRX_DDG!$D$5),"",IF(ISERROR(ETPT_TPRX!Z10),"",IF(ETPT_TPRX!Z10=0,"",ETPT_TPRX!Z10)))</f>
        <v/>
      </c>
      <c r="AA10" s="106" t="str">
        <f>IF(ISBLANK(ETPT_TPRX_DDG!$D$5),"",IF(ISERROR(ETPT_TPRX!AA10),"",IF(ETPT_TPRX!AA10=0,"",ETPT_TPRX!AA10)))</f>
        <v/>
      </c>
      <c r="AB10" s="106" t="str">
        <f>IF(ISBLANK(ETPT_TPRX_DDG!$D$5),"",IF(ISERROR(ETPT_TPRX!AB10),"",IF(ETPT_TPRX!AB10=0,"",ETPT_TPRX!AB10)))</f>
        <v/>
      </c>
      <c r="AC10" s="82">
        <f t="shared" si="2"/>
        <v>0</v>
      </c>
      <c r="AD10" s="106" t="str">
        <f>IF(ISBLANK(ETPT_TPRX_DDG!$D$5),"",IF(ISERROR(ETPT_TPRX!AD10),"",IF(ETPT_TPRX!AD10=0,"",ETPT_TPRX!AD10)))</f>
        <v/>
      </c>
      <c r="AE10" s="106" t="str">
        <f>IF(ISBLANK(ETPT_TPRX_DDG!$D$5),"",IF(ISERROR(ETPT_TPRX!AE10),"",IF(ETPT_TPRX!AE10=0,"",ETPT_TPRX!AE10)))</f>
        <v/>
      </c>
      <c r="AF10" s="106" t="str">
        <f>IF(ISBLANK(ETPT_TPRX_DDG!$D$5),"",IF(ISERROR(ETPT_TPRX!AF10),"",IF(ETPT_TPRX!AF10=0,"",ETPT_TPRX!AF10)))</f>
        <v/>
      </c>
      <c r="AG10" s="82">
        <f t="shared" si="3"/>
        <v>0</v>
      </c>
    </row>
    <row r="11" spans="1:60" x14ac:dyDescent="0.2">
      <c r="A11" s="81" t="s">
        <v>172</v>
      </c>
      <c r="B11" s="61"/>
      <c r="C11" s="61"/>
      <c r="D11" s="61" t="str">
        <f t="shared" si="4"/>
        <v/>
      </c>
      <c r="E11" s="61" t="s">
        <v>50</v>
      </c>
      <c r="F11" s="61" t="s">
        <v>49</v>
      </c>
      <c r="G11" s="106" t="str">
        <f>IF(ISBLANK(ETPT_TPRX_DDG!$D$5),"",IF(ISERROR(ETPT_TPRX!G11),"",IF(ETPT_TPRX!G11=0,"",ETPT_TPRX!G11)))</f>
        <v/>
      </c>
      <c r="H11" s="82">
        <f t="shared" si="0"/>
        <v>0</v>
      </c>
      <c r="I11" s="106" t="str">
        <f>IF(ISBLANK(ETPT_TPRX_DDG!$D$5),"",IF(ISERROR(ETPT_TPRX!I11),"",IF(ETPT_TPRX!I11=0,"",ETPT_TPRX!I11)))</f>
        <v/>
      </c>
      <c r="J11" s="106" t="str">
        <f>IF(ISBLANK(ETPT_TPRX_DDG!$D$5),"",IF(ISERROR(ETPT_TPRX!J11),"",IF(ETPT_TPRX!J11=0,"",ETPT_TPRX!J11)))</f>
        <v/>
      </c>
      <c r="K11" s="106" t="str">
        <f>IF(ISBLANK(ETPT_TPRX_DDG!$D$5),"",IF(ISERROR(ETPT_TPRX!K11),"",IF(ETPT_TPRX!K11=0,"",ETPT_TPRX!K11)))</f>
        <v/>
      </c>
      <c r="L11" s="106" t="str">
        <f>IF(ISBLANK(ETPT_TPRX_DDG!$D$5),"",IF(ISERROR(ETPT_TPRX!L11),"",IF(ETPT_TPRX!L11=0,"",ETPT_TPRX!L11)))</f>
        <v/>
      </c>
      <c r="M11" s="106" t="str">
        <f>IF(ISBLANK(ETPT_TPRX_DDG!$D$5),"",IF(ISERROR(ETPT_TPRX!M11),"",IF(ETPT_TPRX!M11=0,"",ETPT_TPRX!M11)))</f>
        <v/>
      </c>
      <c r="N11" s="106" t="str">
        <f>IF(ISBLANK(ETPT_TPRX_DDG!$D$5),"",IF(ISERROR(ETPT_TPRX!N11),"",IF(ETPT_TPRX!N11=0,"",ETPT_TPRX!N11)))</f>
        <v/>
      </c>
      <c r="O11" s="106" t="str">
        <f>IF(ISBLANK(ETPT_TPRX_DDG!$D$5),"",IF(ISERROR(ETPT_TPRX!O11),"",IF(ETPT_TPRX!O11=0,"",ETPT_TPRX!O11)))</f>
        <v/>
      </c>
      <c r="P11" s="106" t="str">
        <f>IF(ISBLANK(ETPT_TPRX_DDG!$D$5),"",IF(ISERROR(ETPT_TPRX!P11),"",IF(ETPT_TPRX!P11=0,"",ETPT_TPRX!P11)))</f>
        <v/>
      </c>
      <c r="Q11" s="106" t="str">
        <f>IF(ISBLANK(ETPT_TPRX_DDG!$D$5),"",IF(ISERROR(ETPT_TPRX!Q11),"",IF(ETPT_TPRX!Q11=0,"",ETPT_TPRX!Q11)))</f>
        <v/>
      </c>
      <c r="R11" s="106" t="str">
        <f>IF(ISBLANK(ETPT_TPRX_DDG!$D$5),"",IF(ISERROR(ETPT_TPRX!R11),"",IF(ETPT_TPRX!R11=0,"",ETPT_TPRX!R11)))</f>
        <v/>
      </c>
      <c r="S11" s="82">
        <f t="shared" si="1"/>
        <v>0</v>
      </c>
      <c r="T11" s="106" t="str">
        <f>IF(ISBLANK(ETPT_TPRX_DDG!$D$5),"",IF(ISERROR(ETPT_TPRX!T11),"",IF(ETPT_TPRX!T11=0,"",ETPT_TPRX!T11)))</f>
        <v/>
      </c>
      <c r="U11" s="106" t="str">
        <f>IF(ISBLANK(ETPT_TPRX_DDG!$D$5),"",IF(ISERROR(ETPT_TPRX!U11),"",IF(ETPT_TPRX!U11=0,"",ETPT_TPRX!U11)))</f>
        <v/>
      </c>
      <c r="V11" s="106" t="str">
        <f>IF(ISBLANK(ETPT_TPRX_DDG!$D$5),"",IF(ISERROR(ETPT_TPRX!V11),"",IF(ETPT_TPRX!V11=0,"",ETPT_TPRX!V11)))</f>
        <v/>
      </c>
      <c r="W11" s="106" t="str">
        <f>IF(ISBLANK(ETPT_TPRX_DDG!$D$5),"",IF(ISERROR(ETPT_TPRX!W11),"",IF(ETPT_TPRX!W11=0,"",ETPT_TPRX!W11)))</f>
        <v/>
      </c>
      <c r="X11" s="106" t="str">
        <f>IF(ISBLANK(ETPT_TPRX_DDG!$D$5),"",IF(ISERROR(ETPT_TPRX!X11),"",IF(ETPT_TPRX!X11=0,"",ETPT_TPRX!X11)))</f>
        <v/>
      </c>
      <c r="Y11" s="106" t="str">
        <f>IF(ISBLANK(ETPT_TPRX_DDG!$D$5),"",IF(ISERROR(ETPT_TPRX!Y11),"",IF(ETPT_TPRX!Y11=0,"",ETPT_TPRX!Y11)))</f>
        <v/>
      </c>
      <c r="Z11" s="106" t="str">
        <f>IF(ISBLANK(ETPT_TPRX_DDG!$D$5),"",IF(ISERROR(ETPT_TPRX!Z11),"",IF(ETPT_TPRX!Z11=0,"",ETPT_TPRX!Z11)))</f>
        <v/>
      </c>
      <c r="AA11" s="106" t="str">
        <f>IF(ISBLANK(ETPT_TPRX_DDG!$D$5),"",IF(ISERROR(ETPT_TPRX!AA11),"",IF(ETPT_TPRX!AA11=0,"",ETPT_TPRX!AA11)))</f>
        <v/>
      </c>
      <c r="AB11" s="106" t="str">
        <f>IF(ISBLANK(ETPT_TPRX_DDG!$D$5),"",IF(ISERROR(ETPT_TPRX!AB11),"",IF(ETPT_TPRX!AB11=0,"",ETPT_TPRX!AB11)))</f>
        <v/>
      </c>
      <c r="AC11" s="82">
        <f t="shared" si="2"/>
        <v>0</v>
      </c>
      <c r="AD11" s="106" t="str">
        <f>IF(ISBLANK(ETPT_TPRX_DDG!$D$5),"",IF(ISERROR(ETPT_TPRX!AD11),"",IF(ETPT_TPRX!AD11=0,"",ETPT_TPRX!AD11)))</f>
        <v/>
      </c>
      <c r="AE11" s="106" t="str">
        <f>IF(ISBLANK(ETPT_TPRX_DDG!$D$5),"",IF(ISERROR(ETPT_TPRX!AE11),"",IF(ETPT_TPRX!AE11=0,"",ETPT_TPRX!AE11)))</f>
        <v/>
      </c>
      <c r="AF11" s="106" t="str">
        <f>IF(ISBLANK(ETPT_TPRX_DDG!$D$5),"",IF(ISERROR(ETPT_TPRX!AF11),"",IF(ETPT_TPRX!AF11=0,"",ETPT_TPRX!AF11)))</f>
        <v/>
      </c>
      <c r="AG11" s="82">
        <f t="shared" si="3"/>
        <v>0</v>
      </c>
    </row>
    <row r="12" spans="1:60" x14ac:dyDescent="0.2">
      <c r="A12" s="81" t="s">
        <v>172</v>
      </c>
      <c r="B12" s="61"/>
      <c r="C12" s="61"/>
      <c r="D12" s="61" t="str">
        <f t="shared" si="4"/>
        <v/>
      </c>
      <c r="E12" s="61" t="s">
        <v>48</v>
      </c>
      <c r="F12" s="61" t="s">
        <v>47</v>
      </c>
      <c r="G12" s="106" t="str">
        <f>IF(ISBLANK(ETPT_TPRX_DDG!$D$5),"",IF(ISERROR(ETPT_TPRX!G12),"",IF(ETPT_TPRX!G12=0,"",ETPT_TPRX!G12)))</f>
        <v/>
      </c>
      <c r="H12" s="82">
        <f t="shared" si="0"/>
        <v>0</v>
      </c>
      <c r="I12" s="106" t="str">
        <f>IF(ISBLANK(ETPT_TPRX_DDG!$D$5),"",IF(ISERROR(ETPT_TPRX!I12),"",IF(ETPT_TPRX!I12=0,"",ETPT_TPRX!I12)))</f>
        <v/>
      </c>
      <c r="J12" s="106" t="str">
        <f>IF(ISBLANK(ETPT_TPRX_DDG!$D$5),"",IF(ISERROR(ETPT_TPRX!J12),"",IF(ETPT_TPRX!J12=0,"",ETPT_TPRX!J12)))</f>
        <v/>
      </c>
      <c r="K12" s="106" t="str">
        <f>IF(ISBLANK(ETPT_TPRX_DDG!$D$5),"",IF(ISERROR(ETPT_TPRX!K12),"",IF(ETPT_TPRX!K12=0,"",ETPT_TPRX!K12)))</f>
        <v/>
      </c>
      <c r="L12" s="106" t="str">
        <f>IF(ISBLANK(ETPT_TPRX_DDG!$D$5),"",IF(ISERROR(ETPT_TPRX!L12),"",IF(ETPT_TPRX!L12=0,"",ETPT_TPRX!L12)))</f>
        <v/>
      </c>
      <c r="M12" s="106" t="str">
        <f>IF(ISBLANK(ETPT_TPRX_DDG!$D$5),"",IF(ISERROR(ETPT_TPRX!M12),"",IF(ETPT_TPRX!M12=0,"",ETPT_TPRX!M12)))</f>
        <v/>
      </c>
      <c r="N12" s="106" t="str">
        <f>IF(ISBLANK(ETPT_TPRX_DDG!$D$5),"",IF(ISERROR(ETPT_TPRX!N12),"",IF(ETPT_TPRX!N12=0,"",ETPT_TPRX!N12)))</f>
        <v/>
      </c>
      <c r="O12" s="106" t="str">
        <f>IF(ISBLANK(ETPT_TPRX_DDG!$D$5),"",IF(ISERROR(ETPT_TPRX!O12),"",IF(ETPT_TPRX!O12=0,"",ETPT_TPRX!O12)))</f>
        <v/>
      </c>
      <c r="P12" s="106" t="str">
        <f>IF(ISBLANK(ETPT_TPRX_DDG!$D$5),"",IF(ISERROR(ETPT_TPRX!P12),"",IF(ETPT_TPRX!P12=0,"",ETPT_TPRX!P12)))</f>
        <v/>
      </c>
      <c r="Q12" s="106" t="str">
        <f>IF(ISBLANK(ETPT_TPRX_DDG!$D$5),"",IF(ISERROR(ETPT_TPRX!Q12),"",IF(ETPT_TPRX!Q12=0,"",ETPT_TPRX!Q12)))</f>
        <v/>
      </c>
      <c r="R12" s="106" t="str">
        <f>IF(ISBLANK(ETPT_TPRX_DDG!$D$5),"",IF(ISERROR(ETPT_TPRX!R12),"",IF(ETPT_TPRX!R12=0,"",ETPT_TPRX!R12)))</f>
        <v/>
      </c>
      <c r="S12" s="82">
        <f t="shared" si="1"/>
        <v>0</v>
      </c>
      <c r="T12" s="106" t="str">
        <f>IF(ISBLANK(ETPT_TPRX_DDG!$D$5),"",IF(ISERROR(ETPT_TPRX!T12),"",IF(ETPT_TPRX!T12=0,"",ETPT_TPRX!T12)))</f>
        <v/>
      </c>
      <c r="U12" s="106" t="str">
        <f>IF(ISBLANK(ETPT_TPRX_DDG!$D$5),"",IF(ISERROR(ETPT_TPRX!U12),"",IF(ETPT_TPRX!U12=0,"",ETPT_TPRX!U12)))</f>
        <v/>
      </c>
      <c r="V12" s="106" t="str">
        <f>IF(ISBLANK(ETPT_TPRX_DDG!$D$5),"",IF(ISERROR(ETPT_TPRX!V12),"",IF(ETPT_TPRX!V12=0,"",ETPT_TPRX!V12)))</f>
        <v/>
      </c>
      <c r="W12" s="106" t="str">
        <f>IF(ISBLANK(ETPT_TPRX_DDG!$D$5),"",IF(ISERROR(ETPT_TPRX!W12),"",IF(ETPT_TPRX!W12=0,"",ETPT_TPRX!W12)))</f>
        <v/>
      </c>
      <c r="X12" s="106" t="str">
        <f>IF(ISBLANK(ETPT_TPRX_DDG!$D$5),"",IF(ISERROR(ETPT_TPRX!X12),"",IF(ETPT_TPRX!X12=0,"",ETPT_TPRX!X12)))</f>
        <v/>
      </c>
      <c r="Y12" s="106" t="str">
        <f>IF(ISBLANK(ETPT_TPRX_DDG!$D$5),"",IF(ISERROR(ETPT_TPRX!Y12),"",IF(ETPT_TPRX!Y12=0,"",ETPT_TPRX!Y12)))</f>
        <v/>
      </c>
      <c r="Z12" s="106" t="str">
        <f>IF(ISBLANK(ETPT_TPRX_DDG!$D$5),"",IF(ISERROR(ETPT_TPRX!Z12),"",IF(ETPT_TPRX!Z12=0,"",ETPT_TPRX!Z12)))</f>
        <v/>
      </c>
      <c r="AA12" s="106" t="str">
        <f>IF(ISBLANK(ETPT_TPRX_DDG!$D$5),"",IF(ISERROR(ETPT_TPRX!AA12),"",IF(ETPT_TPRX!AA12=0,"",ETPT_TPRX!AA12)))</f>
        <v/>
      </c>
      <c r="AB12" s="106" t="str">
        <f>IF(ISBLANK(ETPT_TPRX_DDG!$D$5),"",IF(ISERROR(ETPT_TPRX!AB12),"",IF(ETPT_TPRX!AB12=0,"",ETPT_TPRX!AB12)))</f>
        <v/>
      </c>
      <c r="AC12" s="82">
        <f t="shared" si="2"/>
        <v>0</v>
      </c>
      <c r="AD12" s="106" t="str">
        <f>IF(ISBLANK(ETPT_TPRX_DDG!$D$5),"",IF(ISERROR(ETPT_TPRX!AD12),"",IF(ETPT_TPRX!AD12=0,"",ETPT_TPRX!AD12)))</f>
        <v/>
      </c>
      <c r="AE12" s="106" t="str">
        <f>IF(ISBLANK(ETPT_TPRX_DDG!$D$5),"",IF(ISERROR(ETPT_TPRX!AE12),"",IF(ETPT_TPRX!AE12=0,"",ETPT_TPRX!AE12)))</f>
        <v/>
      </c>
      <c r="AF12" s="106" t="str">
        <f>IF(ISBLANK(ETPT_TPRX_DDG!$D$5),"",IF(ISERROR(ETPT_TPRX!AF12),"",IF(ETPT_TPRX!AF12=0,"",ETPT_TPRX!AF12)))</f>
        <v/>
      </c>
      <c r="AG12" s="82">
        <f t="shared" si="3"/>
        <v>0</v>
      </c>
    </row>
    <row r="13" spans="1:60" x14ac:dyDescent="0.2">
      <c r="A13" s="81" t="s">
        <v>172</v>
      </c>
      <c r="B13" s="61"/>
      <c r="C13" s="61"/>
      <c r="D13" s="61" t="str">
        <f t="shared" si="4"/>
        <v/>
      </c>
      <c r="E13" s="61" t="s">
        <v>46</v>
      </c>
      <c r="F13" s="61" t="s">
        <v>45</v>
      </c>
      <c r="G13" s="106" t="str">
        <f>IF(ISBLANK(ETPT_TPRX_DDG!$D$5),"",IF(ISERROR(ETPT_TPRX!G13),"",IF(ETPT_TPRX!G13=0,"",ETPT_TPRX!G13)))</f>
        <v/>
      </c>
      <c r="H13" s="82">
        <f t="shared" si="0"/>
        <v>0</v>
      </c>
      <c r="I13" s="106" t="str">
        <f>IF(ISBLANK(ETPT_TPRX_DDG!$D$5),"",IF(ISERROR(ETPT_TPRX!I13),"",IF(ETPT_TPRX!I13=0,"",ETPT_TPRX!I13)))</f>
        <v/>
      </c>
      <c r="J13" s="106" t="str">
        <f>IF(ISBLANK(ETPT_TPRX_DDG!$D$5),"",IF(ISERROR(ETPT_TPRX!J13),"",IF(ETPT_TPRX!J13=0,"",ETPT_TPRX!J13)))</f>
        <v/>
      </c>
      <c r="K13" s="106" t="str">
        <f>IF(ISBLANK(ETPT_TPRX_DDG!$D$5),"",IF(ISERROR(ETPT_TPRX!K13),"",IF(ETPT_TPRX!K13=0,"",ETPT_TPRX!K13)))</f>
        <v/>
      </c>
      <c r="L13" s="106" t="str">
        <f>IF(ISBLANK(ETPT_TPRX_DDG!$D$5),"",IF(ISERROR(ETPT_TPRX!L13),"",IF(ETPT_TPRX!L13=0,"",ETPT_TPRX!L13)))</f>
        <v/>
      </c>
      <c r="M13" s="106" t="str">
        <f>IF(ISBLANK(ETPT_TPRX_DDG!$D$5),"",IF(ISERROR(ETPT_TPRX!M13),"",IF(ETPT_TPRX!M13=0,"",ETPT_TPRX!M13)))</f>
        <v/>
      </c>
      <c r="N13" s="106" t="str">
        <f>IF(ISBLANK(ETPT_TPRX_DDG!$D$5),"",IF(ISERROR(ETPT_TPRX!N13),"",IF(ETPT_TPRX!N13=0,"",ETPT_TPRX!N13)))</f>
        <v/>
      </c>
      <c r="O13" s="106" t="str">
        <f>IF(ISBLANK(ETPT_TPRX_DDG!$D$5),"",IF(ISERROR(ETPT_TPRX!O13),"",IF(ETPT_TPRX!O13=0,"",ETPT_TPRX!O13)))</f>
        <v/>
      </c>
      <c r="P13" s="106" t="str">
        <f>IF(ISBLANK(ETPT_TPRX_DDG!$D$5),"",IF(ISERROR(ETPT_TPRX!P13),"",IF(ETPT_TPRX!P13=0,"",ETPT_TPRX!P13)))</f>
        <v/>
      </c>
      <c r="Q13" s="106" t="str">
        <f>IF(ISBLANK(ETPT_TPRX_DDG!$D$5),"",IF(ISERROR(ETPT_TPRX!Q13),"",IF(ETPT_TPRX!Q13=0,"",ETPT_TPRX!Q13)))</f>
        <v/>
      </c>
      <c r="R13" s="106" t="str">
        <f>IF(ISBLANK(ETPT_TPRX_DDG!$D$5),"",IF(ISERROR(ETPT_TPRX!R13),"",IF(ETPT_TPRX!R13=0,"",ETPT_TPRX!R13)))</f>
        <v/>
      </c>
      <c r="S13" s="82">
        <f t="shared" si="1"/>
        <v>0</v>
      </c>
      <c r="T13" s="106" t="str">
        <f>IF(ISBLANK(ETPT_TPRX_DDG!$D$5),"",IF(ISERROR(ETPT_TPRX!T13),"",IF(ETPT_TPRX!T13=0,"",ETPT_TPRX!T13)))</f>
        <v/>
      </c>
      <c r="U13" s="106" t="str">
        <f>IF(ISBLANK(ETPT_TPRX_DDG!$D$5),"",IF(ISERROR(ETPT_TPRX!U13),"",IF(ETPT_TPRX!U13=0,"",ETPT_TPRX!U13)))</f>
        <v/>
      </c>
      <c r="V13" s="106" t="str">
        <f>IF(ISBLANK(ETPT_TPRX_DDG!$D$5),"",IF(ISERROR(ETPT_TPRX!V13),"",IF(ETPT_TPRX!V13=0,"",ETPT_TPRX!V13)))</f>
        <v/>
      </c>
      <c r="W13" s="106" t="str">
        <f>IF(ISBLANK(ETPT_TPRX_DDG!$D$5),"",IF(ISERROR(ETPT_TPRX!W13),"",IF(ETPT_TPRX!W13=0,"",ETPT_TPRX!W13)))</f>
        <v/>
      </c>
      <c r="X13" s="106" t="str">
        <f>IF(ISBLANK(ETPT_TPRX_DDG!$D$5),"",IF(ISERROR(ETPT_TPRX!X13),"",IF(ETPT_TPRX!X13=0,"",ETPT_TPRX!X13)))</f>
        <v/>
      </c>
      <c r="Y13" s="106" t="str">
        <f>IF(ISBLANK(ETPT_TPRX_DDG!$D$5),"",IF(ISERROR(ETPT_TPRX!Y13),"",IF(ETPT_TPRX!Y13=0,"",ETPT_TPRX!Y13)))</f>
        <v/>
      </c>
      <c r="Z13" s="106" t="str">
        <f>IF(ISBLANK(ETPT_TPRX_DDG!$D$5),"",IF(ISERROR(ETPT_TPRX!Z13),"",IF(ETPT_TPRX!Z13=0,"",ETPT_TPRX!Z13)))</f>
        <v/>
      </c>
      <c r="AA13" s="106" t="str">
        <f>IF(ISBLANK(ETPT_TPRX_DDG!$D$5),"",IF(ISERROR(ETPT_TPRX!AA13),"",IF(ETPT_TPRX!AA13=0,"",ETPT_TPRX!AA13)))</f>
        <v/>
      </c>
      <c r="AB13" s="106" t="str">
        <f>IF(ISBLANK(ETPT_TPRX_DDG!$D$5),"",IF(ISERROR(ETPT_TPRX!AB13),"",IF(ETPT_TPRX!AB13=0,"",ETPT_TPRX!AB13)))</f>
        <v/>
      </c>
      <c r="AC13" s="82">
        <f t="shared" si="2"/>
        <v>0</v>
      </c>
      <c r="AD13" s="106" t="str">
        <f>IF(ISBLANK(ETPT_TPRX_DDG!$D$5),"",IF(ISERROR(ETPT_TPRX!AD13),"",IF(ETPT_TPRX!AD13=0,"",ETPT_TPRX!AD13)))</f>
        <v/>
      </c>
      <c r="AE13" s="106" t="str">
        <f>IF(ISBLANK(ETPT_TPRX_DDG!$D$5),"",IF(ISERROR(ETPT_TPRX!AE13),"",IF(ETPT_TPRX!AE13=0,"",ETPT_TPRX!AE13)))</f>
        <v/>
      </c>
      <c r="AF13" s="106" t="str">
        <f>IF(ISBLANK(ETPT_TPRX_DDG!$D$5),"",IF(ISERROR(ETPT_TPRX!AF13),"",IF(ETPT_TPRX!AF13=0,"",ETPT_TPRX!AF13)))</f>
        <v/>
      </c>
      <c r="AG13" s="82">
        <f t="shared" si="3"/>
        <v>0</v>
      </c>
    </row>
    <row r="14" spans="1:60" x14ac:dyDescent="0.2">
      <c r="A14" s="81" t="s">
        <v>172</v>
      </c>
      <c r="B14" s="61"/>
      <c r="C14" s="61"/>
      <c r="D14" s="61" t="str">
        <f t="shared" si="4"/>
        <v/>
      </c>
      <c r="E14" s="61" t="s">
        <v>44</v>
      </c>
      <c r="F14" s="61" t="s">
        <v>43</v>
      </c>
      <c r="G14" s="106" t="str">
        <f>IF(ISBLANK(ETPT_TPRX_DDG!$D$5),"",IF(ISERROR(ETPT_TPRX!G14),"",IF(ETPT_TPRX!G14=0,"",ETPT_TPRX!G14)))</f>
        <v/>
      </c>
      <c r="H14" s="82">
        <f t="shared" si="0"/>
        <v>0</v>
      </c>
      <c r="I14" s="106" t="str">
        <f>IF(ISBLANK(ETPT_TPRX_DDG!$D$5),"",IF(ISERROR(ETPT_TPRX!I14),"",IF(ETPT_TPRX!I14=0,"",ETPT_TPRX!I14)))</f>
        <v/>
      </c>
      <c r="J14" s="106" t="str">
        <f>IF(ISBLANK(ETPT_TPRX_DDG!$D$5),"",IF(ISERROR(ETPT_TPRX!J14),"",IF(ETPT_TPRX!J14=0,"",ETPT_TPRX!J14)))</f>
        <v/>
      </c>
      <c r="K14" s="106" t="str">
        <f>IF(ISBLANK(ETPT_TPRX_DDG!$D$5),"",IF(ISERROR(ETPT_TPRX!K14),"",IF(ETPT_TPRX!K14=0,"",ETPT_TPRX!K14)))</f>
        <v/>
      </c>
      <c r="L14" s="106" t="str">
        <f>IF(ISBLANK(ETPT_TPRX_DDG!$D$5),"",IF(ISERROR(ETPT_TPRX!L14),"",IF(ETPT_TPRX!L14=0,"",ETPT_TPRX!L14)))</f>
        <v/>
      </c>
      <c r="M14" s="106" t="str">
        <f>IF(ISBLANK(ETPT_TPRX_DDG!$D$5),"",IF(ISERROR(ETPT_TPRX!M14),"",IF(ETPT_TPRX!M14=0,"",ETPT_TPRX!M14)))</f>
        <v/>
      </c>
      <c r="N14" s="106" t="str">
        <f>IF(ISBLANK(ETPT_TPRX_DDG!$D$5),"",IF(ISERROR(ETPT_TPRX!N14),"",IF(ETPT_TPRX!N14=0,"",ETPT_TPRX!N14)))</f>
        <v/>
      </c>
      <c r="O14" s="106" t="str">
        <f>IF(ISBLANK(ETPT_TPRX_DDG!$D$5),"",IF(ISERROR(ETPT_TPRX!O14),"",IF(ETPT_TPRX!O14=0,"",ETPT_TPRX!O14)))</f>
        <v/>
      </c>
      <c r="P14" s="106" t="str">
        <f>IF(ISBLANK(ETPT_TPRX_DDG!$D$5),"",IF(ISERROR(ETPT_TPRX!P14),"",IF(ETPT_TPRX!P14=0,"",ETPT_TPRX!P14)))</f>
        <v/>
      </c>
      <c r="Q14" s="106" t="str">
        <f>IF(ISBLANK(ETPT_TPRX_DDG!$D$5),"",IF(ISERROR(ETPT_TPRX!Q14),"",IF(ETPT_TPRX!Q14=0,"",ETPT_TPRX!Q14)))</f>
        <v/>
      </c>
      <c r="R14" s="106" t="str">
        <f>IF(ISBLANK(ETPT_TPRX_DDG!$D$5),"",IF(ISERROR(ETPT_TPRX!R14),"",IF(ETPT_TPRX!R14=0,"",ETPT_TPRX!R14)))</f>
        <v/>
      </c>
      <c r="S14" s="82">
        <f t="shared" si="1"/>
        <v>0</v>
      </c>
      <c r="T14" s="106" t="str">
        <f>IF(ISBLANK(ETPT_TPRX_DDG!$D$5),"",IF(ISERROR(ETPT_TPRX!T14),"",IF(ETPT_TPRX!T14=0,"",ETPT_TPRX!T14)))</f>
        <v/>
      </c>
      <c r="U14" s="106" t="str">
        <f>IF(ISBLANK(ETPT_TPRX_DDG!$D$5),"",IF(ISERROR(ETPT_TPRX!U14),"",IF(ETPT_TPRX!U14=0,"",ETPT_TPRX!U14)))</f>
        <v/>
      </c>
      <c r="V14" s="106" t="str">
        <f>IF(ISBLANK(ETPT_TPRX_DDG!$D$5),"",IF(ISERROR(ETPT_TPRX!V14),"",IF(ETPT_TPRX!V14=0,"",ETPT_TPRX!V14)))</f>
        <v/>
      </c>
      <c r="W14" s="106" t="str">
        <f>IF(ISBLANK(ETPT_TPRX_DDG!$D$5),"",IF(ISERROR(ETPT_TPRX!W14),"",IF(ETPT_TPRX!W14=0,"",ETPT_TPRX!W14)))</f>
        <v/>
      </c>
      <c r="X14" s="106" t="str">
        <f>IF(ISBLANK(ETPT_TPRX_DDG!$D$5),"",IF(ISERROR(ETPT_TPRX!X14),"",IF(ETPT_TPRX!X14=0,"",ETPT_TPRX!X14)))</f>
        <v/>
      </c>
      <c r="Y14" s="106" t="str">
        <f>IF(ISBLANK(ETPT_TPRX_DDG!$D$5),"",IF(ISERROR(ETPT_TPRX!Y14),"",IF(ETPT_TPRX!Y14=0,"",ETPT_TPRX!Y14)))</f>
        <v/>
      </c>
      <c r="Z14" s="106" t="str">
        <f>IF(ISBLANK(ETPT_TPRX_DDG!$D$5),"",IF(ISERROR(ETPT_TPRX!Z14),"",IF(ETPT_TPRX!Z14=0,"",ETPT_TPRX!Z14)))</f>
        <v/>
      </c>
      <c r="AA14" s="106" t="str">
        <f>IF(ISBLANK(ETPT_TPRX_DDG!$D$5),"",IF(ISERROR(ETPT_TPRX!AA14),"",IF(ETPT_TPRX!AA14=0,"",ETPT_TPRX!AA14)))</f>
        <v/>
      </c>
      <c r="AB14" s="106" t="str">
        <f>IF(ISBLANK(ETPT_TPRX_DDG!$D$5),"",IF(ISERROR(ETPT_TPRX!AB14),"",IF(ETPT_TPRX!AB14=0,"",ETPT_TPRX!AB14)))</f>
        <v/>
      </c>
      <c r="AC14" s="82">
        <f t="shared" si="2"/>
        <v>0</v>
      </c>
      <c r="AD14" s="106" t="str">
        <f>IF(ISBLANK(ETPT_TPRX_DDG!$D$5),"",IF(ISERROR(ETPT_TPRX!AD14),"",IF(ETPT_TPRX!AD14=0,"",ETPT_TPRX!AD14)))</f>
        <v/>
      </c>
      <c r="AE14" s="106" t="str">
        <f>IF(ISBLANK(ETPT_TPRX_DDG!$D$5),"",IF(ISERROR(ETPT_TPRX!AE14),"",IF(ETPT_TPRX!AE14=0,"",ETPT_TPRX!AE14)))</f>
        <v/>
      </c>
      <c r="AF14" s="106" t="str">
        <f>IF(ISBLANK(ETPT_TPRX_DDG!$D$5),"",IF(ISERROR(ETPT_TPRX!AF14),"",IF(ETPT_TPRX!AF14=0,"",ETPT_TPRX!AF14)))</f>
        <v/>
      </c>
      <c r="AG14" s="82">
        <f t="shared" si="3"/>
        <v>0</v>
      </c>
    </row>
    <row r="15" spans="1:60" x14ac:dyDescent="0.2">
      <c r="A15" s="81" t="s">
        <v>172</v>
      </c>
      <c r="B15" s="61"/>
      <c r="C15" s="61"/>
      <c r="D15" s="61" t="str">
        <f t="shared" si="4"/>
        <v/>
      </c>
      <c r="E15" s="61" t="s">
        <v>41</v>
      </c>
      <c r="F15" s="61" t="s">
        <v>40</v>
      </c>
      <c r="G15" s="106" t="str">
        <f>IF(ISBLANK(ETPT_TPRX_DDG!$D$5),"",IF(ISERROR(ETPT_TPRX!G15),"",IF(ETPT_TPRX!G15=0,"",ETPT_TPRX!G15)))</f>
        <v/>
      </c>
      <c r="H15" s="82">
        <f t="shared" si="0"/>
        <v>0</v>
      </c>
      <c r="I15" s="106" t="str">
        <f>IF(ISBLANK(ETPT_TPRX_DDG!$D$5),"",IF(ISERROR(ETPT_TPRX!I15),"",IF(ETPT_TPRX!I15=0,"",ETPT_TPRX!I15)))</f>
        <v/>
      </c>
      <c r="J15" s="106" t="str">
        <f>IF(ISBLANK(ETPT_TPRX_DDG!$D$5),"",IF(ISERROR(ETPT_TPRX!J15),"",IF(ETPT_TPRX!J15=0,"",ETPT_TPRX!J15)))</f>
        <v/>
      </c>
      <c r="K15" s="106" t="str">
        <f>IF(ISBLANK(ETPT_TPRX_DDG!$D$5),"",IF(ISERROR(ETPT_TPRX!K15),"",IF(ETPT_TPRX!K15=0,"",ETPT_TPRX!K15)))</f>
        <v/>
      </c>
      <c r="L15" s="106" t="str">
        <f>IF(ISBLANK(ETPT_TPRX_DDG!$D$5),"",IF(ISERROR(ETPT_TPRX!L15),"",IF(ETPT_TPRX!L15=0,"",ETPT_TPRX!L15)))</f>
        <v/>
      </c>
      <c r="M15" s="106" t="str">
        <f>IF(ISBLANK(ETPT_TPRX_DDG!$D$5),"",IF(ISERROR(ETPT_TPRX!M15),"",IF(ETPT_TPRX!M15=0,"",ETPT_TPRX!M15)))</f>
        <v/>
      </c>
      <c r="N15" s="106" t="str">
        <f>IF(ISBLANK(ETPT_TPRX_DDG!$D$5),"",IF(ISERROR(ETPT_TPRX!N15),"",IF(ETPT_TPRX!N15=0,"",ETPT_TPRX!N15)))</f>
        <v/>
      </c>
      <c r="O15" s="106" t="str">
        <f>IF(ISBLANK(ETPT_TPRX_DDG!$D$5),"",IF(ISERROR(ETPT_TPRX!O15),"",IF(ETPT_TPRX!O15=0,"",ETPT_TPRX!O15)))</f>
        <v/>
      </c>
      <c r="P15" s="106" t="str">
        <f>IF(ISBLANK(ETPT_TPRX_DDG!$D$5),"",IF(ISERROR(ETPT_TPRX!P15),"",IF(ETPT_TPRX!P15=0,"",ETPT_TPRX!P15)))</f>
        <v/>
      </c>
      <c r="Q15" s="106" t="str">
        <f>IF(ISBLANK(ETPT_TPRX_DDG!$D$5),"",IF(ISERROR(ETPT_TPRX!Q15),"",IF(ETPT_TPRX!Q15=0,"",ETPT_TPRX!Q15)))</f>
        <v/>
      </c>
      <c r="R15" s="106" t="str">
        <f>IF(ISBLANK(ETPT_TPRX_DDG!$D$5),"",IF(ISERROR(ETPT_TPRX!R15),"",IF(ETPT_TPRX!R15=0,"",ETPT_TPRX!R15)))</f>
        <v/>
      </c>
      <c r="S15" s="82">
        <f t="shared" si="1"/>
        <v>0</v>
      </c>
      <c r="T15" s="106" t="str">
        <f>IF(ISBLANK(ETPT_TPRX_DDG!$D$5),"",IF(ISERROR(ETPT_TPRX!T15),"",IF(ETPT_TPRX!T15=0,"",ETPT_TPRX!T15)))</f>
        <v/>
      </c>
      <c r="U15" s="106" t="str">
        <f>IF(ISBLANK(ETPT_TPRX_DDG!$D$5),"",IF(ISERROR(ETPT_TPRX!U15),"",IF(ETPT_TPRX!U15=0,"",ETPT_TPRX!U15)))</f>
        <v/>
      </c>
      <c r="V15" s="106" t="str">
        <f>IF(ISBLANK(ETPT_TPRX_DDG!$D$5),"",IF(ISERROR(ETPT_TPRX!V15),"",IF(ETPT_TPRX!V15=0,"",ETPT_TPRX!V15)))</f>
        <v/>
      </c>
      <c r="W15" s="106" t="str">
        <f>IF(ISBLANK(ETPT_TPRX_DDG!$D$5),"",IF(ISERROR(ETPT_TPRX!W15),"",IF(ETPT_TPRX!W15=0,"",ETPT_TPRX!W15)))</f>
        <v/>
      </c>
      <c r="X15" s="106" t="str">
        <f>IF(ISBLANK(ETPT_TPRX_DDG!$D$5),"",IF(ISERROR(ETPT_TPRX!X15),"",IF(ETPT_TPRX!X15=0,"",ETPT_TPRX!X15)))</f>
        <v/>
      </c>
      <c r="Y15" s="106" t="str">
        <f>IF(ISBLANK(ETPT_TPRX_DDG!$D$5),"",IF(ISERROR(ETPT_TPRX!Y15),"",IF(ETPT_TPRX!Y15=0,"",ETPT_TPRX!Y15)))</f>
        <v/>
      </c>
      <c r="Z15" s="106" t="str">
        <f>IF(ISBLANK(ETPT_TPRX_DDG!$D$5),"",IF(ISERROR(ETPT_TPRX!Z15),"",IF(ETPT_TPRX!Z15=0,"",ETPT_TPRX!Z15)))</f>
        <v/>
      </c>
      <c r="AA15" s="106" t="str">
        <f>IF(ISBLANK(ETPT_TPRX_DDG!$D$5),"",IF(ISERROR(ETPT_TPRX!AA15),"",IF(ETPT_TPRX!AA15=0,"",ETPT_TPRX!AA15)))</f>
        <v/>
      </c>
      <c r="AB15" s="106" t="str">
        <f>IF(ISBLANK(ETPT_TPRX_DDG!$D$5),"",IF(ISERROR(ETPT_TPRX!AB15),"",IF(ETPT_TPRX!AB15=0,"",ETPT_TPRX!AB15)))</f>
        <v/>
      </c>
      <c r="AC15" s="82">
        <f t="shared" si="2"/>
        <v>0</v>
      </c>
      <c r="AD15" s="106" t="str">
        <f>IF(ISBLANK(ETPT_TPRX_DDG!$D$5),"",IF(ISERROR(ETPT_TPRX!AD15),"",IF(ETPT_TPRX!AD15=0,"",ETPT_TPRX!AD15)))</f>
        <v/>
      </c>
      <c r="AE15" s="106" t="str">
        <f>IF(ISBLANK(ETPT_TPRX_DDG!$D$5),"",IF(ISERROR(ETPT_TPRX!AE15),"",IF(ETPT_TPRX!AE15=0,"",ETPT_TPRX!AE15)))</f>
        <v/>
      </c>
      <c r="AF15" s="106" t="str">
        <f>IF(ISBLANK(ETPT_TPRX_DDG!$D$5),"",IF(ISERROR(ETPT_TPRX!AF15),"",IF(ETPT_TPRX!AF15=0,"",ETPT_TPRX!AF15)))</f>
        <v/>
      </c>
      <c r="AG15" s="82">
        <f t="shared" si="3"/>
        <v>0</v>
      </c>
    </row>
    <row r="16" spans="1:60" x14ac:dyDescent="0.2">
      <c r="A16" s="81"/>
      <c r="B16" s="80"/>
      <c r="C16" s="80"/>
      <c r="D16" s="80"/>
      <c r="E16" s="80"/>
      <c r="F16" s="79" t="s">
        <v>39</v>
      </c>
      <c r="G16" s="46">
        <f t="shared" ref="G16:AG16" si="5">SUM(G5:G15)</f>
        <v>0</v>
      </c>
      <c r="H16" s="46">
        <f t="shared" si="5"/>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 t="shared" si="5"/>
        <v>0</v>
      </c>
      <c r="AD16" s="46">
        <f t="shared" si="5"/>
        <v>0</v>
      </c>
      <c r="AE16" s="46">
        <f t="shared" si="5"/>
        <v>0</v>
      </c>
      <c r="AF16" s="46">
        <f t="shared" si="5"/>
        <v>0</v>
      </c>
      <c r="AG16" s="46">
        <f t="shared" si="5"/>
        <v>0</v>
      </c>
    </row>
    <row r="17" spans="4:33" x14ac:dyDescent="0.2">
      <c r="D17" s="395"/>
      <c r="E17" s="395"/>
      <c r="F17" s="395"/>
      <c r="G17" s="395"/>
      <c r="H17" s="395"/>
      <c r="I17" s="395"/>
      <c r="J17" s="395"/>
      <c r="K17" s="395"/>
      <c r="L17" s="395"/>
      <c r="M17" s="395"/>
      <c r="N17" s="395"/>
      <c r="O17" s="395"/>
      <c r="P17" s="395"/>
      <c r="Q17" s="395"/>
      <c r="R17" s="395"/>
      <c r="S17" s="396"/>
      <c r="T17" s="395"/>
      <c r="U17" s="395"/>
      <c r="V17" s="395"/>
      <c r="W17" s="395"/>
      <c r="X17" s="395"/>
      <c r="Y17" s="395"/>
      <c r="Z17" s="395"/>
      <c r="AA17" s="395"/>
      <c r="AB17" s="395"/>
      <c r="AC17" s="395"/>
      <c r="AD17" s="395"/>
      <c r="AE17" s="395"/>
      <c r="AF17" s="395"/>
      <c r="AG17" s="395"/>
    </row>
    <row r="18" spans="4:33" ht="24" x14ac:dyDescent="0.2">
      <c r="D18" s="401"/>
      <c r="E18" s="402"/>
      <c r="F18" s="398" t="s">
        <v>253</v>
      </c>
      <c r="G18" s="152" t="str">
        <f>IF(ISBLANK(ETPT_TPRX_DDG!$D$5),"",IF(ISERROR(ETPT_TPRX!G18),"",IF(ETPT_TPRX!G18=0,"",ETPT_TPRX!G18)))</f>
        <v/>
      </c>
      <c r="H18" s="402"/>
      <c r="I18" s="402"/>
      <c r="J18" s="402"/>
      <c r="K18" s="402"/>
      <c r="L18" s="395"/>
      <c r="M18" s="395"/>
      <c r="N18" s="395"/>
      <c r="O18" s="395"/>
      <c r="P18" s="395"/>
      <c r="Q18" s="399" t="s">
        <v>254</v>
      </c>
      <c r="R18" s="152" t="str">
        <f>IF(ISBLANK(ETPT_TPRX_DDG!$D$5),"",IF(ISERROR(ETPT_TPRX!R18),"",IF(ETPT_TPRX!R18=0,"",ETPT_TPRX!R18)))</f>
        <v/>
      </c>
      <c r="S18" s="395"/>
      <c r="T18" s="395"/>
      <c r="U18" s="395"/>
      <c r="V18" s="395"/>
      <c r="W18" s="395"/>
      <c r="X18" s="395"/>
      <c r="Y18" s="395"/>
      <c r="Z18" s="395"/>
      <c r="AA18" s="395"/>
      <c r="AB18" s="395"/>
      <c r="AC18" s="395"/>
      <c r="AD18" s="402"/>
      <c r="AE18" s="399" t="s">
        <v>252</v>
      </c>
      <c r="AF18" s="152" t="str">
        <f>IF(ISBLANK(ETPT_TPRX_DDG!$D$5),"",IF(ISERROR(ETPT_TPRX!AF18),"",IF(ETPT_TPRX!AF18=0,"",ETPT_TPRX!AF18)))</f>
        <v/>
      </c>
      <c r="AG18" s="395"/>
    </row>
    <row r="20" spans="4:33" ht="17" thickBot="1" x14ac:dyDescent="0.25">
      <c r="E20" s="139" t="s">
        <v>248</v>
      </c>
      <c r="F20" s="140"/>
      <c r="G20" s="140"/>
      <c r="H20" s="140"/>
      <c r="I20" s="140"/>
      <c r="J20" s="140"/>
      <c r="K20" s="140"/>
    </row>
    <row r="21" spans="4:33" ht="50" customHeight="1" thickBot="1" x14ac:dyDescent="0.25">
      <c r="E21" s="380" t="s">
        <v>371</v>
      </c>
      <c r="F21" s="381"/>
      <c r="G21" s="381"/>
      <c r="H21" s="381"/>
      <c r="I21" s="381"/>
      <c r="J21" s="381"/>
      <c r="K21" s="381"/>
      <c r="L21" s="381"/>
      <c r="M21" s="381"/>
      <c r="N21" s="381"/>
      <c r="O21" s="381"/>
      <c r="P21" s="381"/>
      <c r="Q21" s="381"/>
      <c r="R21" s="381"/>
      <c r="S21" s="381"/>
      <c r="T21" s="381"/>
      <c r="U21" s="381"/>
      <c r="V21" s="381"/>
      <c r="W21" s="381"/>
      <c r="X21" s="381"/>
      <c r="Y21" s="381"/>
      <c r="Z21" s="381"/>
      <c r="AA21" s="381"/>
      <c r="AB21" s="382"/>
    </row>
  </sheetData>
  <mergeCells count="5">
    <mergeCell ref="AG2:AG4"/>
    <mergeCell ref="H2:H4"/>
    <mergeCell ref="S2:S4"/>
    <mergeCell ref="AC2:AC4"/>
    <mergeCell ref="E21:AB21"/>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B6A9-5FC7-3A43-BF37-0B81E3F33F51}">
  <sheetPr codeName="Feuil16">
    <tabColor rgb="FF01A94F"/>
  </sheetPr>
  <dimension ref="A1:BJ17"/>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6.83203125" style="37" customWidth="1"/>
    <col min="5" max="5" width="11" style="37"/>
    <col min="6" max="6" width="47.83203125" style="37" customWidth="1"/>
    <col min="7" max="16384" width="11" style="37"/>
  </cols>
  <sheetData>
    <row r="1" spans="1:62" s="4" customFormat="1" ht="80" customHeight="1" x14ac:dyDescent="0.25">
      <c r="A1" s="3" t="s">
        <v>217</v>
      </c>
      <c r="B1" s="5"/>
      <c r="C1" s="5"/>
      <c r="D1" s="3" t="s">
        <v>221</v>
      </c>
      <c r="E1" s="7"/>
      <c r="F1" s="6"/>
      <c r="G1" s="6"/>
      <c r="H1" s="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ht="16" hidden="1" customHeight="1" x14ac:dyDescent="0.2">
      <c r="G2" s="75" t="s">
        <v>167</v>
      </c>
      <c r="H2" s="373" t="s">
        <v>166</v>
      </c>
    </row>
    <row r="3" spans="1:62" ht="36" hidden="1" x14ac:dyDescent="0.2">
      <c r="G3" s="75" t="s">
        <v>145</v>
      </c>
      <c r="H3" s="373"/>
    </row>
    <row r="4" spans="1:62" ht="36" x14ac:dyDescent="0.2">
      <c r="A4" s="97"/>
      <c r="B4" s="96" t="s">
        <v>112</v>
      </c>
      <c r="C4" s="96" t="s">
        <v>111</v>
      </c>
      <c r="D4" s="96" t="s">
        <v>32</v>
      </c>
      <c r="E4" s="96" t="s">
        <v>110</v>
      </c>
      <c r="F4" s="96" t="s">
        <v>109</v>
      </c>
      <c r="G4" s="75" t="s">
        <v>94</v>
      </c>
      <c r="H4" s="373"/>
    </row>
    <row r="5" spans="1:62" x14ac:dyDescent="0.2">
      <c r="A5" s="91" t="s">
        <v>215</v>
      </c>
      <c r="B5" s="90"/>
      <c r="C5" s="90"/>
      <c r="D5" s="112"/>
      <c r="E5" s="90" t="s">
        <v>62</v>
      </c>
      <c r="F5" s="90" t="s">
        <v>61</v>
      </c>
      <c r="G5" s="105" t="str">
        <f>IF(ISBLANK(ETPT_CPH_DDG!$D$5),"",IF(ISERROR(ETPT_CPH!G5),"",IF(ETPT_CPH!G5=0,"",ETPT_CPH!G5)))</f>
        <v/>
      </c>
      <c r="H5" s="84">
        <f t="shared" ref="H5:H13" si="0">SUM(G5)</f>
        <v>0</v>
      </c>
    </row>
    <row r="6" spans="1:62" x14ac:dyDescent="0.2">
      <c r="A6" s="91" t="s">
        <v>215</v>
      </c>
      <c r="B6" s="90"/>
      <c r="C6" s="90"/>
      <c r="D6" s="61" t="str">
        <f t="shared" ref="D6:D13" si="1">IF(ISBLANK($D$5),"",$D$5)</f>
        <v/>
      </c>
      <c r="E6" s="90" t="s">
        <v>56</v>
      </c>
      <c r="F6" s="90" t="s">
        <v>55</v>
      </c>
      <c r="G6" s="105" t="str">
        <f>IF(ISBLANK(ETPT_CPH_DDG!$D$5),"",IF(ISERROR(ETPT_CPH!G6),"",IF(ETPT_CPH!G6=0,"",ETPT_CPH!G6)))</f>
        <v/>
      </c>
      <c r="H6" s="84">
        <f t="shared" si="0"/>
        <v>0</v>
      </c>
    </row>
    <row r="7" spans="1:62" x14ac:dyDescent="0.2">
      <c r="A7" s="91" t="s">
        <v>215</v>
      </c>
      <c r="B7" s="90"/>
      <c r="C7" s="90"/>
      <c r="D7" s="61" t="str">
        <f t="shared" si="1"/>
        <v/>
      </c>
      <c r="E7" s="90" t="s">
        <v>54</v>
      </c>
      <c r="F7" s="90" t="s">
        <v>53</v>
      </c>
      <c r="G7" s="105" t="str">
        <f>IF(ISBLANK(ETPT_CPH_DDG!$D$5),"",IF(ISERROR(ETPT_CPH!G7),"",IF(ETPT_CPH!G7=0,"",ETPT_CPH!G7)))</f>
        <v/>
      </c>
      <c r="H7" s="84">
        <f t="shared" si="0"/>
        <v>0</v>
      </c>
    </row>
    <row r="8" spans="1:62" x14ac:dyDescent="0.2">
      <c r="A8" s="91" t="s">
        <v>215</v>
      </c>
      <c r="B8" s="90"/>
      <c r="C8" s="90"/>
      <c r="D8" s="61" t="str">
        <f t="shared" si="1"/>
        <v/>
      </c>
      <c r="E8" s="90" t="s">
        <v>52</v>
      </c>
      <c r="F8" s="90" t="s">
        <v>51</v>
      </c>
      <c r="G8" s="105" t="str">
        <f>IF(ISBLANK(ETPT_CPH_DDG!$D$5),"",IF(ISERROR(ETPT_CPH!G8),"",IF(ETPT_CPH!G8=0,"",ETPT_CPH!G8)))</f>
        <v/>
      </c>
      <c r="H8" s="84">
        <f t="shared" si="0"/>
        <v>0</v>
      </c>
    </row>
    <row r="9" spans="1:62" x14ac:dyDescent="0.2">
      <c r="A9" s="91" t="s">
        <v>215</v>
      </c>
      <c r="B9" s="90"/>
      <c r="C9" s="90"/>
      <c r="D9" s="61" t="str">
        <f t="shared" si="1"/>
        <v/>
      </c>
      <c r="E9" s="90" t="s">
        <v>50</v>
      </c>
      <c r="F9" s="90" t="s">
        <v>49</v>
      </c>
      <c r="G9" s="105" t="str">
        <f>IF(ISBLANK(ETPT_CPH_DDG!$D$5),"",IF(ISERROR(ETPT_CPH!G9),"",IF(ETPT_CPH!G9=0,"",ETPT_CPH!G9)))</f>
        <v/>
      </c>
      <c r="H9" s="84">
        <f t="shared" si="0"/>
        <v>0</v>
      </c>
    </row>
    <row r="10" spans="1:62" x14ac:dyDescent="0.2">
      <c r="A10" s="91" t="s">
        <v>215</v>
      </c>
      <c r="B10" s="90"/>
      <c r="C10" s="90"/>
      <c r="D10" s="61" t="str">
        <f t="shared" si="1"/>
        <v/>
      </c>
      <c r="E10" s="90" t="s">
        <v>48</v>
      </c>
      <c r="F10" s="90" t="s">
        <v>47</v>
      </c>
      <c r="G10" s="105" t="str">
        <f>IF(ISBLANK(ETPT_CPH_DDG!$D$5),"",IF(ISERROR(ETPT_CPH!G10),"",IF(ETPT_CPH!G10=0,"",ETPT_CPH!G10)))</f>
        <v/>
      </c>
      <c r="H10" s="84">
        <f t="shared" si="0"/>
        <v>0</v>
      </c>
    </row>
    <row r="11" spans="1:62" x14ac:dyDescent="0.2">
      <c r="A11" s="91" t="s">
        <v>215</v>
      </c>
      <c r="B11" s="90"/>
      <c r="C11" s="90"/>
      <c r="D11" s="61" t="str">
        <f t="shared" si="1"/>
        <v/>
      </c>
      <c r="E11" s="90" t="s">
        <v>46</v>
      </c>
      <c r="F11" s="90" t="s">
        <v>45</v>
      </c>
      <c r="G11" s="105" t="str">
        <f>IF(ISBLANK(ETPT_CPH_DDG!$D$5),"",IF(ISERROR(ETPT_CPH!G11),"",IF(ETPT_CPH!G11=0,"",ETPT_CPH!G11)))</f>
        <v/>
      </c>
      <c r="H11" s="84">
        <f t="shared" si="0"/>
        <v>0</v>
      </c>
    </row>
    <row r="12" spans="1:62" x14ac:dyDescent="0.2">
      <c r="A12" s="91" t="s">
        <v>215</v>
      </c>
      <c r="B12" s="90"/>
      <c r="C12" s="90"/>
      <c r="D12" s="61" t="str">
        <f t="shared" si="1"/>
        <v/>
      </c>
      <c r="E12" s="90" t="s">
        <v>44</v>
      </c>
      <c r="F12" s="90" t="s">
        <v>43</v>
      </c>
      <c r="G12" s="105" t="str">
        <f>IF(ISBLANK(ETPT_CPH_DDG!$D$5),"",IF(ISERROR(ETPT_CPH!G12),"",IF(ETPT_CPH!G12=0,"",ETPT_CPH!G12)))</f>
        <v/>
      </c>
      <c r="H12" s="84">
        <f t="shared" si="0"/>
        <v>0</v>
      </c>
    </row>
    <row r="13" spans="1:62" x14ac:dyDescent="0.2">
      <c r="A13" s="91" t="s">
        <v>215</v>
      </c>
      <c r="B13" s="90"/>
      <c r="C13" s="90"/>
      <c r="D13" s="61" t="str">
        <f t="shared" si="1"/>
        <v/>
      </c>
      <c r="E13" s="90" t="s">
        <v>41</v>
      </c>
      <c r="F13" s="90" t="s">
        <v>40</v>
      </c>
      <c r="G13" s="105" t="str">
        <f>IF(ISBLANK(ETPT_CPH_DDG!$D$5),"",IF(ISERROR(ETPT_CPH!G13),"",IF(ETPT_CPH!G13=0,"",ETPT_CPH!G13)))</f>
        <v/>
      </c>
      <c r="H13" s="84">
        <f t="shared" si="0"/>
        <v>0</v>
      </c>
    </row>
    <row r="14" spans="1:62" x14ac:dyDescent="0.2">
      <c r="A14" s="88"/>
      <c r="B14" s="87"/>
      <c r="C14" s="87"/>
      <c r="D14" s="87"/>
      <c r="E14" s="86"/>
      <c r="F14" s="85" t="s">
        <v>39</v>
      </c>
      <c r="G14" s="84">
        <f>SUM(G5:G13)</f>
        <v>0</v>
      </c>
      <c r="H14" s="84">
        <f>SUM(H5:H13)</f>
        <v>0</v>
      </c>
    </row>
    <row r="16" spans="1:62" ht="17" thickBot="1" x14ac:dyDescent="0.25">
      <c r="D16" s="139" t="s">
        <v>248</v>
      </c>
      <c r="E16" s="140"/>
      <c r="F16" s="21"/>
      <c r="G16" s="21"/>
      <c r="H16" s="21"/>
      <c r="I16" s="21"/>
      <c r="J16" s="21"/>
    </row>
    <row r="17" spans="4:10" ht="99" customHeight="1" thickBot="1" x14ac:dyDescent="0.25">
      <c r="D17" s="383" t="s">
        <v>372</v>
      </c>
      <c r="E17" s="384"/>
      <c r="F17" s="384"/>
      <c r="G17" s="384"/>
      <c r="H17" s="384"/>
      <c r="I17" s="384"/>
      <c r="J17" s="385"/>
    </row>
  </sheetData>
  <mergeCells count="2">
    <mergeCell ref="H2:H4"/>
    <mergeCell ref="D17:J1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9BD7-EF2F-BA42-8B22-047003D2887B}">
  <sheetPr>
    <tabColor theme="8" tint="-0.249977111117893"/>
  </sheetPr>
  <dimension ref="A1:BJ17"/>
  <sheetViews>
    <sheetView showGridLines="0" topLeftCell="D1" zoomScaleNormal="100" workbookViewId="0">
      <selection activeCell="D5" sqref="D5"/>
    </sheetView>
  </sheetViews>
  <sheetFormatPr baseColWidth="10" defaultRowHeight="15" x14ac:dyDescent="0.2"/>
  <cols>
    <col min="1" max="3" width="0" hidden="1" customWidth="1"/>
    <col min="4" max="4" width="16.83203125" customWidth="1"/>
    <col min="6" max="6" width="68.83203125" customWidth="1"/>
    <col min="7" max="16" width="13.5" customWidth="1"/>
  </cols>
  <sheetData>
    <row r="1" spans="1:62" s="4" customFormat="1" ht="80" customHeight="1" x14ac:dyDescent="0.25">
      <c r="A1" s="3"/>
      <c r="B1" s="5"/>
      <c r="C1" s="5"/>
      <c r="D1" s="3" t="s">
        <v>617</v>
      </c>
      <c r="E1" s="7"/>
      <c r="F1" s="6"/>
      <c r="G1" s="6"/>
      <c r="H1" s="7"/>
      <c r="I1" s="7"/>
      <c r="J1" s="7"/>
      <c r="K1" s="7"/>
      <c r="L1" s="7"/>
      <c r="M1" s="7"/>
      <c r="N1" s="7"/>
      <c r="O1" s="7"/>
      <c r="P1" s="7"/>
      <c r="Q1" s="7"/>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row>
    <row r="2" spans="1:62" x14ac:dyDescent="0.2">
      <c r="A2" s="274"/>
      <c r="B2" s="275"/>
      <c r="C2" s="275"/>
      <c r="D2" s="275"/>
      <c r="E2" s="275"/>
      <c r="F2" s="275"/>
      <c r="G2" s="277" t="s">
        <v>38</v>
      </c>
      <c r="H2" s="277" t="s">
        <v>38</v>
      </c>
      <c r="I2" s="277" t="s">
        <v>38</v>
      </c>
      <c r="J2" s="277" t="s">
        <v>38</v>
      </c>
      <c r="K2" s="277" t="s">
        <v>38</v>
      </c>
      <c r="L2" s="277" t="s">
        <v>38</v>
      </c>
      <c r="M2" s="277" t="s">
        <v>38</v>
      </c>
      <c r="N2" s="277" t="s">
        <v>38</v>
      </c>
      <c r="O2" s="277" t="s">
        <v>38</v>
      </c>
      <c r="P2" s="277" t="s">
        <v>38</v>
      </c>
      <c r="Q2" s="376" t="s">
        <v>274</v>
      </c>
    </row>
    <row r="3" spans="1:62" ht="24" x14ac:dyDescent="0.2">
      <c r="A3" s="274"/>
      <c r="B3" s="275"/>
      <c r="C3" s="275"/>
      <c r="D3" s="275"/>
      <c r="E3" s="275"/>
      <c r="F3" s="275"/>
      <c r="G3" s="277" t="s">
        <v>275</v>
      </c>
      <c r="H3" s="277" t="s">
        <v>276</v>
      </c>
      <c r="I3" s="277" t="s">
        <v>142</v>
      </c>
      <c r="J3" s="277" t="s">
        <v>143</v>
      </c>
      <c r="K3" s="277" t="s">
        <v>144</v>
      </c>
      <c r="L3" s="277" t="s">
        <v>277</v>
      </c>
      <c r="M3" s="277" t="s">
        <v>278</v>
      </c>
      <c r="N3" s="277" t="s">
        <v>279</v>
      </c>
      <c r="O3" s="277" t="s">
        <v>280</v>
      </c>
      <c r="P3" s="277" t="s">
        <v>281</v>
      </c>
      <c r="Q3" s="376"/>
    </row>
    <row r="4" spans="1:62" ht="36" x14ac:dyDescent="0.2">
      <c r="A4" s="278"/>
      <c r="B4" s="279" t="s">
        <v>112</v>
      </c>
      <c r="C4" s="279" t="s">
        <v>111</v>
      </c>
      <c r="D4" s="403" t="s">
        <v>32</v>
      </c>
      <c r="E4" s="403" t="s">
        <v>282</v>
      </c>
      <c r="F4" s="403" t="s">
        <v>109</v>
      </c>
      <c r="G4" s="277" t="s">
        <v>283</v>
      </c>
      <c r="H4" s="277" t="s">
        <v>284</v>
      </c>
      <c r="I4" s="277" t="s">
        <v>285</v>
      </c>
      <c r="J4" s="277" t="s">
        <v>286</v>
      </c>
      <c r="K4" s="277" t="s">
        <v>287</v>
      </c>
      <c r="L4" s="277" t="s">
        <v>288</v>
      </c>
      <c r="M4" s="277" t="s">
        <v>289</v>
      </c>
      <c r="N4" s="277" t="s">
        <v>290</v>
      </c>
      <c r="O4" s="277" t="s">
        <v>291</v>
      </c>
      <c r="P4" s="277" t="s">
        <v>292</v>
      </c>
      <c r="Q4" s="376"/>
    </row>
    <row r="5" spans="1:62" x14ac:dyDescent="0.2">
      <c r="A5" s="281" t="s">
        <v>293</v>
      </c>
      <c r="B5" s="282"/>
      <c r="C5" s="282"/>
      <c r="D5" s="293"/>
      <c r="E5" s="282" t="s">
        <v>62</v>
      </c>
      <c r="F5" s="404" t="s">
        <v>61</v>
      </c>
      <c r="G5" s="409"/>
      <c r="H5" s="410" t="str">
        <f>IF(ISBLANK(ETPT_JUR_ASS!H5),"",IF(ISERROR(ETPT_JUR_ASS!H5),"",IF(ETPT_JUR_ASS!H5=0,"",ETPT_JUR_ASS!H5)))</f>
        <v/>
      </c>
      <c r="I5" s="410" t="str">
        <f>IF(ISBLANK(ETPT_JUR_ASS!I5),"",IF(ISERROR(ETPT_JUR_ASS!I5),"",IF(ETPT_JUR_ASS!I5=0,"",ETPT_JUR_ASS!I5)))</f>
        <v/>
      </c>
      <c r="J5" s="410" t="str">
        <f>IF(ISBLANK(ETPT_JUR_ASS!J5),"",IF(ISERROR(ETPT_JUR_ASS!J5),"",IF(ETPT_JUR_ASS!J5=0,"",ETPT_JUR_ASS!J5)))</f>
        <v/>
      </c>
      <c r="K5" s="410" t="str">
        <f>IF(ISBLANK(ETPT_JUR_ASS!K5),"",IF(ISERROR(ETPT_JUR_ASS!K5),"",IF(ETPT_JUR_ASS!K5=0,"",ETPT_JUR_ASS!K5)))</f>
        <v/>
      </c>
      <c r="L5" s="410" t="str">
        <f>IF(ISBLANK(ETPT_JUR_ASS!L5),"",IF(ISERROR(ETPT_JUR_ASS!L5),"",IF(ETPT_JUR_ASS!L5=0,"",ETPT_JUR_ASS!L5)))</f>
        <v/>
      </c>
      <c r="M5" s="410" t="str">
        <f>IF(ISBLANK(ETPT_JUR_ASS!M5),"",IF(ISERROR(ETPT_JUR_ASS!M5),"",IF(ETPT_JUR_ASS!M5=0,"",ETPT_JUR_ASS!M5)))</f>
        <v/>
      </c>
      <c r="N5" s="410" t="str">
        <f>IF(ISBLANK(ETPT_JUR_ASS!N5),"",IF(ISERROR(ETPT_JUR_ASS!N5),"",IF(ETPT_JUR_ASS!N5=0,"",ETPT_JUR_ASS!N5)))</f>
        <v/>
      </c>
      <c r="O5" s="410" t="str">
        <f>IF(ISBLANK(ETPT_JUR_ASS!O5),"",IF(ISERROR(ETPT_JUR_ASS!O5),"",IF(ETPT_JUR_ASS!O5=0,"",ETPT_JUR_ASS!O5)))</f>
        <v/>
      </c>
      <c r="P5" s="410" t="str">
        <f>IF(ISBLANK(ETPT_JUR_ASS!P5),"",IF(ISERROR(ETPT_JUR_ASS!P5),"",IF(ETPT_JUR_ASS!P5=0,"",ETPT_JUR_ASS!P5)))</f>
        <v/>
      </c>
      <c r="Q5" s="287">
        <f>SUMIF($G$2:P$2,P$2,$G5:P5)</f>
        <v>0</v>
      </c>
    </row>
    <row r="6" spans="1:62" x14ac:dyDescent="0.2">
      <c r="A6" s="281" t="s">
        <v>293</v>
      </c>
      <c r="B6" s="282"/>
      <c r="C6" s="282"/>
      <c r="D6" s="292">
        <f>$D$5</f>
        <v>0</v>
      </c>
      <c r="E6" s="282" t="s">
        <v>60</v>
      </c>
      <c r="F6" s="404" t="s">
        <v>59</v>
      </c>
      <c r="G6" s="408"/>
      <c r="H6" s="410" t="str">
        <f>IF(ISBLANK(ETPT_JUR_ASS!H6),"",IF(ISERROR(ETPT_JUR_ASS!H6),"",IF(ETPT_JUR_ASS!H6=0,"",ETPT_JUR_ASS!H6)))</f>
        <v/>
      </c>
      <c r="I6" s="410" t="str">
        <f>IF(ISBLANK(ETPT_JUR_ASS!I6),"",IF(ISERROR(ETPT_JUR_ASS!I6),"",IF(ETPT_JUR_ASS!I6=0,"",ETPT_JUR_ASS!I6)))</f>
        <v/>
      </c>
      <c r="J6" s="410" t="str">
        <f>IF(ISBLANK(ETPT_JUR_ASS!J6),"",IF(ISERROR(ETPT_JUR_ASS!J6),"",IF(ETPT_JUR_ASS!J6=0,"",ETPT_JUR_ASS!J6)))</f>
        <v/>
      </c>
      <c r="K6" s="410" t="str">
        <f>IF(ISBLANK(ETPT_JUR_ASS!K6),"",IF(ISERROR(ETPT_JUR_ASS!K6),"",IF(ETPT_JUR_ASS!K6=0,"",ETPT_JUR_ASS!K6)))</f>
        <v/>
      </c>
      <c r="L6" s="410" t="str">
        <f>IF(ISBLANK(ETPT_JUR_ASS!L6),"",IF(ISERROR(ETPT_JUR_ASS!L6),"",IF(ETPT_JUR_ASS!L6=0,"",ETPT_JUR_ASS!L6)))</f>
        <v/>
      </c>
      <c r="M6" s="410" t="str">
        <f>IF(ISBLANK(ETPT_JUR_ASS!M6),"",IF(ISERROR(ETPT_JUR_ASS!M6),"",IF(ETPT_JUR_ASS!M6=0,"",ETPT_JUR_ASS!M6)))</f>
        <v/>
      </c>
      <c r="N6" s="410" t="str">
        <f>IF(ISBLANK(ETPT_JUR_ASS!N6),"",IF(ISERROR(ETPT_JUR_ASS!N6),"",IF(ETPT_JUR_ASS!N6=0,"",ETPT_JUR_ASS!N6)))</f>
        <v/>
      </c>
      <c r="O6" s="410" t="str">
        <f>IF(ISBLANK(ETPT_JUR_ASS!O6),"",IF(ISERROR(ETPT_JUR_ASS!O6),"",IF(ETPT_JUR_ASS!O6=0,"",ETPT_JUR_ASS!O6)))</f>
        <v/>
      </c>
      <c r="P6" s="410" t="str">
        <f>IF(ISBLANK(ETPT_JUR_ASS!P6),"",IF(ISERROR(ETPT_JUR_ASS!P6),"",IF(ETPT_JUR_ASS!P6=0,"",ETPT_JUR_ASS!P6)))</f>
        <v/>
      </c>
      <c r="Q6" s="287">
        <f>SUMIF($G$2:P$2,P$2,$G6:P6)</f>
        <v>0</v>
      </c>
    </row>
    <row r="7" spans="1:62" x14ac:dyDescent="0.2">
      <c r="A7" s="281" t="s">
        <v>293</v>
      </c>
      <c r="B7" s="282"/>
      <c r="C7" s="282"/>
      <c r="D7" s="292">
        <f t="shared" ref="D7:D12" si="0">$D$5</f>
        <v>0</v>
      </c>
      <c r="E7" s="282" t="s">
        <v>56</v>
      </c>
      <c r="F7" s="404" t="s">
        <v>55</v>
      </c>
      <c r="G7" s="408"/>
      <c r="H7" s="410" t="str">
        <f>IF(ISBLANK(ETPT_JUR_ASS!H7),"",IF(ISERROR(ETPT_JUR_ASS!H7),"",IF(ETPT_JUR_ASS!H7=0,"",ETPT_JUR_ASS!H7)))</f>
        <v/>
      </c>
      <c r="I7" s="410" t="str">
        <f>IF(ISBLANK(ETPT_JUR_ASS!I7),"",IF(ISERROR(ETPT_JUR_ASS!I7),"",IF(ETPT_JUR_ASS!I7=0,"",ETPT_JUR_ASS!I7)))</f>
        <v/>
      </c>
      <c r="J7" s="410" t="str">
        <f>IF(ISBLANK(ETPT_JUR_ASS!J7),"",IF(ISERROR(ETPT_JUR_ASS!J7),"",IF(ETPT_JUR_ASS!J7=0,"",ETPT_JUR_ASS!J7)))</f>
        <v/>
      </c>
      <c r="K7" s="410" t="str">
        <f>IF(ISBLANK(ETPT_JUR_ASS!K7),"",IF(ISERROR(ETPT_JUR_ASS!K7),"",IF(ETPT_JUR_ASS!K7=0,"",ETPT_JUR_ASS!K7)))</f>
        <v/>
      </c>
      <c r="L7" s="410" t="str">
        <f>IF(ISBLANK(ETPT_JUR_ASS!L7),"",IF(ISERROR(ETPT_JUR_ASS!L7),"",IF(ETPT_JUR_ASS!L7=0,"",ETPT_JUR_ASS!L7)))</f>
        <v/>
      </c>
      <c r="M7" s="410" t="str">
        <f>IF(ISBLANK(ETPT_JUR_ASS!M7),"",IF(ISERROR(ETPT_JUR_ASS!M7),"",IF(ETPT_JUR_ASS!M7=0,"",ETPT_JUR_ASS!M7)))</f>
        <v/>
      </c>
      <c r="N7" s="410" t="str">
        <f>IF(ISBLANK(ETPT_JUR_ASS!N7),"",IF(ISERROR(ETPT_JUR_ASS!N7),"",IF(ETPT_JUR_ASS!N7=0,"",ETPT_JUR_ASS!N7)))</f>
        <v/>
      </c>
      <c r="O7" s="410" t="str">
        <f>IF(ISBLANK(ETPT_JUR_ASS!O7),"",IF(ISERROR(ETPT_JUR_ASS!O7),"",IF(ETPT_JUR_ASS!O7=0,"",ETPT_JUR_ASS!O7)))</f>
        <v/>
      </c>
      <c r="P7" s="410" t="str">
        <f>IF(ISBLANK(ETPT_JUR_ASS!P7),"",IF(ISERROR(ETPT_JUR_ASS!P7),"",IF(ETPT_JUR_ASS!P7=0,"",ETPT_JUR_ASS!P7)))</f>
        <v/>
      </c>
      <c r="Q7" s="287">
        <f>SUMIF($G$2:P$2,P$2,$G7:P7)</f>
        <v>0</v>
      </c>
    </row>
    <row r="8" spans="1:62" x14ac:dyDescent="0.2">
      <c r="A8" s="281" t="s">
        <v>293</v>
      </c>
      <c r="B8" s="282"/>
      <c r="C8" s="282"/>
      <c r="D8" s="292">
        <f t="shared" si="0"/>
        <v>0</v>
      </c>
      <c r="E8" s="282" t="s">
        <v>54</v>
      </c>
      <c r="F8" s="404" t="s">
        <v>53</v>
      </c>
      <c r="G8" s="408"/>
      <c r="H8" s="410" t="str">
        <f>IF(ISBLANK(ETPT_JUR_ASS!H8),"",IF(ISERROR(ETPT_JUR_ASS!H8),"",IF(ETPT_JUR_ASS!H8=0,"",ETPT_JUR_ASS!H8)))</f>
        <v/>
      </c>
      <c r="I8" s="410" t="str">
        <f>IF(ISBLANK(ETPT_JUR_ASS!I8),"",IF(ISERROR(ETPT_JUR_ASS!I8),"",IF(ETPT_JUR_ASS!I8=0,"",ETPT_JUR_ASS!I8)))</f>
        <v/>
      </c>
      <c r="J8" s="410" t="str">
        <f>IF(ISBLANK(ETPT_JUR_ASS!J8),"",IF(ISERROR(ETPT_JUR_ASS!J8),"",IF(ETPT_JUR_ASS!J8=0,"",ETPT_JUR_ASS!J8)))</f>
        <v/>
      </c>
      <c r="K8" s="410" t="str">
        <f>IF(ISBLANK(ETPT_JUR_ASS!K8),"",IF(ISERROR(ETPT_JUR_ASS!K8),"",IF(ETPT_JUR_ASS!K8=0,"",ETPT_JUR_ASS!K8)))</f>
        <v/>
      </c>
      <c r="L8" s="410" t="str">
        <f>IF(ISBLANK(ETPT_JUR_ASS!L8),"",IF(ISERROR(ETPT_JUR_ASS!L8),"",IF(ETPT_JUR_ASS!L8=0,"",ETPT_JUR_ASS!L8)))</f>
        <v/>
      </c>
      <c r="M8" s="410" t="str">
        <f>IF(ISBLANK(ETPT_JUR_ASS!M8),"",IF(ISERROR(ETPT_JUR_ASS!M8),"",IF(ETPT_JUR_ASS!M8=0,"",ETPT_JUR_ASS!M8)))</f>
        <v/>
      </c>
      <c r="N8" s="410" t="str">
        <f>IF(ISBLANK(ETPT_JUR_ASS!N8),"",IF(ISERROR(ETPT_JUR_ASS!N8),"",IF(ETPT_JUR_ASS!N8=0,"",ETPT_JUR_ASS!N8)))</f>
        <v/>
      </c>
      <c r="O8" s="410" t="str">
        <f>IF(ISBLANK(ETPT_JUR_ASS!O8),"",IF(ISERROR(ETPT_JUR_ASS!O8),"",IF(ETPT_JUR_ASS!O8=0,"",ETPT_JUR_ASS!O8)))</f>
        <v/>
      </c>
      <c r="P8" s="410" t="str">
        <f>IF(ISBLANK(ETPT_JUR_ASS!P8),"",IF(ISERROR(ETPT_JUR_ASS!P8),"",IF(ETPT_JUR_ASS!P8=0,"",ETPT_JUR_ASS!P8)))</f>
        <v/>
      </c>
      <c r="Q8" s="287">
        <f>SUMIF($G$2:P$2,P$2,$G8:P8)</f>
        <v>0</v>
      </c>
    </row>
    <row r="9" spans="1:62" x14ac:dyDescent="0.2">
      <c r="A9" s="281" t="s">
        <v>293</v>
      </c>
      <c r="B9" s="282"/>
      <c r="C9" s="282"/>
      <c r="D9" s="292">
        <f t="shared" si="0"/>
        <v>0</v>
      </c>
      <c r="E9" s="282" t="s">
        <v>52</v>
      </c>
      <c r="F9" s="404" t="s">
        <v>51</v>
      </c>
      <c r="G9" s="408"/>
      <c r="H9" s="410" t="str">
        <f>IF(ISBLANK(ETPT_JUR_ASS!H9),"",IF(ISERROR(ETPT_JUR_ASS!H9),"",IF(ETPT_JUR_ASS!H9=0,"",ETPT_JUR_ASS!H9)))</f>
        <v/>
      </c>
      <c r="I9" s="410" t="str">
        <f>IF(ISBLANK(ETPT_JUR_ASS!I9),"",IF(ISERROR(ETPT_JUR_ASS!I9),"",IF(ETPT_JUR_ASS!I9=0,"",ETPT_JUR_ASS!I9)))</f>
        <v/>
      </c>
      <c r="J9" s="410" t="str">
        <f>IF(ISBLANK(ETPT_JUR_ASS!J9),"",IF(ISERROR(ETPT_JUR_ASS!J9),"",IF(ETPT_JUR_ASS!J9=0,"",ETPT_JUR_ASS!J9)))</f>
        <v/>
      </c>
      <c r="K9" s="410" t="str">
        <f>IF(ISBLANK(ETPT_JUR_ASS!K9),"",IF(ISERROR(ETPT_JUR_ASS!K9),"",IF(ETPT_JUR_ASS!K9=0,"",ETPT_JUR_ASS!K9)))</f>
        <v/>
      </c>
      <c r="L9" s="410" t="str">
        <f>IF(ISBLANK(ETPT_JUR_ASS!L9),"",IF(ISERROR(ETPT_JUR_ASS!L9),"",IF(ETPT_JUR_ASS!L9=0,"",ETPT_JUR_ASS!L9)))</f>
        <v/>
      </c>
      <c r="M9" s="410" t="str">
        <f>IF(ISBLANK(ETPT_JUR_ASS!M9),"",IF(ISERROR(ETPT_JUR_ASS!M9),"",IF(ETPT_JUR_ASS!M9=0,"",ETPT_JUR_ASS!M9)))</f>
        <v/>
      </c>
      <c r="N9" s="410" t="str">
        <f>IF(ISBLANK(ETPT_JUR_ASS!N9),"",IF(ISERROR(ETPT_JUR_ASS!N9),"",IF(ETPT_JUR_ASS!N9=0,"",ETPT_JUR_ASS!N9)))</f>
        <v/>
      </c>
      <c r="O9" s="410" t="str">
        <f>IF(ISBLANK(ETPT_JUR_ASS!O9),"",IF(ISERROR(ETPT_JUR_ASS!O9),"",IF(ETPT_JUR_ASS!O9=0,"",ETPT_JUR_ASS!O9)))</f>
        <v/>
      </c>
      <c r="P9" s="410" t="str">
        <f>IF(ISBLANK(ETPT_JUR_ASS!P9),"",IF(ISERROR(ETPT_JUR_ASS!P9),"",IF(ETPT_JUR_ASS!P9=0,"",ETPT_JUR_ASS!P9)))</f>
        <v/>
      </c>
      <c r="Q9" s="287">
        <f>SUMIF($G$2:P$2,P$2,$G9:P9)</f>
        <v>0</v>
      </c>
    </row>
    <row r="10" spans="1:62" x14ac:dyDescent="0.2">
      <c r="A10" s="281" t="s">
        <v>293</v>
      </c>
      <c r="B10" s="282"/>
      <c r="C10" s="282"/>
      <c r="D10" s="292">
        <f t="shared" si="0"/>
        <v>0</v>
      </c>
      <c r="E10" s="282" t="s">
        <v>50</v>
      </c>
      <c r="F10" s="404" t="s">
        <v>49</v>
      </c>
      <c r="G10" s="408"/>
      <c r="H10" s="410" t="str">
        <f>IF(ISBLANK(ETPT_JUR_ASS!H10),"",IF(ISERROR(ETPT_JUR_ASS!H10),"",IF(ETPT_JUR_ASS!H10=0,"",ETPT_JUR_ASS!H10)))</f>
        <v/>
      </c>
      <c r="I10" s="410" t="str">
        <f>IF(ISBLANK(ETPT_JUR_ASS!I10),"",IF(ISERROR(ETPT_JUR_ASS!I10),"",IF(ETPT_JUR_ASS!I10=0,"",ETPT_JUR_ASS!I10)))</f>
        <v/>
      </c>
      <c r="J10" s="410" t="str">
        <f>IF(ISBLANK(ETPT_JUR_ASS!J10),"",IF(ISERROR(ETPT_JUR_ASS!J10),"",IF(ETPT_JUR_ASS!J10=0,"",ETPT_JUR_ASS!J10)))</f>
        <v/>
      </c>
      <c r="K10" s="410" t="str">
        <f>IF(ISBLANK(ETPT_JUR_ASS!K10),"",IF(ISERROR(ETPT_JUR_ASS!K10),"",IF(ETPT_JUR_ASS!K10=0,"",ETPT_JUR_ASS!K10)))</f>
        <v/>
      </c>
      <c r="L10" s="410" t="str">
        <f>IF(ISBLANK(ETPT_JUR_ASS!L10),"",IF(ISERROR(ETPT_JUR_ASS!L10),"",IF(ETPT_JUR_ASS!L10=0,"",ETPT_JUR_ASS!L10)))</f>
        <v/>
      </c>
      <c r="M10" s="410" t="str">
        <f>IF(ISBLANK(ETPT_JUR_ASS!M10),"",IF(ISERROR(ETPT_JUR_ASS!M10),"",IF(ETPT_JUR_ASS!M10=0,"",ETPT_JUR_ASS!M10)))</f>
        <v/>
      </c>
      <c r="N10" s="410" t="str">
        <f>IF(ISBLANK(ETPT_JUR_ASS!N10),"",IF(ISERROR(ETPT_JUR_ASS!N10),"",IF(ETPT_JUR_ASS!N10=0,"",ETPT_JUR_ASS!N10)))</f>
        <v/>
      </c>
      <c r="O10" s="410" t="str">
        <f>IF(ISBLANK(ETPT_JUR_ASS!O10),"",IF(ISERROR(ETPT_JUR_ASS!O10),"",IF(ETPT_JUR_ASS!O10=0,"",ETPT_JUR_ASS!O10)))</f>
        <v/>
      </c>
      <c r="P10" s="410" t="str">
        <f>IF(ISBLANK(ETPT_JUR_ASS!P10),"",IF(ISERROR(ETPT_JUR_ASS!P10),"",IF(ETPT_JUR_ASS!P10=0,"",ETPT_JUR_ASS!P10)))</f>
        <v/>
      </c>
      <c r="Q10" s="287">
        <f>SUMIF($G$2:P$2,P$2,$G10:P10)</f>
        <v>0</v>
      </c>
    </row>
    <row r="11" spans="1:62" x14ac:dyDescent="0.2">
      <c r="A11" s="281" t="s">
        <v>293</v>
      </c>
      <c r="B11" s="282"/>
      <c r="C11" s="282"/>
      <c r="D11" s="292">
        <f t="shared" si="0"/>
        <v>0</v>
      </c>
      <c r="E11" s="282" t="s">
        <v>48</v>
      </c>
      <c r="F11" s="404" t="s">
        <v>47</v>
      </c>
      <c r="G11" s="408"/>
      <c r="H11" s="410" t="str">
        <f>IF(ISBLANK(ETPT_JUR_ASS!H11),"",IF(ISERROR(ETPT_JUR_ASS!H11),"",IF(ETPT_JUR_ASS!H11=0,"",ETPT_JUR_ASS!H11)))</f>
        <v/>
      </c>
      <c r="I11" s="410" t="str">
        <f>IF(ISBLANK(ETPT_JUR_ASS!I11),"",IF(ISERROR(ETPT_JUR_ASS!I11),"",IF(ETPT_JUR_ASS!I11=0,"",ETPT_JUR_ASS!I11)))</f>
        <v/>
      </c>
      <c r="J11" s="410" t="str">
        <f>IF(ISBLANK(ETPT_JUR_ASS!J11),"",IF(ISERROR(ETPT_JUR_ASS!J11),"",IF(ETPT_JUR_ASS!J11=0,"",ETPT_JUR_ASS!J11)))</f>
        <v/>
      </c>
      <c r="K11" s="410" t="str">
        <f>IF(ISBLANK(ETPT_JUR_ASS!K11),"",IF(ISERROR(ETPT_JUR_ASS!K11),"",IF(ETPT_JUR_ASS!K11=0,"",ETPT_JUR_ASS!K11)))</f>
        <v/>
      </c>
      <c r="L11" s="410" t="str">
        <f>IF(ISBLANK(ETPT_JUR_ASS!L11),"",IF(ISERROR(ETPT_JUR_ASS!L11),"",IF(ETPT_JUR_ASS!L11=0,"",ETPT_JUR_ASS!L11)))</f>
        <v/>
      </c>
      <c r="M11" s="410" t="str">
        <f>IF(ISBLANK(ETPT_JUR_ASS!M11),"",IF(ISERROR(ETPT_JUR_ASS!M11),"",IF(ETPT_JUR_ASS!M11=0,"",ETPT_JUR_ASS!M11)))</f>
        <v/>
      </c>
      <c r="N11" s="410" t="str">
        <f>IF(ISBLANK(ETPT_JUR_ASS!N11),"",IF(ISERROR(ETPT_JUR_ASS!N11),"",IF(ETPT_JUR_ASS!N11=0,"",ETPT_JUR_ASS!N11)))</f>
        <v/>
      </c>
      <c r="O11" s="410" t="str">
        <f>IF(ISBLANK(ETPT_JUR_ASS!O11),"",IF(ISERROR(ETPT_JUR_ASS!O11),"",IF(ETPT_JUR_ASS!O11=0,"",ETPT_JUR_ASS!O11)))</f>
        <v/>
      </c>
      <c r="P11" s="410" t="str">
        <f>IF(ISBLANK(ETPT_JUR_ASS!P11),"",IF(ISERROR(ETPT_JUR_ASS!P11),"",IF(ETPT_JUR_ASS!P11=0,"",ETPT_JUR_ASS!P11)))</f>
        <v/>
      </c>
      <c r="Q11" s="287">
        <f>SUMIF($G$2:P$2,P$2,$G11:P11)</f>
        <v>0</v>
      </c>
    </row>
    <row r="12" spans="1:62" x14ac:dyDescent="0.2">
      <c r="A12" s="281" t="s">
        <v>293</v>
      </c>
      <c r="B12" s="282"/>
      <c r="C12" s="282"/>
      <c r="D12" s="292">
        <f t="shared" si="0"/>
        <v>0</v>
      </c>
      <c r="E12" s="282" t="s">
        <v>46</v>
      </c>
      <c r="F12" s="404" t="s">
        <v>45</v>
      </c>
      <c r="G12" s="408"/>
      <c r="H12" s="410" t="str">
        <f>IF(ISBLANK(ETPT_JUR_ASS!H12),"",IF(ISERROR(ETPT_JUR_ASS!H12),"",IF(ETPT_JUR_ASS!H12=0,"",ETPT_JUR_ASS!H12)))</f>
        <v/>
      </c>
      <c r="I12" s="410" t="str">
        <f>IF(ISBLANK(ETPT_JUR_ASS!I12),"",IF(ISERROR(ETPT_JUR_ASS!I12),"",IF(ETPT_JUR_ASS!I12=0,"",ETPT_JUR_ASS!I12)))</f>
        <v/>
      </c>
      <c r="J12" s="410" t="str">
        <f>IF(ISBLANK(ETPT_JUR_ASS!J12),"",IF(ISERROR(ETPT_JUR_ASS!J12),"",IF(ETPT_JUR_ASS!J12=0,"",ETPT_JUR_ASS!J12)))</f>
        <v/>
      </c>
      <c r="K12" s="410" t="str">
        <f>IF(ISBLANK(ETPT_JUR_ASS!K12),"",IF(ISERROR(ETPT_JUR_ASS!K12),"",IF(ETPT_JUR_ASS!K12=0,"",ETPT_JUR_ASS!K12)))</f>
        <v/>
      </c>
      <c r="L12" s="410" t="str">
        <f>IF(ISBLANK(ETPT_JUR_ASS!L12),"",IF(ISERROR(ETPT_JUR_ASS!L12),"",IF(ETPT_JUR_ASS!L12=0,"",ETPT_JUR_ASS!L12)))</f>
        <v/>
      </c>
      <c r="M12" s="410" t="str">
        <f>IF(ISBLANK(ETPT_JUR_ASS!M12),"",IF(ISERROR(ETPT_JUR_ASS!M12),"",IF(ETPT_JUR_ASS!M12=0,"",ETPT_JUR_ASS!M12)))</f>
        <v/>
      </c>
      <c r="N12" s="410" t="str">
        <f>IF(ISBLANK(ETPT_JUR_ASS!N12),"",IF(ISERROR(ETPT_JUR_ASS!N12),"",IF(ETPT_JUR_ASS!N12=0,"",ETPT_JUR_ASS!N12)))</f>
        <v/>
      </c>
      <c r="O12" s="410" t="str">
        <f>IF(ISBLANK(ETPT_JUR_ASS!O12),"",IF(ISERROR(ETPT_JUR_ASS!O12),"",IF(ETPT_JUR_ASS!O12=0,"",ETPT_JUR_ASS!O12)))</f>
        <v/>
      </c>
      <c r="P12" s="410" t="str">
        <f>IF(ISBLANK(ETPT_JUR_ASS!P12),"",IF(ISERROR(ETPT_JUR_ASS!P12),"",IF(ETPT_JUR_ASS!P12=0,"",ETPT_JUR_ASS!P12)))</f>
        <v/>
      </c>
      <c r="Q12" s="287">
        <f>SUMIF($G$2:P$2,P$2,$G12:P12)</f>
        <v>0</v>
      </c>
    </row>
    <row r="13" spans="1:62" x14ac:dyDescent="0.2">
      <c r="A13" s="291"/>
      <c r="B13" s="291"/>
      <c r="C13" s="291"/>
      <c r="D13" s="405"/>
      <c r="E13" s="406"/>
      <c r="F13" s="407" t="s">
        <v>39</v>
      </c>
      <c r="G13" s="287">
        <f>SUMIF($C$5:$C12,$C12,G$5:G12)</f>
        <v>0</v>
      </c>
      <c r="H13" s="287">
        <f>SUMIF($C$5:$C12,$C12,H$5:H12)</f>
        <v>0</v>
      </c>
      <c r="I13" s="287">
        <f>SUMIF($C$5:$C12,$C12,I$5:I12)</f>
        <v>0</v>
      </c>
      <c r="J13" s="287">
        <f>SUMIF($C$5:$C12,$C12,J$5:J12)</f>
        <v>0</v>
      </c>
      <c r="K13" s="287">
        <f>SUMIF($C$5:$C12,$C12,K$5:K12)</f>
        <v>0</v>
      </c>
      <c r="L13" s="287">
        <f>SUMIF($C$5:$C12,$C12,L$5:L12)</f>
        <v>0</v>
      </c>
      <c r="M13" s="287">
        <f>SUMIF($C$5:$C12,$C12,M$5:M12)</f>
        <v>0</v>
      </c>
      <c r="N13" s="287">
        <f>SUMIF($C$5:$C12,$C12,N$5:N12)</f>
        <v>0</v>
      </c>
      <c r="O13" s="287">
        <f>SUMIF($C$5:$C12,$C12,O$5:O12)</f>
        <v>0</v>
      </c>
      <c r="P13" s="287">
        <f>SUMIF($C$5:$C12,$C12,P$5:P12)</f>
        <v>0</v>
      </c>
      <c r="Q13" s="287">
        <f>SUMIF($C$5:$C12,$C12,Q$5:Q12)</f>
        <v>0</v>
      </c>
    </row>
    <row r="14" spans="1:62" ht="16" x14ac:dyDescent="0.2">
      <c r="A14" s="291"/>
      <c r="B14" s="291"/>
      <c r="C14" s="291"/>
      <c r="D14" s="291"/>
      <c r="E14" s="290"/>
      <c r="F14" s="290"/>
      <c r="G14" s="290"/>
      <c r="H14" s="290"/>
      <c r="I14" s="290"/>
      <c r="J14" s="290"/>
      <c r="K14" s="290"/>
      <c r="L14" s="290"/>
      <c r="M14" s="290"/>
      <c r="N14" s="290"/>
      <c r="O14" s="290"/>
      <c r="P14" s="290"/>
      <c r="Q14" s="290"/>
      <c r="R14" s="290"/>
    </row>
    <row r="15" spans="1:62" ht="16" x14ac:dyDescent="0.2">
      <c r="A15" s="291"/>
      <c r="B15" s="291"/>
      <c r="C15" s="291"/>
      <c r="D15" s="139" t="s">
        <v>248</v>
      </c>
      <c r="E15" s="291"/>
      <c r="F15" s="291"/>
      <c r="G15" s="291"/>
      <c r="H15" s="291"/>
      <c r="I15" s="290"/>
      <c r="J15" s="290"/>
      <c r="K15" s="290"/>
      <c r="L15" s="290"/>
      <c r="M15" s="290"/>
      <c r="N15" s="290"/>
      <c r="O15" s="290"/>
      <c r="P15" s="290"/>
      <c r="Q15" s="290"/>
      <c r="R15" s="290"/>
    </row>
    <row r="16" spans="1:62" ht="16" x14ac:dyDescent="0.2">
      <c r="A16" s="291"/>
      <c r="B16" s="291"/>
      <c r="C16" s="291"/>
      <c r="D16" s="291"/>
      <c r="E16" s="291"/>
      <c r="F16" s="291"/>
      <c r="G16" s="291"/>
      <c r="H16" s="291"/>
      <c r="I16" s="290"/>
      <c r="J16" s="290"/>
      <c r="K16" s="290"/>
      <c r="L16" s="290"/>
      <c r="M16" s="290"/>
      <c r="N16" s="290"/>
      <c r="O16" s="290"/>
      <c r="P16" s="290"/>
      <c r="Q16" s="290"/>
    </row>
    <row r="17" spans="1:18" ht="16" x14ac:dyDescent="0.2">
      <c r="A17" s="291"/>
      <c r="B17" s="291"/>
      <c r="C17" s="291"/>
      <c r="D17" s="291"/>
      <c r="E17" s="291"/>
      <c r="F17" s="291"/>
      <c r="G17" s="291"/>
      <c r="H17" s="291"/>
      <c r="I17" s="290"/>
      <c r="J17" s="290"/>
      <c r="K17" s="290"/>
      <c r="L17" s="290"/>
      <c r="M17" s="290"/>
      <c r="N17" s="290"/>
      <c r="O17" s="290"/>
      <c r="P17" s="290"/>
      <c r="Q17" s="290"/>
      <c r="R17" s="290"/>
    </row>
  </sheetData>
  <mergeCells count="1">
    <mergeCell ref="Q2:Q4"/>
  </mergeCells>
  <phoneticPr fontId="68"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0A74-92BE-614C-B933-4270BECA0D39}">
  <sheetPr codeName="Feuil12"/>
  <dimension ref="A1:M30"/>
  <sheetViews>
    <sheetView workbookViewId="0">
      <selection activeCell="M30" sqref="M1:M30"/>
    </sheetView>
  </sheetViews>
  <sheetFormatPr baseColWidth="10" defaultColWidth="11" defaultRowHeight="13" x14ac:dyDescent="0.15"/>
  <cols>
    <col min="1" max="1" width="8.33203125" style="29" customWidth="1"/>
    <col min="2" max="2" width="25.5" style="30" bestFit="1" customWidth="1"/>
    <col min="3" max="3" width="11" style="29"/>
    <col min="4" max="4" width="11" style="29" customWidth="1"/>
    <col min="5" max="5" width="19" style="30" bestFit="1" customWidth="1"/>
    <col min="6" max="6" width="11" style="29"/>
    <col min="7" max="7" width="12" style="29" customWidth="1"/>
    <col min="8" max="8" width="27.33203125" style="30" bestFit="1" customWidth="1"/>
    <col min="9" max="9" width="12.1640625" style="29" customWidth="1"/>
    <col min="10" max="11" width="22.33203125" style="29" customWidth="1"/>
    <col min="12" max="16384" width="11" style="29"/>
  </cols>
  <sheetData>
    <row r="1" spans="1:13" s="33" customFormat="1" ht="16" x14ac:dyDescent="0.2">
      <c r="A1" s="34" t="s">
        <v>33</v>
      </c>
      <c r="B1"/>
      <c r="D1" s="34" t="s">
        <v>37</v>
      </c>
      <c r="E1"/>
      <c r="G1" s="34" t="s">
        <v>36</v>
      </c>
      <c r="H1"/>
      <c r="I1" s="113" t="s">
        <v>222</v>
      </c>
      <c r="M1" s="26" t="s">
        <v>0</v>
      </c>
    </row>
    <row r="2" spans="1:13" ht="16" x14ac:dyDescent="0.2">
      <c r="B2"/>
      <c r="E2"/>
      <c r="H2"/>
      <c r="I2"/>
      <c r="M2" s="26" t="s">
        <v>0</v>
      </c>
    </row>
    <row r="3" spans="1:13" ht="16" x14ac:dyDescent="0.2">
      <c r="B3" s="32"/>
      <c r="E3" s="32"/>
      <c r="H3" s="31"/>
      <c r="I3"/>
      <c r="M3" s="26" t="s">
        <v>0</v>
      </c>
    </row>
    <row r="4" spans="1:13" ht="16" x14ac:dyDescent="0.15">
      <c r="B4" s="32"/>
      <c r="E4" s="32"/>
      <c r="H4" s="31"/>
      <c r="M4" s="26" t="s">
        <v>0</v>
      </c>
    </row>
    <row r="5" spans="1:13" ht="16" x14ac:dyDescent="0.15">
      <c r="B5" s="32"/>
      <c r="E5" s="32"/>
      <c r="H5" s="31"/>
      <c r="M5" s="26" t="s">
        <v>0</v>
      </c>
    </row>
    <row r="6" spans="1:13" ht="16" x14ac:dyDescent="0.15">
      <c r="H6" s="31"/>
      <c r="M6" s="26" t="s">
        <v>0</v>
      </c>
    </row>
    <row r="7" spans="1:13" ht="16" x14ac:dyDescent="0.15">
      <c r="H7" s="31"/>
      <c r="M7" s="26" t="s">
        <v>0</v>
      </c>
    </row>
    <row r="8" spans="1:13" ht="16" x14ac:dyDescent="0.15">
      <c r="H8" s="31"/>
      <c r="M8" s="26" t="s">
        <v>0</v>
      </c>
    </row>
    <row r="9" spans="1:13" ht="16" x14ac:dyDescent="0.15">
      <c r="M9" s="26" t="s">
        <v>0</v>
      </c>
    </row>
    <row r="10" spans="1:13" ht="16" x14ac:dyDescent="0.15">
      <c r="M10" s="26" t="s">
        <v>0</v>
      </c>
    </row>
    <row r="11" spans="1:13" ht="16" x14ac:dyDescent="0.15">
      <c r="M11" s="26" t="s">
        <v>0</v>
      </c>
    </row>
    <row r="12" spans="1:13" ht="16" x14ac:dyDescent="0.15">
      <c r="M12" s="26" t="s">
        <v>0</v>
      </c>
    </row>
    <row r="13" spans="1:13" ht="16" x14ac:dyDescent="0.15">
      <c r="M13" s="26" t="s">
        <v>0</v>
      </c>
    </row>
    <row r="14" spans="1:13" ht="16" x14ac:dyDescent="0.15">
      <c r="M14" s="26" t="s">
        <v>0</v>
      </c>
    </row>
    <row r="15" spans="1:13" ht="16" x14ac:dyDescent="0.15">
      <c r="M15" s="26" t="s">
        <v>0</v>
      </c>
    </row>
    <row r="16" spans="1:13" ht="16" x14ac:dyDescent="0.15">
      <c r="M16" s="26" t="s">
        <v>0</v>
      </c>
    </row>
    <row r="17" spans="13:13" ht="16" x14ac:dyDescent="0.15">
      <c r="M17" s="26" t="s">
        <v>0</v>
      </c>
    </row>
    <row r="18" spans="13:13" ht="16" x14ac:dyDescent="0.15">
      <c r="M18" s="26" t="s">
        <v>0</v>
      </c>
    </row>
    <row r="19" spans="13:13" ht="16" x14ac:dyDescent="0.15">
      <c r="M19" s="26" t="s">
        <v>0</v>
      </c>
    </row>
    <row r="20" spans="13:13" ht="16" x14ac:dyDescent="0.15">
      <c r="M20" s="26" t="s">
        <v>0</v>
      </c>
    </row>
    <row r="21" spans="13:13" ht="16" x14ac:dyDescent="0.15">
      <c r="M21" s="26" t="s">
        <v>0</v>
      </c>
    </row>
    <row r="22" spans="13:13" ht="16" x14ac:dyDescent="0.15">
      <c r="M22" s="26" t="s">
        <v>0</v>
      </c>
    </row>
    <row r="23" spans="13:13" ht="16" x14ac:dyDescent="0.15">
      <c r="M23" s="26" t="s">
        <v>0</v>
      </c>
    </row>
    <row r="24" spans="13:13" ht="16" x14ac:dyDescent="0.15">
      <c r="M24" s="26" t="s">
        <v>0</v>
      </c>
    </row>
    <row r="25" spans="13:13" ht="16" x14ac:dyDescent="0.15">
      <c r="M25" s="26" t="s">
        <v>0</v>
      </c>
    </row>
    <row r="26" spans="13:13" ht="16" x14ac:dyDescent="0.15">
      <c r="M26" s="26" t="s">
        <v>0</v>
      </c>
    </row>
    <row r="27" spans="13:13" ht="16" x14ac:dyDescent="0.15">
      <c r="M27" s="26" t="s">
        <v>0</v>
      </c>
    </row>
    <row r="28" spans="13:13" ht="16" x14ac:dyDescent="0.15">
      <c r="M28" s="26" t="s">
        <v>0</v>
      </c>
    </row>
    <row r="29" spans="13:13" ht="16" x14ac:dyDescent="0.15">
      <c r="M29" s="26" t="s">
        <v>0</v>
      </c>
    </row>
    <row r="30" spans="13:13" ht="16" x14ac:dyDescent="0.2">
      <c r="M30" s="21" t="s">
        <v>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C4C8-D3B2-3F44-A4A5-E418681F372C}">
  <sheetPr codeName="Feuil7">
    <pageSetUpPr fitToPage="1"/>
  </sheetPr>
  <dimension ref="A1:BI27"/>
  <sheetViews>
    <sheetView zoomScaleNormal="100" workbookViewId="0">
      <pane xSplit="5" ySplit="1" topLeftCell="F2" activePane="bottomRight" state="frozen"/>
      <selection pane="topRight" activeCell="G1" sqref="G1"/>
      <selection pane="bottomLeft" activeCell="A2" sqref="A2"/>
      <selection pane="bottomRight" activeCell="AE19" sqref="AE19"/>
    </sheetView>
  </sheetViews>
  <sheetFormatPr baseColWidth="10" defaultColWidth="10.83203125" defaultRowHeight="16" x14ac:dyDescent="0.2"/>
  <cols>
    <col min="1" max="1" width="5.83203125" style="170" bestFit="1" customWidth="1"/>
    <col min="2" max="2" width="17.1640625" style="171" hidden="1" customWidth="1"/>
    <col min="3" max="3" width="6.33203125" style="171" customWidth="1"/>
    <col min="4" max="4" width="6.5" style="170" customWidth="1"/>
    <col min="5" max="5" width="19.5" style="170" customWidth="1"/>
    <col min="6" max="6" width="23" style="171" customWidth="1"/>
    <col min="7" max="7" width="9.33203125" style="171" customWidth="1"/>
    <col min="8" max="8" width="11.33203125" style="171" customWidth="1"/>
    <col min="9" max="9" width="9" style="171" customWidth="1"/>
    <col min="10" max="28" width="9.33203125" style="171" customWidth="1"/>
    <col min="29" max="29" width="11.6640625" style="171" customWidth="1"/>
    <col min="30" max="37" width="9.33203125" style="171" customWidth="1"/>
    <col min="38" max="38" width="7.83203125" style="171" customWidth="1"/>
    <col min="39" max="39" width="8.6640625" style="171" customWidth="1"/>
    <col min="40" max="42" width="9.33203125" style="171" customWidth="1"/>
    <col min="43" max="43" width="10.83203125" style="171" customWidth="1"/>
    <col min="44" max="48" width="9.33203125" style="171" customWidth="1"/>
    <col min="49" max="49" width="15.5" style="171" customWidth="1"/>
    <col min="50" max="50" width="16.5" style="171" customWidth="1"/>
    <col min="51" max="51" width="9.33203125" style="171" customWidth="1"/>
    <col min="52" max="61" width="9.33203125" style="171" hidden="1" customWidth="1"/>
    <col min="62" max="62" width="4" style="171" customWidth="1"/>
    <col min="63" max="16384" width="10.83203125" style="171"/>
  </cols>
  <sheetData>
    <row r="1" spans="1:61" s="142" customFormat="1" ht="12" customHeight="1" x14ac:dyDescent="0.15">
      <c r="A1" s="141"/>
      <c r="B1" s="387" t="s">
        <v>170</v>
      </c>
      <c r="C1" s="387"/>
      <c r="D1" s="387"/>
      <c r="E1" s="387"/>
      <c r="F1" s="387"/>
      <c r="G1" s="143"/>
      <c r="H1" s="143"/>
      <c r="I1" s="143"/>
      <c r="J1" s="143"/>
      <c r="K1" s="143"/>
      <c r="L1" s="143"/>
      <c r="M1" s="143"/>
      <c r="N1" s="143"/>
      <c r="O1" s="143"/>
    </row>
    <row r="2" spans="1:61" s="142" customFormat="1" ht="12" customHeight="1" x14ac:dyDescent="0.15">
      <c r="A2" s="144"/>
      <c r="B2" s="144"/>
      <c r="C2" s="144"/>
      <c r="D2" s="144"/>
      <c r="E2" s="144"/>
      <c r="F2" s="144"/>
      <c r="G2" s="145" t="s">
        <v>164</v>
      </c>
      <c r="H2" s="145" t="s">
        <v>164</v>
      </c>
      <c r="I2" s="145" t="s">
        <v>164</v>
      </c>
      <c r="J2" s="145" t="s">
        <v>164</v>
      </c>
      <c r="K2" s="145" t="s">
        <v>164</v>
      </c>
      <c r="L2" s="145" t="s">
        <v>164</v>
      </c>
      <c r="M2" s="145" t="s">
        <v>164</v>
      </c>
      <c r="N2" s="145" t="s">
        <v>164</v>
      </c>
      <c r="O2" s="145" t="s">
        <v>164</v>
      </c>
      <c r="P2" s="386" t="s">
        <v>163</v>
      </c>
      <c r="Q2" s="145" t="s">
        <v>162</v>
      </c>
      <c r="R2" s="145" t="s">
        <v>162</v>
      </c>
      <c r="S2" s="145" t="s">
        <v>162</v>
      </c>
      <c r="T2" s="145" t="s">
        <v>162</v>
      </c>
      <c r="U2" s="145" t="s">
        <v>162</v>
      </c>
      <c r="V2" s="145" t="s">
        <v>162</v>
      </c>
      <c r="W2" s="145" t="s">
        <v>162</v>
      </c>
      <c r="X2" s="145" t="s">
        <v>162</v>
      </c>
      <c r="Y2" s="145" t="s">
        <v>162</v>
      </c>
      <c r="Z2" s="145" t="s">
        <v>162</v>
      </c>
      <c r="AA2" s="145" t="s">
        <v>162</v>
      </c>
      <c r="AB2" s="145" t="s">
        <v>162</v>
      </c>
      <c r="AC2" s="145" t="s">
        <v>162</v>
      </c>
      <c r="AD2" s="386" t="s">
        <v>161</v>
      </c>
      <c r="AE2" s="146" t="s">
        <v>160</v>
      </c>
      <c r="AF2" s="146" t="s">
        <v>160</v>
      </c>
      <c r="AG2" s="146" t="s">
        <v>160</v>
      </c>
      <c r="AH2" s="146" t="s">
        <v>160</v>
      </c>
      <c r="AI2" s="146" t="s">
        <v>160</v>
      </c>
      <c r="AJ2" s="146" t="s">
        <v>160</v>
      </c>
      <c r="AK2" s="146" t="s">
        <v>160</v>
      </c>
      <c r="AL2" s="146" t="s">
        <v>160</v>
      </c>
      <c r="AM2" s="146" t="s">
        <v>160</v>
      </c>
      <c r="AN2" s="386" t="s">
        <v>159</v>
      </c>
      <c r="AZ2" s="146"/>
      <c r="BA2" s="146"/>
      <c r="BB2" s="146"/>
      <c r="BC2" s="146"/>
      <c r="BD2" s="146"/>
      <c r="BE2" s="146"/>
      <c r="BF2" s="146"/>
      <c r="BG2" s="146"/>
      <c r="BH2" s="146"/>
      <c r="BI2" s="386"/>
    </row>
    <row r="3" spans="1:61" s="142" customFormat="1" ht="36" customHeight="1" x14ac:dyDescent="0.15">
      <c r="A3" s="144"/>
      <c r="B3" s="144"/>
      <c r="C3" s="144"/>
      <c r="D3" s="144"/>
      <c r="E3" s="144"/>
      <c r="F3" s="144"/>
      <c r="G3" s="145" t="s">
        <v>141</v>
      </c>
      <c r="H3" s="145" t="s">
        <v>140</v>
      </c>
      <c r="I3" s="145" t="s">
        <v>139</v>
      </c>
      <c r="J3" s="145" t="s">
        <v>138</v>
      </c>
      <c r="K3" s="145" t="s">
        <v>137</v>
      </c>
      <c r="L3" s="145" t="s">
        <v>136</v>
      </c>
      <c r="M3" s="145" t="s">
        <v>35</v>
      </c>
      <c r="N3" s="145" t="s">
        <v>34</v>
      </c>
      <c r="O3" s="145" t="s">
        <v>135</v>
      </c>
      <c r="P3" s="386"/>
      <c r="Q3" s="145" t="s">
        <v>134</v>
      </c>
      <c r="R3" s="145" t="s">
        <v>133</v>
      </c>
      <c r="S3" s="145" t="s">
        <v>132</v>
      </c>
      <c r="T3" s="145" t="s">
        <v>131</v>
      </c>
      <c r="U3" s="145" t="s">
        <v>130</v>
      </c>
      <c r="V3" s="145" t="s">
        <v>129</v>
      </c>
      <c r="W3" s="145" t="s">
        <v>128</v>
      </c>
      <c r="X3" s="145" t="s">
        <v>127</v>
      </c>
      <c r="Y3" s="145" t="s">
        <v>126</v>
      </c>
      <c r="Z3" s="145" t="s">
        <v>125</v>
      </c>
      <c r="AA3" s="145" t="s">
        <v>124</v>
      </c>
      <c r="AB3" s="145" t="s">
        <v>123</v>
      </c>
      <c r="AC3" s="145" t="s">
        <v>122</v>
      </c>
      <c r="AD3" s="386"/>
      <c r="AE3" s="146" t="s">
        <v>121</v>
      </c>
      <c r="AF3" s="146" t="s">
        <v>120</v>
      </c>
      <c r="AG3" s="146" t="s">
        <v>119</v>
      </c>
      <c r="AH3" s="146" t="s">
        <v>118</v>
      </c>
      <c r="AI3" s="146" t="s">
        <v>117</v>
      </c>
      <c r="AJ3" s="146" t="s">
        <v>116</v>
      </c>
      <c r="AK3" s="146" t="s">
        <v>115</v>
      </c>
      <c r="AL3" s="146" t="s">
        <v>114</v>
      </c>
      <c r="AM3" s="146" t="s">
        <v>113</v>
      </c>
      <c r="AN3" s="386"/>
      <c r="AZ3" s="146"/>
      <c r="BA3" s="146"/>
      <c r="BB3" s="146"/>
      <c r="BC3" s="146"/>
      <c r="BD3" s="146"/>
      <c r="BE3" s="146"/>
      <c r="BF3" s="146"/>
      <c r="BG3" s="146"/>
      <c r="BH3" s="146"/>
      <c r="BI3" s="386"/>
    </row>
    <row r="4" spans="1:61" s="142" customFormat="1" ht="60" customHeight="1" x14ac:dyDescent="0.15">
      <c r="A4" s="147"/>
      <c r="B4" s="148" t="s">
        <v>112</v>
      </c>
      <c r="C4" s="148" t="s">
        <v>111</v>
      </c>
      <c r="D4" s="148" t="s">
        <v>32</v>
      </c>
      <c r="E4" s="148" t="s">
        <v>110</v>
      </c>
      <c r="F4" s="148" t="s">
        <v>109</v>
      </c>
      <c r="G4" s="145" t="s">
        <v>92</v>
      </c>
      <c r="H4" s="145" t="s">
        <v>91</v>
      </c>
      <c r="I4" s="145" t="s">
        <v>90</v>
      </c>
      <c r="J4" s="145" t="s">
        <v>89</v>
      </c>
      <c r="K4" s="145" t="s">
        <v>88</v>
      </c>
      <c r="L4" s="145" t="s">
        <v>87</v>
      </c>
      <c r="M4" s="145" t="s">
        <v>35</v>
      </c>
      <c r="N4" s="145" t="s">
        <v>86</v>
      </c>
      <c r="O4" s="145" t="s">
        <v>85</v>
      </c>
      <c r="P4" s="386"/>
      <c r="Q4" s="145" t="s">
        <v>84</v>
      </c>
      <c r="R4" s="145" t="s">
        <v>83</v>
      </c>
      <c r="S4" s="145" t="s">
        <v>82</v>
      </c>
      <c r="T4" s="145" t="s">
        <v>81</v>
      </c>
      <c r="U4" s="145" t="s">
        <v>80</v>
      </c>
      <c r="V4" s="145" t="s">
        <v>79</v>
      </c>
      <c r="W4" s="145" t="s">
        <v>78</v>
      </c>
      <c r="X4" s="145" t="s">
        <v>77</v>
      </c>
      <c r="Y4" s="145" t="s">
        <v>76</v>
      </c>
      <c r="Z4" s="145" t="s">
        <v>75</v>
      </c>
      <c r="AA4" s="145" t="s">
        <v>74</v>
      </c>
      <c r="AB4" s="145" t="s">
        <v>73</v>
      </c>
      <c r="AC4" s="145" t="s">
        <v>72</v>
      </c>
      <c r="AD4" s="386"/>
      <c r="AE4" s="146" t="s">
        <v>71</v>
      </c>
      <c r="AF4" s="146" t="s">
        <v>70</v>
      </c>
      <c r="AG4" s="146" t="s">
        <v>69</v>
      </c>
      <c r="AH4" s="146" t="s">
        <v>68</v>
      </c>
      <c r="AI4" s="146" t="s">
        <v>67</v>
      </c>
      <c r="AJ4" s="146" t="s">
        <v>66</v>
      </c>
      <c r="AK4" s="146" t="s">
        <v>65</v>
      </c>
      <c r="AL4" s="146" t="s">
        <v>64</v>
      </c>
      <c r="AM4" s="146" t="s">
        <v>63</v>
      </c>
      <c r="AN4" s="386"/>
      <c r="AZ4" s="146"/>
      <c r="BA4" s="146"/>
      <c r="BB4" s="146"/>
      <c r="BC4" s="146"/>
      <c r="BD4" s="146"/>
      <c r="BE4" s="146"/>
      <c r="BF4" s="146"/>
      <c r="BG4" s="146"/>
      <c r="BH4" s="146"/>
      <c r="BI4" s="386"/>
    </row>
    <row r="5" spans="1:61" s="142" customFormat="1" ht="144" customHeight="1" x14ac:dyDescent="0.15">
      <c r="A5" s="149" t="s">
        <v>42</v>
      </c>
      <c r="B5" s="150"/>
      <c r="C5" s="150"/>
      <c r="D5" s="151"/>
      <c r="E5" s="151" t="s">
        <v>62</v>
      </c>
      <c r="F5" s="151" t="s">
        <v>61</v>
      </c>
      <c r="G5" s="152" t="s">
        <v>498</v>
      </c>
      <c r="H5" s="152" t="s">
        <v>499</v>
      </c>
      <c r="I5" s="154"/>
      <c r="J5" s="154"/>
      <c r="K5" s="154"/>
      <c r="L5" s="154"/>
      <c r="M5" s="155"/>
      <c r="N5" s="152" t="s">
        <v>500</v>
      </c>
      <c r="O5" s="152" t="s">
        <v>501</v>
      </c>
      <c r="P5" s="153">
        <f>SUMIF($G$2:O$2,O$2,$G5:O5)</f>
        <v>0</v>
      </c>
      <c r="Q5" s="154"/>
      <c r="R5" s="154"/>
      <c r="S5" s="154"/>
      <c r="T5" s="154"/>
      <c r="U5" s="154"/>
      <c r="V5" s="154"/>
      <c r="W5" s="325" t="s">
        <v>502</v>
      </c>
      <c r="X5" s="325" t="s">
        <v>503</v>
      </c>
      <c r="Y5" s="325" t="s">
        <v>504</v>
      </c>
      <c r="Z5" s="325" t="s">
        <v>505</v>
      </c>
      <c r="AA5" s="325" t="s">
        <v>506</v>
      </c>
      <c r="AB5" s="325" t="s">
        <v>507</v>
      </c>
      <c r="AC5" s="325" t="s">
        <v>508</v>
      </c>
      <c r="AD5" s="153">
        <f>SUMIF($G$2:AC$2,Y$2,$G5:AC5)</f>
        <v>0</v>
      </c>
      <c r="AE5" s="156"/>
      <c r="AF5" s="156"/>
      <c r="AG5" s="157"/>
      <c r="AH5" s="157"/>
      <c r="AI5" s="157"/>
      <c r="AJ5" s="157"/>
      <c r="AK5" s="157"/>
      <c r="AL5" s="157"/>
      <c r="AM5" s="156"/>
      <c r="AN5" s="153">
        <f>SUMIF($G$2:AM$2,AM$2,$G5:AM5)</f>
        <v>0</v>
      </c>
      <c r="AZ5" s="156"/>
      <c r="BA5" s="156"/>
      <c r="BB5" s="157"/>
      <c r="BC5" s="157"/>
      <c r="BD5" s="157"/>
      <c r="BE5" s="157"/>
      <c r="BF5" s="157"/>
      <c r="BG5" s="157"/>
      <c r="BH5" s="156"/>
      <c r="BI5" s="153"/>
    </row>
    <row r="6" spans="1:61" s="142" customFormat="1" ht="273" x14ac:dyDescent="0.15">
      <c r="A6" s="149" t="s">
        <v>42</v>
      </c>
      <c r="B6" s="150"/>
      <c r="C6" s="150"/>
      <c r="D6" s="151"/>
      <c r="E6" s="151" t="s">
        <v>60</v>
      </c>
      <c r="F6" s="151" t="s">
        <v>59</v>
      </c>
      <c r="G6" s="154"/>
      <c r="H6" s="154"/>
      <c r="I6" s="152" t="s">
        <v>509</v>
      </c>
      <c r="J6" s="152" t="s">
        <v>510</v>
      </c>
      <c r="K6" s="152" t="s">
        <v>511</v>
      </c>
      <c r="L6" s="341" t="s">
        <v>512</v>
      </c>
      <c r="M6" s="152" t="s">
        <v>513</v>
      </c>
      <c r="N6" s="152" t="s">
        <v>514</v>
      </c>
      <c r="O6" s="152" t="s">
        <v>515</v>
      </c>
      <c r="P6" s="153">
        <f>SUMIF($G$2:O$2,O$2,$G6:O6)</f>
        <v>0</v>
      </c>
      <c r="Q6" s="325" t="s">
        <v>516</v>
      </c>
      <c r="R6" s="325" t="s">
        <v>517</v>
      </c>
      <c r="S6" s="342" t="s">
        <v>518</v>
      </c>
      <c r="T6" s="325" t="s">
        <v>519</v>
      </c>
      <c r="U6" s="343" t="s">
        <v>520</v>
      </c>
      <c r="V6" s="325" t="s">
        <v>521</v>
      </c>
      <c r="W6" s="154"/>
      <c r="X6" s="154"/>
      <c r="Y6" s="154"/>
      <c r="Z6" s="154"/>
      <c r="AA6" s="154"/>
      <c r="AB6" s="325" t="s">
        <v>522</v>
      </c>
      <c r="AC6" s="325" t="s">
        <v>523</v>
      </c>
      <c r="AD6" s="153">
        <f>SUMIF($G$2:AC$2,Y$2,$G6:AC6)</f>
        <v>0</v>
      </c>
      <c r="AE6" s="156"/>
      <c r="AF6" s="157"/>
      <c r="AG6" s="157"/>
      <c r="AH6" s="157"/>
      <c r="AI6" s="157"/>
      <c r="AJ6" s="157"/>
      <c r="AK6" s="157"/>
      <c r="AL6" s="157"/>
      <c r="AM6" s="156"/>
      <c r="AN6" s="153">
        <f>SUMIF($G$2:AM$2,AM$2,$G6:AM6)</f>
        <v>0</v>
      </c>
      <c r="AZ6" s="156"/>
      <c r="BA6" s="157"/>
      <c r="BB6" s="157"/>
      <c r="BC6" s="157"/>
      <c r="BD6" s="157"/>
      <c r="BE6" s="157"/>
      <c r="BF6" s="157"/>
      <c r="BG6" s="157"/>
      <c r="BH6" s="156"/>
      <c r="BI6" s="153"/>
    </row>
    <row r="7" spans="1:61" s="142" customFormat="1" ht="48" customHeight="1" x14ac:dyDescent="0.15">
      <c r="A7" s="149" t="s">
        <v>42</v>
      </c>
      <c r="B7" s="150"/>
      <c r="C7" s="150"/>
      <c r="D7" s="151"/>
      <c r="E7" s="151" t="s">
        <v>58</v>
      </c>
      <c r="F7" s="151" t="s">
        <v>57</v>
      </c>
      <c r="G7" s="158"/>
      <c r="H7" s="152" t="s">
        <v>524</v>
      </c>
      <c r="I7" s="152" t="s">
        <v>525</v>
      </c>
      <c r="J7" s="158"/>
      <c r="K7" s="158"/>
      <c r="L7" s="158"/>
      <c r="M7" s="152" t="s">
        <v>526</v>
      </c>
      <c r="N7" s="152" t="s">
        <v>527</v>
      </c>
      <c r="O7" s="152" t="s">
        <v>528</v>
      </c>
      <c r="P7" s="153">
        <f>SUMIF($G$2:O$2,O$2,$G7:O7)</f>
        <v>0</v>
      </c>
      <c r="Q7" s="158"/>
      <c r="R7" s="158"/>
      <c r="S7" s="158"/>
      <c r="T7" s="158"/>
      <c r="U7" s="158"/>
      <c r="V7" s="158"/>
      <c r="W7" s="158"/>
      <c r="X7" s="158"/>
      <c r="Y7" s="158"/>
      <c r="Z7" s="158"/>
      <c r="AA7" s="158"/>
      <c r="AB7" s="158"/>
      <c r="AC7" s="152" t="s">
        <v>529</v>
      </c>
      <c r="AD7" s="153">
        <f>SUMIF($G$2:AC$2,Y$2,$G7:AC7)</f>
        <v>0</v>
      </c>
      <c r="AE7" s="156"/>
      <c r="AF7" s="156"/>
      <c r="AG7" s="156"/>
      <c r="AH7" s="156"/>
      <c r="AI7" s="156"/>
      <c r="AJ7" s="156"/>
      <c r="AK7" s="156"/>
      <c r="AL7" s="156"/>
      <c r="AM7" s="159"/>
      <c r="AN7" s="153">
        <f>SUMIF($G$2:AM$2,AM$2,$G7:AM7)</f>
        <v>0</v>
      </c>
      <c r="AZ7" s="156"/>
      <c r="BA7" s="156"/>
      <c r="BB7" s="156"/>
      <c r="BC7" s="156"/>
      <c r="BD7" s="156"/>
      <c r="BE7" s="156"/>
      <c r="BF7" s="156"/>
      <c r="BG7" s="156"/>
      <c r="BH7" s="159"/>
      <c r="BI7" s="153"/>
    </row>
    <row r="8" spans="1:61" s="142" customFormat="1" ht="24" customHeight="1" x14ac:dyDescent="0.15">
      <c r="A8" s="149" t="s">
        <v>42</v>
      </c>
      <c r="B8" s="150"/>
      <c r="C8" s="150"/>
      <c r="D8" s="151"/>
      <c r="E8" s="151" t="s">
        <v>56</v>
      </c>
      <c r="F8" s="151" t="s">
        <v>55</v>
      </c>
      <c r="G8" s="344"/>
      <c r="H8" s="341" t="s">
        <v>530</v>
      </c>
      <c r="I8" s="341" t="s">
        <v>531</v>
      </c>
      <c r="J8" s="344"/>
      <c r="K8" s="344"/>
      <c r="L8" s="344"/>
      <c r="M8" s="341" t="s">
        <v>532</v>
      </c>
      <c r="N8" s="341" t="s">
        <v>533</v>
      </c>
      <c r="O8" s="341" t="s">
        <v>534</v>
      </c>
      <c r="P8" s="153">
        <f>SUMIF($G$2:O$2,O$2,$G8:O8)</f>
        <v>0</v>
      </c>
      <c r="Q8" s="165"/>
      <c r="R8" s="165"/>
      <c r="S8" s="165"/>
      <c r="T8" s="165"/>
      <c r="U8" s="165"/>
      <c r="V8" s="165"/>
      <c r="W8" s="165"/>
      <c r="X8" s="165"/>
      <c r="Y8" s="165"/>
      <c r="Z8" s="165"/>
      <c r="AA8" s="165"/>
      <c r="AB8" s="165"/>
      <c r="AC8" s="341" t="s">
        <v>535</v>
      </c>
      <c r="AD8" s="153">
        <f>SUMIF($G$2:AC$2,Y$2,$G8:AC8)</f>
        <v>0</v>
      </c>
      <c r="AE8" s="156"/>
      <c r="AF8" s="156"/>
      <c r="AG8" s="156"/>
      <c r="AH8" s="156"/>
      <c r="AI8" s="156"/>
      <c r="AJ8" s="156"/>
      <c r="AK8" s="156"/>
      <c r="AL8" s="156"/>
      <c r="AM8" s="156"/>
      <c r="AN8" s="153">
        <f>SUMIF($G$2:AM$2,AM$2,$G8:AM8)</f>
        <v>0</v>
      </c>
      <c r="AZ8" s="156"/>
      <c r="BA8" s="156"/>
      <c r="BB8" s="156"/>
      <c r="BC8" s="156"/>
      <c r="BD8" s="156"/>
      <c r="BE8" s="156"/>
      <c r="BF8" s="156"/>
      <c r="BG8" s="156"/>
      <c r="BH8" s="156"/>
      <c r="BI8" s="153"/>
    </row>
    <row r="9" spans="1:61" s="142" customFormat="1" ht="156" customHeight="1" x14ac:dyDescent="0.15">
      <c r="A9" s="149" t="s">
        <v>42</v>
      </c>
      <c r="B9" s="150"/>
      <c r="C9" s="150"/>
      <c r="D9" s="151"/>
      <c r="E9" s="151" t="s">
        <v>54</v>
      </c>
      <c r="F9" s="151" t="s">
        <v>53</v>
      </c>
      <c r="G9" s="160"/>
      <c r="H9" s="325" t="s">
        <v>536</v>
      </c>
      <c r="I9" s="325" t="s">
        <v>537</v>
      </c>
      <c r="J9" s="161"/>
      <c r="K9" s="161"/>
      <c r="L9" s="161"/>
      <c r="M9" s="325" t="s">
        <v>538</v>
      </c>
      <c r="N9" s="325" t="s">
        <v>539</v>
      </c>
      <c r="O9" s="325" t="s">
        <v>540</v>
      </c>
      <c r="P9" s="162">
        <f>SUMIF($G$2:O$2,O$2,$G9:O9)</f>
        <v>0</v>
      </c>
      <c r="Q9" s="158"/>
      <c r="R9" s="158"/>
      <c r="S9" s="158"/>
      <c r="T9" s="158"/>
      <c r="U9" s="158"/>
      <c r="V9" s="158"/>
      <c r="W9" s="158"/>
      <c r="X9" s="158"/>
      <c r="Y9" s="158"/>
      <c r="Z9" s="158"/>
      <c r="AA9" s="158"/>
      <c r="AB9" s="158"/>
      <c r="AC9" s="325" t="s">
        <v>541</v>
      </c>
      <c r="AD9" s="153">
        <f>SUMIF($G$2:AC$2,Y$2,$G9:AC9)</f>
        <v>0</v>
      </c>
      <c r="AE9" s="156"/>
      <c r="AF9" s="156"/>
      <c r="AG9" s="156"/>
      <c r="AH9" s="156"/>
      <c r="AI9" s="156"/>
      <c r="AJ9" s="156"/>
      <c r="AK9" s="156"/>
      <c r="AL9" s="156"/>
      <c r="AM9" s="156"/>
      <c r="AN9" s="153">
        <f>SUMIF($G$2:AM$2,AM$2,$G9:AM9)</f>
        <v>0</v>
      </c>
      <c r="AZ9" s="156"/>
      <c r="BA9" s="156"/>
      <c r="BB9" s="156"/>
      <c r="BC9" s="156"/>
      <c r="BD9" s="156"/>
      <c r="BE9" s="156"/>
      <c r="BF9" s="156"/>
      <c r="BG9" s="156"/>
      <c r="BH9" s="156"/>
      <c r="BI9" s="153"/>
    </row>
    <row r="10" spans="1:61" s="142" customFormat="1" ht="72" customHeight="1" x14ac:dyDescent="0.15">
      <c r="A10" s="149" t="s">
        <v>42</v>
      </c>
      <c r="B10" s="150"/>
      <c r="C10" s="150"/>
      <c r="D10" s="151"/>
      <c r="E10" s="151" t="s">
        <v>52</v>
      </c>
      <c r="F10" s="151" t="s">
        <v>51</v>
      </c>
      <c r="G10" s="160"/>
      <c r="H10" s="152" t="s">
        <v>542</v>
      </c>
      <c r="I10" s="152" t="s">
        <v>543</v>
      </c>
      <c r="J10" s="161"/>
      <c r="K10" s="161"/>
      <c r="L10" s="161"/>
      <c r="M10" s="152" t="s">
        <v>544</v>
      </c>
      <c r="N10" s="152" t="s">
        <v>545</v>
      </c>
      <c r="O10" s="152" t="s">
        <v>546</v>
      </c>
      <c r="P10" s="162">
        <f>SUMIF($G$2:O$2,O$2,$G10:O10)</f>
        <v>0</v>
      </c>
      <c r="Q10" s="158"/>
      <c r="R10" s="158"/>
      <c r="S10" s="158"/>
      <c r="T10" s="158"/>
      <c r="U10" s="158"/>
      <c r="V10" s="158"/>
      <c r="W10" s="158"/>
      <c r="X10" s="158"/>
      <c r="Y10" s="158"/>
      <c r="Z10" s="158"/>
      <c r="AA10" s="158"/>
      <c r="AB10" s="158"/>
      <c r="AC10" s="152" t="s">
        <v>547</v>
      </c>
      <c r="AD10" s="153">
        <f>SUMIF($G$2:AC$2,Y$2,$G10:AC10)</f>
        <v>0</v>
      </c>
      <c r="AE10" s="156"/>
      <c r="AF10" s="156"/>
      <c r="AG10" s="156"/>
      <c r="AH10" s="156"/>
      <c r="AI10" s="156"/>
      <c r="AJ10" s="156"/>
      <c r="AK10" s="156"/>
      <c r="AL10" s="156"/>
      <c r="AM10" s="156"/>
      <c r="AN10" s="153">
        <f>SUMIF($G$2:AM$2,AM$2,$G10:AM10)</f>
        <v>0</v>
      </c>
      <c r="AZ10" s="156"/>
      <c r="BA10" s="156"/>
      <c r="BB10" s="156"/>
      <c r="BC10" s="156"/>
      <c r="BD10" s="156"/>
      <c r="BE10" s="156"/>
      <c r="BF10" s="156"/>
      <c r="BG10" s="156"/>
      <c r="BH10" s="156"/>
      <c r="BI10" s="153"/>
    </row>
    <row r="11" spans="1:61" s="142" customFormat="1" ht="72" customHeight="1" x14ac:dyDescent="0.15">
      <c r="A11" s="149" t="s">
        <v>42</v>
      </c>
      <c r="B11" s="150"/>
      <c r="C11" s="150"/>
      <c r="D11" s="151"/>
      <c r="E11" s="151" t="s">
        <v>50</v>
      </c>
      <c r="F11" s="151" t="s">
        <v>49</v>
      </c>
      <c r="G11" s="160"/>
      <c r="H11" s="152" t="s">
        <v>548</v>
      </c>
      <c r="I11" s="152" t="s">
        <v>549</v>
      </c>
      <c r="J11" s="161"/>
      <c r="K11" s="161"/>
      <c r="L11" s="161"/>
      <c r="M11" s="152" t="s">
        <v>550</v>
      </c>
      <c r="N11" s="152" t="s">
        <v>551</v>
      </c>
      <c r="O11" s="152" t="s">
        <v>552</v>
      </c>
      <c r="P11" s="162">
        <f>SUMIF($G$2:O$2,O$2,$G11:O11)</f>
        <v>0</v>
      </c>
      <c r="Q11" s="158"/>
      <c r="R11" s="158"/>
      <c r="S11" s="158"/>
      <c r="T11" s="158"/>
      <c r="U11" s="158"/>
      <c r="V11" s="158"/>
      <c r="W11" s="158"/>
      <c r="X11" s="158"/>
      <c r="Y11" s="158"/>
      <c r="Z11" s="158"/>
      <c r="AA11" s="158"/>
      <c r="AB11" s="158"/>
      <c r="AC11" s="152" t="s">
        <v>553</v>
      </c>
      <c r="AD11" s="153">
        <f>SUMIF($G$2:AC$2,Y$2,$G11:AC11)</f>
        <v>0</v>
      </c>
      <c r="AE11" s="156"/>
      <c r="AF11" s="156"/>
      <c r="AG11" s="156"/>
      <c r="AH11" s="156"/>
      <c r="AI11" s="156"/>
      <c r="AJ11" s="156"/>
      <c r="AK11" s="156"/>
      <c r="AL11" s="156"/>
      <c r="AM11" s="156"/>
      <c r="AN11" s="153">
        <f>SUMIF($G$2:AM$2,AM$2,$G11:AM11)</f>
        <v>0</v>
      </c>
      <c r="AZ11" s="156"/>
      <c r="BA11" s="156"/>
      <c r="BB11" s="156"/>
      <c r="BC11" s="156"/>
      <c r="BD11" s="156"/>
      <c r="BE11" s="156"/>
      <c r="BF11" s="156"/>
      <c r="BG11" s="156"/>
      <c r="BH11" s="156"/>
      <c r="BI11" s="153"/>
    </row>
    <row r="12" spans="1:61" s="142" customFormat="1" ht="72" customHeight="1" x14ac:dyDescent="0.15">
      <c r="A12" s="149" t="s">
        <v>42</v>
      </c>
      <c r="B12" s="150"/>
      <c r="C12" s="150"/>
      <c r="D12" s="151"/>
      <c r="E12" s="151" t="s">
        <v>48</v>
      </c>
      <c r="F12" s="151" t="s">
        <v>47</v>
      </c>
      <c r="G12" s="160"/>
      <c r="H12" s="325" t="s">
        <v>554</v>
      </c>
      <c r="I12" s="325" t="s">
        <v>555</v>
      </c>
      <c r="J12" s="161"/>
      <c r="K12" s="161"/>
      <c r="L12" s="161"/>
      <c r="M12" s="325" t="s">
        <v>556</v>
      </c>
      <c r="N12" s="325" t="s">
        <v>557</v>
      </c>
      <c r="O12" s="325" t="s">
        <v>558</v>
      </c>
      <c r="P12" s="162">
        <f>SUMIF($G$2:O$2,O$2,$G12:O12)</f>
        <v>0</v>
      </c>
      <c r="Q12" s="158"/>
      <c r="R12" s="158"/>
      <c r="S12" s="158"/>
      <c r="T12" s="158"/>
      <c r="U12" s="158"/>
      <c r="V12" s="158"/>
      <c r="W12" s="158"/>
      <c r="X12" s="158"/>
      <c r="Y12" s="158"/>
      <c r="Z12" s="158"/>
      <c r="AA12" s="158"/>
      <c r="AB12" s="158"/>
      <c r="AC12" s="325" t="s">
        <v>559</v>
      </c>
      <c r="AD12" s="153">
        <f>SUMIF($G$2:AC$2,Y$2,$G12:AC12)</f>
        <v>0</v>
      </c>
      <c r="AE12" s="156"/>
      <c r="AF12" s="156"/>
      <c r="AG12" s="156"/>
      <c r="AH12" s="156"/>
      <c r="AI12" s="156"/>
      <c r="AJ12" s="156"/>
      <c r="AK12" s="156"/>
      <c r="AL12" s="156"/>
      <c r="AM12" s="156"/>
      <c r="AN12" s="153">
        <f>SUMIF($G$2:AM$2,AM$2,$G12:AM12)</f>
        <v>0</v>
      </c>
      <c r="AZ12" s="156"/>
      <c r="BA12" s="156"/>
      <c r="BB12" s="156"/>
      <c r="BC12" s="156"/>
      <c r="BD12" s="156"/>
      <c r="BE12" s="156"/>
      <c r="BF12" s="156"/>
      <c r="BG12" s="156"/>
      <c r="BH12" s="156"/>
      <c r="BI12" s="153"/>
    </row>
    <row r="13" spans="1:61" s="142" customFormat="1" ht="79" customHeight="1" x14ac:dyDescent="0.15">
      <c r="A13" s="149" t="s">
        <v>42</v>
      </c>
      <c r="B13" s="150"/>
      <c r="C13" s="150"/>
      <c r="D13" s="151"/>
      <c r="E13" s="151" t="s">
        <v>46</v>
      </c>
      <c r="F13" s="151" t="s">
        <v>45</v>
      </c>
      <c r="G13" s="163"/>
      <c r="H13" s="325" t="s">
        <v>560</v>
      </c>
      <c r="I13" s="325" t="s">
        <v>561</v>
      </c>
      <c r="J13" s="161"/>
      <c r="K13" s="161"/>
      <c r="L13" s="161"/>
      <c r="M13" s="325" t="s">
        <v>562</v>
      </c>
      <c r="N13" s="325" t="s">
        <v>563</v>
      </c>
      <c r="O13" s="325" t="s">
        <v>564</v>
      </c>
      <c r="P13" s="153">
        <f>SUMIF($G$2:O$2,O$2,$G13:O13)</f>
        <v>0</v>
      </c>
      <c r="Q13" s="158"/>
      <c r="R13" s="158"/>
      <c r="S13" s="158"/>
      <c r="T13" s="158"/>
      <c r="U13" s="158"/>
      <c r="V13" s="158"/>
      <c r="W13" s="158"/>
      <c r="X13" s="158"/>
      <c r="Y13" s="158"/>
      <c r="Z13" s="158"/>
      <c r="AA13" s="158"/>
      <c r="AB13" s="325" t="s">
        <v>565</v>
      </c>
      <c r="AC13" s="325" t="s">
        <v>566</v>
      </c>
      <c r="AD13" s="153">
        <f>SUMIF($G$2:AC$2,Y$2,$G13:AC13)</f>
        <v>0</v>
      </c>
      <c r="AE13" s="156"/>
      <c r="AF13" s="156"/>
      <c r="AG13" s="156"/>
      <c r="AH13" s="156"/>
      <c r="AI13" s="156"/>
      <c r="AJ13" s="156"/>
      <c r="AK13" s="156"/>
      <c r="AL13" s="156"/>
      <c r="AM13" s="156"/>
      <c r="AN13" s="153">
        <f>SUMIF($G$2:AM$2,AM$2,$G13:AM13)</f>
        <v>0</v>
      </c>
      <c r="AZ13" s="156"/>
      <c r="BA13" s="156"/>
      <c r="BB13" s="156"/>
      <c r="BC13" s="156"/>
      <c r="BD13" s="156"/>
      <c r="BE13" s="156"/>
      <c r="BF13" s="156"/>
      <c r="BG13" s="156"/>
      <c r="BH13" s="156"/>
      <c r="BI13" s="153"/>
    </row>
    <row r="14" spans="1:61" s="142" customFormat="1" ht="180" customHeight="1" x14ac:dyDescent="0.15">
      <c r="A14" s="149" t="s">
        <v>42</v>
      </c>
      <c r="B14" s="150"/>
      <c r="C14" s="150"/>
      <c r="D14" s="151"/>
      <c r="E14" s="151" t="s">
        <v>44</v>
      </c>
      <c r="F14" s="151" t="s">
        <v>43</v>
      </c>
      <c r="G14" s="152" t="s">
        <v>567</v>
      </c>
      <c r="H14" s="152" t="s">
        <v>568</v>
      </c>
      <c r="I14" s="152" t="s">
        <v>569</v>
      </c>
      <c r="J14" s="152" t="s">
        <v>570</v>
      </c>
      <c r="K14" s="152" t="s">
        <v>571</v>
      </c>
      <c r="L14" s="341" t="s">
        <v>572</v>
      </c>
      <c r="M14" s="152" t="s">
        <v>573</v>
      </c>
      <c r="N14" s="152" t="s">
        <v>574</v>
      </c>
      <c r="O14" s="152" t="s">
        <v>575</v>
      </c>
      <c r="P14" s="153">
        <f>SUMIF($G$2:O$2,O$2,$G14:O14)</f>
        <v>0</v>
      </c>
      <c r="Q14" s="325" t="s">
        <v>576</v>
      </c>
      <c r="R14" s="325" t="s">
        <v>577</v>
      </c>
      <c r="S14" s="342" t="s">
        <v>578</v>
      </c>
      <c r="T14" s="325" t="s">
        <v>579</v>
      </c>
      <c r="U14" s="343" t="s">
        <v>580</v>
      </c>
      <c r="V14" s="325" t="s">
        <v>581</v>
      </c>
      <c r="W14" s="325" t="s">
        <v>582</v>
      </c>
      <c r="X14" s="325" t="s">
        <v>583</v>
      </c>
      <c r="Y14" s="325" t="s">
        <v>584</v>
      </c>
      <c r="Z14" s="325" t="s">
        <v>585</v>
      </c>
      <c r="AA14" s="325" t="s">
        <v>586</v>
      </c>
      <c r="AB14" s="165"/>
      <c r="AC14" s="341" t="s">
        <v>587</v>
      </c>
      <c r="AD14" s="153">
        <f>SUMIF($G$2:AC$2,Y$2,$G14:AC14)</f>
        <v>0</v>
      </c>
      <c r="AE14" s="156"/>
      <c r="AF14" s="156"/>
      <c r="AG14" s="156"/>
      <c r="AH14" s="156"/>
      <c r="AI14" s="156"/>
      <c r="AJ14" s="156"/>
      <c r="AK14" s="156"/>
      <c r="AL14" s="156"/>
      <c r="AM14" s="156"/>
      <c r="AN14" s="153">
        <f>SUMIF($G$2:AM$2,AM$2,$G14:AM14)</f>
        <v>0</v>
      </c>
      <c r="AZ14" s="156"/>
      <c r="BA14" s="156"/>
      <c r="BB14" s="156"/>
      <c r="BC14" s="156"/>
      <c r="BD14" s="156"/>
      <c r="BE14" s="156"/>
      <c r="BF14" s="156"/>
      <c r="BG14" s="156"/>
      <c r="BH14" s="156"/>
      <c r="BI14" s="153"/>
    </row>
    <row r="15" spans="1:61" s="142" customFormat="1" ht="180" customHeight="1" x14ac:dyDescent="0.15">
      <c r="A15" s="149" t="s">
        <v>42</v>
      </c>
      <c r="B15" s="150"/>
      <c r="C15" s="150"/>
      <c r="D15" s="151"/>
      <c r="E15" s="151" t="s">
        <v>41</v>
      </c>
      <c r="F15" s="151" t="s">
        <v>40</v>
      </c>
      <c r="G15" s="152" t="s">
        <v>588</v>
      </c>
      <c r="H15" s="152" t="s">
        <v>589</v>
      </c>
      <c r="I15" s="152" t="s">
        <v>590</v>
      </c>
      <c r="J15" s="152" t="s">
        <v>591</v>
      </c>
      <c r="K15" s="152" t="s">
        <v>592</v>
      </c>
      <c r="L15" s="341" t="s">
        <v>593</v>
      </c>
      <c r="M15" s="152" t="s">
        <v>594</v>
      </c>
      <c r="N15" s="152" t="s">
        <v>595</v>
      </c>
      <c r="O15" s="152" t="s">
        <v>596</v>
      </c>
      <c r="P15" s="153">
        <f>SUMIF($G$2:O$2,O$2,$G15:O15)</f>
        <v>0</v>
      </c>
      <c r="Q15" s="325" t="s">
        <v>597</v>
      </c>
      <c r="R15" s="325" t="s">
        <v>598</v>
      </c>
      <c r="S15" s="342" t="s">
        <v>599</v>
      </c>
      <c r="T15" s="325" t="s">
        <v>600</v>
      </c>
      <c r="U15" s="343" t="s">
        <v>601</v>
      </c>
      <c r="V15" s="325" t="s">
        <v>602</v>
      </c>
      <c r="W15" s="325" t="s">
        <v>603</v>
      </c>
      <c r="X15" s="325" t="s">
        <v>604</v>
      </c>
      <c r="Y15" s="325" t="s">
        <v>605</v>
      </c>
      <c r="Z15" s="325" t="s">
        <v>606</v>
      </c>
      <c r="AA15" s="325" t="s">
        <v>607</v>
      </c>
      <c r="AB15" s="165"/>
      <c r="AC15" s="341" t="s">
        <v>608</v>
      </c>
      <c r="AD15" s="153">
        <f>SUMIF($G$2:AC$2,Y$2,$G15:AC15)</f>
        <v>0</v>
      </c>
      <c r="AE15" s="156"/>
      <c r="AF15" s="156"/>
      <c r="AG15" s="156"/>
      <c r="AH15" s="156"/>
      <c r="AI15" s="156"/>
      <c r="AJ15" s="156"/>
      <c r="AK15" s="156"/>
      <c r="AL15" s="156"/>
      <c r="AM15" s="156"/>
      <c r="AN15" s="153">
        <f>SUMIF($G$2:AM$2,AM$2,$G15:AM15)</f>
        <v>0</v>
      </c>
      <c r="AZ15" s="156"/>
      <c r="BA15" s="156"/>
      <c r="BB15" s="156"/>
      <c r="BC15" s="156"/>
      <c r="BD15" s="156"/>
      <c r="BE15" s="156"/>
      <c r="BF15" s="156"/>
      <c r="BG15" s="156"/>
      <c r="BH15" s="156"/>
      <c r="BI15" s="153"/>
    </row>
    <row r="16" spans="1:61" s="142" customFormat="1" ht="12" customHeight="1" x14ac:dyDescent="0.15">
      <c r="A16" s="149"/>
      <c r="B16" s="166"/>
      <c r="C16" s="166"/>
      <c r="D16" s="167"/>
      <c r="E16" s="167"/>
      <c r="F16" s="168" t="s">
        <v>39</v>
      </c>
      <c r="G16" s="169">
        <f>SUMIF($C$5:$C15,$C15,G$5:G15)</f>
        <v>0</v>
      </c>
      <c r="H16" s="169">
        <f>SUMIF($C$5:$C15,$C15,H$5:H15)</f>
        <v>0</v>
      </c>
      <c r="I16" s="169">
        <f>SUMIF($C$5:$C15,$C15,I$5:I15)</f>
        <v>0</v>
      </c>
      <c r="J16" s="169">
        <f>SUMIF($C$5:$C15,$C15,J$5:J15)</f>
        <v>0</v>
      </c>
      <c r="K16" s="169">
        <f>SUMIF($C$5:$C15,$C15,K$5:K15)</f>
        <v>0</v>
      </c>
      <c r="L16" s="169">
        <f>SUMIF($C$5:$C15,$C15,L$5:L15)</f>
        <v>0</v>
      </c>
      <c r="M16" s="169">
        <f>SUMIF($C$5:$C15,$C15,M$5:M15)</f>
        <v>0</v>
      </c>
      <c r="N16" s="169">
        <f>SUMIF($C$5:$C15,$C15,N$5:N15)</f>
        <v>0</v>
      </c>
      <c r="O16" s="169">
        <f>SUMIF($C$5:$C15,$C15,O$5:O15)</f>
        <v>0</v>
      </c>
      <c r="P16" s="153">
        <f>SUMIF($C$5:$C15,$C15,P$5:P15)</f>
        <v>0</v>
      </c>
      <c r="Q16" s="169">
        <f>SUMIF($C$5:$C15,$C15,Q$5:Q15)</f>
        <v>0</v>
      </c>
      <c r="R16" s="169">
        <f>SUMIF($C$5:$C15,$C15,R$5:R15)</f>
        <v>0</v>
      </c>
      <c r="S16" s="169">
        <f>SUMIF($C$5:$C15,$C15,S$5:S15)</f>
        <v>0</v>
      </c>
      <c r="T16" s="169">
        <f>SUMIF($C$5:$C15,$C15,T$5:T15)</f>
        <v>0</v>
      </c>
      <c r="U16" s="169">
        <f>SUMIF($C$5:$C15,$C15,U$5:U15)</f>
        <v>0</v>
      </c>
      <c r="V16" s="169">
        <f>SUMIF($C$5:$C15,$C15,V$5:V15)</f>
        <v>0</v>
      </c>
      <c r="W16" s="169">
        <f>SUMIF($C$5:$C15,$C15,W$5:W15)</f>
        <v>0</v>
      </c>
      <c r="X16" s="169">
        <f>SUMIF($C$5:$C15,$C15,X$5:X15)</f>
        <v>0</v>
      </c>
      <c r="Y16" s="169">
        <f>SUMIF($C$5:$C15,$C15,Y$5:Y15)</f>
        <v>0</v>
      </c>
      <c r="Z16" s="169">
        <f>SUMIF($C$5:$C15,$C15,Z$5:Z15)</f>
        <v>0</v>
      </c>
      <c r="AA16" s="169">
        <f>SUMIF($C$5:$C15,$C15,AA$5:AA15)</f>
        <v>0</v>
      </c>
      <c r="AB16" s="169">
        <f>SUMIF($C$5:$C15,$C15,AB$5:AB15)</f>
        <v>0</v>
      </c>
      <c r="AC16" s="169">
        <f>SUMIF($C$5:$C15,$C15,AC$5:AC15)</f>
        <v>0</v>
      </c>
      <c r="AD16" s="153">
        <f>SUMIF($C$5:$C15,$C15,AD$5:AD15)</f>
        <v>0</v>
      </c>
      <c r="AE16" s="169">
        <f>SUMIF($C$5:$C15,$C15,AE$5:AE15)</f>
        <v>0</v>
      </c>
      <c r="AF16" s="169">
        <f>SUMIF($C$5:$C15,$C15,AF$5:AF15)</f>
        <v>0</v>
      </c>
      <c r="AG16" s="169">
        <f>SUMIF($C$5:$C15,$C15,AG$5:AG15)</f>
        <v>0</v>
      </c>
      <c r="AH16" s="169">
        <f>SUMIF($C$5:$C15,$C15,AH$5:AH15)</f>
        <v>0</v>
      </c>
      <c r="AI16" s="169">
        <f>SUMIF($C$5:$C15,$C15,AI$5:AI15)</f>
        <v>0</v>
      </c>
      <c r="AJ16" s="169">
        <f>SUMIF($C$5:$C15,$C15,AJ$5:AJ15)</f>
        <v>0</v>
      </c>
      <c r="AK16" s="169">
        <f>SUMIF($C$5:$C15,$C15,AK$5:AK15)</f>
        <v>0</v>
      </c>
      <c r="AL16" s="169">
        <f>SUMIF($C$5:$C15,$C15,AL$5:AL15)</f>
        <v>0</v>
      </c>
      <c r="AM16" s="169">
        <f>SUMIF($C$5:$C15,$C15,AM$5:AM15)</f>
        <v>0</v>
      </c>
      <c r="AN16" s="153">
        <f>SUMIF($C$5:$C15,$C15,AN$5:AN15)</f>
        <v>0</v>
      </c>
      <c r="AZ16" s="169"/>
      <c r="BA16" s="169"/>
      <c r="BB16" s="169"/>
      <c r="BC16" s="169"/>
      <c r="BD16" s="169"/>
      <c r="BE16" s="169"/>
      <c r="BF16" s="169"/>
      <c r="BG16" s="169"/>
      <c r="BH16" s="169"/>
      <c r="BI16" s="153"/>
    </row>
    <row r="17" spans="1:51" ht="16" customHeight="1" x14ac:dyDescent="0.2">
      <c r="A17" s="345"/>
      <c r="B17" s="346"/>
      <c r="C17" s="346"/>
      <c r="D17" s="345"/>
      <c r="E17" s="345"/>
      <c r="F17" s="345"/>
      <c r="G17" s="346"/>
      <c r="H17" s="346"/>
      <c r="I17" s="346"/>
      <c r="J17" s="346"/>
      <c r="K17" s="346"/>
      <c r="L17" s="346"/>
      <c r="M17" s="346"/>
      <c r="N17" s="346"/>
      <c r="O17" s="346"/>
      <c r="P17" s="346"/>
      <c r="Q17" s="346"/>
      <c r="R17" s="346"/>
      <c r="S17" s="346"/>
      <c r="T17" s="346"/>
      <c r="U17" s="346"/>
      <c r="V17" s="346"/>
      <c r="W17" s="346"/>
      <c r="X17" s="346"/>
      <c r="Y17" s="346"/>
      <c r="Z17" s="346"/>
      <c r="AA17" s="346"/>
      <c r="AB17" s="346"/>
      <c r="AC17" s="346"/>
      <c r="AD17" s="346"/>
      <c r="AE17" s="251"/>
      <c r="AF17" s="251"/>
      <c r="AG17" s="251"/>
      <c r="AH17" s="251"/>
      <c r="AI17" s="251"/>
      <c r="AJ17" s="251"/>
      <c r="AK17" s="251"/>
      <c r="AL17" s="251"/>
      <c r="AM17" s="251"/>
      <c r="AN17" s="251"/>
      <c r="AO17" s="251"/>
      <c r="AP17" s="251"/>
      <c r="AQ17" s="142"/>
      <c r="AR17" s="142"/>
      <c r="AS17" s="142"/>
      <c r="AT17" s="142"/>
      <c r="AU17" s="142"/>
      <c r="AV17" s="142"/>
      <c r="AW17" s="142"/>
      <c r="AX17" s="142"/>
      <c r="AY17" s="142"/>
    </row>
    <row r="18" spans="1:51" ht="16" customHeight="1" x14ac:dyDescent="0.2">
      <c r="A18" s="345"/>
      <c r="B18" s="346"/>
      <c r="C18" s="346"/>
      <c r="D18" s="345"/>
      <c r="E18" s="345"/>
      <c r="F18" s="345"/>
      <c r="G18" s="346"/>
      <c r="H18" s="346"/>
      <c r="I18" s="346"/>
      <c r="J18" s="346"/>
      <c r="K18" s="346"/>
      <c r="L18" s="346"/>
      <c r="M18" s="346"/>
      <c r="N18" s="346"/>
      <c r="O18" s="346"/>
      <c r="P18" s="346"/>
      <c r="Q18" s="346"/>
      <c r="R18" s="346"/>
      <c r="S18" s="346"/>
      <c r="T18" s="346"/>
      <c r="U18" s="346"/>
      <c r="V18" s="346"/>
      <c r="W18" s="346"/>
      <c r="X18" s="346"/>
      <c r="Y18" s="346"/>
      <c r="Z18" s="346"/>
      <c r="AA18" s="346"/>
      <c r="AB18" s="346"/>
      <c r="AC18" s="346"/>
      <c r="AD18" s="346"/>
      <c r="AE18" s="251"/>
      <c r="AF18" s="251"/>
      <c r="AG18" s="251"/>
      <c r="AH18" s="251"/>
      <c r="AI18" s="251"/>
      <c r="AJ18" s="251"/>
      <c r="AK18" s="251"/>
      <c r="AL18" s="251"/>
      <c r="AM18" s="251"/>
      <c r="AN18" s="251"/>
      <c r="AO18" s="251"/>
      <c r="AP18" s="251"/>
    </row>
    <row r="19" spans="1:51" ht="156" x14ac:dyDescent="0.2">
      <c r="A19" s="345"/>
      <c r="B19" s="346"/>
      <c r="C19" s="346"/>
      <c r="D19" s="345"/>
      <c r="E19" s="345"/>
      <c r="F19" s="345"/>
      <c r="G19" s="346"/>
      <c r="H19" s="346"/>
      <c r="I19" s="346"/>
      <c r="J19" s="346"/>
      <c r="K19" s="346"/>
      <c r="L19" s="346"/>
      <c r="M19" s="346"/>
      <c r="N19" s="346"/>
      <c r="O19" s="346"/>
      <c r="P19" s="346"/>
      <c r="Q19" s="346"/>
      <c r="R19" s="346"/>
      <c r="S19" s="346"/>
      <c r="T19" s="346"/>
      <c r="U19" s="346"/>
      <c r="V19" s="346"/>
      <c r="W19" s="346"/>
      <c r="X19" s="346"/>
      <c r="Y19" s="346"/>
      <c r="Z19" s="346"/>
      <c r="AA19" s="346"/>
      <c r="AB19" s="248" t="s">
        <v>252</v>
      </c>
      <c r="AC19" s="325" t="s">
        <v>609</v>
      </c>
      <c r="AD19" s="346"/>
      <c r="AE19" s="251"/>
      <c r="AF19" s="251"/>
      <c r="AG19" s="251"/>
      <c r="AH19" s="251"/>
      <c r="AI19" s="251"/>
      <c r="AJ19" s="251"/>
      <c r="AK19" s="251"/>
      <c r="AL19" s="251"/>
      <c r="AM19" s="251"/>
      <c r="AN19" s="251"/>
      <c r="AO19" s="251"/>
      <c r="AP19" s="251"/>
    </row>
    <row r="20" spans="1:51" x14ac:dyDescent="0.2">
      <c r="A20" s="252"/>
      <c r="B20" s="251"/>
      <c r="C20" s="251"/>
      <c r="D20" s="252"/>
      <c r="E20" s="252"/>
      <c r="F20" s="252"/>
      <c r="G20" s="251"/>
      <c r="H20" s="251"/>
      <c r="I20" s="251"/>
      <c r="J20" s="251"/>
      <c r="K20" s="251"/>
      <c r="L20" s="251"/>
      <c r="M20" s="251"/>
      <c r="N20" s="251"/>
      <c r="O20" s="251"/>
      <c r="P20" s="251"/>
      <c r="Q20" s="251"/>
      <c r="R20" s="251"/>
      <c r="S20" s="251"/>
      <c r="T20" s="251"/>
      <c r="U20" s="251"/>
      <c r="V20" s="251"/>
      <c r="W20" s="251"/>
      <c r="X20" s="251"/>
      <c r="Y20" s="251"/>
      <c r="Z20" s="251"/>
      <c r="AA20" s="251"/>
      <c r="AB20" s="251"/>
      <c r="AC20" s="251"/>
      <c r="AD20" s="251"/>
      <c r="AE20" s="251"/>
      <c r="AF20" s="251"/>
      <c r="AG20" s="251"/>
      <c r="AH20" s="251"/>
      <c r="AI20" s="251"/>
      <c r="AJ20" s="251"/>
      <c r="AK20" s="251"/>
      <c r="AL20" s="251"/>
      <c r="AM20" s="251"/>
      <c r="AN20" s="251"/>
      <c r="AO20" s="251"/>
      <c r="AP20" s="251"/>
    </row>
    <row r="21" spans="1:51" x14ac:dyDescent="0.2">
      <c r="A21" s="252"/>
      <c r="B21" s="251"/>
      <c r="C21" s="251"/>
      <c r="D21" s="252"/>
      <c r="E21" s="252"/>
      <c r="F21" s="252"/>
      <c r="G21" s="251"/>
      <c r="H21" s="251"/>
      <c r="I21" s="251"/>
      <c r="J21" s="251"/>
      <c r="K21" s="251"/>
      <c r="L21" s="251"/>
      <c r="M21" s="251"/>
      <c r="N21" s="251"/>
      <c r="O21" s="251"/>
      <c r="P21" s="251"/>
      <c r="Q21" s="251"/>
      <c r="R21" s="251"/>
      <c r="S21" s="251"/>
      <c r="T21" s="251"/>
      <c r="U21" s="251"/>
      <c r="V21" s="251"/>
      <c r="W21" s="251"/>
      <c r="X21" s="251"/>
      <c r="Y21" s="251"/>
      <c r="Z21" s="251"/>
      <c r="AA21" s="251"/>
      <c r="AB21" s="251"/>
      <c r="AC21" s="251"/>
      <c r="AD21" s="251"/>
      <c r="AE21" s="251"/>
      <c r="AF21" s="251"/>
      <c r="AG21" s="251"/>
      <c r="AH21" s="251"/>
      <c r="AI21" s="251"/>
      <c r="AJ21" s="251"/>
      <c r="AK21" s="251"/>
      <c r="AL21" s="251"/>
      <c r="AM21" s="251"/>
      <c r="AN21" s="251"/>
      <c r="AO21" s="251"/>
      <c r="AP21" s="251"/>
    </row>
    <row r="22" spans="1:51" x14ac:dyDescent="0.2">
      <c r="A22" s="252"/>
      <c r="B22" s="251"/>
      <c r="C22" s="251"/>
      <c r="D22" s="252"/>
      <c r="E22" s="252"/>
      <c r="F22" s="252"/>
      <c r="G22" s="251"/>
      <c r="H22" s="251"/>
      <c r="I22" s="251"/>
      <c r="J22" s="251"/>
      <c r="K22" s="251"/>
      <c r="L22" s="251"/>
      <c r="M22" s="251"/>
      <c r="N22" s="251"/>
      <c r="O22" s="251"/>
      <c r="P22" s="251"/>
      <c r="Q22" s="251"/>
      <c r="R22" s="251"/>
      <c r="S22" s="251"/>
      <c r="T22" s="251"/>
      <c r="U22" s="251"/>
      <c r="V22" s="251"/>
      <c r="W22" s="251"/>
      <c r="X22" s="251"/>
      <c r="Y22" s="251"/>
      <c r="Z22" s="251"/>
      <c r="AA22" s="251"/>
      <c r="AB22" s="251"/>
      <c r="AC22" s="251"/>
      <c r="AD22" s="251"/>
      <c r="AE22" s="251"/>
      <c r="AF22" s="251"/>
      <c r="AG22" s="251"/>
      <c r="AH22" s="251"/>
      <c r="AI22" s="251"/>
      <c r="AJ22" s="251"/>
      <c r="AK22" s="251"/>
      <c r="AL22" s="251"/>
      <c r="AM22" s="251"/>
      <c r="AN22" s="251"/>
      <c r="AO22" s="251"/>
      <c r="AP22" s="251"/>
    </row>
    <row r="23" spans="1:51" x14ac:dyDescent="0.2">
      <c r="A23" s="252"/>
      <c r="B23" s="251"/>
      <c r="C23" s="251"/>
      <c r="D23" s="252"/>
      <c r="E23" s="252"/>
      <c r="F23" s="252"/>
      <c r="G23" s="251"/>
      <c r="H23" s="251"/>
      <c r="I23" s="251"/>
      <c r="J23" s="251"/>
      <c r="K23" s="251"/>
      <c r="L23" s="251"/>
      <c r="M23" s="251"/>
      <c r="N23" s="251"/>
      <c r="O23" s="251"/>
      <c r="P23" s="251"/>
      <c r="Q23" s="251"/>
      <c r="R23" s="251"/>
      <c r="S23" s="251"/>
      <c r="T23" s="251"/>
      <c r="U23" s="251"/>
      <c r="V23" s="251"/>
      <c r="W23" s="251"/>
      <c r="X23" s="251"/>
      <c r="Y23" s="251"/>
      <c r="Z23" s="251"/>
      <c r="AA23" s="251"/>
      <c r="AB23" s="251"/>
      <c r="AC23" s="251"/>
      <c r="AD23" s="251"/>
      <c r="AE23" s="251"/>
      <c r="AF23" s="251"/>
      <c r="AG23" s="251"/>
      <c r="AH23" s="251"/>
      <c r="AI23" s="251"/>
      <c r="AJ23" s="251"/>
      <c r="AK23" s="251"/>
      <c r="AL23" s="251"/>
      <c r="AM23" s="251"/>
      <c r="AN23" s="251"/>
      <c r="AO23" s="251"/>
      <c r="AP23" s="251"/>
    </row>
    <row r="24" spans="1:51" x14ac:dyDescent="0.2">
      <c r="A24" s="252"/>
      <c r="B24" s="251"/>
      <c r="C24" s="251"/>
      <c r="D24" s="252"/>
      <c r="E24" s="252"/>
      <c r="F24" s="252"/>
      <c r="G24" s="251"/>
      <c r="H24" s="251"/>
      <c r="I24" s="251"/>
      <c r="J24" s="251"/>
      <c r="K24" s="251"/>
      <c r="L24" s="251"/>
      <c r="M24" s="251"/>
      <c r="N24" s="251"/>
      <c r="O24" s="251"/>
      <c r="P24" s="251"/>
      <c r="Q24" s="251"/>
      <c r="R24" s="251"/>
      <c r="S24" s="251"/>
      <c r="T24" s="251"/>
      <c r="U24" s="251"/>
      <c r="V24" s="251"/>
      <c r="W24" s="251"/>
      <c r="X24" s="251"/>
      <c r="Y24" s="251"/>
      <c r="Z24" s="251"/>
      <c r="AA24" s="251"/>
      <c r="AB24" s="251"/>
      <c r="AC24" s="251"/>
      <c r="AD24" s="251"/>
      <c r="AE24" s="251"/>
      <c r="AF24" s="251"/>
      <c r="AG24" s="251"/>
      <c r="AH24" s="251"/>
      <c r="AI24" s="251"/>
      <c r="AJ24" s="251"/>
      <c r="AK24" s="251"/>
      <c r="AL24" s="251"/>
      <c r="AM24" s="251"/>
      <c r="AN24" s="251"/>
      <c r="AO24" s="251"/>
      <c r="AP24" s="251"/>
    </row>
    <row r="25" spans="1:51" x14ac:dyDescent="0.2">
      <c r="A25" s="252"/>
      <c r="B25" s="251"/>
      <c r="C25" s="251"/>
      <c r="D25" s="252"/>
      <c r="E25" s="252"/>
      <c r="F25" s="252"/>
      <c r="G25" s="251"/>
      <c r="H25" s="251"/>
      <c r="I25" s="251"/>
      <c r="J25" s="251"/>
      <c r="K25" s="251"/>
      <c r="L25" s="251"/>
      <c r="M25" s="251"/>
      <c r="N25" s="251"/>
      <c r="O25" s="251"/>
      <c r="P25" s="251"/>
      <c r="Q25" s="251"/>
      <c r="R25" s="251"/>
      <c r="S25" s="251"/>
      <c r="T25" s="251"/>
      <c r="U25" s="251"/>
      <c r="V25" s="251"/>
      <c r="W25" s="251"/>
      <c r="X25" s="251"/>
      <c r="Y25" s="251"/>
      <c r="Z25" s="251"/>
      <c r="AA25" s="251"/>
      <c r="AB25" s="251"/>
      <c r="AC25" s="251"/>
      <c r="AD25" s="251"/>
      <c r="AE25" s="251"/>
      <c r="AF25" s="251"/>
      <c r="AG25" s="251"/>
      <c r="AH25" s="251"/>
      <c r="AI25" s="251"/>
      <c r="AJ25" s="251"/>
      <c r="AK25" s="251"/>
      <c r="AL25" s="251"/>
      <c r="AM25" s="251"/>
      <c r="AN25" s="251"/>
      <c r="AO25" s="251"/>
      <c r="AP25" s="251"/>
    </row>
    <row r="26" spans="1:51" x14ac:dyDescent="0.2">
      <c r="A26" s="252"/>
      <c r="B26" s="251"/>
      <c r="C26" s="251"/>
      <c r="D26" s="252"/>
      <c r="E26" s="252"/>
      <c r="F26" s="252"/>
      <c r="G26" s="251"/>
      <c r="H26" s="251"/>
      <c r="I26" s="251"/>
      <c r="J26" s="251"/>
      <c r="K26" s="251"/>
      <c r="L26" s="251"/>
      <c r="M26" s="251"/>
      <c r="N26" s="251"/>
      <c r="O26" s="251"/>
      <c r="P26" s="251"/>
      <c r="Q26" s="251"/>
      <c r="R26" s="251"/>
      <c r="S26" s="251"/>
      <c r="T26" s="251"/>
      <c r="U26" s="251"/>
      <c r="V26" s="251"/>
      <c r="W26" s="251"/>
      <c r="X26" s="251"/>
      <c r="Y26" s="251"/>
      <c r="Z26" s="251"/>
      <c r="AA26" s="251"/>
      <c r="AB26" s="251"/>
      <c r="AC26" s="251"/>
      <c r="AD26" s="251"/>
      <c r="AE26" s="251"/>
      <c r="AF26" s="251"/>
      <c r="AG26" s="251"/>
      <c r="AH26" s="251"/>
      <c r="AI26" s="251"/>
      <c r="AJ26" s="251"/>
      <c r="AK26" s="251"/>
      <c r="AL26" s="251"/>
      <c r="AM26" s="251"/>
      <c r="AN26" s="251"/>
      <c r="AO26" s="251"/>
      <c r="AP26" s="251"/>
    </row>
    <row r="27" spans="1:51" x14ac:dyDescent="0.2">
      <c r="A27" s="252"/>
      <c r="B27" s="251"/>
      <c r="C27" s="251"/>
      <c r="D27" s="252"/>
      <c r="E27" s="252"/>
      <c r="F27" s="252"/>
      <c r="G27" s="251"/>
      <c r="H27" s="251"/>
      <c r="I27" s="251"/>
      <c r="J27" s="251"/>
      <c r="K27" s="251"/>
      <c r="L27" s="251"/>
      <c r="M27" s="251"/>
      <c r="N27" s="251"/>
      <c r="O27" s="251"/>
      <c r="P27" s="251"/>
      <c r="Q27" s="251"/>
      <c r="R27" s="251"/>
      <c r="S27" s="251"/>
      <c r="T27" s="251"/>
      <c r="U27" s="251"/>
      <c r="V27" s="251"/>
      <c r="W27" s="251"/>
      <c r="X27" s="251"/>
      <c r="Y27" s="251"/>
      <c r="Z27" s="251"/>
      <c r="AA27" s="251"/>
      <c r="AB27" s="251"/>
      <c r="AC27" s="251"/>
      <c r="AD27" s="251"/>
      <c r="AE27" s="251"/>
      <c r="AF27" s="251"/>
      <c r="AG27" s="251"/>
      <c r="AH27" s="251"/>
      <c r="AI27" s="251"/>
      <c r="AJ27" s="251"/>
      <c r="AK27" s="251"/>
      <c r="AL27" s="251"/>
      <c r="AM27" s="251"/>
      <c r="AN27" s="251"/>
      <c r="AO27" s="251"/>
      <c r="AP27" s="251"/>
    </row>
  </sheetData>
  <mergeCells count="5">
    <mergeCell ref="BI2:BI4"/>
    <mergeCell ref="B1:F1"/>
    <mergeCell ref="P2:P4"/>
    <mergeCell ref="AD2:AD4"/>
    <mergeCell ref="AN2:AN4"/>
  </mergeCells>
  <pageMargins left="0.70866141732283472" right="0.70866141732283472" top="0.74803149606299213" bottom="0.74803149606299213" header="0.31496062992125984" footer="0.31496062992125984"/>
  <pageSetup paperSize="8" scale="2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324D-705A-A94A-B5F8-6AFA2E068B3B}">
  <dimension ref="A1:T19"/>
  <sheetViews>
    <sheetView topLeftCell="A15" zoomScale="113" workbookViewId="0">
      <selection activeCell="T19" sqref="A1:T19"/>
    </sheetView>
  </sheetViews>
  <sheetFormatPr baseColWidth="10" defaultRowHeight="15" x14ac:dyDescent="0.2"/>
  <cols>
    <col min="2" max="2" width="0" hidden="1" customWidth="1"/>
  </cols>
  <sheetData>
    <row r="1" spans="1:20" ht="31" customHeight="1" x14ac:dyDescent="0.2">
      <c r="A1" s="388" t="s">
        <v>214</v>
      </c>
      <c r="B1" s="388"/>
      <c r="C1" s="388"/>
      <c r="D1" s="388"/>
      <c r="E1" s="388"/>
      <c r="F1" s="388"/>
      <c r="G1" s="319"/>
      <c r="H1" s="319"/>
      <c r="I1" s="319"/>
      <c r="J1" s="319"/>
      <c r="K1" s="319"/>
      <c r="L1" s="319"/>
      <c r="M1" s="320"/>
      <c r="N1" s="320"/>
      <c r="O1" s="319"/>
      <c r="P1" s="319"/>
      <c r="Q1" s="319"/>
      <c r="R1" s="319"/>
      <c r="S1" s="319"/>
      <c r="T1" s="319"/>
    </row>
    <row r="2" spans="1:20" ht="15" customHeight="1" x14ac:dyDescent="0.2">
      <c r="A2" s="172"/>
      <c r="B2" s="172"/>
      <c r="C2" s="172"/>
      <c r="D2" s="172"/>
      <c r="E2" s="172"/>
      <c r="F2" s="172"/>
      <c r="G2" s="173" t="s">
        <v>164</v>
      </c>
      <c r="H2" s="173" t="s">
        <v>164</v>
      </c>
      <c r="I2" s="173" t="s">
        <v>164</v>
      </c>
      <c r="J2" s="173" t="s">
        <v>164</v>
      </c>
      <c r="K2" s="173" t="s">
        <v>164</v>
      </c>
      <c r="L2" s="173" t="s">
        <v>164</v>
      </c>
      <c r="M2" s="174" t="s">
        <v>164</v>
      </c>
      <c r="N2" s="174" t="s">
        <v>164</v>
      </c>
      <c r="O2" s="173" t="s">
        <v>164</v>
      </c>
      <c r="P2" s="389" t="s">
        <v>213</v>
      </c>
      <c r="Q2" s="173" t="s">
        <v>212</v>
      </c>
      <c r="R2" s="173" t="s">
        <v>212</v>
      </c>
      <c r="S2" s="173" t="s">
        <v>212</v>
      </c>
      <c r="T2" s="389" t="s">
        <v>211</v>
      </c>
    </row>
    <row r="3" spans="1:20" ht="24" x14ac:dyDescent="0.2">
      <c r="A3" s="172"/>
      <c r="B3" s="172"/>
      <c r="C3" s="172"/>
      <c r="D3" s="172"/>
      <c r="E3" s="172"/>
      <c r="F3" s="172"/>
      <c r="G3" s="173" t="s">
        <v>201</v>
      </c>
      <c r="H3" s="173" t="s">
        <v>200</v>
      </c>
      <c r="I3" s="173" t="s">
        <v>199</v>
      </c>
      <c r="J3" s="173" t="s">
        <v>198</v>
      </c>
      <c r="K3" s="173" t="s">
        <v>197</v>
      </c>
      <c r="L3" s="173" t="s">
        <v>196</v>
      </c>
      <c r="M3" s="174" t="s">
        <v>195</v>
      </c>
      <c r="N3" s="174" t="s">
        <v>194</v>
      </c>
      <c r="O3" s="173" t="s">
        <v>193</v>
      </c>
      <c r="P3" s="389"/>
      <c r="Q3" s="173" t="s">
        <v>192</v>
      </c>
      <c r="R3" s="173" t="s">
        <v>128</v>
      </c>
      <c r="S3" s="173" t="s">
        <v>122</v>
      </c>
      <c r="T3" s="389"/>
    </row>
    <row r="4" spans="1:20" ht="60" x14ac:dyDescent="0.2">
      <c r="A4" s="172"/>
      <c r="B4" s="175" t="s">
        <v>112</v>
      </c>
      <c r="C4" s="175" t="s">
        <v>111</v>
      </c>
      <c r="D4" s="175" t="s">
        <v>32</v>
      </c>
      <c r="E4" s="175" t="s">
        <v>110</v>
      </c>
      <c r="F4" s="175" t="s">
        <v>109</v>
      </c>
      <c r="G4" s="173" t="s">
        <v>182</v>
      </c>
      <c r="H4" s="173" t="s">
        <v>181</v>
      </c>
      <c r="I4" s="173" t="s">
        <v>180</v>
      </c>
      <c r="J4" s="173" t="s">
        <v>179</v>
      </c>
      <c r="K4" s="173" t="s">
        <v>178</v>
      </c>
      <c r="L4" s="173" t="s">
        <v>177</v>
      </c>
      <c r="M4" s="174" t="s">
        <v>176</v>
      </c>
      <c r="N4" s="174" t="s">
        <v>175</v>
      </c>
      <c r="O4" s="173" t="s">
        <v>174</v>
      </c>
      <c r="P4" s="389"/>
      <c r="Q4" s="173" t="s">
        <v>173</v>
      </c>
      <c r="R4" s="173" t="s">
        <v>78</v>
      </c>
      <c r="S4" s="173" t="s">
        <v>72</v>
      </c>
      <c r="T4" s="389"/>
    </row>
    <row r="5" spans="1:20" ht="204" x14ac:dyDescent="0.2">
      <c r="A5" s="321" t="s">
        <v>172</v>
      </c>
      <c r="B5" s="322"/>
      <c r="C5" s="322"/>
      <c r="D5" s="323"/>
      <c r="E5" s="322" t="s">
        <v>62</v>
      </c>
      <c r="F5" s="322" t="s">
        <v>61</v>
      </c>
      <c r="G5" s="324"/>
      <c r="H5" s="325" t="s">
        <v>469</v>
      </c>
      <c r="I5" s="325" t="s">
        <v>470</v>
      </c>
      <c r="J5" s="325" t="s">
        <v>471</v>
      </c>
      <c r="K5" s="326" t="s">
        <v>472</v>
      </c>
      <c r="L5" s="326" t="s">
        <v>472</v>
      </c>
      <c r="M5" s="177"/>
      <c r="N5" s="177"/>
      <c r="O5" s="326" t="s">
        <v>380</v>
      </c>
      <c r="P5" s="327">
        <f t="shared" ref="P5:P15" si="0">SUM(G5:O5)</f>
        <v>0</v>
      </c>
      <c r="Q5" s="326" t="s">
        <v>473</v>
      </c>
      <c r="R5" s="325" t="s">
        <v>474</v>
      </c>
      <c r="S5" s="328" t="s">
        <v>475</v>
      </c>
      <c r="T5" s="327">
        <f t="shared" ref="T5:T15" si="1">SUM(Q5:S5)</f>
        <v>0</v>
      </c>
    </row>
    <row r="6" spans="1:20" ht="228" x14ac:dyDescent="0.2">
      <c r="A6" s="329" t="s">
        <v>172</v>
      </c>
      <c r="B6" s="323"/>
      <c r="C6" s="323"/>
      <c r="D6" s="323"/>
      <c r="E6" s="323" t="s">
        <v>60</v>
      </c>
      <c r="F6" s="323" t="s">
        <v>59</v>
      </c>
      <c r="G6" s="330"/>
      <c r="H6" s="331"/>
      <c r="I6" s="331"/>
      <c r="J6" s="331"/>
      <c r="K6" s="331"/>
      <c r="L6" s="331"/>
      <c r="M6" s="326" t="s">
        <v>476</v>
      </c>
      <c r="N6" s="326" t="s">
        <v>477</v>
      </c>
      <c r="O6" s="326" t="s">
        <v>380</v>
      </c>
      <c r="P6" s="327">
        <f t="shared" si="0"/>
        <v>0</v>
      </c>
      <c r="Q6" s="326" t="s">
        <v>478</v>
      </c>
      <c r="R6" s="331"/>
      <c r="S6" s="177"/>
      <c r="T6" s="327">
        <f t="shared" si="1"/>
        <v>0</v>
      </c>
    </row>
    <row r="7" spans="1:20" ht="108" x14ac:dyDescent="0.2">
      <c r="A7" s="321" t="s">
        <v>172</v>
      </c>
      <c r="B7" s="322"/>
      <c r="C7" s="322"/>
      <c r="D7" s="322"/>
      <c r="E7" s="322" t="s">
        <v>58</v>
      </c>
      <c r="F7" s="322" t="s">
        <v>57</v>
      </c>
      <c r="G7" s="330"/>
      <c r="H7" s="331"/>
      <c r="I7" s="331"/>
      <c r="J7" s="331"/>
      <c r="K7" s="331"/>
      <c r="L7" s="331"/>
      <c r="M7" s="331"/>
      <c r="N7" s="332"/>
      <c r="O7" s="333"/>
      <c r="P7" s="327">
        <f>SUM(G7:O7)</f>
        <v>0</v>
      </c>
      <c r="Q7" s="331"/>
      <c r="R7" s="331"/>
      <c r="S7" s="325" t="s">
        <v>479</v>
      </c>
      <c r="T7" s="327">
        <f>SUM(Q7:S7)</f>
        <v>0</v>
      </c>
    </row>
    <row r="8" spans="1:20" ht="120" x14ac:dyDescent="0.2">
      <c r="A8" s="321" t="s">
        <v>172</v>
      </c>
      <c r="B8" s="322"/>
      <c r="C8" s="322"/>
      <c r="D8" s="322"/>
      <c r="E8" s="322" t="s">
        <v>56</v>
      </c>
      <c r="F8" s="322" t="s">
        <v>55</v>
      </c>
      <c r="G8" s="324"/>
      <c r="H8" s="334"/>
      <c r="I8" s="334"/>
      <c r="J8" s="334"/>
      <c r="K8" s="334"/>
      <c r="L8" s="334"/>
      <c r="M8" s="331"/>
      <c r="N8" s="331"/>
      <c r="O8" s="331"/>
      <c r="P8" s="327">
        <f t="shared" si="0"/>
        <v>0</v>
      </c>
      <c r="Q8" s="334"/>
      <c r="R8" s="164"/>
      <c r="S8" s="325" t="s">
        <v>480</v>
      </c>
      <c r="T8" s="327">
        <f>SUM(Q8:R8)</f>
        <v>0</v>
      </c>
    </row>
    <row r="9" spans="1:20" ht="168" x14ac:dyDescent="0.2">
      <c r="A9" s="321" t="s">
        <v>172</v>
      </c>
      <c r="B9" s="322"/>
      <c r="C9" s="322"/>
      <c r="D9" s="322"/>
      <c r="E9" s="322" t="s">
        <v>54</v>
      </c>
      <c r="F9" s="322" t="s">
        <v>53</v>
      </c>
      <c r="G9" s="324"/>
      <c r="H9" s="334"/>
      <c r="I9" s="334"/>
      <c r="J9" s="334"/>
      <c r="K9" s="334"/>
      <c r="L9" s="334"/>
      <c r="M9" s="331"/>
      <c r="N9" s="331"/>
      <c r="O9" s="331"/>
      <c r="P9" s="327">
        <f t="shared" si="0"/>
        <v>0</v>
      </c>
      <c r="Q9" s="334"/>
      <c r="R9" s="164"/>
      <c r="S9" s="325" t="s">
        <v>481</v>
      </c>
      <c r="T9" s="327">
        <f>SUM(Q9:R9)</f>
        <v>0</v>
      </c>
    </row>
    <row r="10" spans="1:20" ht="120" x14ac:dyDescent="0.2">
      <c r="A10" s="321" t="s">
        <v>172</v>
      </c>
      <c r="B10" s="322"/>
      <c r="C10" s="322"/>
      <c r="D10" s="322"/>
      <c r="E10" s="322" t="s">
        <v>52</v>
      </c>
      <c r="F10" s="322" t="s">
        <v>51</v>
      </c>
      <c r="G10" s="324"/>
      <c r="H10" s="334"/>
      <c r="I10" s="334"/>
      <c r="J10" s="334"/>
      <c r="K10" s="334"/>
      <c r="L10" s="334"/>
      <c r="M10" s="331"/>
      <c r="N10" s="331"/>
      <c r="O10" s="331"/>
      <c r="P10" s="327">
        <f t="shared" si="0"/>
        <v>0</v>
      </c>
      <c r="Q10" s="334"/>
      <c r="R10" s="334"/>
      <c r="S10" s="325" t="s">
        <v>482</v>
      </c>
      <c r="T10" s="327">
        <f t="shared" si="1"/>
        <v>0</v>
      </c>
    </row>
    <row r="11" spans="1:20" ht="120" x14ac:dyDescent="0.2">
      <c r="A11" s="321" t="s">
        <v>172</v>
      </c>
      <c r="B11" s="322"/>
      <c r="C11" s="322"/>
      <c r="D11" s="322"/>
      <c r="E11" s="322" t="s">
        <v>50</v>
      </c>
      <c r="F11" s="322" t="s">
        <v>49</v>
      </c>
      <c r="G11" s="324"/>
      <c r="H11" s="334"/>
      <c r="I11" s="334"/>
      <c r="J11" s="334"/>
      <c r="K11" s="334"/>
      <c r="L11" s="334"/>
      <c r="M11" s="331"/>
      <c r="N11" s="331"/>
      <c r="O11" s="331"/>
      <c r="P11" s="327">
        <f t="shared" si="0"/>
        <v>0</v>
      </c>
      <c r="Q11" s="334"/>
      <c r="R11" s="164"/>
      <c r="S11" s="325" t="s">
        <v>483</v>
      </c>
      <c r="T11" s="327">
        <f>SUM(Q11:R11)</f>
        <v>0</v>
      </c>
    </row>
    <row r="12" spans="1:20" ht="180" x14ac:dyDescent="0.2">
      <c r="A12" s="321" t="s">
        <v>172</v>
      </c>
      <c r="B12" s="322"/>
      <c r="C12" s="322"/>
      <c r="D12" s="322"/>
      <c r="E12" s="322" t="s">
        <v>48</v>
      </c>
      <c r="F12" s="322" t="s">
        <v>47</v>
      </c>
      <c r="G12" s="324"/>
      <c r="H12" s="334"/>
      <c r="I12" s="334"/>
      <c r="J12" s="334"/>
      <c r="K12" s="334"/>
      <c r="L12" s="334"/>
      <c r="M12" s="331"/>
      <c r="N12" s="331"/>
      <c r="O12" s="331"/>
      <c r="P12" s="327">
        <f t="shared" si="0"/>
        <v>0</v>
      </c>
      <c r="Q12" s="334"/>
      <c r="R12" s="334"/>
      <c r="S12" s="325" t="s">
        <v>484</v>
      </c>
      <c r="T12" s="327">
        <f t="shared" si="1"/>
        <v>0</v>
      </c>
    </row>
    <row r="13" spans="1:20" ht="144" x14ac:dyDescent="0.2">
      <c r="A13" s="321" t="s">
        <v>172</v>
      </c>
      <c r="B13" s="322"/>
      <c r="C13" s="322"/>
      <c r="D13" s="322"/>
      <c r="E13" s="322" t="s">
        <v>46</v>
      </c>
      <c r="F13" s="322" t="s">
        <v>45</v>
      </c>
      <c r="G13" s="335" t="s">
        <v>485</v>
      </c>
      <c r="H13" s="334"/>
      <c r="I13" s="334"/>
      <c r="J13" s="334"/>
      <c r="K13" s="334"/>
      <c r="L13" s="334"/>
      <c r="M13" s="331"/>
      <c r="N13" s="331"/>
      <c r="O13" s="331"/>
      <c r="P13" s="327">
        <f t="shared" si="0"/>
        <v>0</v>
      </c>
      <c r="Q13" s="334"/>
      <c r="R13" s="334"/>
      <c r="S13" s="325" t="s">
        <v>486</v>
      </c>
      <c r="T13" s="327">
        <f t="shared" si="1"/>
        <v>0</v>
      </c>
    </row>
    <row r="14" spans="1:20" ht="204" x14ac:dyDescent="0.2">
      <c r="A14" s="321" t="s">
        <v>172</v>
      </c>
      <c r="B14" s="322"/>
      <c r="C14" s="322"/>
      <c r="D14" s="322"/>
      <c r="E14" s="322" t="s">
        <v>44</v>
      </c>
      <c r="F14" s="322" t="s">
        <v>43</v>
      </c>
      <c r="G14" s="324"/>
      <c r="H14" s="325" t="s">
        <v>487</v>
      </c>
      <c r="I14" s="325" t="s">
        <v>488</v>
      </c>
      <c r="J14" s="325" t="s">
        <v>489</v>
      </c>
      <c r="K14" s="336"/>
      <c r="L14" s="336"/>
      <c r="M14" s="331"/>
      <c r="N14" s="331"/>
      <c r="O14" s="331"/>
      <c r="P14" s="327">
        <f t="shared" si="0"/>
        <v>0</v>
      </c>
      <c r="Q14" s="331"/>
      <c r="R14" s="325" t="s">
        <v>490</v>
      </c>
      <c r="S14" s="325" t="s">
        <v>491</v>
      </c>
      <c r="T14" s="327">
        <f t="shared" si="1"/>
        <v>0</v>
      </c>
    </row>
    <row r="15" spans="1:20" ht="204" x14ac:dyDescent="0.2">
      <c r="A15" s="321" t="s">
        <v>172</v>
      </c>
      <c r="B15" s="322"/>
      <c r="C15" s="322"/>
      <c r="D15" s="322"/>
      <c r="E15" s="322" t="s">
        <v>41</v>
      </c>
      <c r="F15" s="322" t="s">
        <v>40</v>
      </c>
      <c r="G15" s="324"/>
      <c r="H15" s="325" t="s">
        <v>492</v>
      </c>
      <c r="I15" s="325" t="s">
        <v>493</v>
      </c>
      <c r="J15" s="325" t="s">
        <v>494</v>
      </c>
      <c r="K15" s="336"/>
      <c r="L15" s="336"/>
      <c r="M15" s="331"/>
      <c r="N15" s="331"/>
      <c r="O15" s="331"/>
      <c r="P15" s="327">
        <f t="shared" si="0"/>
        <v>0</v>
      </c>
      <c r="Q15" s="334"/>
      <c r="R15" s="325" t="s">
        <v>495</v>
      </c>
      <c r="S15" s="325" t="s">
        <v>496</v>
      </c>
      <c r="T15" s="327">
        <f t="shared" si="1"/>
        <v>0</v>
      </c>
    </row>
    <row r="16" spans="1:20" x14ac:dyDescent="0.2">
      <c r="A16" s="321"/>
      <c r="B16" s="337"/>
      <c r="C16" s="337"/>
      <c r="D16" s="337"/>
      <c r="E16" s="337"/>
      <c r="F16" s="338" t="s">
        <v>39</v>
      </c>
      <c r="G16" s="339">
        <f t="shared" ref="G16:T16" si="2">SUM(G5:G15)</f>
        <v>0</v>
      </c>
      <c r="H16" s="339">
        <f t="shared" si="2"/>
        <v>0</v>
      </c>
      <c r="I16" s="339">
        <f t="shared" si="2"/>
        <v>0</v>
      </c>
      <c r="J16" s="339">
        <f t="shared" si="2"/>
        <v>0</v>
      </c>
      <c r="K16" s="339">
        <f t="shared" si="2"/>
        <v>0</v>
      </c>
      <c r="L16" s="339">
        <f t="shared" si="2"/>
        <v>0</v>
      </c>
      <c r="M16" s="339">
        <f t="shared" si="2"/>
        <v>0</v>
      </c>
      <c r="N16" s="339">
        <f t="shared" si="2"/>
        <v>0</v>
      </c>
      <c r="O16" s="339">
        <f t="shared" si="2"/>
        <v>0</v>
      </c>
      <c r="P16" s="339">
        <f t="shared" si="2"/>
        <v>0</v>
      </c>
      <c r="Q16" s="339">
        <f t="shared" si="2"/>
        <v>0</v>
      </c>
      <c r="R16" s="339">
        <f t="shared" si="2"/>
        <v>0</v>
      </c>
      <c r="S16" s="339">
        <f t="shared" si="2"/>
        <v>0</v>
      </c>
      <c r="T16" s="339">
        <f t="shared" si="2"/>
        <v>0</v>
      </c>
    </row>
    <row r="17" spans="1:20" x14ac:dyDescent="0.2">
      <c r="A17" s="26"/>
      <c r="B17" s="26"/>
      <c r="C17" s="26"/>
      <c r="D17" s="26"/>
      <c r="E17" s="26"/>
      <c r="F17" s="26"/>
      <c r="G17" s="26"/>
      <c r="H17" s="26"/>
      <c r="I17" s="26"/>
      <c r="J17" s="26"/>
      <c r="K17" s="26"/>
      <c r="L17" s="26"/>
      <c r="M17" s="26"/>
      <c r="N17" s="26"/>
      <c r="O17" s="26"/>
      <c r="P17" s="26"/>
      <c r="Q17" s="26"/>
      <c r="R17" s="26"/>
      <c r="S17" s="26"/>
      <c r="T17" s="26"/>
    </row>
    <row r="18" spans="1:20" x14ac:dyDescent="0.2">
      <c r="A18" s="26"/>
      <c r="B18" s="26"/>
      <c r="C18" s="26"/>
      <c r="D18" s="26"/>
      <c r="E18" s="26"/>
      <c r="F18" s="26"/>
      <c r="G18" s="26"/>
      <c r="H18" s="26"/>
      <c r="I18" s="26"/>
      <c r="J18" s="26"/>
      <c r="K18" s="26"/>
      <c r="L18" s="26"/>
      <c r="M18" s="26"/>
      <c r="N18" s="26"/>
      <c r="O18" s="26"/>
      <c r="P18" s="26"/>
      <c r="Q18" s="26"/>
      <c r="R18" s="26"/>
      <c r="S18" s="26"/>
      <c r="T18" s="26"/>
    </row>
    <row r="19" spans="1:20" ht="156" x14ac:dyDescent="0.2">
      <c r="A19" s="26"/>
      <c r="B19" s="26"/>
      <c r="C19" s="26"/>
      <c r="D19" s="26"/>
      <c r="E19" s="26"/>
      <c r="F19" s="26"/>
      <c r="G19" s="26"/>
      <c r="H19" s="26"/>
      <c r="I19" s="26"/>
      <c r="J19" s="26"/>
      <c r="K19" s="26"/>
      <c r="L19" s="26"/>
      <c r="M19" s="26"/>
      <c r="N19" s="26"/>
      <c r="O19" s="26"/>
      <c r="P19" s="26"/>
      <c r="Q19" s="340"/>
      <c r="R19" s="248" t="s">
        <v>252</v>
      </c>
      <c r="S19" s="325" t="s">
        <v>497</v>
      </c>
      <c r="T19" s="26"/>
    </row>
  </sheetData>
  <mergeCells count="3">
    <mergeCell ref="A1:F1"/>
    <mergeCell ref="P2:P4"/>
    <mergeCell ref="T2:T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D3E5-B7F3-C14C-8528-86F4142584D0}">
  <dimension ref="A1:W19"/>
  <sheetViews>
    <sheetView workbookViewId="0">
      <selection activeCell="Z19" sqref="Z19"/>
    </sheetView>
  </sheetViews>
  <sheetFormatPr baseColWidth="10" defaultRowHeight="15" x14ac:dyDescent="0.2"/>
  <cols>
    <col min="2" max="2" width="0" hidden="1" customWidth="1"/>
  </cols>
  <sheetData>
    <row r="1" spans="1:23" ht="23" customHeight="1" x14ac:dyDescent="0.2">
      <c r="A1" s="181"/>
      <c r="B1" s="390" t="s">
        <v>170</v>
      </c>
      <c r="C1" s="390"/>
      <c r="D1" s="390"/>
      <c r="E1" s="390"/>
      <c r="F1" s="390"/>
      <c r="G1" s="390"/>
      <c r="H1" s="390"/>
      <c r="I1" s="390"/>
      <c r="J1" s="178"/>
      <c r="K1" s="178"/>
      <c r="L1" s="178"/>
      <c r="M1" s="178"/>
      <c r="N1" s="178"/>
      <c r="O1" s="178"/>
      <c r="P1" s="178"/>
      <c r="Q1" s="178"/>
      <c r="R1" s="178"/>
      <c r="S1" s="178"/>
      <c r="T1" s="178"/>
      <c r="U1" s="178"/>
      <c r="V1" s="178"/>
      <c r="W1" s="178"/>
    </row>
    <row r="2" spans="1:23" ht="28" customHeight="1" x14ac:dyDescent="0.2">
      <c r="A2" s="179"/>
      <c r="B2" s="179"/>
      <c r="C2" s="179"/>
      <c r="D2" s="179"/>
      <c r="E2" s="179"/>
      <c r="F2" s="179"/>
      <c r="G2" s="180" t="s">
        <v>169</v>
      </c>
      <c r="H2" s="391" t="s">
        <v>168</v>
      </c>
      <c r="I2" s="182" t="s">
        <v>167</v>
      </c>
      <c r="J2" s="182" t="s">
        <v>167</v>
      </c>
      <c r="K2" s="182" t="s">
        <v>167</v>
      </c>
      <c r="L2" s="182" t="s">
        <v>167</v>
      </c>
      <c r="M2" s="182" t="s">
        <v>167</v>
      </c>
      <c r="N2" s="182" t="s">
        <v>167</v>
      </c>
      <c r="O2" s="182" t="s">
        <v>167</v>
      </c>
      <c r="P2" s="182" t="s">
        <v>167</v>
      </c>
      <c r="Q2" s="182" t="s">
        <v>167</v>
      </c>
      <c r="R2" s="182" t="s">
        <v>167</v>
      </c>
      <c r="S2" s="182" t="s">
        <v>167</v>
      </c>
      <c r="T2" s="182" t="s">
        <v>167</v>
      </c>
      <c r="U2" s="182" t="s">
        <v>167</v>
      </c>
      <c r="V2" s="182" t="s">
        <v>167</v>
      </c>
      <c r="W2" s="391" t="s">
        <v>166</v>
      </c>
    </row>
    <row r="3" spans="1:23" ht="56" x14ac:dyDescent="0.2">
      <c r="A3" s="179"/>
      <c r="B3" s="179"/>
      <c r="C3" s="179"/>
      <c r="D3" s="179"/>
      <c r="E3" s="179"/>
      <c r="F3" s="179"/>
      <c r="G3" s="180" t="s">
        <v>158</v>
      </c>
      <c r="H3" s="391"/>
      <c r="I3" s="182" t="s">
        <v>157</v>
      </c>
      <c r="J3" s="182" t="s">
        <v>156</v>
      </c>
      <c r="K3" s="182" t="s">
        <v>155</v>
      </c>
      <c r="L3" s="182" t="s">
        <v>154</v>
      </c>
      <c r="M3" s="182" t="s">
        <v>153</v>
      </c>
      <c r="N3" s="182" t="s">
        <v>152</v>
      </c>
      <c r="O3" s="182" t="s">
        <v>151</v>
      </c>
      <c r="P3" s="182" t="s">
        <v>150</v>
      </c>
      <c r="Q3" s="182" t="s">
        <v>149</v>
      </c>
      <c r="R3" s="182"/>
      <c r="S3" s="182" t="s">
        <v>148</v>
      </c>
      <c r="T3" s="182" t="s">
        <v>147</v>
      </c>
      <c r="U3" s="182" t="s">
        <v>146</v>
      </c>
      <c r="V3" s="182" t="s">
        <v>145</v>
      </c>
      <c r="W3" s="391"/>
    </row>
    <row r="4" spans="1:23" ht="98" x14ac:dyDescent="0.2">
      <c r="A4" s="183"/>
      <c r="B4" s="184" t="s">
        <v>112</v>
      </c>
      <c r="C4" s="184" t="s">
        <v>111</v>
      </c>
      <c r="D4" s="184" t="s">
        <v>32</v>
      </c>
      <c r="E4" s="184" t="s">
        <v>110</v>
      </c>
      <c r="F4" s="184" t="s">
        <v>109</v>
      </c>
      <c r="G4" s="180" t="s">
        <v>108</v>
      </c>
      <c r="H4" s="391"/>
      <c r="I4" s="182" t="s">
        <v>107</v>
      </c>
      <c r="J4" s="185" t="s">
        <v>106</v>
      </c>
      <c r="K4" s="182" t="s">
        <v>105</v>
      </c>
      <c r="L4" s="182" t="s">
        <v>104</v>
      </c>
      <c r="M4" s="182" t="s">
        <v>103</v>
      </c>
      <c r="N4" s="182" t="s">
        <v>102</v>
      </c>
      <c r="O4" s="182" t="s">
        <v>101</v>
      </c>
      <c r="P4" s="182" t="s">
        <v>100</v>
      </c>
      <c r="Q4" s="182" t="s">
        <v>99</v>
      </c>
      <c r="R4" s="185" t="s">
        <v>98</v>
      </c>
      <c r="S4" s="182" t="s">
        <v>97</v>
      </c>
      <c r="T4" s="182" t="s">
        <v>96</v>
      </c>
      <c r="U4" s="182" t="s">
        <v>95</v>
      </c>
      <c r="V4" s="185" t="s">
        <v>94</v>
      </c>
      <c r="W4" s="391"/>
    </row>
    <row r="5" spans="1:23" ht="409.6" x14ac:dyDescent="0.2">
      <c r="A5" s="186" t="s">
        <v>42</v>
      </c>
      <c r="B5" s="187"/>
      <c r="C5" s="187"/>
      <c r="D5" s="188"/>
      <c r="E5" s="188" t="s">
        <v>62</v>
      </c>
      <c r="F5" s="188" t="s">
        <v>61</v>
      </c>
      <c r="G5" s="313" t="s">
        <v>407</v>
      </c>
      <c r="H5" s="190">
        <f>SUMIF($G$2:G$2,G$2,$G5:G5)</f>
        <v>0</v>
      </c>
      <c r="I5" s="307" t="s">
        <v>408</v>
      </c>
      <c r="J5" s="191"/>
      <c r="K5" s="192"/>
      <c r="L5" s="192"/>
      <c r="M5" s="192"/>
      <c r="N5" s="192"/>
      <c r="O5" s="192"/>
      <c r="P5" s="307" t="s">
        <v>409</v>
      </c>
      <c r="Q5" s="307" t="s">
        <v>410</v>
      </c>
      <c r="R5" s="307" t="s">
        <v>411</v>
      </c>
      <c r="S5" s="307" t="s">
        <v>412</v>
      </c>
      <c r="T5" s="307" t="s">
        <v>413</v>
      </c>
      <c r="U5" s="307" t="s">
        <v>414</v>
      </c>
      <c r="V5" s="313" t="s">
        <v>415</v>
      </c>
      <c r="W5" s="190">
        <f>SUMIF($G$2:V$2,V$2,$G5:V5)</f>
        <v>0</v>
      </c>
    </row>
    <row r="6" spans="1:23" ht="409.6" x14ac:dyDescent="0.2">
      <c r="A6" s="186" t="s">
        <v>42</v>
      </c>
      <c r="B6" s="187"/>
      <c r="C6" s="187"/>
      <c r="D6" s="188"/>
      <c r="E6" s="188" t="s">
        <v>60</v>
      </c>
      <c r="F6" s="188" t="s">
        <v>59</v>
      </c>
      <c r="G6" s="307" t="s">
        <v>416</v>
      </c>
      <c r="H6" s="190">
        <f>SUMIF($G$2:G$2,G$2,$G6:G6)</f>
        <v>0</v>
      </c>
      <c r="I6" s="191"/>
      <c r="J6" s="307" t="s">
        <v>417</v>
      </c>
      <c r="K6" s="307" t="s">
        <v>418</v>
      </c>
      <c r="L6" s="307" t="s">
        <v>419</v>
      </c>
      <c r="M6" s="316" t="s">
        <v>420</v>
      </c>
      <c r="N6" s="307" t="s">
        <v>421</v>
      </c>
      <c r="O6" s="317" t="s">
        <v>422</v>
      </c>
      <c r="P6" s="192"/>
      <c r="Q6" s="192"/>
      <c r="R6" s="307" t="s">
        <v>423</v>
      </c>
      <c r="S6" s="192"/>
      <c r="T6" s="192"/>
      <c r="U6" s="192"/>
      <c r="V6" s="318" t="s">
        <v>424</v>
      </c>
      <c r="W6" s="190">
        <f>SUMIF($G$2:V$2,V$2,$G6:V6)</f>
        <v>0</v>
      </c>
    </row>
    <row r="7" spans="1:23" ht="70" x14ac:dyDescent="0.2">
      <c r="A7" s="186" t="s">
        <v>42</v>
      </c>
      <c r="B7" s="187"/>
      <c r="C7" s="187"/>
      <c r="D7" s="188"/>
      <c r="E7" s="188" t="s">
        <v>58</v>
      </c>
      <c r="F7" s="188" t="s">
        <v>57</v>
      </c>
      <c r="G7" s="193"/>
      <c r="H7" s="190">
        <f>SUMIF($G$2:G$2,G$2,$G7:G7)</f>
        <v>0</v>
      </c>
      <c r="I7" s="194"/>
      <c r="J7" s="194"/>
      <c r="K7" s="194"/>
      <c r="L7" s="194"/>
      <c r="M7" s="194"/>
      <c r="N7" s="194"/>
      <c r="O7" s="194"/>
      <c r="P7" s="194"/>
      <c r="Q7" s="194"/>
      <c r="R7" s="194"/>
      <c r="S7" s="194"/>
      <c r="T7" s="194"/>
      <c r="U7" s="194"/>
      <c r="V7" s="193"/>
      <c r="W7" s="190">
        <f>SUMIF($G$2:V$2,V$2,$G7:V7)</f>
        <v>0</v>
      </c>
    </row>
    <row r="8" spans="1:23" ht="196" x14ac:dyDescent="0.2">
      <c r="A8" s="186" t="s">
        <v>42</v>
      </c>
      <c r="B8" s="187"/>
      <c r="C8" s="187"/>
      <c r="D8" s="188"/>
      <c r="E8" s="188" t="s">
        <v>56</v>
      </c>
      <c r="F8" s="188" t="s">
        <v>55</v>
      </c>
      <c r="G8" s="307" t="s">
        <v>425</v>
      </c>
      <c r="H8" s="190">
        <f>SUMIF($G$2:G$2,G$2,$G8:G8)</f>
        <v>0</v>
      </c>
      <c r="I8" s="194"/>
      <c r="J8" s="194"/>
      <c r="K8" s="194"/>
      <c r="L8" s="194"/>
      <c r="M8" s="194"/>
      <c r="N8" s="194"/>
      <c r="O8" s="194"/>
      <c r="P8" s="194"/>
      <c r="Q8" s="194"/>
      <c r="R8" s="194"/>
      <c r="S8" s="194"/>
      <c r="T8" s="194"/>
      <c r="U8" s="194"/>
      <c r="V8" s="307" t="s">
        <v>426</v>
      </c>
      <c r="W8" s="190">
        <f>SUMIF($G$2:V$2,V$2,$G8:V8)</f>
        <v>0</v>
      </c>
    </row>
    <row r="9" spans="1:23" ht="280" x14ac:dyDescent="0.2">
      <c r="A9" s="186" t="s">
        <v>42</v>
      </c>
      <c r="B9" s="187"/>
      <c r="C9" s="187"/>
      <c r="D9" s="188"/>
      <c r="E9" s="188" t="s">
        <v>54</v>
      </c>
      <c r="F9" s="188" t="s">
        <v>53</v>
      </c>
      <c r="G9" s="307" t="s">
        <v>427</v>
      </c>
      <c r="H9" s="190">
        <f>SUMIF($G$2:G$2,G$2,$G9:G9)</f>
        <v>0</v>
      </c>
      <c r="I9" s="194"/>
      <c r="J9" s="194"/>
      <c r="K9" s="194"/>
      <c r="L9" s="194"/>
      <c r="M9" s="194"/>
      <c r="N9" s="194"/>
      <c r="O9" s="194"/>
      <c r="P9" s="194"/>
      <c r="Q9" s="194"/>
      <c r="R9" s="194"/>
      <c r="S9" s="194"/>
      <c r="T9" s="194"/>
      <c r="U9" s="194"/>
      <c r="V9" s="313" t="s">
        <v>428</v>
      </c>
      <c r="W9" s="190">
        <f>SUMIF($G$2:V$2,V$2,$G9:V9)</f>
        <v>0</v>
      </c>
    </row>
    <row r="10" spans="1:23" ht="196" x14ac:dyDescent="0.2">
      <c r="A10" s="186" t="s">
        <v>42</v>
      </c>
      <c r="B10" s="187"/>
      <c r="C10" s="187"/>
      <c r="D10" s="188"/>
      <c r="E10" s="188" t="s">
        <v>52</v>
      </c>
      <c r="F10" s="188" t="s">
        <v>51</v>
      </c>
      <c r="G10" s="307" t="s">
        <v>429</v>
      </c>
      <c r="H10" s="190">
        <f>SUMIF($G$2:G$2,G$2,$G10:G10)</f>
        <v>0</v>
      </c>
      <c r="I10" s="194"/>
      <c r="J10" s="194"/>
      <c r="K10" s="194"/>
      <c r="L10" s="194"/>
      <c r="M10" s="194"/>
      <c r="N10" s="194"/>
      <c r="O10" s="194"/>
      <c r="P10" s="194"/>
      <c r="Q10" s="194"/>
      <c r="S10" s="194"/>
      <c r="T10" s="194"/>
      <c r="U10" s="194"/>
      <c r="V10" s="307" t="s">
        <v>430</v>
      </c>
      <c r="W10" s="190">
        <f>SUMIF($G$2:V$2,V$2,$G10:V10)</f>
        <v>0</v>
      </c>
    </row>
    <row r="11" spans="1:23" ht="196" x14ac:dyDescent="0.2">
      <c r="A11" s="186" t="s">
        <v>42</v>
      </c>
      <c r="B11" s="187"/>
      <c r="C11" s="187"/>
      <c r="D11" s="188"/>
      <c r="E11" s="188" t="s">
        <v>50</v>
      </c>
      <c r="F11" s="188" t="s">
        <v>49</v>
      </c>
      <c r="G11" s="307" t="s">
        <v>431</v>
      </c>
      <c r="H11" s="190">
        <f>SUMIF($G$2:G$2,G$2,$G11:G11)</f>
        <v>0</v>
      </c>
      <c r="I11" s="194"/>
      <c r="J11" s="194"/>
      <c r="K11" s="194"/>
      <c r="L11" s="194"/>
      <c r="M11" s="194"/>
      <c r="N11" s="194"/>
      <c r="O11" s="194"/>
      <c r="P11" s="194"/>
      <c r="Q11" s="194"/>
      <c r="R11" s="194"/>
      <c r="S11" s="194"/>
      <c r="T11" s="194"/>
      <c r="U11" s="194"/>
      <c r="V11" s="307" t="s">
        <v>432</v>
      </c>
      <c r="W11" s="190">
        <f>SUMIF($G$2:V$2,V$2,$G11:V11)</f>
        <v>0</v>
      </c>
    </row>
    <row r="12" spans="1:23" ht="266" x14ac:dyDescent="0.2">
      <c r="A12" s="186" t="s">
        <v>42</v>
      </c>
      <c r="B12" s="187"/>
      <c r="C12" s="187"/>
      <c r="D12" s="188"/>
      <c r="E12" s="188" t="s">
        <v>48</v>
      </c>
      <c r="F12" s="188" t="s">
        <v>47</v>
      </c>
      <c r="G12" s="307" t="s">
        <v>433</v>
      </c>
      <c r="H12" s="190">
        <f>SUMIF($G$2:G$2,G$2,$G12:G12)</f>
        <v>0</v>
      </c>
      <c r="I12" s="194"/>
      <c r="J12" s="194"/>
      <c r="K12" s="194"/>
      <c r="L12" s="194"/>
      <c r="M12" s="194"/>
      <c r="N12" s="194"/>
      <c r="O12" s="194"/>
      <c r="P12" s="194"/>
      <c r="Q12" s="194"/>
      <c r="R12" s="194"/>
      <c r="S12" s="194"/>
      <c r="T12" s="194"/>
      <c r="U12" s="194"/>
      <c r="V12" s="307" t="s">
        <v>434</v>
      </c>
      <c r="W12" s="190">
        <f>SUMIF($G$2:V$2,V$2,$G12:V12)</f>
        <v>0</v>
      </c>
    </row>
    <row r="13" spans="1:23" ht="238" x14ac:dyDescent="0.2">
      <c r="A13" s="186" t="s">
        <v>42</v>
      </c>
      <c r="B13" s="187"/>
      <c r="C13" s="187"/>
      <c r="D13" s="188"/>
      <c r="E13" s="188" t="s">
        <v>46</v>
      </c>
      <c r="F13" s="188" t="s">
        <v>45</v>
      </c>
      <c r="G13" s="313" t="s">
        <v>435</v>
      </c>
      <c r="H13" s="190">
        <f>SUMIF($G$2:G$2,G$2,$G13:G13)</f>
        <v>0</v>
      </c>
      <c r="I13" s="194"/>
      <c r="J13" s="194"/>
      <c r="K13" s="194"/>
      <c r="L13" s="194"/>
      <c r="M13" s="194"/>
      <c r="N13" s="194"/>
      <c r="O13" s="194"/>
      <c r="P13" s="194"/>
      <c r="Q13" s="194"/>
      <c r="R13" s="194"/>
      <c r="S13" s="194"/>
      <c r="T13" s="194"/>
      <c r="U13" s="194"/>
      <c r="V13" s="313" t="s">
        <v>436</v>
      </c>
      <c r="W13" s="190">
        <f>SUMIF($G$2:V$2,V$2,$G13:V13)</f>
        <v>0</v>
      </c>
    </row>
    <row r="14" spans="1:23" ht="409.6" x14ac:dyDescent="0.2">
      <c r="A14" s="186" t="s">
        <v>42</v>
      </c>
      <c r="B14" s="187"/>
      <c r="C14" s="187"/>
      <c r="D14" s="188"/>
      <c r="E14" s="188" t="s">
        <v>44</v>
      </c>
      <c r="F14" s="188" t="s">
        <v>43</v>
      </c>
      <c r="G14" s="307" t="s">
        <v>437</v>
      </c>
      <c r="H14" s="190">
        <f>SUMIF($G$2:G$2,G$2,$G14:G14)</f>
        <v>0</v>
      </c>
      <c r="I14" s="307" t="s">
        <v>438</v>
      </c>
      <c r="J14" s="313" t="s">
        <v>439</v>
      </c>
      <c r="K14" s="313" t="s">
        <v>440</v>
      </c>
      <c r="L14" s="313" t="s">
        <v>441</v>
      </c>
      <c r="M14" s="316" t="s">
        <v>442</v>
      </c>
      <c r="N14" s="313" t="s">
        <v>443</v>
      </c>
      <c r="O14" s="317" t="s">
        <v>444</v>
      </c>
      <c r="P14" s="307" t="s">
        <v>445</v>
      </c>
      <c r="Q14" s="307" t="s">
        <v>446</v>
      </c>
      <c r="R14" s="313" t="s">
        <v>447</v>
      </c>
      <c r="S14" s="307" t="s">
        <v>448</v>
      </c>
      <c r="T14" s="307" t="s">
        <v>449</v>
      </c>
      <c r="U14" s="307" t="s">
        <v>450</v>
      </c>
      <c r="V14" s="313" t="s">
        <v>451</v>
      </c>
      <c r="W14" s="190">
        <f>SUMIF($G$2:V$2,V$2,$G14:V14)</f>
        <v>0</v>
      </c>
    </row>
    <row r="15" spans="1:23" ht="409.6" x14ac:dyDescent="0.2">
      <c r="A15" s="186" t="s">
        <v>42</v>
      </c>
      <c r="B15" s="187"/>
      <c r="C15" s="187"/>
      <c r="D15" s="188"/>
      <c r="E15" s="188" t="s">
        <v>41</v>
      </c>
      <c r="F15" s="188" t="s">
        <v>40</v>
      </c>
      <c r="G15" s="307" t="s">
        <v>452</v>
      </c>
      <c r="H15" s="190">
        <f>SUMIF($G$2:G$2,G$2,$G15:G15)</f>
        <v>0</v>
      </c>
      <c r="I15" s="307" t="s">
        <v>453</v>
      </c>
      <c r="J15" s="313" t="s">
        <v>454</v>
      </c>
      <c r="K15" s="313" t="s">
        <v>455</v>
      </c>
      <c r="L15" s="313" t="s">
        <v>456</v>
      </c>
      <c r="M15" s="316" t="s">
        <v>457</v>
      </c>
      <c r="N15" s="313" t="s">
        <v>458</v>
      </c>
      <c r="O15" s="317" t="s">
        <v>459</v>
      </c>
      <c r="P15" s="307" t="s">
        <v>460</v>
      </c>
      <c r="Q15" s="307" t="s">
        <v>461</v>
      </c>
      <c r="R15" s="313" t="s">
        <v>462</v>
      </c>
      <c r="S15" s="307" t="s">
        <v>463</v>
      </c>
      <c r="T15" s="307" t="s">
        <v>464</v>
      </c>
      <c r="U15" s="307" t="s">
        <v>465</v>
      </c>
      <c r="V15" s="313" t="s">
        <v>466</v>
      </c>
      <c r="W15" s="190">
        <f>SUMIF($G$2:V$2,V$2,$G15:V15)</f>
        <v>0</v>
      </c>
    </row>
    <row r="16" spans="1:23" ht="28" x14ac:dyDescent="0.2">
      <c r="A16" s="186"/>
      <c r="B16" s="195"/>
      <c r="C16" s="195"/>
      <c r="D16" s="196"/>
      <c r="E16" s="196"/>
      <c r="F16" s="197" t="s">
        <v>39</v>
      </c>
      <c r="G16" s="198">
        <f>SUMIF($C$5:$C15,$C15,G$5:G15)</f>
        <v>0</v>
      </c>
      <c r="H16" s="190">
        <f>SUMIF($C$5:$C15,$C15,H$5:H15)</f>
        <v>0</v>
      </c>
      <c r="I16" s="198">
        <f>SUMIF($C$5:$C15,$C15,I$5:I15)</f>
        <v>0</v>
      </c>
      <c r="J16" s="198">
        <f>SUMIF($C$5:$C15,$C15,J$5:J15)</f>
        <v>0</v>
      </c>
      <c r="K16" s="198">
        <f>SUMIF($C$5:$C15,$C15,K$5:K15)</f>
        <v>0</v>
      </c>
      <c r="L16" s="198">
        <f>SUMIF($C$5:$C15,$C15,L$5:L15)</f>
        <v>0</v>
      </c>
      <c r="M16" s="198">
        <f>SUMIF($C$5:$C15,$C15,M$5:M15)</f>
        <v>0</v>
      </c>
      <c r="N16" s="198">
        <f>SUMIF($C$5:$C15,$C15,N$5:N15)</f>
        <v>0</v>
      </c>
      <c r="O16" s="198">
        <f>SUMIF($C$5:$C15,$C15,O$5:O15)</f>
        <v>0</v>
      </c>
      <c r="P16" s="198">
        <f>SUMIF($C$5:$C15,$C15,P$5:P15)</f>
        <v>0</v>
      </c>
      <c r="Q16" s="198">
        <f>SUMIF($C$5:$C15,$C15,Q$5:Q15)</f>
        <v>0</v>
      </c>
      <c r="R16" s="198"/>
      <c r="S16" s="198">
        <f>SUMIF($C$5:$C15,$C15,S$5:S15)</f>
        <v>0</v>
      </c>
      <c r="T16" s="198">
        <f>SUMIF($C$5:$C15,$C15,T$5:T15)</f>
        <v>0</v>
      </c>
      <c r="U16" s="198">
        <f>SUMIF($C$5:$C15,$C15,U$5:U15)</f>
        <v>0</v>
      </c>
      <c r="V16" s="198">
        <f>SUMIF($C$5:$C15,$C15,V$5:V15)</f>
        <v>0</v>
      </c>
      <c r="W16" s="190">
        <f>SUMIF($C$5:$C15,$C15,W$5:W15)</f>
        <v>0</v>
      </c>
    </row>
    <row r="17" spans="1:23" x14ac:dyDescent="0.2">
      <c r="A17" s="253"/>
      <c r="B17" s="253"/>
      <c r="C17" s="253"/>
      <c r="D17" s="253"/>
      <c r="E17" s="253"/>
      <c r="F17" s="253"/>
      <c r="G17" s="254"/>
      <c r="H17" s="254"/>
      <c r="I17" s="254"/>
      <c r="J17" s="254"/>
      <c r="K17" s="254"/>
      <c r="L17" s="254"/>
      <c r="M17" s="254"/>
      <c r="N17" s="254"/>
      <c r="O17" s="254"/>
      <c r="P17" s="254"/>
      <c r="Q17" s="254"/>
      <c r="R17" s="254"/>
      <c r="S17" s="254"/>
      <c r="T17" s="254"/>
      <c r="U17" s="254"/>
      <c r="V17" s="254"/>
      <c r="W17" s="254"/>
    </row>
    <row r="18" spans="1:23" x14ac:dyDescent="0.2">
      <c r="A18" s="253"/>
      <c r="B18" s="253"/>
      <c r="C18" s="253"/>
      <c r="D18" s="253"/>
      <c r="E18" s="253"/>
      <c r="F18" s="253"/>
      <c r="G18" s="254"/>
      <c r="H18" s="254"/>
      <c r="I18" s="254"/>
      <c r="J18" s="254"/>
      <c r="K18" s="254"/>
      <c r="L18" s="254"/>
      <c r="M18" s="254"/>
      <c r="N18" s="254"/>
      <c r="O18" s="254"/>
      <c r="P18" s="254"/>
      <c r="Q18" s="254"/>
      <c r="R18" s="254"/>
      <c r="S18" s="254"/>
      <c r="T18" s="254"/>
      <c r="U18" s="254"/>
      <c r="V18" s="254"/>
      <c r="W18" s="254"/>
    </row>
    <row r="19" spans="1:23" ht="319" x14ac:dyDescent="0.2">
      <c r="A19" s="253"/>
      <c r="B19" s="253"/>
      <c r="C19" s="253"/>
      <c r="D19" s="253"/>
      <c r="E19" s="253"/>
      <c r="F19" s="250" t="s">
        <v>253</v>
      </c>
      <c r="G19" s="307" t="s">
        <v>467</v>
      </c>
      <c r="H19" s="254"/>
      <c r="I19" s="254"/>
      <c r="J19" s="254"/>
      <c r="K19" s="254"/>
      <c r="L19" s="254"/>
      <c r="M19" s="254"/>
      <c r="N19" s="254"/>
      <c r="O19" s="254"/>
      <c r="P19" s="254"/>
      <c r="Q19" s="254"/>
      <c r="R19" s="254"/>
      <c r="S19" s="254"/>
      <c r="T19" s="254"/>
      <c r="U19" s="250" t="s">
        <v>254</v>
      </c>
      <c r="V19" s="307" t="s">
        <v>468</v>
      </c>
      <c r="W19" s="254"/>
    </row>
  </sheetData>
  <mergeCells count="3">
    <mergeCell ref="B1:I1"/>
    <mergeCell ref="H2:H4"/>
    <mergeCell ref="W2:W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6CA-691B-C543-A9EA-F5956F50D7E1}">
  <dimension ref="A1:U19"/>
  <sheetViews>
    <sheetView topLeftCell="A16" workbookViewId="0">
      <selection activeCell="T2" sqref="T2:V17"/>
    </sheetView>
  </sheetViews>
  <sheetFormatPr baseColWidth="10" defaultRowHeight="15" x14ac:dyDescent="0.2"/>
  <cols>
    <col min="2" max="2" width="0" hidden="1" customWidth="1"/>
    <col min="18" max="18" width="13.83203125" bestFit="1" customWidth="1"/>
  </cols>
  <sheetData>
    <row r="1" spans="1:21" ht="42" customHeight="1" x14ac:dyDescent="0.2">
      <c r="A1" s="393" t="s">
        <v>214</v>
      </c>
      <c r="B1" s="393"/>
      <c r="C1" s="393"/>
      <c r="D1" s="393"/>
      <c r="E1" s="393"/>
      <c r="F1" s="393"/>
      <c r="G1" s="393"/>
      <c r="H1" s="393"/>
      <c r="I1" s="220"/>
      <c r="J1" s="220"/>
      <c r="K1" s="220"/>
      <c r="L1" s="220"/>
      <c r="M1" s="220"/>
      <c r="N1" s="220"/>
      <c r="O1" s="221"/>
      <c r="P1" s="221"/>
      <c r="Q1" s="220"/>
      <c r="R1" s="220"/>
      <c r="S1" s="220"/>
      <c r="T1" s="220"/>
      <c r="U1" s="220"/>
    </row>
    <row r="2" spans="1:21" ht="28" customHeight="1" x14ac:dyDescent="0.2">
      <c r="A2" s="219"/>
      <c r="B2" s="219"/>
      <c r="C2" s="219"/>
      <c r="D2" s="219"/>
      <c r="E2" s="219"/>
      <c r="F2" s="219"/>
      <c r="G2" s="222" t="s">
        <v>169</v>
      </c>
      <c r="H2" s="392" t="s">
        <v>168</v>
      </c>
      <c r="I2" s="222" t="s">
        <v>167</v>
      </c>
      <c r="J2" s="222" t="s">
        <v>167</v>
      </c>
      <c r="K2" s="222" t="s">
        <v>167</v>
      </c>
      <c r="L2" s="222" t="s">
        <v>167</v>
      </c>
      <c r="M2" s="222" t="s">
        <v>167</v>
      </c>
      <c r="N2" s="222" t="s">
        <v>167</v>
      </c>
      <c r="O2" s="223" t="s">
        <v>167</v>
      </c>
      <c r="P2" s="223" t="s">
        <v>167</v>
      </c>
      <c r="Q2" s="222" t="s">
        <v>167</v>
      </c>
      <c r="R2" s="222" t="s">
        <v>167</v>
      </c>
      <c r="S2" s="392" t="s">
        <v>166</v>
      </c>
    </row>
    <row r="3" spans="1:21" ht="56" x14ac:dyDescent="0.2">
      <c r="A3" s="219"/>
      <c r="B3" s="219"/>
      <c r="C3" s="219"/>
      <c r="D3" s="219"/>
      <c r="E3" s="219"/>
      <c r="F3" s="219"/>
      <c r="G3" s="222" t="s">
        <v>158</v>
      </c>
      <c r="H3" s="392"/>
      <c r="I3" s="222" t="s">
        <v>210</v>
      </c>
      <c r="J3" s="222" t="s">
        <v>209</v>
      </c>
      <c r="K3" s="222" t="s">
        <v>208</v>
      </c>
      <c r="L3" s="222" t="s">
        <v>207</v>
      </c>
      <c r="M3" s="222" t="s">
        <v>206</v>
      </c>
      <c r="N3" s="222" t="s">
        <v>205</v>
      </c>
      <c r="O3" s="223" t="s">
        <v>204</v>
      </c>
      <c r="P3" s="223" t="s">
        <v>203</v>
      </c>
      <c r="Q3" s="222" t="s">
        <v>202</v>
      </c>
      <c r="R3" s="222" t="s">
        <v>145</v>
      </c>
      <c r="S3" s="392"/>
    </row>
    <row r="4" spans="1:21" ht="112" x14ac:dyDescent="0.2">
      <c r="A4" s="219"/>
      <c r="B4" s="224" t="s">
        <v>112</v>
      </c>
      <c r="C4" s="224" t="s">
        <v>111</v>
      </c>
      <c r="D4" s="224" t="s">
        <v>32</v>
      </c>
      <c r="E4" s="224" t="s">
        <v>110</v>
      </c>
      <c r="F4" s="224" t="s">
        <v>109</v>
      </c>
      <c r="G4" s="222" t="s">
        <v>108</v>
      </c>
      <c r="H4" s="392"/>
      <c r="I4" s="222" t="s">
        <v>191</v>
      </c>
      <c r="J4" s="222" t="s">
        <v>190</v>
      </c>
      <c r="K4" s="222" t="s">
        <v>189</v>
      </c>
      <c r="L4" s="222" t="s">
        <v>188</v>
      </c>
      <c r="M4" s="222" t="s">
        <v>187</v>
      </c>
      <c r="N4" s="222" t="s">
        <v>186</v>
      </c>
      <c r="O4" s="223" t="s">
        <v>185</v>
      </c>
      <c r="P4" s="223" t="s">
        <v>184</v>
      </c>
      <c r="Q4" s="222" t="s">
        <v>183</v>
      </c>
      <c r="R4" s="222" t="s">
        <v>94</v>
      </c>
      <c r="S4" s="392"/>
    </row>
    <row r="5" spans="1:21" ht="409.6" x14ac:dyDescent="0.2">
      <c r="A5" s="225" t="s">
        <v>172</v>
      </c>
      <c r="B5" s="226"/>
      <c r="C5" s="226"/>
      <c r="D5" s="227"/>
      <c r="E5" s="226" t="s">
        <v>62</v>
      </c>
      <c r="F5" s="237" t="s">
        <v>61</v>
      </c>
      <c r="G5" s="307" t="s">
        <v>376</v>
      </c>
      <c r="H5" s="228">
        <f t="shared" ref="H5:H15" si="0">SUM(G5)</f>
        <v>0</v>
      </c>
      <c r="I5" s="229"/>
      <c r="J5" s="307" t="s">
        <v>377</v>
      </c>
      <c r="K5" s="307" t="s">
        <v>378</v>
      </c>
      <c r="L5" s="307" t="s">
        <v>379</v>
      </c>
      <c r="M5" s="308" t="s">
        <v>380</v>
      </c>
      <c r="N5" s="308" t="s">
        <v>380</v>
      </c>
      <c r="O5" s="309"/>
      <c r="P5" s="309"/>
      <c r="Q5" s="308" t="s">
        <v>380</v>
      </c>
      <c r="R5" s="307" t="s">
        <v>381</v>
      </c>
      <c r="S5" s="228">
        <f t="shared" ref="S5:S15" si="1">SUM(I5:R5)</f>
        <v>0</v>
      </c>
    </row>
    <row r="6" spans="1:21" ht="132" x14ac:dyDescent="0.2">
      <c r="A6" s="233" t="s">
        <v>172</v>
      </c>
      <c r="B6" s="227"/>
      <c r="C6" s="227"/>
      <c r="D6" s="227"/>
      <c r="E6" s="227" t="s">
        <v>60</v>
      </c>
      <c r="F6" s="310" t="s">
        <v>59</v>
      </c>
      <c r="G6" s="230"/>
      <c r="H6" s="234">
        <f t="shared" si="0"/>
        <v>0</v>
      </c>
      <c r="I6" s="235"/>
      <c r="J6" s="311"/>
      <c r="K6" s="311"/>
      <c r="L6" s="311"/>
      <c r="M6" s="311"/>
      <c r="N6" s="312"/>
      <c r="O6" s="308" t="s">
        <v>380</v>
      </c>
      <c r="P6" s="308" t="s">
        <v>380</v>
      </c>
      <c r="Q6" s="308" t="s">
        <v>380</v>
      </c>
      <c r="R6" s="308" t="s">
        <v>380</v>
      </c>
      <c r="S6" s="234">
        <f t="shared" si="1"/>
        <v>0</v>
      </c>
    </row>
    <row r="7" spans="1:21" ht="70" x14ac:dyDescent="0.2">
      <c r="A7" s="225" t="s">
        <v>172</v>
      </c>
      <c r="B7" s="226"/>
      <c r="C7" s="226"/>
      <c r="D7" s="226"/>
      <c r="E7" s="226" t="s">
        <v>58</v>
      </c>
      <c r="F7" s="237" t="s">
        <v>57</v>
      </c>
      <c r="G7" s="230"/>
      <c r="H7" s="228">
        <f t="shared" si="0"/>
        <v>0</v>
      </c>
      <c r="I7" s="229"/>
      <c r="J7" s="232"/>
      <c r="K7" s="232"/>
      <c r="L7" s="232"/>
      <c r="M7" s="232"/>
      <c r="N7" s="236"/>
      <c r="O7" s="231"/>
      <c r="P7" s="231"/>
      <c r="Q7" s="232"/>
      <c r="R7" s="232"/>
      <c r="S7" s="228">
        <f t="shared" si="1"/>
        <v>0</v>
      </c>
    </row>
    <row r="8" spans="1:21" ht="168" x14ac:dyDescent="0.2">
      <c r="A8" s="225" t="s">
        <v>172</v>
      </c>
      <c r="B8" s="226"/>
      <c r="C8" s="226"/>
      <c r="D8" s="226"/>
      <c r="E8" s="226" t="s">
        <v>56</v>
      </c>
      <c r="F8" s="237" t="s">
        <v>55</v>
      </c>
      <c r="G8" s="307" t="s">
        <v>382</v>
      </c>
      <c r="H8" s="228">
        <f t="shared" si="0"/>
        <v>0</v>
      </c>
      <c r="I8" s="229"/>
      <c r="J8" s="232"/>
      <c r="K8" s="232"/>
      <c r="L8" s="232"/>
      <c r="M8" s="232"/>
      <c r="N8" s="236"/>
      <c r="O8" s="231"/>
      <c r="P8" s="231"/>
      <c r="Q8" s="232"/>
      <c r="R8" s="307" t="s">
        <v>383</v>
      </c>
      <c r="S8" s="228">
        <f t="shared" si="1"/>
        <v>0</v>
      </c>
    </row>
    <row r="9" spans="1:21" ht="252" x14ac:dyDescent="0.2">
      <c r="A9" s="225" t="s">
        <v>172</v>
      </c>
      <c r="B9" s="226"/>
      <c r="C9" s="226"/>
      <c r="D9" s="226"/>
      <c r="E9" s="226" t="s">
        <v>54</v>
      </c>
      <c r="F9" s="237" t="s">
        <v>53</v>
      </c>
      <c r="G9" s="307" t="s">
        <v>384</v>
      </c>
      <c r="H9" s="228">
        <f t="shared" si="0"/>
        <v>0</v>
      </c>
      <c r="I9" s="229"/>
      <c r="J9" s="232"/>
      <c r="K9" s="232"/>
      <c r="L9" s="232"/>
      <c r="M9" s="232"/>
      <c r="N9" s="236"/>
      <c r="O9" s="231"/>
      <c r="P9" s="231"/>
      <c r="Q9" s="232"/>
      <c r="R9" s="307" t="s">
        <v>385</v>
      </c>
      <c r="S9" s="228">
        <f t="shared" si="1"/>
        <v>0</v>
      </c>
    </row>
    <row r="10" spans="1:21" ht="168" x14ac:dyDescent="0.2">
      <c r="A10" s="225" t="s">
        <v>172</v>
      </c>
      <c r="B10" s="226"/>
      <c r="C10" s="226"/>
      <c r="D10" s="226"/>
      <c r="E10" s="226" t="s">
        <v>52</v>
      </c>
      <c r="F10" s="237" t="s">
        <v>51</v>
      </c>
      <c r="G10" s="307" t="s">
        <v>386</v>
      </c>
      <c r="H10" s="228">
        <f>SUM(G10)</f>
        <v>0</v>
      </c>
      <c r="I10" s="229"/>
      <c r="J10" s="232"/>
      <c r="K10" s="232"/>
      <c r="L10" s="232"/>
      <c r="M10" s="232"/>
      <c r="N10" s="236"/>
      <c r="O10" s="231"/>
      <c r="P10" s="231"/>
      <c r="Q10" s="232"/>
      <c r="R10" s="307" t="s">
        <v>387</v>
      </c>
      <c r="S10" s="228">
        <f t="shared" si="1"/>
        <v>0</v>
      </c>
    </row>
    <row r="11" spans="1:21" ht="168" x14ac:dyDescent="0.2">
      <c r="A11" s="225" t="s">
        <v>172</v>
      </c>
      <c r="B11" s="226"/>
      <c r="C11" s="226"/>
      <c r="D11" s="226"/>
      <c r="E11" s="226" t="s">
        <v>50</v>
      </c>
      <c r="F11" s="237" t="s">
        <v>49</v>
      </c>
      <c r="G11" s="307" t="s">
        <v>388</v>
      </c>
      <c r="H11" s="228">
        <f>SUM(G11)</f>
        <v>0</v>
      </c>
      <c r="I11" s="229"/>
      <c r="J11" s="232"/>
      <c r="K11" s="232"/>
      <c r="L11" s="232"/>
      <c r="M11" s="232"/>
      <c r="N11" s="236"/>
      <c r="O11" s="231"/>
      <c r="P11" s="231"/>
      <c r="Q11" s="232"/>
      <c r="R11" s="307" t="s">
        <v>389</v>
      </c>
      <c r="S11" s="228">
        <f t="shared" si="1"/>
        <v>0</v>
      </c>
    </row>
    <row r="12" spans="1:21" ht="196" x14ac:dyDescent="0.2">
      <c r="A12" s="225" t="s">
        <v>172</v>
      </c>
      <c r="B12" s="226"/>
      <c r="C12" s="226"/>
      <c r="D12" s="226"/>
      <c r="E12" s="226" t="s">
        <v>48</v>
      </c>
      <c r="F12" s="237" t="s">
        <v>47</v>
      </c>
      <c r="G12" s="307" t="s">
        <v>390</v>
      </c>
      <c r="H12" s="228">
        <f t="shared" si="0"/>
        <v>0</v>
      </c>
      <c r="I12" s="229"/>
      <c r="J12" s="232"/>
      <c r="K12" s="232"/>
      <c r="L12" s="232"/>
      <c r="M12" s="232"/>
      <c r="N12" s="236"/>
      <c r="O12" s="231"/>
      <c r="P12" s="231"/>
      <c r="Q12" s="232"/>
      <c r="R12" s="307" t="s">
        <v>391</v>
      </c>
      <c r="S12" s="228">
        <f t="shared" si="1"/>
        <v>0</v>
      </c>
    </row>
    <row r="13" spans="1:21" ht="210" x14ac:dyDescent="0.2">
      <c r="A13" s="225" t="s">
        <v>172</v>
      </c>
      <c r="B13" s="226"/>
      <c r="C13" s="226"/>
      <c r="D13" s="226"/>
      <c r="E13" s="226" t="s">
        <v>46</v>
      </c>
      <c r="F13" s="237" t="s">
        <v>45</v>
      </c>
      <c r="G13" s="307" t="s">
        <v>392</v>
      </c>
      <c r="H13" s="228">
        <f t="shared" si="0"/>
        <v>0</v>
      </c>
      <c r="I13" s="313" t="s">
        <v>393</v>
      </c>
      <c r="J13" s="232"/>
      <c r="K13" s="232"/>
      <c r="L13" s="232"/>
      <c r="M13" s="232"/>
      <c r="N13" s="236"/>
      <c r="O13" s="231"/>
      <c r="P13" s="231"/>
      <c r="Q13" s="232"/>
      <c r="R13" s="307" t="s">
        <v>394</v>
      </c>
      <c r="S13" s="228">
        <f t="shared" si="1"/>
        <v>0</v>
      </c>
    </row>
    <row r="14" spans="1:21" ht="384" x14ac:dyDescent="0.2">
      <c r="A14" s="225" t="s">
        <v>172</v>
      </c>
      <c r="B14" s="226"/>
      <c r="C14" s="226"/>
      <c r="D14" s="226"/>
      <c r="E14" s="226" t="s">
        <v>44</v>
      </c>
      <c r="F14" s="237" t="s">
        <v>43</v>
      </c>
      <c r="G14" s="307" t="s">
        <v>395</v>
      </c>
      <c r="H14" s="228">
        <f t="shared" si="0"/>
        <v>0</v>
      </c>
      <c r="I14" s="229"/>
      <c r="J14" s="307" t="s">
        <v>396</v>
      </c>
      <c r="K14" s="307" t="s">
        <v>397</v>
      </c>
      <c r="L14" s="307" t="s">
        <v>398</v>
      </c>
      <c r="M14" s="230"/>
      <c r="N14" s="230"/>
      <c r="O14" s="231"/>
      <c r="P14" s="231"/>
      <c r="Q14" s="232"/>
      <c r="R14" s="307" t="s">
        <v>399</v>
      </c>
      <c r="S14" s="228">
        <f t="shared" si="1"/>
        <v>0</v>
      </c>
    </row>
    <row r="15" spans="1:21" ht="384" x14ac:dyDescent="0.2">
      <c r="A15" s="225" t="s">
        <v>172</v>
      </c>
      <c r="B15" s="226"/>
      <c r="C15" s="226"/>
      <c r="D15" s="226"/>
      <c r="E15" s="226" t="s">
        <v>41</v>
      </c>
      <c r="F15" s="237" t="s">
        <v>40</v>
      </c>
      <c r="G15" s="307" t="s">
        <v>400</v>
      </c>
      <c r="H15" s="228">
        <f t="shared" si="0"/>
        <v>0</v>
      </c>
      <c r="I15" s="229"/>
      <c r="J15" s="307" t="s">
        <v>401</v>
      </c>
      <c r="K15" s="307" t="s">
        <v>402</v>
      </c>
      <c r="L15" s="307" t="s">
        <v>403</v>
      </c>
      <c r="M15" s="230"/>
      <c r="N15" s="230"/>
      <c r="O15" s="231"/>
      <c r="P15" s="231"/>
      <c r="Q15" s="232"/>
      <c r="R15" s="307" t="s">
        <v>404</v>
      </c>
      <c r="S15" s="228">
        <f t="shared" si="1"/>
        <v>0</v>
      </c>
    </row>
    <row r="16" spans="1:21" ht="28" x14ac:dyDescent="0.2">
      <c r="A16" s="225"/>
      <c r="B16" s="238"/>
      <c r="C16" s="238"/>
      <c r="D16" s="238"/>
      <c r="E16" s="238"/>
      <c r="F16" s="314" t="s">
        <v>39</v>
      </c>
      <c r="G16" s="228">
        <f t="shared" ref="G16:S16" si="2">SUM(G5:G15)</f>
        <v>0</v>
      </c>
      <c r="H16" s="228">
        <f t="shared" si="2"/>
        <v>0</v>
      </c>
      <c r="I16" s="228">
        <f t="shared" si="2"/>
        <v>0</v>
      </c>
      <c r="J16" s="228">
        <f t="shared" si="2"/>
        <v>0</v>
      </c>
      <c r="K16" s="228">
        <f t="shared" si="2"/>
        <v>0</v>
      </c>
      <c r="L16" s="228">
        <f t="shared" si="2"/>
        <v>0</v>
      </c>
      <c r="M16" s="228">
        <f t="shared" si="2"/>
        <v>0</v>
      </c>
      <c r="N16" s="228">
        <f t="shared" si="2"/>
        <v>0</v>
      </c>
      <c r="O16" s="234">
        <f>SUM(O6:O15)</f>
        <v>0</v>
      </c>
      <c r="P16" s="234">
        <f>SUM(P6:P15)</f>
        <v>0</v>
      </c>
      <c r="Q16" s="228">
        <f t="shared" si="2"/>
        <v>0</v>
      </c>
      <c r="R16" s="228">
        <f>SUM(R5:R15)</f>
        <v>0</v>
      </c>
      <c r="S16" s="228">
        <f t="shared" si="2"/>
        <v>0</v>
      </c>
    </row>
    <row r="17" spans="1:21" x14ac:dyDescent="0.2">
      <c r="A17" s="255"/>
      <c r="B17" s="255"/>
      <c r="C17" s="255"/>
      <c r="D17" s="255"/>
      <c r="E17" s="255"/>
      <c r="F17" s="315"/>
      <c r="G17" s="255"/>
      <c r="H17" s="255"/>
      <c r="I17" s="255"/>
      <c r="J17" s="255"/>
      <c r="K17" s="255"/>
      <c r="L17" s="255"/>
      <c r="M17" s="255"/>
      <c r="N17" s="255"/>
      <c r="O17" s="255"/>
      <c r="P17" s="255"/>
      <c r="Q17" s="255"/>
      <c r="R17" s="255"/>
      <c r="S17" s="256"/>
    </row>
    <row r="18" spans="1:21" x14ac:dyDescent="0.2">
      <c r="A18" s="255"/>
      <c r="B18" s="255"/>
      <c r="C18" s="255"/>
      <c r="D18" s="255"/>
      <c r="E18" s="255"/>
      <c r="F18" s="315"/>
      <c r="G18" s="255"/>
      <c r="H18" s="255"/>
      <c r="I18" s="255"/>
      <c r="J18" s="255"/>
      <c r="K18" s="255"/>
      <c r="L18" s="255"/>
      <c r="M18" s="255"/>
      <c r="N18" s="255"/>
      <c r="O18" s="255"/>
      <c r="P18" s="255"/>
      <c r="Q18" s="255"/>
      <c r="R18" s="255"/>
      <c r="S18" s="257"/>
      <c r="T18" s="255"/>
      <c r="U18" s="255"/>
    </row>
    <row r="19" spans="1:21" ht="306" x14ac:dyDescent="0.2">
      <c r="A19" s="258"/>
      <c r="B19" s="258"/>
      <c r="C19" s="258"/>
      <c r="D19" s="259"/>
      <c r="E19" s="258"/>
      <c r="F19" s="250" t="s">
        <v>253</v>
      </c>
      <c r="G19" s="307" t="s">
        <v>405</v>
      </c>
      <c r="H19" s="258"/>
      <c r="I19" s="258"/>
      <c r="J19" s="258"/>
      <c r="K19" s="258"/>
      <c r="L19" s="258"/>
      <c r="M19" s="258"/>
      <c r="N19" s="258"/>
      <c r="O19" s="258"/>
      <c r="P19" s="258"/>
      <c r="Q19" s="250" t="s">
        <v>254</v>
      </c>
      <c r="R19" s="307" t="s">
        <v>406</v>
      </c>
      <c r="S19" s="258"/>
      <c r="T19" s="258"/>
      <c r="U19" s="258"/>
    </row>
  </sheetData>
  <mergeCells count="3">
    <mergeCell ref="H2:H4"/>
    <mergeCell ref="A1:H1"/>
    <mergeCell ref="S2:S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B0A6-0C7B-B24C-996E-E43BA15C7B84}">
  <dimension ref="A1:N17"/>
  <sheetViews>
    <sheetView topLeftCell="E1" workbookViewId="0">
      <selection activeCell="M11" sqref="M11"/>
    </sheetView>
  </sheetViews>
  <sheetFormatPr baseColWidth="10" defaultColWidth="11" defaultRowHeight="37" customHeight="1" x14ac:dyDescent="0.2"/>
  <cols>
    <col min="1" max="3" width="0" style="200" hidden="1" customWidth="1"/>
    <col min="4" max="4" width="15.1640625" style="200" hidden="1" customWidth="1"/>
    <col min="5" max="5" width="11" style="200"/>
    <col min="6" max="6" width="53.33203125" style="200" hidden="1" customWidth="1"/>
    <col min="7" max="7" width="13.5" style="200" customWidth="1"/>
    <col min="8" max="8" width="11" style="200"/>
    <col min="9" max="9" width="13.5" style="200" customWidth="1"/>
    <col min="10" max="10" width="50.5" style="200" customWidth="1"/>
    <col min="11" max="11" width="15.1640625" style="200" bestFit="1" customWidth="1"/>
    <col min="12" max="12" width="11" style="200"/>
    <col min="13" max="13" width="15.1640625" style="200" bestFit="1" customWidth="1"/>
    <col min="14" max="16384" width="11" style="200"/>
  </cols>
  <sheetData>
    <row r="1" spans="1:14" ht="37" customHeight="1" x14ac:dyDescent="0.2">
      <c r="A1" s="199"/>
      <c r="C1" s="201"/>
      <c r="E1" s="199"/>
      <c r="F1" s="260"/>
      <c r="G1" s="201"/>
      <c r="H1" s="260"/>
      <c r="I1" s="201" t="s">
        <v>216</v>
      </c>
      <c r="J1" s="201"/>
      <c r="K1" s="199"/>
      <c r="L1" s="199"/>
      <c r="M1" s="199"/>
      <c r="N1" s="199"/>
    </row>
    <row r="2" spans="1:14" ht="37" customHeight="1" x14ac:dyDescent="0.2">
      <c r="A2" s="202"/>
      <c r="B2" s="203"/>
      <c r="C2" s="203"/>
      <c r="D2" s="203"/>
      <c r="E2" s="202"/>
      <c r="F2" s="203"/>
      <c r="G2" s="203"/>
      <c r="H2" s="203"/>
      <c r="I2" s="203"/>
      <c r="J2" s="203"/>
      <c r="K2" s="173" t="s">
        <v>167</v>
      </c>
      <c r="L2" s="389" t="s">
        <v>166</v>
      </c>
      <c r="M2" s="173" t="s">
        <v>38</v>
      </c>
      <c r="N2" s="389" t="s">
        <v>165</v>
      </c>
    </row>
    <row r="3" spans="1:14" ht="37" customHeight="1" x14ac:dyDescent="0.2">
      <c r="A3" s="202"/>
      <c r="B3" s="203"/>
      <c r="C3" s="203"/>
      <c r="D3" s="203"/>
      <c r="E3" s="202"/>
      <c r="F3" s="203"/>
      <c r="G3" s="203"/>
      <c r="H3" s="203"/>
      <c r="I3" s="203"/>
      <c r="J3" s="203"/>
      <c r="K3" s="173" t="s">
        <v>145</v>
      </c>
      <c r="L3" s="389"/>
      <c r="M3" s="173" t="s">
        <v>142</v>
      </c>
      <c r="N3" s="389"/>
    </row>
    <row r="4" spans="1:14" ht="37" customHeight="1" x14ac:dyDescent="0.2">
      <c r="A4" s="204"/>
      <c r="B4" s="205"/>
      <c r="C4" s="205"/>
      <c r="D4" s="205"/>
      <c r="E4" s="204"/>
      <c r="F4" s="205" t="s">
        <v>112</v>
      </c>
      <c r="G4" s="205" t="s">
        <v>111</v>
      </c>
      <c r="H4" s="205" t="s">
        <v>32</v>
      </c>
      <c r="I4" s="205" t="s">
        <v>110</v>
      </c>
      <c r="J4" s="205" t="s">
        <v>109</v>
      </c>
      <c r="K4" s="173" t="s">
        <v>94</v>
      </c>
      <c r="L4" s="389"/>
      <c r="M4" s="173" t="s">
        <v>93</v>
      </c>
      <c r="N4" s="389"/>
    </row>
    <row r="5" spans="1:14" ht="37" customHeight="1" x14ac:dyDescent="0.2">
      <c r="A5" s="206"/>
      <c r="B5" s="207"/>
      <c r="C5" s="207"/>
      <c r="D5" s="208"/>
      <c r="E5" s="206" t="s">
        <v>215</v>
      </c>
      <c r="F5" s="207"/>
      <c r="G5" s="207"/>
      <c r="H5" s="208"/>
      <c r="I5" s="207" t="s">
        <v>62</v>
      </c>
      <c r="J5" s="207" t="s">
        <v>61</v>
      </c>
      <c r="K5" s="306" t="s">
        <v>373</v>
      </c>
      <c r="L5" s="209">
        <f t="shared" ref="L5:L13" si="0">SUM(K5)</f>
        <v>0</v>
      </c>
      <c r="M5" s="211"/>
      <c r="N5" s="209">
        <f t="shared" ref="N5:N13" si="1">SUM(M5)</f>
        <v>0</v>
      </c>
    </row>
    <row r="6" spans="1:14" ht="37" customHeight="1" x14ac:dyDescent="0.2">
      <c r="A6" s="206"/>
      <c r="B6" s="207"/>
      <c r="C6" s="207"/>
      <c r="D6" s="176"/>
      <c r="E6" s="206" t="s">
        <v>215</v>
      </c>
      <c r="F6" s="207"/>
      <c r="G6" s="207"/>
      <c r="H6" s="176"/>
      <c r="I6" s="207" t="s">
        <v>56</v>
      </c>
      <c r="J6" s="207" t="s">
        <v>55</v>
      </c>
      <c r="K6" s="210"/>
      <c r="L6" s="209">
        <f t="shared" si="0"/>
        <v>0</v>
      </c>
      <c r="M6" s="211"/>
      <c r="N6" s="209">
        <f t="shared" si="1"/>
        <v>0</v>
      </c>
    </row>
    <row r="7" spans="1:14" ht="37" customHeight="1" x14ac:dyDescent="0.2">
      <c r="A7" s="206"/>
      <c r="B7" s="207"/>
      <c r="C7" s="207"/>
      <c r="D7" s="176"/>
      <c r="E7" s="206" t="s">
        <v>215</v>
      </c>
      <c r="F7" s="207"/>
      <c r="G7" s="207"/>
      <c r="H7" s="176"/>
      <c r="I7" s="207" t="s">
        <v>54</v>
      </c>
      <c r="J7" s="207" t="s">
        <v>53</v>
      </c>
      <c r="K7" s="210"/>
      <c r="L7" s="209">
        <f t="shared" si="0"/>
        <v>0</v>
      </c>
      <c r="M7" s="212"/>
      <c r="N7" s="209">
        <f t="shared" si="1"/>
        <v>0</v>
      </c>
    </row>
    <row r="8" spans="1:14" ht="37" customHeight="1" x14ac:dyDescent="0.2">
      <c r="A8" s="206"/>
      <c r="B8" s="207"/>
      <c r="C8" s="207"/>
      <c r="D8" s="176"/>
      <c r="E8" s="206" t="s">
        <v>215</v>
      </c>
      <c r="F8" s="207"/>
      <c r="G8" s="207"/>
      <c r="H8" s="176"/>
      <c r="I8" s="207" t="s">
        <v>52</v>
      </c>
      <c r="J8" s="207" t="s">
        <v>51</v>
      </c>
      <c r="K8" s="210"/>
      <c r="L8" s="209">
        <f t="shared" si="0"/>
        <v>0</v>
      </c>
      <c r="M8" s="211"/>
      <c r="N8" s="209">
        <f t="shared" si="1"/>
        <v>0</v>
      </c>
    </row>
    <row r="9" spans="1:14" ht="37" customHeight="1" x14ac:dyDescent="0.2">
      <c r="A9" s="206"/>
      <c r="B9" s="207"/>
      <c r="C9" s="207"/>
      <c r="D9" s="176"/>
      <c r="E9" s="206" t="s">
        <v>215</v>
      </c>
      <c r="F9" s="207"/>
      <c r="G9" s="207"/>
      <c r="H9" s="176"/>
      <c r="I9" s="207" t="s">
        <v>50</v>
      </c>
      <c r="J9" s="207" t="s">
        <v>49</v>
      </c>
      <c r="K9" s="210"/>
      <c r="L9" s="209">
        <f t="shared" si="0"/>
        <v>0</v>
      </c>
      <c r="M9" s="212"/>
      <c r="N9" s="209">
        <f t="shared" si="1"/>
        <v>0</v>
      </c>
    </row>
    <row r="10" spans="1:14" ht="37" customHeight="1" x14ac:dyDescent="0.2">
      <c r="A10" s="206"/>
      <c r="B10" s="207"/>
      <c r="C10" s="207"/>
      <c r="D10" s="176"/>
      <c r="E10" s="206" t="s">
        <v>215</v>
      </c>
      <c r="F10" s="207"/>
      <c r="G10" s="207"/>
      <c r="H10" s="176"/>
      <c r="I10" s="207" t="s">
        <v>48</v>
      </c>
      <c r="J10" s="207" t="s">
        <v>47</v>
      </c>
      <c r="K10" s="210"/>
      <c r="L10" s="209">
        <f t="shared" si="0"/>
        <v>0</v>
      </c>
      <c r="M10" s="211"/>
      <c r="N10" s="209">
        <f t="shared" si="1"/>
        <v>0</v>
      </c>
    </row>
    <row r="11" spans="1:14" ht="37" customHeight="1" x14ac:dyDescent="0.2">
      <c r="A11" s="206"/>
      <c r="B11" s="207"/>
      <c r="C11" s="207"/>
      <c r="D11" s="176"/>
      <c r="E11" s="206" t="s">
        <v>215</v>
      </c>
      <c r="F11" s="207"/>
      <c r="G11" s="207"/>
      <c r="H11" s="176"/>
      <c r="I11" s="207" t="s">
        <v>46</v>
      </c>
      <c r="J11" s="207" t="s">
        <v>45</v>
      </c>
      <c r="K11" s="210"/>
      <c r="L11" s="209">
        <f t="shared" si="0"/>
        <v>0</v>
      </c>
      <c r="M11" s="212"/>
      <c r="N11" s="209">
        <f t="shared" si="1"/>
        <v>0</v>
      </c>
    </row>
    <row r="12" spans="1:14" ht="37" customHeight="1" x14ac:dyDescent="0.2">
      <c r="A12" s="206"/>
      <c r="B12" s="207"/>
      <c r="C12" s="207"/>
      <c r="D12" s="176"/>
      <c r="E12" s="206" t="s">
        <v>215</v>
      </c>
      <c r="F12" s="207"/>
      <c r="G12" s="207"/>
      <c r="H12" s="176"/>
      <c r="I12" s="207" t="s">
        <v>44</v>
      </c>
      <c r="J12" s="207" t="s">
        <v>43</v>
      </c>
      <c r="K12" s="306" t="s">
        <v>374</v>
      </c>
      <c r="L12" s="209">
        <f t="shared" si="0"/>
        <v>0</v>
      </c>
      <c r="M12" s="213"/>
      <c r="N12" s="209">
        <f t="shared" si="1"/>
        <v>0</v>
      </c>
    </row>
    <row r="13" spans="1:14" ht="37" customHeight="1" x14ac:dyDescent="0.2">
      <c r="A13" s="206"/>
      <c r="B13" s="207"/>
      <c r="C13" s="207"/>
      <c r="D13" s="176"/>
      <c r="E13" s="206" t="s">
        <v>215</v>
      </c>
      <c r="F13" s="207"/>
      <c r="G13" s="207"/>
      <c r="H13" s="176"/>
      <c r="I13" s="207" t="s">
        <v>41</v>
      </c>
      <c r="J13" s="207" t="s">
        <v>40</v>
      </c>
      <c r="K13" s="306" t="s">
        <v>375</v>
      </c>
      <c r="L13" s="209">
        <f t="shared" si="0"/>
        <v>0</v>
      </c>
      <c r="M13" s="213"/>
      <c r="N13" s="209">
        <f t="shared" si="1"/>
        <v>0</v>
      </c>
    </row>
    <row r="14" spans="1:14" ht="37" customHeight="1" x14ac:dyDescent="0.2">
      <c r="A14" s="214"/>
      <c r="B14" s="215"/>
      <c r="C14" s="215"/>
      <c r="D14" s="215"/>
      <c r="E14" s="214"/>
      <c r="F14" s="215"/>
      <c r="G14" s="215"/>
      <c r="H14" s="215"/>
      <c r="I14" s="216"/>
      <c r="J14" s="217" t="s">
        <v>39</v>
      </c>
      <c r="K14" s="209">
        <f>SUM(K5:K13)</f>
        <v>0</v>
      </c>
      <c r="L14" s="209">
        <f>SUM(L5:L13)</f>
        <v>0</v>
      </c>
      <c r="M14" s="209">
        <f>SUM(M5:M13)</f>
        <v>0</v>
      </c>
      <c r="N14" s="209">
        <f>SUM(N5:N13)</f>
        <v>0</v>
      </c>
    </row>
    <row r="15" spans="1:14" ht="37" customHeight="1" x14ac:dyDescent="0.2">
      <c r="E15" s="260"/>
      <c r="F15" s="260"/>
      <c r="G15" s="260"/>
      <c r="H15" s="260"/>
      <c r="I15" s="260"/>
      <c r="J15" s="260"/>
      <c r="K15" s="260"/>
      <c r="L15" s="260"/>
      <c r="M15" s="260"/>
      <c r="N15" s="260"/>
    </row>
    <row r="16" spans="1:14" ht="37" customHeight="1" x14ac:dyDescent="0.2">
      <c r="E16" s="260"/>
      <c r="F16" s="260"/>
      <c r="G16" s="260"/>
      <c r="H16" s="260"/>
      <c r="I16" s="260"/>
      <c r="J16" s="260"/>
      <c r="K16" s="260"/>
      <c r="L16" s="260"/>
      <c r="M16" s="260"/>
      <c r="N16" s="260"/>
    </row>
    <row r="17" spans="4:4" ht="37" customHeight="1" x14ac:dyDescent="0.2">
      <c r="D17" s="218"/>
    </row>
  </sheetData>
  <mergeCells count="2">
    <mergeCell ref="L2:L4"/>
    <mergeCell ref="N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E93B-8E70-B54E-BC52-A477EEC4677F}">
  <dimension ref="A1:Q13"/>
  <sheetViews>
    <sheetView workbookViewId="0">
      <selection activeCell="H5" sqref="H5"/>
    </sheetView>
  </sheetViews>
  <sheetFormatPr baseColWidth="10" defaultRowHeight="15" x14ac:dyDescent="0.2"/>
  <cols>
    <col min="7" max="7" width="10.33203125" bestFit="1"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
      <c r="A1" s="294"/>
      <c r="B1" s="394" t="s">
        <v>295</v>
      </c>
      <c r="C1" s="394"/>
      <c r="D1" s="394"/>
      <c r="E1" s="394"/>
      <c r="F1" s="295"/>
      <c r="G1" s="294"/>
      <c r="H1" s="294"/>
      <c r="I1" s="294"/>
      <c r="J1" s="294"/>
      <c r="K1" s="294"/>
      <c r="L1" s="294"/>
      <c r="M1" s="294"/>
      <c r="N1" s="294"/>
      <c r="O1" s="294"/>
      <c r="P1" s="294"/>
      <c r="Q1" s="294"/>
    </row>
    <row r="2" spans="1:17" x14ac:dyDescent="0.2">
      <c r="A2" s="274"/>
      <c r="B2" s="275"/>
      <c r="C2" s="275"/>
      <c r="D2" s="275"/>
      <c r="E2" s="275"/>
      <c r="F2" s="276"/>
      <c r="G2" s="277" t="s">
        <v>38</v>
      </c>
      <c r="H2" s="277" t="s">
        <v>38</v>
      </c>
      <c r="I2" s="277" t="s">
        <v>38</v>
      </c>
      <c r="J2" s="277" t="s">
        <v>38</v>
      </c>
      <c r="K2" s="277" t="s">
        <v>38</v>
      </c>
      <c r="L2" s="277" t="s">
        <v>38</v>
      </c>
      <c r="M2" s="277" t="s">
        <v>38</v>
      </c>
      <c r="N2" s="277" t="s">
        <v>38</v>
      </c>
      <c r="O2" s="277" t="s">
        <v>38</v>
      </c>
      <c r="P2" s="277" t="s">
        <v>38</v>
      </c>
      <c r="Q2" s="376" t="s">
        <v>274</v>
      </c>
    </row>
    <row r="3" spans="1:17" ht="24" x14ac:dyDescent="0.2">
      <c r="A3" s="274"/>
      <c r="B3" s="275"/>
      <c r="C3" s="275"/>
      <c r="D3" s="275"/>
      <c r="E3" s="275"/>
      <c r="F3" s="276"/>
      <c r="G3" s="277" t="s">
        <v>275</v>
      </c>
      <c r="H3" s="277" t="s">
        <v>276</v>
      </c>
      <c r="I3" s="277" t="s">
        <v>142</v>
      </c>
      <c r="J3" s="277" t="s">
        <v>143</v>
      </c>
      <c r="K3" s="277" t="s">
        <v>144</v>
      </c>
      <c r="L3" s="277" t="s">
        <v>277</v>
      </c>
      <c r="M3" s="277" t="s">
        <v>278</v>
      </c>
      <c r="N3" s="277" t="s">
        <v>279</v>
      </c>
      <c r="O3" s="277" t="s">
        <v>280</v>
      </c>
      <c r="P3" s="277" t="s">
        <v>281</v>
      </c>
      <c r="Q3" s="376"/>
    </row>
    <row r="4" spans="1:17" ht="70" x14ac:dyDescent="0.2">
      <c r="A4" s="278"/>
      <c r="B4" s="279" t="s">
        <v>112</v>
      </c>
      <c r="C4" s="279" t="s">
        <v>111</v>
      </c>
      <c r="D4" s="279" t="s">
        <v>32</v>
      </c>
      <c r="E4" s="279" t="s">
        <v>282</v>
      </c>
      <c r="F4" s="279" t="s">
        <v>109</v>
      </c>
      <c r="G4" s="280" t="s">
        <v>283</v>
      </c>
      <c r="H4" s="280" t="s">
        <v>284</v>
      </c>
      <c r="I4" s="280" t="s">
        <v>285</v>
      </c>
      <c r="J4" s="280" t="s">
        <v>286</v>
      </c>
      <c r="K4" s="280" t="s">
        <v>287</v>
      </c>
      <c r="L4" s="280" t="s">
        <v>288</v>
      </c>
      <c r="M4" s="280" t="s">
        <v>289</v>
      </c>
      <c r="N4" s="280" t="s">
        <v>290</v>
      </c>
      <c r="O4" s="280" t="s">
        <v>291</v>
      </c>
      <c r="P4" s="280" t="s">
        <v>292</v>
      </c>
      <c r="Q4" s="376"/>
    </row>
    <row r="5" spans="1:17" ht="398" x14ac:dyDescent="0.2">
      <c r="A5" s="281" t="s">
        <v>293</v>
      </c>
      <c r="B5" s="282"/>
      <c r="C5" s="282"/>
      <c r="D5" s="282"/>
      <c r="E5" s="282" t="s">
        <v>62</v>
      </c>
      <c r="F5" s="283" t="s">
        <v>61</v>
      </c>
      <c r="G5" s="284" t="s">
        <v>296</v>
      </c>
      <c r="H5" s="285" t="s">
        <v>297</v>
      </c>
      <c r="I5" s="286" t="s">
        <v>298</v>
      </c>
      <c r="J5" s="286" t="s">
        <v>299</v>
      </c>
      <c r="K5" s="286" t="s">
        <v>300</v>
      </c>
      <c r="L5" s="285" t="s">
        <v>301</v>
      </c>
      <c r="M5" s="286"/>
      <c r="N5" s="286" t="s">
        <v>302</v>
      </c>
      <c r="O5" s="286"/>
      <c r="P5" s="286" t="s">
        <v>303</v>
      </c>
      <c r="Q5" s="287">
        <f>SUMIF($G$2:P$2,P$2,$G5:P5)</f>
        <v>0</v>
      </c>
    </row>
    <row r="6" spans="1:17" ht="266" x14ac:dyDescent="0.2">
      <c r="A6" s="281" t="s">
        <v>293</v>
      </c>
      <c r="B6" s="282"/>
      <c r="C6" s="282"/>
      <c r="D6" s="282"/>
      <c r="E6" s="282" t="s">
        <v>60</v>
      </c>
      <c r="F6" s="283" t="s">
        <v>59</v>
      </c>
      <c r="G6" s="288"/>
      <c r="H6" s="285" t="s">
        <v>304</v>
      </c>
      <c r="I6" s="286" t="s">
        <v>305</v>
      </c>
      <c r="J6" s="286"/>
      <c r="K6" s="286" t="s">
        <v>306</v>
      </c>
      <c r="L6" s="285" t="s">
        <v>307</v>
      </c>
      <c r="M6" s="286" t="s">
        <v>308</v>
      </c>
      <c r="N6" s="286" t="s">
        <v>309</v>
      </c>
      <c r="O6" s="286" t="s">
        <v>310</v>
      </c>
      <c r="P6" s="286" t="s">
        <v>311</v>
      </c>
      <c r="Q6" s="287">
        <f>SUMIF($G$2:P$2,P$2,$G6:P6)</f>
        <v>0</v>
      </c>
    </row>
    <row r="7" spans="1:17" ht="224" x14ac:dyDescent="0.2">
      <c r="A7" s="281" t="s">
        <v>293</v>
      </c>
      <c r="B7" s="282"/>
      <c r="C7" s="282"/>
      <c r="D7" s="282"/>
      <c r="E7" s="282" t="s">
        <v>56</v>
      </c>
      <c r="F7" s="283" t="s">
        <v>55</v>
      </c>
      <c r="G7" s="288"/>
      <c r="H7" s="285" t="s">
        <v>312</v>
      </c>
      <c r="I7" s="286" t="s">
        <v>313</v>
      </c>
      <c r="J7" s="286" t="s">
        <v>314</v>
      </c>
      <c r="K7" s="286" t="s">
        <v>315</v>
      </c>
      <c r="L7" s="285" t="s">
        <v>316</v>
      </c>
      <c r="M7" s="286" t="s">
        <v>317</v>
      </c>
      <c r="N7" s="286" t="s">
        <v>318</v>
      </c>
      <c r="O7" s="286" t="s">
        <v>319</v>
      </c>
      <c r="P7" s="286" t="s">
        <v>320</v>
      </c>
      <c r="Q7" s="287">
        <f>SUMIF($G$2:P$2,P$2,$G7:P7)</f>
        <v>0</v>
      </c>
    </row>
    <row r="8" spans="1:17" ht="345" x14ac:dyDescent="0.2">
      <c r="A8" s="281" t="s">
        <v>293</v>
      </c>
      <c r="B8" s="282"/>
      <c r="C8" s="282"/>
      <c r="D8" s="282"/>
      <c r="E8" s="282" t="s">
        <v>54</v>
      </c>
      <c r="F8" s="283" t="s">
        <v>53</v>
      </c>
      <c r="G8" s="288"/>
      <c r="H8" s="285" t="s">
        <v>321</v>
      </c>
      <c r="I8" s="286" t="s">
        <v>322</v>
      </c>
      <c r="J8" s="286" t="s">
        <v>323</v>
      </c>
      <c r="K8" s="286" t="s">
        <v>324</v>
      </c>
      <c r="L8" s="285" t="s">
        <v>325</v>
      </c>
      <c r="M8" s="286" t="s">
        <v>326</v>
      </c>
      <c r="N8" s="286" t="s">
        <v>327</v>
      </c>
      <c r="O8" s="286" t="s">
        <v>328</v>
      </c>
      <c r="P8" s="286" t="s">
        <v>329</v>
      </c>
      <c r="Q8" s="287">
        <f>SUMIF($G$2:P$2,P$2,$G8:P8)</f>
        <v>0</v>
      </c>
    </row>
    <row r="9" spans="1:17" ht="210" x14ac:dyDescent="0.2">
      <c r="A9" s="281" t="s">
        <v>293</v>
      </c>
      <c r="B9" s="282"/>
      <c r="C9" s="282"/>
      <c r="D9" s="282"/>
      <c r="E9" s="282" t="s">
        <v>52</v>
      </c>
      <c r="F9" s="283" t="s">
        <v>51</v>
      </c>
      <c r="G9" s="288"/>
      <c r="H9" s="285" t="s">
        <v>330</v>
      </c>
      <c r="I9" s="286" t="s">
        <v>331</v>
      </c>
      <c r="J9" s="286" t="s">
        <v>332</v>
      </c>
      <c r="K9" s="286" t="s">
        <v>333</v>
      </c>
      <c r="L9" s="285" t="s">
        <v>334</v>
      </c>
      <c r="M9" s="286" t="s">
        <v>335</v>
      </c>
      <c r="N9" s="286" t="s">
        <v>336</v>
      </c>
      <c r="O9" s="286" t="s">
        <v>337</v>
      </c>
      <c r="P9" s="286" t="s">
        <v>338</v>
      </c>
      <c r="Q9" s="287">
        <f>SUMIF($G$2:P$2,P$2,$G9:P9)</f>
        <v>0</v>
      </c>
    </row>
    <row r="10" spans="1:17" ht="196" x14ac:dyDescent="0.2">
      <c r="A10" s="281" t="s">
        <v>293</v>
      </c>
      <c r="B10" s="282"/>
      <c r="C10" s="282"/>
      <c r="D10" s="282"/>
      <c r="E10" s="282" t="s">
        <v>50</v>
      </c>
      <c r="F10" s="283" t="s">
        <v>49</v>
      </c>
      <c r="G10" s="288"/>
      <c r="H10" s="285" t="s">
        <v>339</v>
      </c>
      <c r="I10" s="286" t="s">
        <v>340</v>
      </c>
      <c r="J10" s="286" t="s">
        <v>341</v>
      </c>
      <c r="K10" s="286" t="s">
        <v>342</v>
      </c>
      <c r="L10" s="285" t="s">
        <v>343</v>
      </c>
      <c r="M10" s="286" t="s">
        <v>344</v>
      </c>
      <c r="N10" s="286" t="s">
        <v>345</v>
      </c>
      <c r="O10" s="286" t="s">
        <v>346</v>
      </c>
      <c r="P10" s="286" t="s">
        <v>347</v>
      </c>
      <c r="Q10" s="287">
        <f>SUMIF($G$2:P$2,P$2,$G10:P10)</f>
        <v>0</v>
      </c>
    </row>
    <row r="11" spans="1:17" ht="280" x14ac:dyDescent="0.2">
      <c r="A11" s="281" t="s">
        <v>293</v>
      </c>
      <c r="B11" s="282"/>
      <c r="C11" s="282"/>
      <c r="D11" s="282"/>
      <c r="E11" s="282" t="s">
        <v>48</v>
      </c>
      <c r="F11" s="283" t="s">
        <v>47</v>
      </c>
      <c r="G11" s="288"/>
      <c r="H11" s="285" t="s">
        <v>348</v>
      </c>
      <c r="I11" s="286" t="s">
        <v>349</v>
      </c>
      <c r="J11" s="286" t="s">
        <v>350</v>
      </c>
      <c r="K11" s="286" t="s">
        <v>351</v>
      </c>
      <c r="L11" s="285" t="s">
        <v>352</v>
      </c>
      <c r="M11" s="286" t="s">
        <v>353</v>
      </c>
      <c r="N11" s="286" t="s">
        <v>354</v>
      </c>
      <c r="O11" s="286" t="s">
        <v>355</v>
      </c>
      <c r="P11" s="286" t="s">
        <v>356</v>
      </c>
      <c r="Q11" s="287">
        <f>SUMIF($G$2:P$2,P$2,$G11:P11)</f>
        <v>0</v>
      </c>
    </row>
    <row r="12" spans="1:17" ht="280" x14ac:dyDescent="0.2">
      <c r="A12" s="281" t="s">
        <v>293</v>
      </c>
      <c r="B12" s="282"/>
      <c r="C12" s="282"/>
      <c r="D12" s="282"/>
      <c r="E12" s="282" t="s">
        <v>46</v>
      </c>
      <c r="F12" s="283" t="s">
        <v>45</v>
      </c>
      <c r="G12" s="288"/>
      <c r="H12" s="285" t="s">
        <v>357</v>
      </c>
      <c r="I12" s="286" t="s">
        <v>358</v>
      </c>
      <c r="J12" s="286" t="s">
        <v>359</v>
      </c>
      <c r="K12" s="286" t="s">
        <v>360</v>
      </c>
      <c r="L12" s="285" t="s">
        <v>361</v>
      </c>
      <c r="M12" s="286" t="s">
        <v>362</v>
      </c>
      <c r="N12" s="286" t="s">
        <v>363</v>
      </c>
      <c r="O12" s="286" t="s">
        <v>364</v>
      </c>
      <c r="P12" s="286" t="s">
        <v>365</v>
      </c>
      <c r="Q12" s="287">
        <f>SUMIF($G$2:P$2,P$2,$G12:P12)</f>
        <v>0</v>
      </c>
    </row>
    <row r="13" spans="1:17" ht="28" x14ac:dyDescent="0.2">
      <c r="A13" s="296"/>
      <c r="B13" s="297"/>
      <c r="C13" s="297"/>
      <c r="D13" s="298"/>
      <c r="E13" s="297"/>
      <c r="F13" s="289" t="s">
        <v>39</v>
      </c>
      <c r="G13" s="287">
        <f>SUMIF($C$5:$C12,$C12,G$5:G12)</f>
        <v>0</v>
      </c>
      <c r="H13" s="287">
        <f>SUMIF($C$5:$C12,$C12,H$5:H12)</f>
        <v>0</v>
      </c>
      <c r="I13" s="287">
        <f>SUMIF($C$5:$C12,$C12,I$5:I12)</f>
        <v>0</v>
      </c>
      <c r="J13" s="287">
        <f>SUMIF($C$5:$C12,$C12,J$5:J12)</f>
        <v>0</v>
      </c>
      <c r="K13" s="287">
        <f>SUMIF($C$5:$C12,$C12,K$5:K12)</f>
        <v>0</v>
      </c>
      <c r="L13" s="287">
        <f>SUMIF($C$5:$C12,$C12,L$5:L12)</f>
        <v>0</v>
      </c>
      <c r="M13" s="287">
        <f>SUMIF($C$5:$C12,$C12,M$5:M12)</f>
        <v>0</v>
      </c>
      <c r="N13" s="287">
        <f>SUMIF($C$5:$C12,$C12,N$5:N12)</f>
        <v>0</v>
      </c>
      <c r="O13" s="287">
        <f>SUMIF($C$5:$C12,$C12,O$5:O12)</f>
        <v>0</v>
      </c>
      <c r="P13" s="287">
        <f>SUMIF($C$5:$C12,$C12,P$5:P12)</f>
        <v>0</v>
      </c>
      <c r="Q13" s="287">
        <f>SUMIF($C$5:$C12,$C12,Q$5:Q12)</f>
        <v>0</v>
      </c>
    </row>
  </sheetData>
  <mergeCells count="2">
    <mergeCell ref="B1:E1"/>
    <mergeCell ref="Q2:Q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1</vt:i4>
      </vt:variant>
    </vt:vector>
  </HeadingPairs>
  <TitlesOfParts>
    <vt:vector size="21"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lpstr>TJCPH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Extraction de données d'effectifs</dc:title>
  <dc:subject/>
  <dc:creator>A-JUST</dc:creator>
  <cp:keywords/>
  <dc:description>Ce fichier est généré sur la base des données saisies dans A-JUST</dc:description>
  <cp:lastModifiedBy>Jimmy CHEVALLIER</cp:lastModifiedBy>
  <dcterms:created xsi:type="dcterms:W3CDTF">2020-03-26T00:32:42Z</dcterms:created>
  <dcterms:modified xsi:type="dcterms:W3CDTF">2025-02-21T17:58:53Z</dcterms:modified>
  <cp:category/>
</cp:coreProperties>
</file>