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immychevallier/Documents/GitHub/a-just/front/src/assets/"/>
    </mc:Choice>
  </mc:AlternateContent>
  <xr:revisionPtr revIDLastSave="0" documentId="13_ncr:1_{5B904EEE-7121-DA47-B624-F62FF37BCC9F}" xr6:coauthVersionLast="47" xr6:coauthVersionMax="47" xr10:uidLastSave="{00000000-0000-0000-0000-000000000000}"/>
  <bookViews>
    <workbookView xWindow="0" yWindow="760" windowWidth="30240" windowHeight="17780" activeTab="2" xr2:uid="{50CB0F02-73D8-432D-BA19-0D33B1FE1838}"/>
  </bookViews>
  <sheets>
    <sheet name="ACCUEIL" sheetId="33" r:id="rId1"/>
    <sheet name="ETPT A-JUST" sheetId="1" r:id="rId2"/>
    <sheet name="ETPT Format DDG" sheetId="9" r:id="rId3"/>
    <sheet name="Agrégats DDG" sheetId="10" r:id="rId4"/>
    <sheet name="codage tribunal" sheetId="12" state="hidden" r:id="rId5"/>
    <sheet name="Juridictions" sheetId="17" state="hidden" r:id="rId6"/>
    <sheet name="Table_Fonctions" sheetId="19" r:id="rId7"/>
    <sheet name="ETPT_TJ" sheetId="25" state="hidden" r:id="rId8"/>
    <sheet name="ETPT_TPRX" sheetId="26" state="hidden" r:id="rId9"/>
    <sheet name="ETPT_CPH" sheetId="27" state="hidden" r:id="rId10"/>
    <sheet name="ETPT_TJ_DDG" sheetId="28" r:id="rId11"/>
    <sheet name="ETPT_TPRX_DDG" sheetId="29" r:id="rId12"/>
    <sheet name="ETPT_CPH_DDG" sheetId="30" r:id="rId13"/>
    <sheet name="ETPT_TJ_corresp-SIEGE-TJ" sheetId="24" state="hidden" r:id="rId14"/>
    <sheet name="ETPT_TPROX_corresp-SIEGE-TPROX" sheetId="34" state="hidden" r:id="rId15"/>
    <sheet name="ETPT_TJ_corresp-GREFFE-TJ" sheetId="35" state="hidden" r:id="rId16"/>
    <sheet name="ETPT_TROX_corresp-GREFFE-TPROX" sheetId="36" state="hidden" r:id="rId17"/>
    <sheet name="ETPT_CPH_corresp-GREFFE-CPH" sheetId="37" state="hidden" r:id="rId18"/>
  </sheets>
  <definedNames>
    <definedName name="_xlnm._FilterDatabase" localSheetId="1" hidden="1">'ETPT A-JUST'!$A$2:$DN$2</definedName>
    <definedName name="_xlnm._FilterDatabase" localSheetId="2" hidden="1">'ETPT Format DDG'!$A$2:$DT$2</definedName>
    <definedName name="_xlnm._FilterDatabase" localSheetId="6" hidden="1">Table_Fonctions!$A$1:$G$1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1" i="25" l="1"/>
  <c r="AM6" i="25"/>
  <c r="AH18" i="26"/>
  <c r="R18" i="26"/>
  <c r="AH12" i="26"/>
  <c r="T12" i="26"/>
  <c r="R12" i="26"/>
  <c r="G18" i="26"/>
  <c r="G13" i="26"/>
  <c r="G12" i="26"/>
  <c r="G20" i="25"/>
  <c r="AY12" i="25"/>
  <c r="AK12" i="25"/>
  <c r="AJ12" i="25"/>
  <c r="AI12" i="25"/>
  <c r="AA12" i="25"/>
  <c r="AE12" i="25"/>
  <c r="AD12" i="25"/>
  <c r="V20" i="25"/>
  <c r="Z12" i="25"/>
  <c r="AY20" i="25"/>
  <c r="Y12" i="25"/>
  <c r="X12" i="25"/>
  <c r="V12" i="25"/>
  <c r="G12" i="25"/>
  <c r="Y5" i="26" l="1"/>
  <c r="X5" i="26"/>
  <c r="W5" i="26"/>
  <c r="G12" i="27"/>
  <c r="I5" i="27"/>
  <c r="G5" i="27"/>
  <c r="AH13" i="26"/>
  <c r="G14" i="26"/>
  <c r="AH9" i="26"/>
  <c r="AG5" i="26"/>
  <c r="AH5" i="26"/>
  <c r="AJ5" i="25"/>
  <c r="T10" i="26"/>
  <c r="T9" i="26"/>
  <c r="R13" i="26"/>
  <c r="R10" i="26"/>
  <c r="R8" i="26"/>
  <c r="L5" i="26"/>
  <c r="J14" i="26"/>
  <c r="R14" i="26" s="1"/>
  <c r="J5" i="26"/>
  <c r="R5" i="26" s="1"/>
  <c r="G15" i="26"/>
  <c r="G14" i="25"/>
  <c r="G8" i="26"/>
  <c r="G5" i="26"/>
  <c r="U6" i="10"/>
  <c r="S6" i="10"/>
  <c r="R6" i="10"/>
  <c r="Q6" i="10"/>
  <c r="P6" i="10"/>
  <c r="N6" i="10"/>
  <c r="L6" i="10"/>
  <c r="K6" i="10"/>
  <c r="J6" i="10"/>
  <c r="I6" i="10"/>
  <c r="G6" i="10"/>
  <c r="AM14" i="25"/>
  <c r="AY13" i="25"/>
  <c r="AY7" i="25"/>
  <c r="AY6" i="25"/>
  <c r="AX6" i="25"/>
  <c r="AR6" i="25"/>
  <c r="AQ6" i="25"/>
  <c r="AP6" i="25"/>
  <c r="AO6" i="25"/>
  <c r="AN6" i="25"/>
  <c r="AY5" i="25"/>
  <c r="AX5" i="25"/>
  <c r="AT5" i="25"/>
  <c r="AW5" i="25"/>
  <c r="AV5" i="25"/>
  <c r="AU5" i="25"/>
  <c r="AS5" i="25"/>
  <c r="AE14" i="25"/>
  <c r="AK13" i="25"/>
  <c r="AJ13" i="25"/>
  <c r="AI13" i="25"/>
  <c r="AE13" i="25"/>
  <c r="AD13" i="25"/>
  <c r="AD9" i="25"/>
  <c r="AK7" i="25"/>
  <c r="AF6" i="25"/>
  <c r="AE6" i="25"/>
  <c r="AD5" i="25"/>
  <c r="AK5" i="25"/>
  <c r="Y6" i="25" l="1"/>
  <c r="Y5" i="25"/>
  <c r="X10" i="25"/>
  <c r="X6" i="25"/>
  <c r="X5" i="25"/>
  <c r="V9" i="25"/>
  <c r="U15" i="25"/>
  <c r="U14" i="25"/>
  <c r="U5" i="25"/>
  <c r="T5" i="25"/>
  <c r="S5" i="25"/>
  <c r="R6" i="25"/>
  <c r="R5" i="25"/>
  <c r="P5" i="25"/>
  <c r="V5" i="25" s="1"/>
  <c r="Q5" i="25"/>
  <c r="N15" i="25"/>
  <c r="N14" i="25"/>
  <c r="K14" i="25"/>
  <c r="O6" i="25"/>
  <c r="N6" i="25"/>
  <c r="M6" i="25"/>
  <c r="L6" i="25"/>
  <c r="K6" i="25"/>
  <c r="V6" i="25" s="1"/>
  <c r="J6" i="25"/>
  <c r="I5" i="25"/>
  <c r="G15" i="25"/>
  <c r="G6" i="25"/>
  <c r="G13" i="25" l="1"/>
  <c r="G11" i="25"/>
  <c r="G10" i="25"/>
  <c r="G9" i="25"/>
  <c r="G8" i="25"/>
  <c r="H6" i="10"/>
  <c r="M14" i="37"/>
  <c r="K14" i="37"/>
  <c r="N13" i="37"/>
  <c r="L13" i="37"/>
  <c r="N12" i="37"/>
  <c r="L12" i="37"/>
  <c r="N11" i="37"/>
  <c r="L11" i="37"/>
  <c r="N10" i="37"/>
  <c r="L10" i="37"/>
  <c r="N9" i="37"/>
  <c r="L9" i="37"/>
  <c r="N8" i="37"/>
  <c r="L8" i="37"/>
  <c r="N7" i="37"/>
  <c r="L7" i="37"/>
  <c r="N6" i="37"/>
  <c r="L6" i="37"/>
  <c r="N5" i="37"/>
  <c r="N14" i="37" s="1"/>
  <c r="L5" i="37"/>
  <c r="L14" i="37" s="1"/>
  <c r="T16" i="36"/>
  <c r="R16" i="36"/>
  <c r="Q16" i="36"/>
  <c r="P16" i="36"/>
  <c r="O16" i="36"/>
  <c r="N16" i="36"/>
  <c r="M16" i="36"/>
  <c r="L16" i="36"/>
  <c r="K16" i="36"/>
  <c r="J16" i="36"/>
  <c r="I16" i="36"/>
  <c r="G16" i="36"/>
  <c r="U15" i="36"/>
  <c r="S15" i="36"/>
  <c r="H15" i="36"/>
  <c r="U14" i="36"/>
  <c r="S14" i="36"/>
  <c r="H14" i="36"/>
  <c r="U13" i="36"/>
  <c r="S13" i="36"/>
  <c r="H13" i="36"/>
  <c r="U12" i="36"/>
  <c r="S12" i="36"/>
  <c r="H12" i="36"/>
  <c r="U11" i="36"/>
  <c r="S11" i="36"/>
  <c r="H11" i="36"/>
  <c r="U10" i="36"/>
  <c r="S10" i="36"/>
  <c r="H10" i="36"/>
  <c r="U9" i="36"/>
  <c r="S9" i="36"/>
  <c r="H9" i="36"/>
  <c r="U8" i="36"/>
  <c r="S8" i="36"/>
  <c r="H8" i="36"/>
  <c r="U7" i="36"/>
  <c r="S7" i="36"/>
  <c r="H7" i="36"/>
  <c r="U6" i="36"/>
  <c r="S6" i="36"/>
  <c r="H6" i="36"/>
  <c r="U5" i="36"/>
  <c r="U16" i="36" s="1"/>
  <c r="S5" i="36"/>
  <c r="S16" i="36" s="1"/>
  <c r="H5" i="36"/>
  <c r="H16" i="36" s="1"/>
  <c r="AB16" i="35"/>
  <c r="AA16" i="35"/>
  <c r="Z16" i="35"/>
  <c r="Y16" i="35"/>
  <c r="X16" i="35"/>
  <c r="W16" i="35"/>
  <c r="V16" i="35"/>
  <c r="U16" i="35"/>
  <c r="T16" i="35"/>
  <c r="S16" i="35"/>
  <c r="Q16" i="35"/>
  <c r="P16" i="35"/>
  <c r="O16" i="35"/>
  <c r="N16" i="35"/>
  <c r="M16" i="35"/>
  <c r="L16" i="35"/>
  <c r="K16" i="35"/>
  <c r="J16" i="35"/>
  <c r="I16" i="35"/>
  <c r="H16" i="35"/>
  <c r="G16" i="35"/>
  <c r="AB15" i="35"/>
  <c r="W15" i="35"/>
  <c r="H15" i="35"/>
  <c r="AB14" i="35"/>
  <c r="W14" i="35"/>
  <c r="H14" i="35"/>
  <c r="AB13" i="35"/>
  <c r="W13" i="35"/>
  <c r="H13" i="35"/>
  <c r="AB12" i="35"/>
  <c r="W12" i="35"/>
  <c r="H12" i="35"/>
  <c r="AB11" i="35"/>
  <c r="W11" i="35"/>
  <c r="H11" i="35"/>
  <c r="AB10" i="35"/>
  <c r="W10" i="35"/>
  <c r="H10" i="35"/>
  <c r="AB9" i="35"/>
  <c r="W9" i="35"/>
  <c r="H9" i="35"/>
  <c r="AB8" i="35"/>
  <c r="W8" i="35"/>
  <c r="H8" i="35"/>
  <c r="AB7" i="35"/>
  <c r="W7" i="35"/>
  <c r="H7" i="35"/>
  <c r="AB6" i="35"/>
  <c r="W6" i="35"/>
  <c r="H6" i="35"/>
  <c r="AB5" i="35"/>
  <c r="W5" i="35"/>
  <c r="H5" i="35"/>
  <c r="S16" i="34"/>
  <c r="R16" i="34"/>
  <c r="Q16" i="34"/>
  <c r="O16" i="34"/>
  <c r="N16" i="34"/>
  <c r="M16" i="34"/>
  <c r="L16" i="34"/>
  <c r="K16" i="34"/>
  <c r="J16" i="34"/>
  <c r="I16" i="34"/>
  <c r="H16" i="34"/>
  <c r="G16" i="34"/>
  <c r="T15" i="34"/>
  <c r="P15" i="34"/>
  <c r="T14" i="34"/>
  <c r="P14" i="34"/>
  <c r="T13" i="34"/>
  <c r="P13" i="34"/>
  <c r="T12" i="34"/>
  <c r="P12" i="34"/>
  <c r="T11" i="34"/>
  <c r="P11" i="34"/>
  <c r="T10" i="34"/>
  <c r="P10" i="34"/>
  <c r="T9" i="34"/>
  <c r="P9" i="34"/>
  <c r="T8" i="34"/>
  <c r="P8" i="34"/>
  <c r="T7" i="34"/>
  <c r="P7" i="34"/>
  <c r="T6" i="34"/>
  <c r="P6" i="34"/>
  <c r="T5" i="34"/>
  <c r="T16" i="34" s="1"/>
  <c r="P5" i="34"/>
  <c r="P16" i="34" s="1"/>
  <c r="AN16" i="24"/>
  <c r="AM16" i="24"/>
  <c r="AL16" i="24"/>
  <c r="AK16" i="24"/>
  <c r="AJ16" i="24"/>
  <c r="AI16" i="24"/>
  <c r="AH16" i="24"/>
  <c r="AG16" i="24"/>
  <c r="AF16" i="24"/>
  <c r="AE16" i="24"/>
  <c r="AD16" i="24"/>
  <c r="AC16" i="24"/>
  <c r="AB16" i="24"/>
  <c r="AA16" i="24"/>
  <c r="Z16" i="24"/>
  <c r="Y16" i="24"/>
  <c r="X16" i="24"/>
  <c r="W16" i="24"/>
  <c r="V16" i="24"/>
  <c r="U16" i="24"/>
  <c r="T16" i="24"/>
  <c r="S16" i="24"/>
  <c r="R16" i="24"/>
  <c r="Q16" i="24"/>
  <c r="P16" i="24"/>
  <c r="O16" i="24"/>
  <c r="N16" i="24"/>
  <c r="M16" i="24"/>
  <c r="L16" i="24"/>
  <c r="K16" i="24"/>
  <c r="J16" i="24"/>
  <c r="I16" i="24"/>
  <c r="H16" i="24"/>
  <c r="G16" i="24"/>
  <c r="AN15" i="24"/>
  <c r="AD15" i="24"/>
  <c r="P15" i="24"/>
  <c r="AN14" i="24"/>
  <c r="AD14" i="24"/>
  <c r="P14" i="24"/>
  <c r="AN13" i="24"/>
  <c r="AD13" i="24"/>
  <c r="P13" i="24"/>
  <c r="AN12" i="24"/>
  <c r="AD12" i="24"/>
  <c r="P12" i="24"/>
  <c r="AN11" i="24"/>
  <c r="AD11" i="24"/>
  <c r="P11" i="24"/>
  <c r="AN10" i="24"/>
  <c r="AD10" i="24"/>
  <c r="P10" i="24"/>
  <c r="AN9" i="24"/>
  <c r="AD9" i="24"/>
  <c r="P9" i="24"/>
  <c r="AN8" i="24"/>
  <c r="AD8" i="24"/>
  <c r="P8" i="24"/>
  <c r="AN7" i="24"/>
  <c r="AD7" i="24"/>
  <c r="P7" i="24"/>
  <c r="AN6" i="24"/>
  <c r="AD6" i="24"/>
  <c r="P6" i="24"/>
  <c r="AN5" i="24"/>
  <c r="AD5" i="24"/>
  <c r="P5" i="24"/>
  <c r="AH18" i="29"/>
  <c r="AH13" i="29"/>
  <c r="R18" i="29"/>
  <c r="R14" i="29"/>
  <c r="G18" i="29"/>
  <c r="G14" i="29"/>
  <c r="AY20" i="28"/>
  <c r="AY15" i="28"/>
  <c r="G20" i="28"/>
  <c r="G15" i="28"/>
  <c r="V20" i="28"/>
  <c r="V15" i="28"/>
  <c r="G13" i="27"/>
  <c r="T13" i="26"/>
  <c r="AA13" i="25"/>
  <c r="T6" i="10" l="1"/>
  <c r="V6" i="10"/>
  <c r="M6" i="10"/>
  <c r="O6" i="10"/>
  <c r="AW15" i="25" l="1"/>
  <c r="AW14" i="25"/>
  <c r="AR15" i="25"/>
  <c r="AR14" i="25"/>
  <c r="AQ15" i="25"/>
  <c r="AQ14" i="25"/>
  <c r="AP15" i="25"/>
  <c r="AP14" i="25"/>
  <c r="AO15" i="25"/>
  <c r="AO14" i="25"/>
  <c r="AN15" i="25"/>
  <c r="AN14" i="25"/>
  <c r="AM15" i="25"/>
  <c r="AK15" i="25"/>
  <c r="AK14" i="25"/>
  <c r="AJ15" i="25"/>
  <c r="AJ14" i="25"/>
  <c r="AI15" i="25"/>
  <c r="AI14" i="25"/>
  <c r="AH15" i="25"/>
  <c r="AH14" i="25"/>
  <c r="AG15" i="25"/>
  <c r="AG14" i="25"/>
  <c r="AF15" i="25"/>
  <c r="AF14" i="25"/>
  <c r="AE15" i="25"/>
  <c r="AG14" i="26"/>
  <c r="AK6" i="25" l="1"/>
  <c r="AJ6" i="25"/>
  <c r="AI6" i="25"/>
  <c r="AH6" i="25"/>
  <c r="AG6" i="25"/>
  <c r="BJ6" i="25"/>
  <c r="Z6" i="25" l="1"/>
  <c r="AA6" i="25"/>
  <c r="D6" i="30" l="1"/>
  <c r="G6" i="30"/>
  <c r="H6" i="30" s="1"/>
  <c r="I6" i="30"/>
  <c r="J6" i="30" s="1"/>
  <c r="D7" i="30"/>
  <c r="G7" i="30"/>
  <c r="H7" i="30" s="1"/>
  <c r="I7" i="30"/>
  <c r="J7" i="30" s="1"/>
  <c r="D8" i="30"/>
  <c r="G8" i="30"/>
  <c r="H8" i="30"/>
  <c r="I8" i="30"/>
  <c r="J8" i="30"/>
  <c r="D9" i="30"/>
  <c r="G9" i="30"/>
  <c r="H9" i="30"/>
  <c r="I9" i="30"/>
  <c r="J9" i="30"/>
  <c r="D10" i="30"/>
  <c r="G10" i="30"/>
  <c r="H10" i="30" s="1"/>
  <c r="I10" i="30"/>
  <c r="J10" i="30"/>
  <c r="D11" i="30"/>
  <c r="G11" i="30"/>
  <c r="H11" i="30"/>
  <c r="I11" i="30"/>
  <c r="J11" i="30"/>
  <c r="D12" i="30"/>
  <c r="I12" i="30"/>
  <c r="J12" i="30" s="1"/>
  <c r="D13" i="30"/>
  <c r="I13" i="30"/>
  <c r="J13" i="30"/>
  <c r="I5" i="29"/>
  <c r="O5" i="29"/>
  <c r="P5" i="29"/>
  <c r="Q5" i="29"/>
  <c r="V5" i="29"/>
  <c r="AB5" i="29"/>
  <c r="AC5" i="29"/>
  <c r="AD5" i="29"/>
  <c r="AF5" i="29"/>
  <c r="D6" i="29"/>
  <c r="G6" i="29"/>
  <c r="H6" i="29"/>
  <c r="I6" i="29"/>
  <c r="J6" i="29"/>
  <c r="K6" i="29"/>
  <c r="L6" i="29"/>
  <c r="M6" i="29"/>
  <c r="N6" i="29"/>
  <c r="O6" i="29"/>
  <c r="P6" i="29"/>
  <c r="Q6" i="29"/>
  <c r="R6" i="29"/>
  <c r="T6" i="29"/>
  <c r="U6" i="29"/>
  <c r="V6" i="29"/>
  <c r="W6" i="29"/>
  <c r="X6" i="29"/>
  <c r="Y6" i="29"/>
  <c r="Z6" i="29"/>
  <c r="AA6" i="29"/>
  <c r="AB6" i="29"/>
  <c r="AC6" i="29"/>
  <c r="AD6" i="29"/>
  <c r="AF6" i="29"/>
  <c r="AG6" i="29"/>
  <c r="AH6" i="29"/>
  <c r="D7" i="29"/>
  <c r="G7" i="29"/>
  <c r="H7" i="29" s="1"/>
  <c r="I7" i="29"/>
  <c r="J7" i="29"/>
  <c r="K7" i="29"/>
  <c r="L7" i="29"/>
  <c r="M7" i="29"/>
  <c r="N7" i="29"/>
  <c r="O7" i="29"/>
  <c r="P7" i="29"/>
  <c r="Q7" i="29"/>
  <c r="R7" i="29"/>
  <c r="T7" i="29"/>
  <c r="U7" i="29" s="1"/>
  <c r="V7" i="29"/>
  <c r="W7" i="29"/>
  <c r="X7" i="29"/>
  <c r="Y7" i="29"/>
  <c r="Z7" i="29"/>
  <c r="AA7" i="29"/>
  <c r="AB7" i="29"/>
  <c r="AC7" i="29"/>
  <c r="AD7" i="29"/>
  <c r="AF7" i="29"/>
  <c r="AG7" i="29"/>
  <c r="AH7" i="29"/>
  <c r="D8" i="29"/>
  <c r="I8" i="29"/>
  <c r="J8" i="29"/>
  <c r="K8" i="29"/>
  <c r="L8" i="29"/>
  <c r="M8" i="29"/>
  <c r="N8" i="29"/>
  <c r="O8" i="29"/>
  <c r="P8" i="29"/>
  <c r="Q8" i="29"/>
  <c r="V8" i="29"/>
  <c r="W8" i="29"/>
  <c r="X8" i="29"/>
  <c r="Y8" i="29"/>
  <c r="Z8" i="29"/>
  <c r="AA8" i="29"/>
  <c r="AB8" i="29"/>
  <c r="AC8" i="29"/>
  <c r="AD8" i="29"/>
  <c r="AF8" i="29"/>
  <c r="AG8" i="29"/>
  <c r="D9" i="29"/>
  <c r="I9" i="29"/>
  <c r="J9" i="29"/>
  <c r="K9" i="29"/>
  <c r="L9" i="29"/>
  <c r="M9" i="29"/>
  <c r="N9" i="29"/>
  <c r="O9" i="29"/>
  <c r="P9" i="29"/>
  <c r="Q9" i="29"/>
  <c r="V9" i="29"/>
  <c r="W9" i="29"/>
  <c r="X9" i="29"/>
  <c r="Y9" i="29"/>
  <c r="Z9" i="29"/>
  <c r="AA9" i="29"/>
  <c r="AB9" i="29"/>
  <c r="AC9" i="29"/>
  <c r="AD9" i="29"/>
  <c r="AF9" i="29"/>
  <c r="AG9" i="29"/>
  <c r="D10" i="29"/>
  <c r="I10" i="29"/>
  <c r="J10" i="29"/>
  <c r="K10" i="29"/>
  <c r="L10" i="29"/>
  <c r="M10" i="29"/>
  <c r="N10" i="29"/>
  <c r="O10" i="29"/>
  <c r="P10" i="29"/>
  <c r="Q10" i="29"/>
  <c r="V10" i="29"/>
  <c r="W10" i="29"/>
  <c r="X10" i="29"/>
  <c r="Y10" i="29"/>
  <c r="Z10" i="29"/>
  <c r="AA10" i="29"/>
  <c r="AB10" i="29"/>
  <c r="AC10" i="29"/>
  <c r="AD10" i="29"/>
  <c r="AF10" i="29"/>
  <c r="AG10" i="29"/>
  <c r="D11" i="29"/>
  <c r="I11" i="29"/>
  <c r="J11" i="29"/>
  <c r="K11" i="29"/>
  <c r="L11" i="29"/>
  <c r="M11" i="29"/>
  <c r="N11" i="29"/>
  <c r="O11" i="29"/>
  <c r="P11" i="29"/>
  <c r="Q11" i="29"/>
  <c r="V11" i="29"/>
  <c r="W11" i="29"/>
  <c r="X11" i="29"/>
  <c r="Y11" i="29"/>
  <c r="Z11" i="29"/>
  <c r="AA11" i="29"/>
  <c r="AB11" i="29"/>
  <c r="AC11" i="29"/>
  <c r="AD11" i="29"/>
  <c r="AF11" i="29"/>
  <c r="AG11" i="29"/>
  <c r="D12" i="29"/>
  <c r="I12" i="29"/>
  <c r="J12" i="29"/>
  <c r="K12" i="29"/>
  <c r="L12" i="29"/>
  <c r="M12" i="29"/>
  <c r="N12" i="29"/>
  <c r="O12" i="29"/>
  <c r="P12" i="29"/>
  <c r="Q12" i="29"/>
  <c r="V12" i="29"/>
  <c r="W12" i="29"/>
  <c r="X12" i="29"/>
  <c r="Y12" i="29"/>
  <c r="Z12" i="29"/>
  <c r="AA12" i="29"/>
  <c r="AB12" i="29"/>
  <c r="AC12" i="29"/>
  <c r="AD12" i="29"/>
  <c r="AF12" i="29"/>
  <c r="AG12" i="29"/>
  <c r="D13" i="29"/>
  <c r="I13" i="29"/>
  <c r="J13" i="29"/>
  <c r="K13" i="29"/>
  <c r="L13" i="29"/>
  <c r="M13" i="29"/>
  <c r="N13" i="29"/>
  <c r="O13" i="29"/>
  <c r="P13" i="29"/>
  <c r="Q13" i="29"/>
  <c r="V13" i="29"/>
  <c r="W13" i="29"/>
  <c r="X13" i="29"/>
  <c r="Y13" i="29"/>
  <c r="Z13" i="29"/>
  <c r="AA13" i="29"/>
  <c r="AB13" i="29"/>
  <c r="AC13" i="29"/>
  <c r="AD13" i="29"/>
  <c r="AF13" i="29"/>
  <c r="AI13" i="29" s="1"/>
  <c r="AG13" i="29"/>
  <c r="D14" i="29"/>
  <c r="I14" i="29"/>
  <c r="O14" i="29"/>
  <c r="P14" i="29"/>
  <c r="Q14" i="29"/>
  <c r="T14" i="29"/>
  <c r="U14" i="29"/>
  <c r="V14" i="29"/>
  <c r="AB14" i="29"/>
  <c r="AC14" i="29"/>
  <c r="AD14" i="29"/>
  <c r="AF14" i="29"/>
  <c r="D15" i="29"/>
  <c r="I15" i="29"/>
  <c r="O15" i="29"/>
  <c r="P15" i="29"/>
  <c r="Q15" i="29"/>
  <c r="T15" i="29"/>
  <c r="U15" i="29" s="1"/>
  <c r="V15" i="29"/>
  <c r="AB15" i="29"/>
  <c r="AC15" i="29"/>
  <c r="AD15" i="29"/>
  <c r="AF15" i="29"/>
  <c r="J5" i="28"/>
  <c r="K5" i="28"/>
  <c r="L5" i="28"/>
  <c r="M5" i="28"/>
  <c r="N5" i="28"/>
  <c r="O5" i="28"/>
  <c r="AE5" i="28"/>
  <c r="AF5" i="28"/>
  <c r="AG5" i="28"/>
  <c r="AH5" i="28"/>
  <c r="AI5" i="28"/>
  <c r="AM5" i="28"/>
  <c r="AN5" i="28"/>
  <c r="AO5" i="28"/>
  <c r="AP5" i="28"/>
  <c r="AQ5" i="28"/>
  <c r="AR5" i="28"/>
  <c r="BJ5" i="28"/>
  <c r="D6" i="28"/>
  <c r="I6" i="28"/>
  <c r="P6" i="28"/>
  <c r="Q6" i="28"/>
  <c r="S6" i="28"/>
  <c r="T6" i="28"/>
  <c r="U6" i="28"/>
  <c r="AC6" i="28"/>
  <c r="AD6" i="28"/>
  <c r="AS6" i="28"/>
  <c r="AT6" i="28"/>
  <c r="AU6" i="28"/>
  <c r="AV6" i="28"/>
  <c r="AW6" i="28"/>
  <c r="BJ6" i="28"/>
  <c r="D7" i="28"/>
  <c r="G7" i="28"/>
  <c r="H7" i="28" s="1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X7" i="28"/>
  <c r="Y7" i="28"/>
  <c r="Z7" i="28"/>
  <c r="AA7" i="28"/>
  <c r="AC7" i="28"/>
  <c r="AF7" i="28"/>
  <c r="AG7" i="28"/>
  <c r="AH7" i="28"/>
  <c r="AM7" i="28"/>
  <c r="AN7" i="28"/>
  <c r="AO7" i="28"/>
  <c r="AP7" i="28"/>
  <c r="AQ7" i="28"/>
  <c r="AR7" i="28"/>
  <c r="AS7" i="28"/>
  <c r="AT7" i="28"/>
  <c r="AU7" i="28"/>
  <c r="AV7" i="28"/>
  <c r="AW7" i="28"/>
  <c r="AX7" i="28"/>
  <c r="BJ7" i="28"/>
  <c r="D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AC8" i="28"/>
  <c r="AD8" i="28"/>
  <c r="AE8" i="28"/>
  <c r="AF8" i="28"/>
  <c r="AG8" i="28"/>
  <c r="AH8" i="28"/>
  <c r="AI8" i="28"/>
  <c r="AJ8" i="28"/>
  <c r="AK8" i="28"/>
  <c r="AM8" i="28"/>
  <c r="AN8" i="28"/>
  <c r="AO8" i="28"/>
  <c r="AP8" i="28"/>
  <c r="AQ8" i="28"/>
  <c r="AR8" i="28"/>
  <c r="AS8" i="28"/>
  <c r="AT8" i="28"/>
  <c r="AU8" i="28"/>
  <c r="AV8" i="28"/>
  <c r="AW8" i="28"/>
  <c r="AX8" i="28"/>
  <c r="AY8" i="28"/>
  <c r="BJ8" i="28"/>
  <c r="D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AC9" i="28"/>
  <c r="AF9" i="28"/>
  <c r="AG9" i="28"/>
  <c r="AH9" i="28"/>
  <c r="AM9" i="28"/>
  <c r="AN9" i="28"/>
  <c r="AO9" i="28"/>
  <c r="AP9" i="28"/>
  <c r="AQ9" i="28"/>
  <c r="AR9" i="28"/>
  <c r="AS9" i="28"/>
  <c r="AT9" i="28"/>
  <c r="AU9" i="28"/>
  <c r="AV9" i="28"/>
  <c r="AW9" i="28"/>
  <c r="AX9" i="28"/>
  <c r="BJ9" i="28"/>
  <c r="D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AC10" i="28"/>
  <c r="AF10" i="28"/>
  <c r="AG10" i="28"/>
  <c r="AH10" i="28"/>
  <c r="AM10" i="28"/>
  <c r="AN10" i="28"/>
  <c r="AO10" i="28"/>
  <c r="AP10" i="28"/>
  <c r="AQ10" i="28"/>
  <c r="AR10" i="28"/>
  <c r="AS10" i="28"/>
  <c r="AT10" i="28"/>
  <c r="AU10" i="28"/>
  <c r="AV10" i="28"/>
  <c r="AW10" i="28"/>
  <c r="AX10" i="28"/>
  <c r="BJ10" i="28"/>
  <c r="D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AC11" i="28"/>
  <c r="AF11" i="28"/>
  <c r="AG11" i="28"/>
  <c r="AH11" i="28"/>
  <c r="AM11" i="28"/>
  <c r="AN11" i="28"/>
  <c r="AO11" i="28"/>
  <c r="AP11" i="28"/>
  <c r="AQ11" i="28"/>
  <c r="AR11" i="28"/>
  <c r="AS11" i="28"/>
  <c r="AT11" i="28"/>
  <c r="AU11" i="28"/>
  <c r="AV11" i="28"/>
  <c r="AW11" i="28"/>
  <c r="AX11" i="28"/>
  <c r="BJ11" i="28"/>
  <c r="D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AC12" i="28"/>
  <c r="AF12" i="28"/>
  <c r="AG12" i="28"/>
  <c r="AH12" i="28"/>
  <c r="AM12" i="28"/>
  <c r="AN12" i="28"/>
  <c r="AO12" i="28"/>
  <c r="AP12" i="28"/>
  <c r="AQ12" i="28"/>
  <c r="AR12" i="28"/>
  <c r="AS12" i="28"/>
  <c r="AT12" i="28"/>
  <c r="AU12" i="28"/>
  <c r="AV12" i="28"/>
  <c r="AW12" i="28"/>
  <c r="AX12" i="28"/>
  <c r="BJ12" i="28"/>
  <c r="D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AC13" i="28"/>
  <c r="AD13" i="28"/>
  <c r="AE13" i="28"/>
  <c r="AF13" i="28"/>
  <c r="AG13" i="28"/>
  <c r="AH13" i="28"/>
  <c r="AI13" i="28"/>
  <c r="AJ13" i="28"/>
  <c r="AK13" i="28"/>
  <c r="AM13" i="28"/>
  <c r="AN13" i="28"/>
  <c r="AO13" i="28"/>
  <c r="AP13" i="28"/>
  <c r="AQ13" i="28"/>
  <c r="AR13" i="28"/>
  <c r="AS13" i="28"/>
  <c r="AT13" i="28"/>
  <c r="AU13" i="28"/>
  <c r="AV13" i="28"/>
  <c r="AW13" i="28"/>
  <c r="AX13" i="28"/>
  <c r="AY13" i="28"/>
  <c r="BJ13" i="28"/>
  <c r="D14" i="28"/>
  <c r="X14" i="28"/>
  <c r="Y14" i="28"/>
  <c r="Z14" i="28"/>
  <c r="AA14" i="28"/>
  <c r="AX14" i="28"/>
  <c r="BJ14" i="28"/>
  <c r="D15" i="28"/>
  <c r="X15" i="28"/>
  <c r="Y15" i="28"/>
  <c r="Z15" i="28"/>
  <c r="AA15" i="28"/>
  <c r="AX15" i="28"/>
  <c r="BJ15" i="28"/>
  <c r="BA16" i="28"/>
  <c r="BB16" i="28"/>
  <c r="BC16" i="28"/>
  <c r="BD16" i="28"/>
  <c r="BE16" i="28"/>
  <c r="BF16" i="28"/>
  <c r="BG16" i="28"/>
  <c r="BH16" i="28"/>
  <c r="BI16" i="28"/>
  <c r="D5" i="27"/>
  <c r="AE10" i="29" l="1"/>
  <c r="AB15" i="28"/>
  <c r="AB14" i="28"/>
  <c r="BJ16" i="28"/>
  <c r="AB7" i="28"/>
  <c r="AI7" i="29"/>
  <c r="AI6" i="29"/>
  <c r="AE6" i="29"/>
  <c r="AD16" i="29"/>
  <c r="AC16" i="29"/>
  <c r="AB16" i="29"/>
  <c r="AE7" i="29"/>
  <c r="S7" i="29"/>
  <c r="AE12" i="29"/>
  <c r="AE8" i="29"/>
  <c r="Q16" i="29"/>
  <c r="AE11" i="29"/>
  <c r="P16" i="29"/>
  <c r="O16" i="29"/>
  <c r="AE13" i="29"/>
  <c r="AE9" i="29"/>
  <c r="V16" i="29"/>
  <c r="S6" i="29"/>
  <c r="AF16" i="29"/>
  <c r="AZ13" i="28"/>
  <c r="AL13" i="28"/>
  <c r="W7" i="28"/>
  <c r="AL8" i="28"/>
  <c r="AZ8" i="28"/>
  <c r="G5" i="30"/>
  <c r="I16" i="29"/>
  <c r="I5" i="30" l="1"/>
  <c r="H5" i="30"/>
  <c r="D6" i="27"/>
  <c r="H6" i="27"/>
  <c r="J6" i="27"/>
  <c r="D7" i="27"/>
  <c r="H7" i="27"/>
  <c r="J7" i="27"/>
  <c r="D8" i="27"/>
  <c r="H8" i="27"/>
  <c r="J8" i="27"/>
  <c r="D9" i="27"/>
  <c r="H9" i="27"/>
  <c r="J9" i="27"/>
  <c r="D10" i="27"/>
  <c r="H10" i="27"/>
  <c r="J10" i="27"/>
  <c r="D11" i="27"/>
  <c r="H11" i="27"/>
  <c r="J11" i="27"/>
  <c r="D12" i="27"/>
  <c r="G12" i="30" l="1"/>
  <c r="J5" i="30"/>
  <c r="J14" i="30" s="1"/>
  <c r="I14" i="30"/>
  <c r="J12" i="27"/>
  <c r="D13" i="27"/>
  <c r="G13" i="30" l="1"/>
  <c r="H13" i="30" s="1"/>
  <c r="H12" i="30"/>
  <c r="J13" i="27"/>
  <c r="D5" i="26"/>
  <c r="J15" i="26" l="1"/>
  <c r="R15" i="26" s="1"/>
  <c r="G11" i="26"/>
  <c r="AH10" i="26"/>
  <c r="AG15" i="26"/>
  <c r="G10" i="26"/>
  <c r="K14" i="26"/>
  <c r="Y15" i="26"/>
  <c r="Y14" i="26"/>
  <c r="X15" i="26"/>
  <c r="X14" i="26"/>
  <c r="W15" i="26"/>
  <c r="AH15" i="26" s="1"/>
  <c r="W14" i="26"/>
  <c r="T5" i="26"/>
  <c r="R11" i="26"/>
  <c r="R9" i="26"/>
  <c r="G9" i="26"/>
  <c r="AH11" i="26"/>
  <c r="L15" i="26"/>
  <c r="L14" i="26"/>
  <c r="T11" i="26"/>
  <c r="T8" i="26"/>
  <c r="K5" i="26"/>
  <c r="K15" i="26"/>
  <c r="H14" i="30"/>
  <c r="G14" i="30"/>
  <c r="G5" i="29"/>
  <c r="AH14" i="26" l="1"/>
  <c r="AE14" i="26"/>
  <c r="R5" i="29"/>
  <c r="N5" i="29"/>
  <c r="M5" i="29"/>
  <c r="L5" i="29"/>
  <c r="K5" i="29"/>
  <c r="J5" i="29"/>
  <c r="H5" i="29"/>
  <c r="T5" i="29" l="1"/>
  <c r="S5" i="29"/>
  <c r="AA5" i="29" l="1"/>
  <c r="Z5" i="29"/>
  <c r="Y5" i="29"/>
  <c r="X5" i="29"/>
  <c r="W5" i="29"/>
  <c r="U5" i="29"/>
  <c r="AH5" i="29" l="1"/>
  <c r="AG5" i="29"/>
  <c r="AE5" i="29"/>
  <c r="D6" i="26"/>
  <c r="H6" i="26"/>
  <c r="S6" i="26"/>
  <c r="U6" i="26"/>
  <c r="AE6" i="26"/>
  <c r="AI6" i="26"/>
  <c r="D7" i="26"/>
  <c r="H7" i="26"/>
  <c r="S7" i="26"/>
  <c r="U7" i="26"/>
  <c r="AE7" i="26"/>
  <c r="AI7" i="26"/>
  <c r="D8" i="26"/>
  <c r="G8" i="29" l="1"/>
  <c r="AI5" i="29"/>
  <c r="R8" i="29" l="1"/>
  <c r="H8" i="29"/>
  <c r="T8" i="29" l="1"/>
  <c r="S8" i="29"/>
  <c r="AE8" i="26"/>
  <c r="AH8" i="29" l="1"/>
  <c r="U8" i="29"/>
  <c r="D9" i="26"/>
  <c r="G9" i="29" l="1"/>
  <c r="AI8" i="29"/>
  <c r="R9" i="29" l="1"/>
  <c r="H9" i="29"/>
  <c r="T9" i="29" l="1"/>
  <c r="S9" i="29"/>
  <c r="AE9" i="26"/>
  <c r="AH9" i="29" l="1"/>
  <c r="U9" i="29"/>
  <c r="D10" i="26"/>
  <c r="G10" i="29" l="1"/>
  <c r="AI9" i="29"/>
  <c r="R10" i="29" l="1"/>
  <c r="H10" i="29"/>
  <c r="T10" i="29" l="1"/>
  <c r="S10" i="29"/>
  <c r="AE10" i="26"/>
  <c r="AH10" i="29" l="1"/>
  <c r="U10" i="29"/>
  <c r="D11" i="26"/>
  <c r="G11" i="29" l="1"/>
  <c r="AI10" i="29"/>
  <c r="R11" i="29" l="1"/>
  <c r="S11" i="29" s="1"/>
  <c r="H11" i="29"/>
  <c r="T11" i="29" l="1"/>
  <c r="AE11" i="26"/>
  <c r="AH11" i="29" l="1"/>
  <c r="AI11" i="29" s="1"/>
  <c r="U11" i="29"/>
  <c r="D12" i="26"/>
  <c r="G12" i="29" l="1"/>
  <c r="H12" i="29" s="1"/>
  <c r="R12" i="29" l="1"/>
  <c r="S12" i="29" s="1"/>
  <c r="T12" i="29" l="1"/>
  <c r="U12" i="29" s="1"/>
  <c r="AE12" i="26"/>
  <c r="AH12" i="29" l="1"/>
  <c r="AI12" i="29" s="1"/>
  <c r="D13" i="26"/>
  <c r="G13" i="29" l="1"/>
  <c r="H13" i="29" s="1"/>
  <c r="R13" i="29" l="1"/>
  <c r="S13" i="29" s="1"/>
  <c r="T13" i="29" l="1"/>
  <c r="AE13" i="26"/>
  <c r="AI13" i="26"/>
  <c r="D14" i="26"/>
  <c r="H14" i="29" l="1"/>
  <c r="U13" i="29"/>
  <c r="U16" i="29" s="1"/>
  <c r="T16" i="29"/>
  <c r="N14" i="29" l="1"/>
  <c r="M14" i="29"/>
  <c r="L14" i="29"/>
  <c r="K14" i="29"/>
  <c r="J14" i="29"/>
  <c r="U14" i="26"/>
  <c r="AA14" i="29" l="1"/>
  <c r="Z14" i="29"/>
  <c r="Y14" i="29"/>
  <c r="X14" i="29"/>
  <c r="W14" i="29"/>
  <c r="S14" i="29"/>
  <c r="AH14" i="29" l="1"/>
  <c r="AG14" i="29"/>
  <c r="AE14" i="29"/>
  <c r="D15" i="26"/>
  <c r="G15" i="29" l="1"/>
  <c r="AI14" i="29"/>
  <c r="R15" i="29" l="1"/>
  <c r="R16" i="29" s="1"/>
  <c r="N15" i="29"/>
  <c r="N16" i="29" s="1"/>
  <c r="M15" i="29"/>
  <c r="M16" i="29" s="1"/>
  <c r="L15" i="29"/>
  <c r="L16" i="29" s="1"/>
  <c r="K15" i="29"/>
  <c r="K16" i="29" s="1"/>
  <c r="J15" i="29"/>
  <c r="H15" i="29"/>
  <c r="H16" i="29" s="1"/>
  <c r="G16" i="29"/>
  <c r="U15" i="26"/>
  <c r="AA15" i="29" l="1"/>
  <c r="AA16" i="29" s="1"/>
  <c r="Z15" i="29"/>
  <c r="Z16" i="29" s="1"/>
  <c r="Y15" i="29"/>
  <c r="Y16" i="29" s="1"/>
  <c r="X15" i="29"/>
  <c r="X16" i="29" s="1"/>
  <c r="W15" i="29"/>
  <c r="S15" i="29"/>
  <c r="S16" i="29" s="1"/>
  <c r="J16" i="29"/>
  <c r="AH15" i="29" l="1"/>
  <c r="AH16" i="29" s="1"/>
  <c r="AG15" i="29"/>
  <c r="AE15" i="29"/>
  <c r="AE16" i="29" s="1"/>
  <c r="W16" i="29"/>
  <c r="I16" i="26"/>
  <c r="O16" i="26"/>
  <c r="P16" i="26"/>
  <c r="Q16" i="26"/>
  <c r="V16" i="26"/>
  <c r="AB16" i="26"/>
  <c r="AC16" i="26"/>
  <c r="AD16" i="26"/>
  <c r="AF16" i="26"/>
  <c r="D5" i="25"/>
  <c r="V11" i="25" l="1"/>
  <c r="M15" i="25"/>
  <c r="T15" i="25"/>
  <c r="Q14" i="25"/>
  <c r="X13" i="25"/>
  <c r="X11" i="25"/>
  <c r="X9" i="25"/>
  <c r="AE7" i="25"/>
  <c r="S15" i="25"/>
  <c r="AV14" i="25"/>
  <c r="P14" i="25"/>
  <c r="V13" i="25"/>
  <c r="V10" i="25"/>
  <c r="AD7" i="25"/>
  <c r="AI9" i="25"/>
  <c r="AE10" i="25"/>
  <c r="AD15" i="25"/>
  <c r="AA11" i="25"/>
  <c r="R15" i="25"/>
  <c r="AU14" i="25"/>
  <c r="O14" i="25"/>
  <c r="AA8" i="25"/>
  <c r="AT14" i="25"/>
  <c r="AY11" i="25"/>
  <c r="AY10" i="25"/>
  <c r="AY9" i="25"/>
  <c r="Z8" i="25"/>
  <c r="AI10" i="25"/>
  <c r="AC14" i="25"/>
  <c r="AY14" i="25" s="1"/>
  <c r="AD11" i="25"/>
  <c r="K15" i="25"/>
  <c r="Q15" i="25"/>
  <c r="AD14" i="25"/>
  <c r="AA9" i="25"/>
  <c r="AV15" i="25"/>
  <c r="P15" i="25"/>
  <c r="AS14" i="25"/>
  <c r="M14" i="25"/>
  <c r="AK10" i="25"/>
  <c r="AK9" i="25"/>
  <c r="Y8" i="25"/>
  <c r="AJ10" i="25"/>
  <c r="X8" i="25"/>
  <c r="V8" i="25"/>
  <c r="J14" i="25"/>
  <c r="I14" i="25"/>
  <c r="V14" i="25" s="1"/>
  <c r="T14" i="25"/>
  <c r="AU15" i="25"/>
  <c r="O15" i="25"/>
  <c r="L14" i="25"/>
  <c r="AJ11" i="25"/>
  <c r="AJ9" i="25"/>
  <c r="AT15" i="25"/>
  <c r="AI11" i="25"/>
  <c r="AC5" i="25"/>
  <c r="AE11" i="25"/>
  <c r="AE9" i="25"/>
  <c r="AS15" i="25"/>
  <c r="AA10" i="25"/>
  <c r="AC15" i="25"/>
  <c r="AY15" i="25" s="1"/>
  <c r="J15" i="25"/>
  <c r="S14" i="25"/>
  <c r="Z13" i="25"/>
  <c r="Z11" i="25"/>
  <c r="Z10" i="25"/>
  <c r="Z9" i="25"/>
  <c r="AJ7" i="25"/>
  <c r="I15" i="25"/>
  <c r="V15" i="25" s="1"/>
  <c r="R14" i="25"/>
  <c r="Y13" i="25"/>
  <c r="Y11" i="25"/>
  <c r="Y10" i="25"/>
  <c r="Y9" i="25"/>
  <c r="AI7" i="25"/>
  <c r="L15" i="25"/>
  <c r="AD10" i="25"/>
  <c r="Z5" i="25"/>
  <c r="AA5" i="25"/>
  <c r="G5" i="25"/>
  <c r="AI15" i="29"/>
  <c r="AI16" i="29" s="1"/>
  <c r="AG16" i="29"/>
  <c r="G5" i="28"/>
  <c r="V5" i="28" l="1"/>
  <c r="U5" i="28"/>
  <c r="T5" i="28"/>
  <c r="S5" i="28"/>
  <c r="R5" i="28"/>
  <c r="Q5" i="28"/>
  <c r="P5" i="28"/>
  <c r="I5" i="28"/>
  <c r="H5" i="28"/>
  <c r="AA5" i="28" l="1"/>
  <c r="Z5" i="28"/>
  <c r="Y5" i="28"/>
  <c r="X5" i="28"/>
  <c r="W5" i="28"/>
  <c r="AD5" i="28" l="1"/>
  <c r="AC5" i="28"/>
  <c r="AB5" i="28"/>
  <c r="AY5" i="28" l="1"/>
  <c r="AX5" i="28"/>
  <c r="AW5" i="28"/>
  <c r="AV5" i="28"/>
  <c r="AU5" i="28"/>
  <c r="AT5" i="28"/>
  <c r="AS5" i="28"/>
  <c r="BJ5" i="25"/>
  <c r="D6" i="25"/>
  <c r="AZ5" i="28" l="1"/>
  <c r="D7" i="25" l="1"/>
  <c r="H7" i="25"/>
  <c r="W7" i="25"/>
  <c r="AB7" i="25"/>
  <c r="AK7" i="28" l="1"/>
  <c r="AJ7" i="28"/>
  <c r="AI7" i="28"/>
  <c r="AE7" i="28"/>
  <c r="AD7" i="28"/>
  <c r="AY7" i="28" l="1"/>
  <c r="AL7" i="28"/>
  <c r="BJ7" i="25"/>
  <c r="D8" i="25"/>
  <c r="G8" i="28" l="1"/>
  <c r="AZ7" i="28"/>
  <c r="V8" i="28" l="1"/>
  <c r="H8" i="28"/>
  <c r="AA8" i="28" l="1"/>
  <c r="Z8" i="28"/>
  <c r="Y8" i="28"/>
  <c r="X8" i="28"/>
  <c r="W8" i="28"/>
  <c r="AL8" i="25"/>
  <c r="AZ8" i="25"/>
  <c r="BJ8" i="25"/>
  <c r="D9" i="25"/>
  <c r="G9" i="28" l="1"/>
  <c r="AB8" i="28"/>
  <c r="V9" i="28" l="1"/>
  <c r="H9" i="28"/>
  <c r="AA9" i="28" l="1"/>
  <c r="Z9" i="28"/>
  <c r="Y9" i="28"/>
  <c r="X9" i="28"/>
  <c r="W9" i="28"/>
  <c r="AK9" i="28" l="1"/>
  <c r="AJ9" i="28"/>
  <c r="AI9" i="28"/>
  <c r="AE9" i="28"/>
  <c r="AD9" i="28"/>
  <c r="AB9" i="28"/>
  <c r="AY9" i="28" l="1"/>
  <c r="AL9" i="28"/>
  <c r="BJ9" i="25"/>
  <c r="D10" i="25"/>
  <c r="G10" i="28" l="1"/>
  <c r="AZ9" i="28"/>
  <c r="V10" i="28" l="1"/>
  <c r="H10" i="28"/>
  <c r="AA10" i="28" l="1"/>
  <c r="Z10" i="28"/>
  <c r="Y10" i="28"/>
  <c r="X10" i="28"/>
  <c r="W10" i="28"/>
  <c r="AK10" i="28" l="1"/>
  <c r="AJ10" i="28"/>
  <c r="AI10" i="28"/>
  <c r="AE10" i="28"/>
  <c r="AD10" i="28"/>
  <c r="AB10" i="28"/>
  <c r="AY10" i="28" l="1"/>
  <c r="AL10" i="28"/>
  <c r="BJ10" i="25"/>
  <c r="D11" i="25"/>
  <c r="G11" i="28" l="1"/>
  <c r="AZ10" i="28"/>
  <c r="V11" i="28" l="1"/>
  <c r="W11" i="28" s="1"/>
  <c r="H11" i="28"/>
  <c r="AA11" i="28" l="1"/>
  <c r="Z11" i="28"/>
  <c r="Y11" i="28"/>
  <c r="X11" i="28"/>
  <c r="AK11" i="28" l="1"/>
  <c r="AJ11" i="28"/>
  <c r="AI11" i="28"/>
  <c r="AE11" i="28"/>
  <c r="AD11" i="28"/>
  <c r="AB11" i="28"/>
  <c r="AY11" i="28" l="1"/>
  <c r="AZ11" i="28" s="1"/>
  <c r="AL11" i="28"/>
  <c r="BJ11" i="25"/>
  <c r="D12" i="25"/>
  <c r="G12" i="28" l="1"/>
  <c r="H12" i="28" s="1"/>
  <c r="V12" i="28" l="1"/>
  <c r="W12" i="28" s="1"/>
  <c r="AA12" i="28" l="1"/>
  <c r="Z12" i="28"/>
  <c r="Y12" i="28"/>
  <c r="X12" i="28"/>
  <c r="AK12" i="28" l="1"/>
  <c r="AJ12" i="28"/>
  <c r="AI12" i="28"/>
  <c r="AE12" i="28"/>
  <c r="AD12" i="28"/>
  <c r="AB12" i="28"/>
  <c r="AY12" i="28" l="1"/>
  <c r="AZ12" i="28" s="1"/>
  <c r="AL12" i="28"/>
  <c r="BJ12" i="25"/>
  <c r="D13" i="25"/>
  <c r="G13" i="28" l="1"/>
  <c r="H13" i="28" s="1"/>
  <c r="V13" i="28" l="1"/>
  <c r="W13" i="28" s="1"/>
  <c r="AA13" i="28" l="1"/>
  <c r="Z13" i="28"/>
  <c r="Y13" i="28"/>
  <c r="X13" i="28"/>
  <c r="AL13" i="25"/>
  <c r="AZ13" i="25"/>
  <c r="BJ13" i="25"/>
  <c r="D14" i="25"/>
  <c r="G14" i="28" l="1"/>
  <c r="H14" i="28" s="1"/>
  <c r="AB13" i="28"/>
  <c r="V14" i="28" l="1"/>
  <c r="U14" i="28"/>
  <c r="T14" i="28"/>
  <c r="S14" i="28"/>
  <c r="R14" i="28"/>
  <c r="Q14" i="28"/>
  <c r="P14" i="28"/>
  <c r="O14" i="28"/>
  <c r="N14" i="28"/>
  <c r="M14" i="28"/>
  <c r="L14" i="28"/>
  <c r="K14" i="28"/>
  <c r="J14" i="28"/>
  <c r="I14" i="28"/>
  <c r="AB14" i="25"/>
  <c r="AD14" i="28" l="1"/>
  <c r="AC14" i="28"/>
  <c r="W14" i="28"/>
  <c r="AW14" i="28" l="1"/>
  <c r="AV14" i="28"/>
  <c r="AU14" i="28"/>
  <c r="AT14" i="28"/>
  <c r="AS14" i="28"/>
  <c r="BJ14" i="25"/>
  <c r="D15" i="25"/>
  <c r="U15" i="28" l="1"/>
  <c r="U16" i="28" s="1"/>
  <c r="T15" i="28"/>
  <c r="T16" i="28" s="1"/>
  <c r="S15" i="28"/>
  <c r="S16" i="28" s="1"/>
  <c r="R15" i="28"/>
  <c r="Q15" i="28"/>
  <c r="Q16" i="28" s="1"/>
  <c r="P15" i="28"/>
  <c r="P16" i="28" s="1"/>
  <c r="O15" i="28"/>
  <c r="N15" i="28"/>
  <c r="M15" i="28"/>
  <c r="L15" i="28"/>
  <c r="K15" i="28"/>
  <c r="J15" i="28"/>
  <c r="I15" i="28"/>
  <c r="H15" i="28"/>
  <c r="AB15" i="25"/>
  <c r="AD15" i="28" l="1"/>
  <c r="AD16" i="28" s="1"/>
  <c r="AC15" i="28"/>
  <c r="W15" i="28"/>
  <c r="I16" i="28"/>
  <c r="AW15" i="28" l="1"/>
  <c r="AW16" i="28" s="1"/>
  <c r="AV15" i="28"/>
  <c r="AV16" i="28" s="1"/>
  <c r="AU15" i="28"/>
  <c r="AU16" i="28" s="1"/>
  <c r="AT15" i="28"/>
  <c r="AT16" i="28" s="1"/>
  <c r="AS15" i="28"/>
  <c r="AC16" i="28"/>
  <c r="BJ15" i="25"/>
  <c r="BA16" i="25"/>
  <c r="BB16" i="25"/>
  <c r="BC16" i="25"/>
  <c r="BD16" i="25"/>
  <c r="BE16" i="25"/>
  <c r="BF16" i="25"/>
  <c r="BG16" i="25"/>
  <c r="BH16" i="25"/>
  <c r="BI16" i="25"/>
  <c r="BJ16" i="25"/>
  <c r="H12" i="27" l="1"/>
  <c r="H13" i="27"/>
  <c r="H13" i="26"/>
  <c r="AI9" i="26"/>
  <c r="H9" i="26"/>
  <c r="S8" i="26"/>
  <c r="S13" i="26"/>
  <c r="U10" i="26"/>
  <c r="U8" i="26"/>
  <c r="U12" i="26"/>
  <c r="H12" i="26"/>
  <c r="S12" i="26"/>
  <c r="H10" i="26"/>
  <c r="H8" i="26"/>
  <c r="H15" i="26"/>
  <c r="AI11" i="26"/>
  <c r="H14" i="26"/>
  <c r="AI10" i="26"/>
  <c r="S9" i="26"/>
  <c r="AI12" i="26"/>
  <c r="AI8" i="26"/>
  <c r="U11" i="26"/>
  <c r="S10" i="26"/>
  <c r="U13" i="26"/>
  <c r="U9" i="26"/>
  <c r="S11" i="26"/>
  <c r="H11" i="26"/>
  <c r="W11" i="25"/>
  <c r="W13" i="25"/>
  <c r="H8" i="25"/>
  <c r="H11" i="25"/>
  <c r="H13" i="25"/>
  <c r="H15" i="25"/>
  <c r="AZ7" i="25"/>
  <c r="AZ9" i="25"/>
  <c r="AZ10" i="25"/>
  <c r="W8" i="25"/>
  <c r="H14" i="25"/>
  <c r="W10" i="25"/>
  <c r="H12" i="25"/>
  <c r="W9" i="25"/>
  <c r="H10" i="25"/>
  <c r="AZ11" i="25"/>
  <c r="H5" i="25"/>
  <c r="H9" i="25"/>
  <c r="W12" i="25"/>
  <c r="AZ12" i="25"/>
  <c r="AS16" i="28"/>
  <c r="M16" i="26" l="1"/>
  <c r="AC16" i="25"/>
  <c r="S14" i="26"/>
  <c r="AZ5" i="25"/>
  <c r="AB12" i="25"/>
  <c r="L16" i="26"/>
  <c r="K16" i="26"/>
  <c r="AW16" i="25"/>
  <c r="AN15" i="28"/>
  <c r="AL11" i="25"/>
  <c r="T16" i="25"/>
  <c r="AL10" i="25"/>
  <c r="Z16" i="26"/>
  <c r="AD16" i="25"/>
  <c r="AB8" i="25"/>
  <c r="W14" i="25"/>
  <c r="AV16" i="25"/>
  <c r="AE15" i="26"/>
  <c r="W5" i="25"/>
  <c r="P16" i="25"/>
  <c r="AT16" i="25"/>
  <c r="AB13" i="25"/>
  <c r="AB9" i="25"/>
  <c r="U5" i="26"/>
  <c r="U16" i="26" s="1"/>
  <c r="T16" i="26"/>
  <c r="AB5" i="25"/>
  <c r="W15" i="25"/>
  <c r="U16" i="25"/>
  <c r="AE5" i="26"/>
  <c r="W16" i="26"/>
  <c r="AL7" i="25"/>
  <c r="Y16" i="26"/>
  <c r="H5" i="27"/>
  <c r="H14" i="27" s="1"/>
  <c r="G14" i="27"/>
  <c r="J16" i="26"/>
  <c r="AI5" i="26"/>
  <c r="AG16" i="26"/>
  <c r="S16" i="25"/>
  <c r="AU16" i="25"/>
  <c r="AB11" i="25"/>
  <c r="H5" i="26"/>
  <c r="H16" i="26" s="1"/>
  <c r="G16" i="26"/>
  <c r="AS16" i="25"/>
  <c r="N16" i="26"/>
  <c r="I16" i="25"/>
  <c r="AB10" i="25"/>
  <c r="Q16" i="25"/>
  <c r="AL12" i="25"/>
  <c r="S15" i="26"/>
  <c r="AA16" i="26"/>
  <c r="J5" i="27"/>
  <c r="J14" i="27" s="1"/>
  <c r="I14" i="27"/>
  <c r="AL9" i="25"/>
  <c r="X16" i="26"/>
  <c r="AJ14" i="28"/>
  <c r="AQ15" i="28"/>
  <c r="AH15" i="28"/>
  <c r="AO14" i="28"/>
  <c r="AK6" i="28"/>
  <c r="AF15" i="28"/>
  <c r="AG15" i="28"/>
  <c r="AJ15" i="28"/>
  <c r="AN14" i="28"/>
  <c r="AI14" i="28"/>
  <c r="AQ14" i="28"/>
  <c r="AH14" i="28"/>
  <c r="AP15" i="28"/>
  <c r="AO15" i="28"/>
  <c r="AJ6" i="28"/>
  <c r="AK14" i="28"/>
  <c r="AI15" i="28"/>
  <c r="AR15" i="28"/>
  <c r="AG14" i="28"/>
  <c r="AP14" i="28"/>
  <c r="AK15" i="28"/>
  <c r="AF14" i="28"/>
  <c r="AI14" i="26" l="1"/>
  <c r="AI15" i="26"/>
  <c r="AZ6" i="25"/>
  <c r="R16" i="26"/>
  <c r="AE16" i="26"/>
  <c r="S5" i="26"/>
  <c r="S16" i="26" s="1"/>
  <c r="S17" i="26" s="1"/>
  <c r="AR14" i="28"/>
  <c r="AY14" i="28"/>
  <c r="Z6" i="28"/>
  <c r="Z16" i="28" s="1"/>
  <c r="Z16" i="25"/>
  <c r="G6" i="28"/>
  <c r="H6" i="25"/>
  <c r="H16" i="25" s="1"/>
  <c r="G16" i="25"/>
  <c r="M6" i="28"/>
  <c r="M16" i="28" s="1"/>
  <c r="M16" i="25"/>
  <c r="AJ5" i="28"/>
  <c r="AL5" i="25"/>
  <c r="AJ16" i="25"/>
  <c r="AF6" i="28"/>
  <c r="AF16" i="28" s="1"/>
  <c r="AF16" i="25"/>
  <c r="N6" i="28"/>
  <c r="N16" i="28" s="1"/>
  <c r="N16" i="25"/>
  <c r="AY6" i="28"/>
  <c r="AH6" i="28"/>
  <c r="AH16" i="28" s="1"/>
  <c r="AH16" i="25"/>
  <c r="K6" i="28"/>
  <c r="K16" i="28" s="1"/>
  <c r="K16" i="25"/>
  <c r="AN6" i="28"/>
  <c r="AN16" i="28" s="1"/>
  <c r="AN16" i="25"/>
  <c r="AR6" i="28"/>
  <c r="AR16" i="25"/>
  <c r="Y6" i="28"/>
  <c r="Y16" i="28" s="1"/>
  <c r="Y16" i="25"/>
  <c r="AM6" i="28"/>
  <c r="AM16" i="25"/>
  <c r="J6" i="28"/>
  <c r="J16" i="28" s="1"/>
  <c r="J16" i="25"/>
  <c r="AA6" i="28"/>
  <c r="AA16" i="28" s="1"/>
  <c r="AA16" i="25"/>
  <c r="AP6" i="28"/>
  <c r="AP16" i="28" s="1"/>
  <c r="AP16" i="25"/>
  <c r="AO6" i="28"/>
  <c r="AO16" i="28" s="1"/>
  <c r="AO16" i="25"/>
  <c r="AX6" i="28"/>
  <c r="AX16" i="28" s="1"/>
  <c r="AX16" i="25"/>
  <c r="L6" i="28"/>
  <c r="L16" i="28" s="1"/>
  <c r="L16" i="25"/>
  <c r="AE6" i="28"/>
  <c r="AL6" i="25"/>
  <c r="AE16" i="25"/>
  <c r="AG6" i="28"/>
  <c r="AG16" i="28" s="1"/>
  <c r="AG16" i="25"/>
  <c r="AE15" i="28"/>
  <c r="AL15" i="28" s="1"/>
  <c r="AL15" i="25"/>
  <c r="AQ6" i="28"/>
  <c r="AQ16" i="28" s="1"/>
  <c r="AQ16" i="25"/>
  <c r="AM15" i="28"/>
  <c r="O6" i="28"/>
  <c r="O16" i="28" s="1"/>
  <c r="O16" i="25"/>
  <c r="R6" i="28"/>
  <c r="R16" i="28" s="1"/>
  <c r="R16" i="25"/>
  <c r="AI6" i="28"/>
  <c r="AI16" i="28" s="1"/>
  <c r="AI16" i="25"/>
  <c r="AM14" i="28"/>
  <c r="AE14" i="28"/>
  <c r="AL14" i="28" s="1"/>
  <c r="AL14" i="25"/>
  <c r="X6" i="28"/>
  <c r="AB6" i="25"/>
  <c r="AB16" i="25" s="1"/>
  <c r="X16" i="25"/>
  <c r="AK5" i="28"/>
  <c r="AK16" i="28" s="1"/>
  <c r="AK16" i="25"/>
  <c r="B3" i="10"/>
  <c r="AI16" i="26" l="1"/>
  <c r="AH16" i="26"/>
  <c r="AR16" i="28"/>
  <c r="AL16" i="25"/>
  <c r="AY16" i="28"/>
  <c r="AZ15" i="25"/>
  <c r="AZ14" i="25"/>
  <c r="AL5" i="28"/>
  <c r="AJ16" i="28"/>
  <c r="AB6" i="28"/>
  <c r="AB16" i="28" s="1"/>
  <c r="X16" i="28"/>
  <c r="V6" i="28"/>
  <c r="V16" i="25"/>
  <c r="W6" i="25"/>
  <c r="W16" i="25" s="1"/>
  <c r="W18" i="25" s="1"/>
  <c r="AY16" i="25"/>
  <c r="AM16" i="28"/>
  <c r="AZ6" i="28"/>
  <c r="H6" i="28"/>
  <c r="H16" i="28" s="1"/>
  <c r="G16" i="28"/>
  <c r="AL6" i="28"/>
  <c r="AE16" i="28"/>
  <c r="AZ15" i="28"/>
  <c r="AZ14" i="28"/>
  <c r="AZ16" i="25" l="1"/>
  <c r="AZ18" i="25" s="1"/>
  <c r="AL16" i="28"/>
  <c r="AZ16" i="28"/>
  <c r="W6" i="28"/>
  <c r="W16" i="28" s="1"/>
  <c r="W18" i="28" s="1"/>
  <c r="V16" i="28"/>
  <c r="AZ18" i="28" l="1"/>
</calcChain>
</file>

<file path=xl/sharedStrings.xml><?xml version="1.0" encoding="utf-8"?>
<sst xmlns="http://schemas.openxmlformats.org/spreadsheetml/2006/main" count="1583" uniqueCount="431">
  <si>
    <t>#! END_ROW</t>
  </si>
  <si>
    <t>#! FOR_EACH w stats</t>
  </si>
  <si>
    <t>#! DUMP_COLS days</t>
  </si>
  <si>
    <t>#! DUMP_COLS w.actions</t>
  </si>
  <si>
    <t>#! CONTINUE w</t>
  </si>
  <si>
    <t>#! END_LOOP w</t>
  </si>
  <si>
    <t>#! DUMP_COLS subtitles</t>
  </si>
  <si>
    <t>#! FINISH</t>
  </si>
  <si>
    <t>#! DUMP_COLS days1</t>
  </si>
  <si>
    <t>#! FOR_EACH x stats1</t>
  </si>
  <si>
    <t>#! END_LOOP x</t>
  </si>
  <si>
    <t>#! DUMP_COLS x.actions</t>
  </si>
  <si>
    <t>#` ${arrondissement}</t>
  </si>
  <si>
    <t>Magistrats hors placés</t>
  </si>
  <si>
    <t>Magistrats placés additionnels</t>
  </si>
  <si>
    <t>Magistrats placés de substitution</t>
  </si>
  <si>
    <t>Fonctionnaires hors placés</t>
  </si>
  <si>
    <t>Fonctionnaires placés additionnels</t>
  </si>
  <si>
    <t>Fonctionnaires placés de substitution</t>
  </si>
  <si>
    <t>Code</t>
  </si>
  <si>
    <t>#! FOR_EACH y agregat</t>
  </si>
  <si>
    <t>#! END_LOOP y</t>
  </si>
  <si>
    <t>## y.sub</t>
  </si>
  <si>
    <t>## y.global</t>
  </si>
  <si>
    <t>Selectionner une juridiction</t>
  </si>
  <si>
    <t>Pour toute question, n'hésitez pas à contacter l'équipe A-JUST : support-utilisateurs@a-just.fr</t>
  </si>
  <si>
    <t>SIEGE</t>
  </si>
  <si>
    <t>GREFFE</t>
  </si>
  <si>
    <t>EQUIPE AUTOUR DU MAGISTRAT</t>
  </si>
  <si>
    <t>Contractuels et vacataires</t>
  </si>
  <si>
    <t>TOTAL SIEGE</t>
  </si>
  <si>
    <t>TOTAL GREFFE</t>
  </si>
  <si>
    <t>Juridiction</t>
  </si>
  <si>
    <t>TJ</t>
  </si>
  <si>
    <t>JE</t>
  </si>
  <si>
    <t>JAP</t>
  </si>
  <si>
    <t>CPH</t>
  </si>
  <si>
    <t>TPROX</t>
  </si>
  <si>
    <t>JURISTE AS</t>
  </si>
  <si>
    <t>TOTAL ETPT</t>
  </si>
  <si>
    <t>Etpt placés de substitution</t>
  </si>
  <si>
    <t>166-PS-NC</t>
  </si>
  <si>
    <t>ETPT_TJ</t>
  </si>
  <si>
    <t>Etpt placés additionnels</t>
  </si>
  <si>
    <t>166-PA-NC</t>
  </si>
  <si>
    <t>Etpt autres personnels à reventiler (dont droit local,commercial- rcs, mise à disposition)</t>
  </si>
  <si>
    <t>166-NC-NC</t>
  </si>
  <si>
    <t>Action 99 - Personnel concourant au programme - à reventiler</t>
  </si>
  <si>
    <t>166-99-NC</t>
  </si>
  <si>
    <t>Action 8 - Support à l'accès au droit et à la justice</t>
  </si>
  <si>
    <t>166-08-NC</t>
  </si>
  <si>
    <t>Action 7 - Formation dispensée</t>
  </si>
  <si>
    <t>166-07-NC</t>
  </si>
  <si>
    <t>Action 6 - Soutien (Hors accueil du justiciable)</t>
  </si>
  <si>
    <t>166-06-NC</t>
  </si>
  <si>
    <t>Action 6 - Accueil du justiciable (inclus SAUJ)</t>
  </si>
  <si>
    <t>166-06-99</t>
  </si>
  <si>
    <t>Action 4 - Conseil supérieur de la magistrature</t>
  </si>
  <si>
    <t>166-04-NC</t>
  </si>
  <si>
    <t>Action 2 - Traitement et jugement des affaires pénales</t>
  </si>
  <si>
    <t>166-02-NC</t>
  </si>
  <si>
    <t>Action 1 - Traitement et jugement des contentieux civils</t>
  </si>
  <si>
    <t>166-01-NC</t>
  </si>
  <si>
    <t>Autres Magistrats du Parquet</t>
  </si>
  <si>
    <t>Magistrats du Parquet - activité contraventionnelle</t>
  </si>
  <si>
    <t>Magistrats du Parquet Cour criminelle</t>
  </si>
  <si>
    <t>Magistrats du Parquet assises</t>
  </si>
  <si>
    <t>Magistrats du Parquet JIRS sections spécialisées</t>
  </si>
  <si>
    <t>Magistrats du Parquet JIRS crim-org</t>
  </si>
  <si>
    <t>Magistrats du Parquet JIRS éco-fi</t>
  </si>
  <si>
    <t>Magistrats du Parquet - exécution et appl. des peines</t>
  </si>
  <si>
    <t>Magistrats du Parquet - activité civile et commerciale</t>
  </si>
  <si>
    <t>Autres Magistrats du Siège non spécialisés</t>
  </si>
  <si>
    <t>Activités non spécialisés des juges spécialisés</t>
  </si>
  <si>
    <t>JAF</t>
  </si>
  <si>
    <t>Juges du Pôle social</t>
  </si>
  <si>
    <t>Juges TJ  IP et Saisies Rém</t>
  </si>
  <si>
    <t>Juges TJ Contentieux général &lt; 10 000 EUR</t>
  </si>
  <si>
    <t>Magistrats activité juge départiteur</t>
  </si>
  <si>
    <t>Magistrats du Siège activité contraventionnelle</t>
  </si>
  <si>
    <t>Magistrat du siège sections spécialisées</t>
  </si>
  <si>
    <t>Magistrat du siège JIRS crim-org</t>
  </si>
  <si>
    <t>Magistrat du siège JIRS éco-fi</t>
  </si>
  <si>
    <t>Magistrats du siège Cour criminelle</t>
  </si>
  <si>
    <t>Magistrats du Siège assises</t>
  </si>
  <si>
    <t>JLD</t>
  </si>
  <si>
    <t>Juges des Enfants</t>
  </si>
  <si>
    <t>Juges Instruction sections spécialisées</t>
  </si>
  <si>
    <t>Juges Instruction JIRS crim-org</t>
  </si>
  <si>
    <t>Juges Instruction JIRS éco-fi</t>
  </si>
  <si>
    <t>Juges Instruction - service général</t>
  </si>
  <si>
    <t>JCP TJ surendettement et hors surendettement</t>
  </si>
  <si>
    <t>JCP TJ Tutelles majeurs</t>
  </si>
  <si>
    <t>Juristes assistants siège Autres</t>
  </si>
  <si>
    <t>Juristes assistants Pôle social</t>
  </si>
  <si>
    <t>Juristes assistants au parquet</t>
  </si>
  <si>
    <t>de Contractuels A J Prox et A VIF</t>
  </si>
  <si>
    <t xml:space="preserve">Fonctionnaires hors fonctions spécifiques </t>
  </si>
  <si>
    <t>Fonctionnaires affectés aux pôles sociaux</t>
  </si>
  <si>
    <t>Fonctionnaires TJ Contentieux général &lt; 10 000 EUR</t>
  </si>
  <si>
    <t>Fonctionnaires TJ  IP_Saisies Rém</t>
  </si>
  <si>
    <t>Fonctionnaires affectés aux fonctions JI, JE, JAP, JLD</t>
  </si>
  <si>
    <t>Fonctionnaires TJ au surendettement et au hors surendettement</t>
  </si>
  <si>
    <t>Fonctionnaires TJ Tutelles majeurs</t>
  </si>
  <si>
    <t>Fonctionnaires sections spécialisées</t>
  </si>
  <si>
    <t>Fonctionnaires JIRS crim-org</t>
  </si>
  <si>
    <t>Fonctionnaires JIRS éco-fi</t>
  </si>
  <si>
    <t>Fonctionnaires Cour criminelle</t>
  </si>
  <si>
    <t>Fonctionnaires Assises</t>
  </si>
  <si>
    <t>Fonctionnaires exécution des peines</t>
  </si>
  <si>
    <t>Fonctionnaires activité civile et commerciale du parquet</t>
  </si>
  <si>
    <t>Fonctionnaires Catégorie C Technique spécialisés</t>
  </si>
  <si>
    <t>Action</t>
  </si>
  <si>
    <t>Code sous action</t>
  </si>
  <si>
    <t>Code de la juridiction</t>
  </si>
  <si>
    <t>UO</t>
  </si>
  <si>
    <t>AUTRES_PARQUET</t>
  </si>
  <si>
    <t>PARQUET_TI</t>
  </si>
  <si>
    <t>PQT_COUR_CRIM</t>
  </si>
  <si>
    <t>PARQUET_ASSISES</t>
  </si>
  <si>
    <t>PARQUET_JIRS_SS</t>
  </si>
  <si>
    <t>PARQUET_JIRS_CRIMO</t>
  </si>
  <si>
    <t>PARQUET_JIRS_ECOFI</t>
  </si>
  <si>
    <t>PARQUET_EXE_APP_PEINES</t>
  </si>
  <si>
    <t>PARQUET_ACTIVITE_CIV_COM</t>
  </si>
  <si>
    <t>AUTRES_JNS</t>
  </si>
  <si>
    <t>J_SPEC_ACT_NON_SPEC</t>
  </si>
  <si>
    <t>JAF_JNS</t>
  </si>
  <si>
    <t>JUGE_TASS_JNS</t>
  </si>
  <si>
    <t>JUGE_TJ_IP_SR</t>
  </si>
  <si>
    <t>JUGE_CTX_GEN_INF_DIX_MIL</t>
  </si>
  <si>
    <t>TI_ACT_J_DEPARTITEUR</t>
  </si>
  <si>
    <t>MAG_SIEGE_CONTRAV</t>
  </si>
  <si>
    <t>MAG_SIEGE_JIRS_SS</t>
  </si>
  <si>
    <t>MAG_SIEGE_JIRS_CRIMO</t>
  </si>
  <si>
    <t>MAG_SIEGE_JIRS_ECOFI</t>
  </si>
  <si>
    <t>JNS_COUR_CRIM</t>
  </si>
  <si>
    <t>MAG_SIEGE_ASSISES</t>
  </si>
  <si>
    <t>JLD_JNS</t>
  </si>
  <si>
    <t>J_INSTRUCTION_JIRS_SS</t>
  </si>
  <si>
    <t>J_INSTRUCTION_JIRS_CRIMO</t>
  </si>
  <si>
    <t>J_INSTRUCTION_JIRS_ECOFI</t>
  </si>
  <si>
    <t>J_INSTRUCTION</t>
  </si>
  <si>
    <t>JCP_TJ_SURENDETTEMENT</t>
  </si>
  <si>
    <t>JCP_TJ_TUT_MAJ</t>
  </si>
  <si>
    <t>JUR_ASS_SIEGE</t>
  </si>
  <si>
    <t>JUR_ASS_TASS</t>
  </si>
  <si>
    <t>JUR_ASS_PARQUET</t>
  </si>
  <si>
    <t>FONCTIONNAIRES_HORS_FONCT_SPEC</t>
  </si>
  <si>
    <t>FONC_P_SOC</t>
  </si>
  <si>
    <t>FONC_CTX_GEN_INF_DIX_MIL</t>
  </si>
  <si>
    <t>FONC_TJ_IP_SR</t>
  </si>
  <si>
    <t>FONC_TJ_SURENDETTEMENT</t>
  </si>
  <si>
    <t>FONC_TJ_TUT_MAJ</t>
  </si>
  <si>
    <t>FONCTIONNAIRES_JIRS_SS</t>
  </si>
  <si>
    <t>FONCTIONNAIRES_JIRS_CRIMO</t>
  </si>
  <si>
    <t>FONCTIONNAIRES_JIRS_ECOFI</t>
  </si>
  <si>
    <t>FONC_COUR_CRIM</t>
  </si>
  <si>
    <t>FONCTIONNAIRES_ASSISES</t>
  </si>
  <si>
    <t>FONCTIONNAIRES_BEX_APP</t>
  </si>
  <si>
    <t>FONCTIONNAIRES_ACTIVITE_CIV_PRQT</t>
  </si>
  <si>
    <t>FONCTIONNAIRES_C_TECHNIQUES_SPEC</t>
  </si>
  <si>
    <t>Total magistrats du parquet</t>
  </si>
  <si>
    <t>PRQT</t>
  </si>
  <si>
    <t>Total magistrats du siège non spécialisés</t>
  </si>
  <si>
    <t>SIEGE NS</t>
  </si>
  <si>
    <t>Total magistrats du siège spécialisés</t>
  </si>
  <si>
    <t>SIEGE S</t>
  </si>
  <si>
    <t>Total juristes assistants</t>
  </si>
  <si>
    <t>Total fonctionnaires administratifs</t>
  </si>
  <si>
    <t>A-B-CBUR</t>
  </si>
  <si>
    <t>Total fonctionnaires techniques</t>
  </si>
  <si>
    <t>CTECH</t>
  </si>
  <si>
    <t>DÉCLARATION ETPT TJ</t>
  </si>
  <si>
    <t>Attention : par défaut, l'activité pénale recensée au niveau des TPR est comptabilisée sur le TJ</t>
  </si>
  <si>
    <t>ETPT_TPRX</t>
  </si>
  <si>
    <t>Magistrats du TJ affectés au TPRX</t>
  </si>
  <si>
    <t>Magistrat TPRX sur activité déléguée du TJ : Autres contentieux</t>
  </si>
  <si>
    <t>Magistrat TPRX sur activité déléguée du TJ en matière de police</t>
  </si>
  <si>
    <t>Magistrat TPRX sur activité déléguée du TJ en matière correctionnelle</t>
  </si>
  <si>
    <t>Magistrat TPRX sur activité déléguée du TJ en matière : Tutelles mineurs</t>
  </si>
  <si>
    <t>Magistrat TPRX sur activité déléguée du TJ en matière : JAF</t>
  </si>
  <si>
    <t>Magistrats suivi tutelles majeurs et comptes</t>
  </si>
  <si>
    <t xml:space="preserve">Magistrats TPRX affectés au surendettement et au Hors surendettement </t>
  </si>
  <si>
    <t>Magistrats TPRX affectés aux saisies sur rémunération et IP</t>
  </si>
  <si>
    <t>Juges du Livre Foncier + Juge d'Instance RCS et Droit Local</t>
  </si>
  <si>
    <t>Fonctionnaires TPRX sur activité déléguèe du TJ : Autres contentieux</t>
  </si>
  <si>
    <t>Fonctionnaires TPRX sur activité déléguée du TJ en matière de police</t>
  </si>
  <si>
    <t>Fonctionnaires TPRX sur activité déléguée du TJ en matière  correctionnelle</t>
  </si>
  <si>
    <t>Fonctionnaires TPRX sur activité déléguée du TJ en matière : Tutelles mineurs</t>
  </si>
  <si>
    <t>Fonctionnaires TPRX sur activité déléguée du TJ en matière : JAF</t>
  </si>
  <si>
    <t>Fonctionnaires TPRX tutelles majeurs et vérification des comptes</t>
  </si>
  <si>
    <t>Fonctionnaires TPRX affectés au surendettement et au Hors surendettement</t>
  </si>
  <si>
    <t>Fonctionnaires TPRX IP, Saisies rém, Nationalité, actes de greffe, etc.</t>
  </si>
  <si>
    <t>Fonctionnaires TPRX, Droit Local, Livre foncier, RCS,etc.</t>
  </si>
  <si>
    <t>MAGISTRATS_TGI_TI</t>
  </si>
  <si>
    <t>MAGISTRAT_TPRX_AUT_CTX_TJ</t>
  </si>
  <si>
    <t>MAGISTRAT_TPRX_POLICE</t>
  </si>
  <si>
    <t>MAGISTRAT_TPRX_CORREC</t>
  </si>
  <si>
    <t>MAGISTRAT_TPRX_TUT_MIN</t>
  </si>
  <si>
    <t>MAGISTRAT_TPRX_JAF</t>
  </si>
  <si>
    <t>MAGISTRATS_TI_TUTELLES</t>
  </si>
  <si>
    <t>MAGISTRATS_TI_SURENDET</t>
  </si>
  <si>
    <t>MAGISTRATS_TI_SR_IP</t>
  </si>
  <si>
    <t>JUGE_LIVRE_FONCIER_JNS</t>
  </si>
  <si>
    <t>FONC_TPRX_AUT_CTX_TJ</t>
  </si>
  <si>
    <t>FONC_TPRX_POLICE</t>
  </si>
  <si>
    <t>FONC_TPRX_CORREC</t>
  </si>
  <si>
    <t>FONC_TPRX_TUT_MIN</t>
  </si>
  <si>
    <t>FONC_TPRX_JAF</t>
  </si>
  <si>
    <t>FONCTIONNAIRES_TI_TUTELLES</t>
  </si>
  <si>
    <t>FONCTIONNAIRES_TI_SURENDET</t>
  </si>
  <si>
    <t>FONCTIONNAIRES_TI_AG_PACS_NAT</t>
  </si>
  <si>
    <t>FONCTIONNAIRES_TI_DRT_LOCAL_RCS</t>
  </si>
  <si>
    <t>Total magistrats du siège autres activités</t>
  </si>
  <si>
    <t>SIEGE  S</t>
  </si>
  <si>
    <t>Total magistrats du siège activités spécifiques</t>
  </si>
  <si>
    <t xml:space="preserve">DÉCLARATION ETPT TPRX
</t>
  </si>
  <si>
    <t>ETPT_CPH</t>
  </si>
  <si>
    <t>DÉCLARATION ETPT CPH</t>
  </si>
  <si>
    <t xml:space="preserve">                Agrégats DDG</t>
  </si>
  <si>
    <t xml:space="preserve">                  Extracteur de données d'effectifs - Format DDG (avec réintégration de l'absentéisme)</t>
  </si>
  <si>
    <t xml:space="preserve">                  Extracteur de données d'effectifs</t>
  </si>
  <si>
    <t xml:space="preserve">                 Déclaration des ETPT TJ</t>
  </si>
  <si>
    <t xml:space="preserve">                 Déclaration des ETPT TPROX</t>
  </si>
  <si>
    <t xml:space="preserve">                 Déclaration des ETPT CPH</t>
  </si>
  <si>
    <t>CPH détachés</t>
  </si>
  <si>
    <t xml:space="preserve">  </t>
  </si>
  <si>
    <t>Bienvenue dans l'extraction de vos données d'effectifs !</t>
  </si>
  <si>
    <t>Ce fichier Excel a été extrait automatiquement de votre application A-JUST. Retrouvez ci-dessous quelques indications pour y naviguer en toute fluidité.</t>
  </si>
  <si>
    <t>Nom de l'onglet</t>
  </si>
  <si>
    <t>Description rapide</t>
  </si>
  <si>
    <t>Usage</t>
  </si>
  <si>
    <t>Pour une présentation complète</t>
  </si>
  <si>
    <t>ETPT A-JUST</t>
  </si>
  <si>
    <t>Retrouvez le détail des ventilations individuelles de chaque agent, agrégées sur la période pour laquelle vous avez extrait les données, à l'identique de ce que vous avez renseigné dans A-JUST.</t>
  </si>
  <si>
    <t xml:space="preserve">Tout au long de l'année, consultez le détail des affectations de chaque agent, calculées en ETPT, pour la période choisie. </t>
  </si>
  <si>
    <t>ETPT Format DDG</t>
  </si>
  <si>
    <t xml:space="preserve">Vous y trouverez les données individuelles, retraitées conformément aux règles de calcul de la Chancellerie, en procédant à la réintégration de certaines indisponibilités considérées comme de l'absentéisme, ne déduisant pas d'ETPT. </t>
  </si>
  <si>
    <t>Afin de préparer la collecte de vos ETPT dans les matrices de la DSJ certaines précisions doivent être apportées dans cet onglet.</t>
  </si>
  <si>
    <t>Agrégats DDG</t>
  </si>
  <si>
    <t>Pour chaque juridiction de l'arrondissement judiciaire, cette synthèse présente les ETPT affectés, par catégorie d'agent, à chaque contentieux ou sous-contentieux, l'absentéisme étant réintégré comme dans l'onglet "ETPT Format DDG".</t>
  </si>
  <si>
    <t>N'hésitez pas à la consulter toute l'année, pour les périodes de votre choix.</t>
  </si>
  <si>
    <t>ETPT_TJ_DDG</t>
  </si>
  <si>
    <t>Les tableaux de la Chancellerie, préremplis grâce aux informations saisies dans A-JUST et aux précisions apportées dans l'onglet ETPT Format DDG.
Pour les Tribunaux de proximité et CPH, sélectionnez la juridiction dans la cellule D5 et vos tableaux seront prêts !</t>
  </si>
  <si>
    <t>Ces données sont prérenseignées dans les tableaux de collecte des ETPT de la Chancellerie mais restent soumises à votre contrôle et éventuels ajustements avant transmission.</t>
  </si>
  <si>
    <t>ETPT_TPRX-DDG</t>
  </si>
  <si>
    <t>ETPT_CPH_DDG</t>
  </si>
  <si>
    <r>
      <rPr>
        <b/>
        <sz val="11"/>
        <color theme="1"/>
        <rFont val="Calibri"/>
        <family val="2"/>
        <scheme val="minor"/>
      </rPr>
      <t>Ce fichier</t>
    </r>
    <r>
      <rPr>
        <sz val="11"/>
        <color theme="1"/>
        <rFont val="Calibri"/>
        <family val="2"/>
        <scheme val="minor"/>
      </rPr>
      <t>, permettant de remplir automatiquement les tableaux de collecte d'ETPT de la Chancellerie à partir des données A-JUST,</t>
    </r>
    <r>
      <rPr>
        <b/>
        <sz val="11"/>
        <color theme="1"/>
        <rFont val="Calibri"/>
        <family val="2"/>
        <scheme val="minor"/>
      </rPr>
      <t xml:space="preserve"> résulte de la collaboration de l'équipe de la start-up d'Etat A-JUST avec Mme Nathalie DE JONG</t>
    </r>
    <r>
      <rPr>
        <sz val="11"/>
        <color theme="1"/>
        <rFont val="Calibri"/>
        <family val="2"/>
        <scheme val="minor"/>
      </rPr>
      <t xml:space="preserve">, statisticienne du SAIR de la </t>
    </r>
    <r>
      <rPr>
        <b/>
        <sz val="11"/>
        <color theme="1"/>
        <rFont val="Calibri"/>
        <family val="2"/>
        <scheme val="minor"/>
      </rPr>
      <t>Cour d'Appel de LYON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>Qu'elle soit ici vivement remerciée</t>
    </r>
    <r>
      <rPr>
        <sz val="11"/>
        <color theme="1"/>
        <rFont val="Calibri"/>
        <family val="2"/>
        <scheme val="minor"/>
      </rPr>
      <t xml:space="preserve">, ainsi que sa hiérarchie qui l'a autorisée à consacrer un temps aussi précieux qu'irremplaçable à écrire les formules de calcul permettant d'automatiser l'alimentation des tableaux DDG et faire ainsi gagner à nos utilisateurs un temps considérable chaque année. </t>
    </r>
  </si>
  <si>
    <t>#! HYPERLINK firstLink.label firstLink.url</t>
  </si>
  <si>
    <t>#! HYPERLINK secondLink.label secondLink.url</t>
  </si>
  <si>
    <t>#! HYPERLINK thirdLink.label thirdLink.url</t>
  </si>
  <si>
    <r>
      <rPr>
        <b/>
        <sz val="12"/>
        <color rgb="FF2D46E0"/>
        <rFont val="Calibri"/>
        <family val="2"/>
        <scheme val="minor"/>
      </rPr>
      <t>→ Sélectionner la juridiction souhaitée à partir du menu déroulant qui se trouve dans la cellule D5 identifiée en</t>
    </r>
    <r>
      <rPr>
        <b/>
        <sz val="12"/>
        <color rgb="FF860000"/>
        <rFont val="Calibri"/>
        <family val="2"/>
        <scheme val="minor"/>
      </rPr>
      <t xml:space="preserve"> </t>
    </r>
    <r>
      <rPr>
        <b/>
        <sz val="12"/>
        <color theme="5"/>
        <rFont val="Calibri"/>
        <family val="2"/>
        <scheme val="minor"/>
      </rPr>
      <t>orange.</t>
    </r>
  </si>
  <si>
    <r>
      <t xml:space="preserve">3.2 Protection des majeurs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</si>
  <si>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color rgb="FF0070C0"/>
        <rFont val="Arial"/>
        <family val="2"/>
      </rPr>
      <t xml:space="preserve">(Pour Fonction recodée = Magistrats SIEGE S et NS)
</t>
    </r>
    <r>
      <rPr>
        <b/>
        <sz val="7"/>
        <color rgb="FFFF0000"/>
        <rFont val="Arial"/>
        <family val="2"/>
      </rPr>
      <t>Critère sur le TJ</t>
    </r>
  </si>
  <si>
    <r>
      <t xml:space="preserve">6.1 JE : activité civile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</si>
  <si>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5. TOTAL JLD CIVIL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</si>
  <si>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1.1 Contentieux du travail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</si>
  <si>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4.0 Contentieux général &lt; 10000 euros
</t>
    </r>
    <r>
      <rPr>
        <b/>
        <sz val="7"/>
        <color rgb="FF0070C0"/>
        <rFont val="Arial"/>
        <family val="2"/>
      </rPr>
      <t xml:space="preserve">(Pour Fonction recodée = Magistrats SIEGE S et NS)
</t>
    </r>
    <r>
      <rPr>
        <b/>
        <sz val="7"/>
        <color rgb="FFFF0000"/>
        <rFont val="Arial"/>
        <family val="2"/>
      </rPr>
      <t>Critère sur le TJ</t>
    </r>
  </si>
  <si>
    <r>
      <t xml:space="preserve">3.43 Injonctions de payer + 3.44 Saisies des rémunérations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</si>
  <si>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1. TOTAL CONTENTIEUX SOCIAL - 1.1 Contentieux du travail
</t>
    </r>
    <r>
      <rPr>
        <b/>
        <sz val="7"/>
        <color rgb="FF0070C0"/>
        <rFont val="Arial"/>
        <family val="2"/>
      </rPr>
      <t xml:space="preserve">(Pour Fonction recodée = Magistrats SIEGE S et NS)
</t>
    </r>
    <r>
      <rPr>
        <b/>
        <sz val="7"/>
        <color rgb="FFFF0000"/>
        <rFont val="Arial"/>
        <family val="2"/>
      </rPr>
      <t>Critère sur le TJ</t>
    </r>
  </si>
  <si>
    <r>
      <t xml:space="preserve">2. TOTAL CONTENTIEUX JAF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</si>
  <si>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4. TOTAL CIVIL NON SPÉCIALISÉ - 4.0 Contentieux général &lt; 10000 euros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</si>
  <si>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4. TOTAL CIVIL NON SPÉCIALISÉ - 4.0 Contentieux général &lt; 10000 euros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</si>
  <si>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8.1 Service général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</si>
  <si>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8.2 JIRS eco-fi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</si>
  <si>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8.3 JIRS crim-org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</si>
  <si>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8.4 autres sections spécialisées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</si>
  <si>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9. TOTAL JAP
</t>
    </r>
    <r>
      <rPr>
        <b/>
        <sz val="7"/>
        <color rgb="FF0070C0"/>
        <rFont val="Arial"/>
        <family val="2"/>
      </rPr>
      <t>(Pour Fonction recodée = Magistrats SIEGE S et NS)</t>
    </r>
    <r>
      <rPr>
        <b/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</si>
  <si>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6.2 JE : activité pénale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color rgb="FF0070C0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</si>
  <si>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10. TOTAL JLD PÉNAL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</si>
  <si>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7.5 + 7.51 Cour d'assises JIRS et hors JIRS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</si>
  <si>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7.52 cour criminelle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</si>
  <si>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7.121 Collégiales JIRS eco-fi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</si>
  <si>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7.12 Collégiales JIRS crim-org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</si>
  <si>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7.122 Collégiales autres sections spécialisées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</si>
  <si>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7.6 Tribunal de police + 7.7 OP contraventionnelles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</si>
  <si>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Temps ventilés sur la période (affaires pénales) - 8.1 Service général - 8.2 JIRS eco-fi - 8.3 JIRS crim-org - 8.4 autres sections spécialisées - 9. TOTAL JAP - 6.2 JE : activité pénale - 10. TOTAL JLD PÉNAL - 7.12. COLLÉGIALES JIRS CRIM-ORG - 7.121. COLLÉGIALES JIRS ECO-FI - 7.122. COLLÉGIALES AUTRES SECTIONS SPÉCIALISÉES - 7.5. COUR D'ASSISES HORS JIRS - 7.51. COUR D'ASSISES JIRS - 7.52. COUR CRIMINELLE - 7.6. TRIBUNAL DE POLICE - 7.7. OP CONTRAVENTIONNELLES
</t>
    </r>
    <r>
      <rPr>
        <b/>
        <sz val="7"/>
        <color rgb="FF0070C0"/>
        <rFont val="Arial"/>
        <family val="2"/>
      </rPr>
      <t>(Pour Fonction recodée = Magistrats SIEGE S)</t>
    </r>
    <r>
      <rPr>
        <b/>
        <sz val="7"/>
        <color rgb="FFFF0000"/>
        <rFont val="Arial"/>
        <family val="2"/>
      </rPr>
      <t xml:space="preserve">
TJ et TPR (donc pas de critère sur le TJ)</t>
    </r>
  </si>
  <si>
    <r>
      <t xml:space="preserve">Temps ventilés sur la période (affaires pénales) - 8.1 Service général - 8.2 JIRS eco-fi - 8.3 JIRS crim-org - 8.4 autres sections spécialisées - 9. TOTAL JAP - 6.2 JE : activité pénale - 10. TOTAL JLD PÉNAL - 7.12. COLLÉGIALES JIRS CRIM-ORG - 7.121. COLLÉGIALES JIRS ECO-FI - 7.122. COLLÉGIALES AUTRES SECTIONS SPÉCIALISÉES - 7.5. COUR D'ASSISES HORS JIRS - 7.51. COUR D'ASSISES JIRS - 7.52. COUR CRIMINELLE - 7.6. TRIBUNAL DE POLICE - 7.7. OP CONTRAVENTIONNELLES
</t>
    </r>
    <r>
      <rPr>
        <b/>
        <sz val="7"/>
        <color rgb="FF0070C0"/>
        <rFont val="Arial"/>
        <family val="2"/>
      </rPr>
      <t>(Pour Fonction recodée = Magistrats SIEGE NS)</t>
    </r>
    <r>
      <rPr>
        <b/>
        <sz val="7"/>
        <color rgb="FFFF0000"/>
        <rFont val="Arial"/>
        <family val="2"/>
      </rPr>
      <t xml:space="preserve">
TJ et TPR (donc pas de critère sur le TJ)</t>
    </r>
  </si>
  <si>
    <r>
      <t xml:space="preserve">11.5 CSM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</si>
  <si>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</si>
  <si>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</si>
  <si>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</si>
  <si>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</si>
  <si>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</si>
  <si>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</si>
  <si>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</si>
  <si>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</si>
  <si>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</si>
  <si>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</si>
  <si>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</si>
  <si>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</si>
  <si>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</si>
  <si>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</si>
  <si>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</si>
  <si>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</si>
  <si>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</si>
  <si>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</si>
  <si>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</si>
  <si>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</si>
  <si>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</si>
  <si>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</si>
  <si>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</si>
  <si>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3.2 Protection des majeurs
</t>
    </r>
    <r>
      <rPr>
        <b/>
        <sz val="7"/>
        <color rgb="FFFF0000"/>
        <rFont val="Arial"/>
        <family val="2"/>
      </rPr>
      <t>Critère sur le TJ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</si>
  <si>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color rgb="FFFF0000"/>
        <rFont val="Arial"/>
        <family val="2"/>
      </rPr>
      <t>Critère sur le TJ</t>
    </r>
  </si>
  <si>
    <r>
      <t xml:space="preserve">8.1 : service général
</t>
    </r>
    <r>
      <rPr>
        <b/>
        <sz val="7"/>
        <color rgb="FFFF0000"/>
        <rFont val="Arial"/>
        <family val="2"/>
      </rPr>
      <t>Critère sur le TJ</t>
    </r>
  </si>
  <si>
    <r>
      <t xml:space="preserve">8.2 JIRS eco-fi
</t>
    </r>
    <r>
      <rPr>
        <b/>
        <sz val="7"/>
        <color rgb="FFFF0000"/>
        <rFont val="Arial"/>
        <family val="2"/>
      </rPr>
      <t>Critère sur le TJ</t>
    </r>
  </si>
  <si>
    <r>
      <t xml:space="preserve">8.3 JIRS crim-org
</t>
    </r>
    <r>
      <rPr>
        <b/>
        <sz val="7"/>
        <color rgb="FFFF0000"/>
        <rFont val="Arial"/>
        <family val="2"/>
      </rPr>
      <t>Critère sur le TJ</t>
    </r>
  </si>
  <si>
    <r>
      <t xml:space="preserve">8.4 autres sections spécialisées
</t>
    </r>
    <r>
      <rPr>
        <b/>
        <sz val="7"/>
        <color rgb="FFFF0000"/>
        <rFont val="Arial"/>
        <family val="2"/>
      </rPr>
      <t>Critère sur le TJ</t>
    </r>
  </si>
  <si>
    <r>
      <t xml:space="preserve">9. TOTAL JAP
</t>
    </r>
    <r>
      <rPr>
        <b/>
        <sz val="7"/>
        <color rgb="FFFF0000"/>
        <rFont val="Arial"/>
        <family val="2"/>
      </rPr>
      <t>Critère sur le TJ</t>
    </r>
  </si>
  <si>
    <r>
      <t xml:space="preserve">6.1 JE : activité civile + 6.2 JE : activité pénale
</t>
    </r>
    <r>
      <rPr>
        <b/>
        <sz val="7"/>
        <color rgb="FFFF0000"/>
        <rFont val="Arial"/>
        <family val="2"/>
      </rPr>
      <t>Critère sur le TJ</t>
    </r>
  </si>
  <si>
    <r>
      <t xml:space="preserve">5. TOTAL JLD CIVIL + 10. TOTAL JLD PÉNAL
</t>
    </r>
    <r>
      <rPr>
        <b/>
        <sz val="7"/>
        <color rgb="FFFF0000"/>
        <rFont val="Arial"/>
        <family val="2"/>
      </rPr>
      <t>Critère sur le TJ</t>
    </r>
  </si>
  <si>
    <r>
      <t xml:space="preserve">7.5 + 7.51 Cour d'assises JIRS et hors JIRS
</t>
    </r>
    <r>
      <rPr>
        <b/>
        <sz val="7"/>
        <color rgb="FFFF0000"/>
        <rFont val="Arial"/>
        <family val="2"/>
      </rPr>
      <t>Critère sur le TJ</t>
    </r>
  </si>
  <si>
    <r>
      <t xml:space="preserve">7.52 cour criminelle
</t>
    </r>
    <r>
      <rPr>
        <b/>
        <sz val="7"/>
        <color rgb="FFFF0000"/>
        <rFont val="Arial"/>
        <family val="2"/>
      </rPr>
      <t>Critère sur le TJ</t>
    </r>
  </si>
  <si>
    <r>
      <t xml:space="preserve">7.121 Collégiales JIRS eco-fi
</t>
    </r>
    <r>
      <rPr>
        <b/>
        <sz val="7"/>
        <color rgb="FFFF0000"/>
        <rFont val="Arial"/>
        <family val="2"/>
      </rPr>
      <t>Critère sur le TJ</t>
    </r>
  </si>
  <si>
    <r>
      <t xml:space="preserve">7.12 Collégiales JIRS crim-org
</t>
    </r>
    <r>
      <rPr>
        <b/>
        <sz val="7"/>
        <color rgb="FFFF0000"/>
        <rFont val="Arial"/>
        <family val="2"/>
      </rPr>
      <t>Critère sur le TJ</t>
    </r>
  </si>
  <si>
    <r>
      <t xml:space="preserve">7.122 Collégiales autres sections spécialisées
</t>
    </r>
    <r>
      <rPr>
        <b/>
        <sz val="7"/>
        <color rgb="FFFF0000"/>
        <rFont val="Arial"/>
        <family val="2"/>
      </rPr>
      <t>Critère sur le TJ</t>
    </r>
  </si>
  <si>
    <r>
      <t xml:space="preserve">7.6 Tribunal de police + 7.7 OP contraventionnelles
</t>
    </r>
    <r>
      <rPr>
        <b/>
        <sz val="7"/>
        <color rgb="FFFF0000"/>
        <rFont val="Arial"/>
        <family val="2"/>
      </rPr>
      <t>Critère sur le TJ</t>
    </r>
  </si>
  <si>
    <r>
      <t xml:space="preserve">1.1 Contentieux du travail
</t>
    </r>
    <r>
      <rPr>
        <b/>
        <sz val="7"/>
        <color rgb="FFFF0000"/>
        <rFont val="Arial"/>
        <family val="2"/>
      </rPr>
      <t>Critère sur le TJ</t>
    </r>
  </si>
  <si>
    <r>
      <t xml:space="preserve">4.0 Contentieux général &lt; 10000 euros
</t>
    </r>
    <r>
      <rPr>
        <b/>
        <sz val="7"/>
        <color rgb="FFFF0000"/>
        <rFont val="Arial"/>
        <family val="2"/>
      </rPr>
      <t>Critère sur le TJ</t>
    </r>
  </si>
  <si>
    <r>
      <t xml:space="preserve">3.43 Injonctions de payer + 3.44 Saisies des rémunérations
</t>
    </r>
    <r>
      <rPr>
        <b/>
        <sz val="7"/>
        <color rgb="FFFF0000"/>
        <rFont val="Arial"/>
        <family val="2"/>
      </rPr>
      <t>Critère sur le TJ</t>
    </r>
  </si>
  <si>
    <r>
      <t xml:space="preserve">1. TOTAL CONTENTIEUX SOCIAL - 1.1 Contentieux du travail
</t>
    </r>
    <r>
      <rPr>
        <b/>
        <sz val="7"/>
        <color rgb="FFFF0000"/>
        <rFont val="Arial"/>
        <family val="2"/>
      </rPr>
      <t>Critère sur le TJ</t>
    </r>
  </si>
  <si>
    <r>
      <t xml:space="preserve">2. TOTAL CONTENTIEUX JAF
</t>
    </r>
    <r>
      <rPr>
        <b/>
        <sz val="7"/>
        <color rgb="FFFF0000"/>
        <rFont val="Arial"/>
        <family val="2"/>
      </rPr>
      <t>Critère sur le TJ</t>
    </r>
  </si>
  <si>
    <r>
      <t xml:space="preserve">3.43 Injonctions de payer + 3.44 Saisies des rémunérations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</si>
  <si>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color rgb="FF0070C0"/>
        <rFont val="Arial"/>
        <family val="2"/>
      </rPr>
      <t xml:space="preserve">(Pour Fonction recodée = Magistrats SIEGE S)
</t>
    </r>
    <r>
      <rPr>
        <b/>
        <sz val="7"/>
        <color rgb="FFFF0000"/>
        <rFont val="Arial"/>
        <family val="2"/>
      </rPr>
      <t>Critère sur le TPRX</t>
    </r>
  </si>
  <si>
    <r>
      <t xml:space="preserve">3.2 Protection des majeurs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</si>
  <si>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t>Pas identifiable avec A-JUST (à reporter à la la main)</t>
  </si>
  <si>
    <r>
      <t xml:space="preserve">1.1 Contentieux du travail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</si>
  <si>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Temps ventilés sur la période (contentieux civils et sociaux) - 3. Contentieux de la Protection - 1.1 Contentieux du travail - 6.1 JE : activité civile (qui est automatiquement reportée sur le TJ) - 5. TOTAL JLD CIVIL (qui est automatiquement reporté sur le TJ) - 2. TOTAL CONTENTIEUX JAF (qui est automatiquement reporté sur le TJ)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</si>
  <si>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</si>
  <si>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</si>
  <si>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</si>
  <si>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3.43 Injonctions de payer + 3.44 Saisies des rémunérations
</t>
    </r>
    <r>
      <rPr>
        <b/>
        <sz val="7"/>
        <color rgb="FFFF0000"/>
        <rFont val="Arial"/>
        <family val="2"/>
      </rPr>
      <t>Critère sur le TPRX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</si>
  <si>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color rgb="FFFF0000"/>
        <rFont val="Arial"/>
        <family val="2"/>
      </rPr>
      <t>Critère sur le TPRX</t>
    </r>
  </si>
  <si>
    <r>
      <t xml:space="preserve">3.2 Protection des majeurs
</t>
    </r>
    <r>
      <rPr>
        <b/>
        <sz val="7"/>
        <color rgb="FFFF0000"/>
        <rFont val="Arial"/>
        <family val="2"/>
      </rPr>
      <t>Critère sur le TPRX</t>
    </r>
  </si>
  <si>
    <r>
      <t xml:space="preserve">1.1 Contentieux du travail
</t>
    </r>
    <r>
      <rPr>
        <b/>
        <sz val="7"/>
        <color rgb="FFFF0000"/>
        <rFont val="Arial"/>
        <family val="2"/>
      </rPr>
      <t>Critère sur le TPRX</t>
    </r>
  </si>
  <si>
    <r>
      <t xml:space="preserve">Somme de Temps ventilés sur la période (contentieux civils et sociaux)
</t>
    </r>
    <r>
      <rPr>
        <b/>
        <sz val="10"/>
        <color rgb="FFFF0000"/>
        <rFont val="Arial"/>
        <family val="2"/>
      </rPr>
      <t>Critère sur le TJ</t>
    </r>
  </si>
  <si>
    <r>
      <t xml:space="preserve">11.8. FONCTIONNAIRES AFFECTÉS AUX ACTIVITÉS CIVILES ET COMMERCIALES DU PARQUET
</t>
    </r>
    <r>
      <rPr>
        <b/>
        <sz val="10"/>
        <color rgb="FFFF0000"/>
        <rFont val="Arial"/>
        <family val="2"/>
      </rPr>
      <t>Critère sur le TJ</t>
    </r>
  </si>
  <si>
    <r>
      <t xml:space="preserve">3.2 Protection des majeurs
</t>
    </r>
    <r>
      <rPr>
        <b/>
        <sz val="10"/>
        <color rgb="FFFF0000"/>
        <rFont val="Arial"/>
        <family val="2"/>
      </rPr>
      <t>Critère sur le TJ</t>
    </r>
  </si>
  <si>
    <r>
      <t xml:space="preserve">Soustraction
3. Contentieux de la Protection - 3.2 Protection des majeurs - 3.43 IP - 3.44 Saisies rémunérations
</t>
    </r>
    <r>
      <rPr>
        <b/>
        <sz val="10"/>
        <color rgb="FFFF0000"/>
        <rFont val="Arial"/>
        <family val="2"/>
      </rPr>
      <t>Critère sur le TJ</t>
    </r>
  </si>
  <si>
    <r>
      <t xml:space="preserve">5. TOTAL JLD CIVIL + 6.1. ACTIVITÉ CIVILE
</t>
    </r>
    <r>
      <rPr>
        <b/>
        <sz val="10"/>
        <color rgb="FFFF0000"/>
        <rFont val="Arial"/>
        <family val="2"/>
      </rPr>
      <t>Critère sur le TJ</t>
    </r>
  </si>
  <si>
    <r>
      <t xml:space="preserve">3.43 Injonctions de payer + 3.44 Saisies des rémunérations
</t>
    </r>
    <r>
      <rPr>
        <b/>
        <sz val="10"/>
        <color rgb="FFFF0000"/>
        <rFont val="Arial"/>
        <family val="2"/>
      </rPr>
      <t>Critère sur le TJ</t>
    </r>
  </si>
  <si>
    <r>
      <t xml:space="preserve">4.0 Contentieux général &lt; 10000 euros
</t>
    </r>
    <r>
      <rPr>
        <b/>
        <sz val="10"/>
        <color rgb="FFFF0000"/>
        <rFont val="Arial"/>
        <family val="2"/>
      </rPr>
      <t>Critère sur le TJ</t>
    </r>
  </si>
  <si>
    <r>
      <t xml:space="preserve">1. TOTAL CONTENTIEUX SOCIAL
</t>
    </r>
    <r>
      <rPr>
        <b/>
        <sz val="10"/>
        <color rgb="FFFF0000"/>
        <rFont val="Arial"/>
        <family val="2"/>
      </rPr>
      <t>Critère sur le TJ</t>
    </r>
  </si>
  <si>
    <r>
      <t xml:space="preserve">Temps ventilés sur la période (contentieux civils et sociaux) -  somme colonnes </t>
    </r>
    <r>
      <rPr>
        <b/>
        <u/>
        <sz val="10"/>
        <rFont val="Arial"/>
        <family val="2"/>
      </rPr>
      <t>K à U</t>
    </r>
    <r>
      <rPr>
        <sz val="10"/>
        <rFont val="Arial"/>
        <family val="2"/>
      </rPr>
      <t xml:space="preserve">
</t>
    </r>
    <r>
      <rPr>
        <b/>
        <sz val="10"/>
        <color rgb="FFFF0000"/>
        <rFont val="Arial"/>
        <family val="2"/>
      </rPr>
      <t>Critère sur le TJ</t>
    </r>
  </si>
  <si>
    <r>
      <t xml:space="preserve">Temps ventilés sur la période (contentieux civils et sociaux)
</t>
    </r>
    <r>
      <rPr>
        <b/>
        <sz val="10"/>
        <color rgb="FFFF0000"/>
        <rFont val="Arial"/>
        <family val="2"/>
      </rPr>
      <t>Critère sur le TJ</t>
    </r>
  </si>
  <si>
    <r>
      <t xml:space="preserve">Somme de Temps ventilés sur la période (affaires pénales)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</si>
  <si>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11.9 Fonctionnaires affectés à l'exécution des peines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</si>
  <si>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7.5 + 7.51 Cour d'assises JIRS et hors JIRS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</si>
  <si>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7.52 cour criminelle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</si>
  <si>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8.2 JIRS eco-fi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</si>
  <si>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8.3 JIRS crim-org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</si>
  <si>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8.4 autres sections spécialisées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</si>
  <si>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6.2 Activité pénale + (8. Juge d'instruction - 8.2 JIRS eco-fi - 8.3 JIRS crim-org - 8.4 autres sections spécialisées) + 9. JAP + 10. JLD pénal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</si>
  <si>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Temps ventilés sur la période (affaires pénales) + 11.10 AUTRES FONCTIONNAIRES AFFECTÉS AU PARQUET - somme colonnes </t>
    </r>
    <r>
      <rPr>
        <b/>
        <u/>
        <sz val="10"/>
        <rFont val="Arial"/>
        <family val="2"/>
      </rPr>
      <t xml:space="preserve">K à U </t>
    </r>
    <r>
      <rPr>
        <sz val="10"/>
        <rFont val="Arial"/>
        <family val="2"/>
      </rPr>
      <t xml:space="preserve">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</si>
  <si>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Temps ventilés sur la période (affaires pénales) + 11.10 AUTRES FONCTIONNAIRES AFFECTÉS AU PARQUET 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</si>
  <si>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11.51 Accueil du justiciable
</t>
    </r>
    <r>
      <rPr>
        <b/>
        <sz val="10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</si>
  <si>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10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</si>
  <si>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 + Temps ventilé sur la période (y.c. indisponibilité) (pour CONT A JP Greffe)
</t>
    </r>
    <r>
      <rPr>
        <b/>
        <sz val="10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</si>
  <si>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10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</si>
  <si>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10"/>
        <color rgb="FFFF0000"/>
        <rFont val="Arial"/>
        <family val="2"/>
      </rPr>
      <t>Critère sur le TJ</t>
    </r>
    <r>
      <rPr>
        <sz val="10"/>
        <rFont val="Arial"/>
        <family val="2"/>
      </rPr>
      <t xml:space="preserve">
</t>
    </r>
  </si>
  <si>
    <r>
      <t xml:space="preserve">11.4 Accès au droit et à la justice
</t>
    </r>
    <r>
      <rPr>
        <b/>
        <sz val="10"/>
        <color rgb="FFFF0000"/>
        <rFont val="Arial"/>
        <family val="2"/>
      </rPr>
      <t>Critère sur le TJ</t>
    </r>
  </si>
  <si>
    <r>
      <t xml:space="preserve">12. TOTAL INDISPONIBILITÉ - 12.5 Mise à disposition
</t>
    </r>
    <r>
      <rPr>
        <b/>
        <sz val="10"/>
        <color rgb="FFFF0000"/>
        <rFont val="Arial"/>
        <family val="2"/>
      </rPr>
      <t>Critère sur le TJ</t>
    </r>
  </si>
  <si>
    <r>
      <t xml:space="preserve">12.5 Mise à disposition
</t>
    </r>
    <r>
      <rPr>
        <b/>
        <sz val="10"/>
        <color rgb="FFFF0000"/>
        <rFont val="Arial"/>
        <family val="2"/>
      </rPr>
      <t>Critère sur le TJ</t>
    </r>
  </si>
  <si>
    <r>
      <t xml:space="preserve">11.9 Fonctionnaires affectés à l'exécution des peines
</t>
    </r>
    <r>
      <rPr>
        <b/>
        <sz val="10"/>
        <color rgb="FFFF0000"/>
        <rFont val="Arial"/>
        <family val="2"/>
      </rPr>
      <t>Critère sur le TJ</t>
    </r>
  </si>
  <si>
    <r>
      <t xml:space="preserve">7.5 + 7.51 Cour d'assises JIRS et hors JIRS
</t>
    </r>
    <r>
      <rPr>
        <b/>
        <sz val="10"/>
        <color rgb="FFFF0000"/>
        <rFont val="Arial"/>
        <family val="2"/>
      </rPr>
      <t>Critère sur le TJ</t>
    </r>
  </si>
  <si>
    <r>
      <t xml:space="preserve">7.52 cour criminelle
</t>
    </r>
    <r>
      <rPr>
        <b/>
        <sz val="10"/>
        <color rgb="FFFF0000"/>
        <rFont val="Arial"/>
        <family val="2"/>
      </rPr>
      <t>Critère sur le TJ</t>
    </r>
  </si>
  <si>
    <r>
      <t xml:space="preserve">8.2 JIRS eco-fi
</t>
    </r>
    <r>
      <rPr>
        <b/>
        <sz val="10"/>
        <color rgb="FFFF0000"/>
        <rFont val="Arial"/>
        <family val="2"/>
      </rPr>
      <t>Critère sur le TJ</t>
    </r>
  </si>
  <si>
    <r>
      <t xml:space="preserve">8.3 JIRS crim-org
</t>
    </r>
    <r>
      <rPr>
        <b/>
        <sz val="10"/>
        <color rgb="FFFF0000"/>
        <rFont val="Arial"/>
        <family val="2"/>
      </rPr>
      <t>Critère sur le TJ</t>
    </r>
  </si>
  <si>
    <r>
      <t xml:space="preserve">8.4 autres sections spécialisées
</t>
    </r>
    <r>
      <rPr>
        <b/>
        <sz val="10"/>
        <color rgb="FFFF0000"/>
        <rFont val="Arial"/>
        <family val="2"/>
      </rPr>
      <t>Critère sur le TJ</t>
    </r>
  </si>
  <si>
    <r>
      <t xml:space="preserve">5. JLD civil + 6.1. ACTIVITÉ CIVILE + 6.2. ACTIVITÉ PÉNALE + (8. Juge d'instruction - 8.2 JIRS eco-fi - 8.3 JIRS crim-org - 8.4 autres sections spécialisées) + 9. TOTAL JAP + 10. TOTAL JLD PÉNAL
</t>
    </r>
    <r>
      <rPr>
        <b/>
        <sz val="10"/>
        <color rgb="FFFF0000"/>
        <rFont val="Arial"/>
        <family val="2"/>
      </rPr>
      <t>Critère sur le TJ</t>
    </r>
  </si>
  <si>
    <r>
      <t xml:space="preserve">11.7 Fonctionnaires affectés au CPH
</t>
    </r>
    <r>
      <rPr>
        <b/>
        <sz val="7"/>
        <color rgb="FFFF0000"/>
        <rFont val="Arial"/>
        <family val="2"/>
      </rPr>
      <t>Critère sur le TJ OU TPRX</t>
    </r>
  </si>
  <si>
    <r>
      <t xml:space="preserve">Somme de Temps ventilés sur la période (contentieux civils et sociaux)
</t>
    </r>
    <r>
      <rPr>
        <b/>
        <sz val="10"/>
        <color rgb="FFFF0000"/>
        <rFont val="Arial"/>
        <family val="2"/>
      </rPr>
      <t>Critère sur le TPRX</t>
    </r>
  </si>
  <si>
    <r>
      <t xml:space="preserve">3.43 Injonctions de payer + 3.44 Saisies des rémunérations
</t>
    </r>
    <r>
      <rPr>
        <b/>
        <sz val="10"/>
        <color rgb="FFFF0000"/>
        <rFont val="Arial"/>
        <family val="2"/>
      </rPr>
      <t>Critère sur le TPRX</t>
    </r>
  </si>
  <si>
    <r>
      <t xml:space="preserve">Soustraction
3. Contentieux de la Protection - 3.2 Protection des majeurs - 3.43 IP - 3.44 Saisies rémunérations
</t>
    </r>
    <r>
      <rPr>
        <b/>
        <sz val="10"/>
        <color rgb="FFFF0000"/>
        <rFont val="Arial"/>
        <family val="2"/>
      </rPr>
      <t>Critère sur le TPRX</t>
    </r>
  </si>
  <si>
    <r>
      <t xml:space="preserve">3.2 Protection des majeurs
</t>
    </r>
    <r>
      <rPr>
        <b/>
        <sz val="10"/>
        <color rgb="FFFF0000"/>
        <rFont val="Arial"/>
        <family val="2"/>
      </rPr>
      <t>Critère sur le TPRX</t>
    </r>
  </si>
  <si>
    <r>
      <t xml:space="preserve">Temps ventilés sur la période (contentieux civils et sociaux) -  somme colonnes </t>
    </r>
    <r>
      <rPr>
        <b/>
        <u/>
        <sz val="10"/>
        <rFont val="Arial"/>
        <family val="2"/>
      </rPr>
      <t>I à Q</t>
    </r>
    <r>
      <rPr>
        <sz val="10"/>
        <rFont val="Arial"/>
        <family val="2"/>
      </rPr>
      <t xml:space="preserve">
</t>
    </r>
    <r>
      <rPr>
        <b/>
        <sz val="10"/>
        <color rgb="FFFF0000"/>
        <rFont val="Arial"/>
        <family val="2"/>
      </rPr>
      <t>Critère sur le TPRX</t>
    </r>
  </si>
  <si>
    <r>
      <t xml:space="preserve">Temps ventilés sur la période (contentieux civils et sociaux)
</t>
    </r>
    <r>
      <rPr>
        <b/>
        <sz val="10"/>
        <color rgb="FFFF0000"/>
        <rFont val="Arial"/>
        <family val="2"/>
      </rPr>
      <t>Critère sur le TPRX</t>
    </r>
  </si>
  <si>
    <r>
      <t xml:space="preserve">11.51 Accueil du justiciable
</t>
    </r>
    <r>
      <rPr>
        <b/>
        <sz val="10"/>
        <color rgb="FFFF0000"/>
        <rFont val="Arial"/>
        <family val="2"/>
      </rPr>
      <t>Critère sur le TPRX</t>
    </r>
  </si>
  <si>
    <r>
      <t xml:space="preserve">11.1 Soutien + 11.2 Formations suivies + 1.6 Autres activités non juridictionnelles
</t>
    </r>
    <r>
      <rPr>
        <b/>
        <sz val="10"/>
        <color rgb="FFFF0000"/>
        <rFont val="Arial"/>
        <family val="2"/>
      </rPr>
      <t>Critère sur le TPRX</t>
    </r>
  </si>
  <si>
    <r>
      <t xml:space="preserve">11.1 Soutien + 11.2 Formations suivies + 1.6 Autres activités non juridictionnelles + Temps ventilé sur la période (y.c. indisponibilité) (pour CONT A JP Greffe)
</t>
    </r>
    <r>
      <rPr>
        <b/>
        <sz val="10"/>
        <color rgb="FFFF0000"/>
        <rFont val="Arial"/>
        <family val="2"/>
      </rPr>
      <t>Critère sur le TPRX</t>
    </r>
  </si>
  <si>
    <r>
      <t xml:space="preserve">11.3 Formations dispensées
</t>
    </r>
    <r>
      <rPr>
        <b/>
        <sz val="10"/>
        <color rgb="FFFF0000"/>
        <rFont val="Arial"/>
        <family val="2"/>
      </rPr>
      <t>Critère sur le TPRX</t>
    </r>
  </si>
  <si>
    <r>
      <t xml:space="preserve">11.4 Accès au droit et à la justice
</t>
    </r>
    <r>
      <rPr>
        <b/>
        <sz val="10"/>
        <color rgb="FFFF0000"/>
        <rFont val="Arial"/>
        <family val="2"/>
      </rPr>
      <t>Critère sur le TPRX</t>
    </r>
  </si>
  <si>
    <r>
      <t xml:space="preserve">12. TOTAL INDISPONIBILITÉ - 12.5 Mise à disposition
</t>
    </r>
    <r>
      <rPr>
        <b/>
        <sz val="10"/>
        <color rgb="FFFF0000"/>
        <rFont val="Arial"/>
        <family val="2"/>
      </rPr>
      <t>Critère sur le TPRX</t>
    </r>
  </si>
  <si>
    <r>
      <t xml:space="preserve">12.5 Mise à disposition
</t>
    </r>
    <r>
      <rPr>
        <b/>
        <sz val="10"/>
        <color rgb="FFFF0000"/>
        <rFont val="Arial"/>
        <family val="2"/>
      </rPr>
      <t>Critère sur le TPRX</t>
    </r>
  </si>
  <si>
    <t>%age de l'ETPT</t>
  </si>
  <si>
    <t>## y.global1</t>
  </si>
  <si>
    <t>## y.sub1</t>
  </si>
  <si>
    <t>Indisponibilité des placés à reporter sur la cour, ligne "Etpt placés absents non affectés", colonne "Autres Magistrats du Siège non spécialisés"</t>
  </si>
  <si>
    <r>
      <t xml:space="preserve">12. TOTAL INDISPONIBILITÉ
</t>
    </r>
    <r>
      <rPr>
        <b/>
        <sz val="7"/>
        <color rgb="FF0070C0"/>
        <rFont val="Arial"/>
        <family val="2"/>
      </rPr>
      <t>(Pour Fonctions recodées = Magistrats placé ADD  ou Magistrat placé SUB)</t>
    </r>
  </si>
  <si>
    <t>Indisponibilité des placés à reporter sur le SAR, ligne "Etpt placés absents non affectés", colonne C-TECH</t>
  </si>
  <si>
    <r>
      <t xml:space="preserve">12. TOTAL INDISPONIBILITÉ
</t>
    </r>
    <r>
      <rPr>
        <b/>
        <sz val="10"/>
        <color rgb="FF0070C0"/>
        <rFont val="Arial"/>
        <family val="2"/>
      </rPr>
      <t>(Pour Fonctions recodées = Fonctionnaire CTECH placé ADD  ou Fonctionnaire Fonctionnaire CTECH placé SUB)</t>
    </r>
  </si>
  <si>
    <t>Indisponibilité des placés à reporter sur le SAR, ligne "Etpt placés absents non affectés", colonne ABC-BUR</t>
  </si>
  <si>
    <r>
      <t xml:space="preserve">12. TOTAL INDISPONIBILITÉ
</t>
    </r>
    <r>
      <rPr>
        <b/>
        <sz val="10"/>
        <color rgb="FF0070C0"/>
        <rFont val="Arial"/>
        <family val="2"/>
      </rPr>
      <t>(Pour Fonctions recodées = Fonctionnaire A-B-CBUR placé ADD  ou Fonctionnaire A-B-CBUR placé SUB)</t>
    </r>
  </si>
  <si>
    <r>
      <t xml:space="preserve">12. TOTAL INDISPONIBILITÉ
</t>
    </r>
    <r>
      <rPr>
        <b/>
        <sz val="7"/>
        <color rgb="FFFFFF00"/>
        <rFont val="Arial"/>
        <family val="2"/>
      </rPr>
      <t>(Pour Fonctions recodées = Magistrats placé ADD  ou Magistrat placé SUB)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</si>
  <si>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</si>
  <si>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</si>
  <si>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</si>
  <si>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</si>
  <si>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</si>
  <si>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</si>
  <si>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</si>
  <si>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</si>
  <si>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</si>
  <si>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</si>
  <si>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</si>
  <si>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FFFF00"/>
        <rFont val="Arial"/>
        <family val="2"/>
      </rPr>
      <t>(Pour Fonction recodée = Magistrats SIEGE NS)</t>
    </r>
    <r>
      <rPr>
        <sz val="7"/>
        <color rgb="FFFFFF00"/>
        <rFont val="Arial"/>
        <family val="2"/>
      </rPr>
      <t xml:space="preserve">
</t>
    </r>
    <r>
      <rPr>
        <b/>
        <sz val="7"/>
        <color rgb="FFFFFF00"/>
        <rFont val="Arial"/>
        <family val="2"/>
      </rPr>
      <t>Critère sur le TJ</t>
    </r>
  </si>
  <si>
    <r>
      <t xml:space="preserve">Temps ventilés sur la période (hors indisponibilité) - somme colonnes précédentes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</si>
  <si>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recodée = Magistrats SIEGE N)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</si>
  <si>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12.5 MISE A DISPOSITION
</t>
    </r>
    <r>
      <rPr>
        <b/>
        <sz val="7"/>
        <color rgb="FFFFFF00"/>
        <rFont val="Arial"/>
        <family val="2"/>
      </rPr>
      <t>(Pour Fonction recodée = Magistrats SIEGE N)</t>
    </r>
    <r>
      <rPr>
        <sz val="7"/>
        <color rgb="FFFFFF00"/>
        <rFont val="Arial"/>
        <family val="2"/>
      </rPr>
      <t xml:space="preserve">
</t>
    </r>
    <r>
      <rPr>
        <b/>
        <sz val="7"/>
        <color rgb="FFFFFF00"/>
        <rFont val="Arial"/>
        <family val="2"/>
      </rPr>
      <t>Critère sur le TPRX</t>
    </r>
  </si>
  <si>
    <r>
      <t xml:space="preserve">Temps ventilés sur la période (hors indisponibilité) - somme (toutes les cellules précédentes)
</t>
    </r>
    <r>
      <rPr>
        <b/>
        <sz val="7"/>
        <color rgb="FFFF0000"/>
        <rFont val="Arial"/>
        <family val="2"/>
      </rPr>
      <t>Critère sur le TPRX</t>
    </r>
  </si>
  <si>
    <r>
      <t xml:space="preserve">Somme de Temps ventilé sur la période (hors indisponibilité)
</t>
    </r>
    <r>
      <rPr>
        <b/>
        <sz val="10"/>
        <color rgb="FFFF0000"/>
        <rFont val="Arial"/>
        <family val="2"/>
      </rPr>
      <t>Critère sur le TJ</t>
    </r>
  </si>
  <si>
    <r>
      <t xml:space="preserve">Somme de Temps ventilé sur la période (hors indisponibilité) - somme colonnes I à U - 11.7 Fonctionnaires affectés au CPH
</t>
    </r>
    <r>
      <rPr>
        <b/>
        <sz val="10"/>
        <color rgb="FFFF0000"/>
        <rFont val="Arial"/>
        <family val="2"/>
      </rPr>
      <t>Critère sur le TJ</t>
    </r>
  </si>
  <si>
    <r>
      <t xml:space="preserve">Somme de Temps ventilé sur la période (hors indisponibilité)
</t>
    </r>
    <r>
      <rPr>
        <b/>
        <sz val="10"/>
        <color rgb="FFFF0000"/>
        <rFont val="Arial"/>
        <family val="2"/>
      </rPr>
      <t>Critère sur le TPRX</t>
    </r>
  </si>
  <si>
    <r>
      <t xml:space="preserve">Somme de Temps ventilé sur la période (hors indisponibilité) - somme colonnes I à U - 11.7 Fonctionnaires affectés au CPH
</t>
    </r>
    <r>
      <rPr>
        <b/>
        <sz val="10"/>
        <color rgb="FFFF0000"/>
        <rFont val="Arial"/>
        <family val="2"/>
      </rPr>
      <t>Critère sur le TPRX</t>
    </r>
  </si>
  <si>
    <t>#! FOR_EACH f fonctions</t>
  </si>
  <si>
    <t>#! END_LOOP f</t>
  </si>
  <si>
    <t>## f.recodedFunction</t>
  </si>
  <si>
    <t>## f.category_detail</t>
  </si>
  <si>
    <t>## f.position</t>
  </si>
  <si>
    <t>## f.code</t>
  </si>
  <si>
    <t>## f.label</t>
  </si>
  <si>
    <t>## f.category_label</t>
  </si>
  <si>
    <t>#! DUMP_COLS subtitles1</t>
  </si>
  <si>
    <t>## f.CONCAT</t>
  </si>
  <si>
    <t>CONCAT</t>
  </si>
  <si>
    <t>Catégorie</t>
  </si>
  <si>
    <t>Label</t>
  </si>
  <si>
    <t>Position</t>
  </si>
  <si>
    <t>Fonction recodée DDG</t>
  </si>
  <si>
    <t>Fonction onglet agrégat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</si>
</sst>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_-* #,##0.00_-;\-* #,##0.00_-;_-* &quot;-&quot;??_-;_-@_-"/>
    <numFmt numFmtId="166" formatCode="_-* #,##0.000_-;\-* #,##0.000_-;_-* &quot;-&quot;??_-;_-@_-"/>
    <numFmt numFmtId="167" formatCode="General;General;\-"/>
    <numFmt numFmtId="168" formatCode="0.###;0.###;\-"/>
    <numFmt numFmtId="169" formatCode="#,##0.00_ ;[Red]\-#,##0.00\ "/>
    <numFmt numFmtId="170" formatCode="0.0%"/>
  </numFmts>
  <fonts count="7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 tint="-4.9989318521683403E-2"/>
      <name val="Calibri"/>
      <family val="2"/>
      <scheme val="minor"/>
    </font>
    <font>
      <b/>
      <i/>
      <sz val="16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860000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9"/>
      <color rgb="FF333333"/>
      <name val="Arial"/>
      <family val="2"/>
    </font>
    <font>
      <b/>
      <sz val="7"/>
      <color rgb="FF000000"/>
      <name val="Arial"/>
      <family val="2"/>
    </font>
    <font>
      <b/>
      <u/>
      <sz val="7"/>
      <color rgb="FF000000"/>
      <name val="Arial"/>
      <family val="2"/>
    </font>
    <font>
      <sz val="7"/>
      <color rgb="FF000000"/>
      <name val="Arial"/>
      <family val="2"/>
    </font>
    <font>
      <sz val="7"/>
      <name val="Arial"/>
      <family val="2"/>
    </font>
    <font>
      <sz val="7"/>
      <color rgb="FFFF0000"/>
      <name val="Arial"/>
      <family val="2"/>
    </font>
    <font>
      <b/>
      <sz val="7"/>
      <name val="Arial"/>
      <family val="2"/>
    </font>
    <font>
      <b/>
      <sz val="7"/>
      <color rgb="FFFF0000"/>
      <name val="Arial"/>
      <family val="2"/>
    </font>
    <font>
      <b/>
      <sz val="7"/>
      <color rgb="FF333333"/>
      <name val="Arial"/>
      <family val="2"/>
    </font>
    <font>
      <b/>
      <sz val="8"/>
      <color rgb="FFFF0000"/>
      <name val="Arial"/>
      <family val="2"/>
    </font>
    <font>
      <b/>
      <sz val="8"/>
      <color rgb="FF333333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7"/>
      <color rgb="FF333333"/>
      <name val="Arial"/>
      <family val="2"/>
    </font>
    <font>
      <sz val="8"/>
      <color rgb="FF333333"/>
      <name val="Arial"/>
      <family val="2"/>
    </font>
    <font>
      <b/>
      <sz val="9"/>
      <color rgb="FF333333"/>
      <name val="Arial"/>
      <family val="2"/>
    </font>
    <font>
      <sz val="7"/>
      <color theme="0"/>
      <name val="Arial"/>
      <family val="2"/>
    </font>
    <font>
      <b/>
      <sz val="1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7"/>
      <color theme="1"/>
      <name val="Arial"/>
      <family val="2"/>
    </font>
    <font>
      <u/>
      <sz val="11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860000"/>
      <name val="Calibri"/>
      <family val="2"/>
      <scheme val="minor"/>
    </font>
    <font>
      <b/>
      <sz val="12"/>
      <color rgb="FF2D46E0"/>
      <name val="Calibri"/>
      <family val="2"/>
      <scheme val="minor"/>
    </font>
    <font>
      <b/>
      <sz val="12"/>
      <color theme="5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7"/>
      <color rgb="FF0070C0"/>
      <name val="Arial"/>
      <family val="2"/>
    </font>
    <font>
      <sz val="7"/>
      <color rgb="FF0070C0"/>
      <name val="Arial"/>
      <family val="2"/>
    </font>
    <font>
      <b/>
      <sz val="10"/>
      <color rgb="FF333333"/>
      <name val="Arial"/>
      <family val="2"/>
    </font>
    <font>
      <sz val="10"/>
      <color rgb="FF333333"/>
      <name val="Arial"/>
      <family val="2"/>
    </font>
    <font>
      <b/>
      <sz val="10"/>
      <color rgb="FF000000"/>
      <name val="Arial"/>
      <family val="2"/>
    </font>
    <font>
      <b/>
      <u/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u/>
      <sz val="10"/>
      <name val="Arial"/>
      <family val="2"/>
    </font>
    <font>
      <i/>
      <sz val="11"/>
      <color theme="1"/>
      <name val="Calibri"/>
      <family val="2"/>
      <scheme val="minor"/>
    </font>
    <font>
      <sz val="7"/>
      <color rgb="FFFFFF00"/>
      <name val="Arial"/>
      <family val="2"/>
    </font>
    <font>
      <sz val="7"/>
      <color theme="1"/>
      <name val="Arial"/>
      <family val="2"/>
    </font>
    <font>
      <sz val="9"/>
      <color theme="1"/>
      <name val="Arial"/>
      <family val="2"/>
    </font>
    <font>
      <b/>
      <sz val="10"/>
      <color rgb="FF0070C0"/>
      <name val="Arial"/>
      <family val="2"/>
    </font>
    <font>
      <b/>
      <sz val="7"/>
      <color rgb="FFFFFF00"/>
      <name val="Arial"/>
      <family val="2"/>
    </font>
    <font>
      <b/>
      <sz val="10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EFFFF"/>
        <bgColor rgb="FFFFFFFF"/>
      </patternFill>
    </fill>
    <fill>
      <patternFill patternType="solid">
        <fgColor theme="1" tint="0.24997711111789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CFDFD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rgb="FF333F4F"/>
        <bgColor indexed="64"/>
      </patternFill>
    </fill>
    <fill>
      <patternFill patternType="solid">
        <fgColor rgb="FFE64B85"/>
        <bgColor indexed="64"/>
      </patternFill>
    </fill>
    <fill>
      <patternFill patternType="solid">
        <fgColor rgb="FF2D46E0"/>
        <bgColor indexed="64"/>
      </patternFill>
    </fill>
    <fill>
      <patternFill patternType="solid">
        <fgColor rgb="FF0B0B9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7F02D"/>
        <bgColor indexed="64"/>
      </patternFill>
    </fill>
    <fill>
      <patternFill patternType="solid">
        <fgColor rgb="FF00B252"/>
        <bgColor indexed="64"/>
      </patternFill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333F4F"/>
      </left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/>
      <diagonal/>
    </border>
    <border>
      <left/>
      <right style="medium">
        <color rgb="FF333F4F"/>
      </right>
      <top style="medium">
        <color rgb="FF333F4F"/>
      </top>
      <bottom/>
      <diagonal/>
    </border>
    <border>
      <left style="medium">
        <color rgb="FF333F4F"/>
      </left>
      <right/>
      <top/>
      <bottom style="thin">
        <color rgb="FF333F4F"/>
      </bottom>
      <diagonal/>
    </border>
    <border>
      <left/>
      <right/>
      <top/>
      <bottom style="thin">
        <color rgb="FF333F4F"/>
      </bottom>
      <diagonal/>
    </border>
    <border>
      <left style="medium">
        <color rgb="FF333F4F"/>
      </left>
      <right/>
      <top style="thin">
        <color rgb="FF333F4F"/>
      </top>
      <bottom style="thin">
        <color rgb="FF333F4F"/>
      </bottom>
      <diagonal/>
    </border>
    <border>
      <left/>
      <right/>
      <top style="thin">
        <color rgb="FF333F4F"/>
      </top>
      <bottom style="thin">
        <color rgb="FF333F4F"/>
      </bottom>
      <diagonal/>
    </border>
    <border>
      <left style="medium">
        <color rgb="FF333F4F"/>
      </left>
      <right/>
      <top/>
      <bottom/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rgb="FF333F4F"/>
      </left>
      <right/>
      <top/>
      <bottom style="medium">
        <color indexed="64"/>
      </bottom>
      <diagonal/>
    </border>
    <border>
      <left style="medium">
        <color rgb="FF333F4F"/>
      </left>
      <right/>
      <top/>
      <bottom style="medium">
        <color rgb="FF333F4F"/>
      </bottom>
      <diagonal/>
    </border>
    <border>
      <left/>
      <right/>
      <top/>
      <bottom style="medium">
        <color rgb="FF333F4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333F4F"/>
      </right>
      <top/>
      <bottom style="medium">
        <color rgb="FF333F4F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5" fillId="0" borderId="0"/>
    <xf numFmtId="165" fontId="5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</cellStyleXfs>
  <cellXfs count="35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7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right" vertical="center"/>
    </xf>
    <xf numFmtId="0" fontId="8" fillId="3" borderId="0" xfId="0" applyFont="1" applyFill="1" applyAlignment="1">
      <alignment horizontal="right"/>
    </xf>
    <xf numFmtId="0" fontId="0" fillId="3" borderId="0" xfId="0" applyFill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166" fontId="6" fillId="0" borderId="3" xfId="3" applyNumberFormat="1" applyFont="1" applyBorder="1" applyAlignment="1">
      <alignment horizontal="center" vertical="center" wrapText="1"/>
    </xf>
    <xf numFmtId="166" fontId="6" fillId="0" borderId="4" xfId="3" applyNumberFormat="1" applyFont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1" fillId="4" borderId="0" xfId="0" applyFont="1" applyFill="1" applyAlignment="1">
      <alignment wrapText="1"/>
    </xf>
    <xf numFmtId="0" fontId="11" fillId="4" borderId="0" xfId="0" applyFont="1" applyFill="1" applyAlignment="1">
      <alignment horizontal="center" vertical="center"/>
    </xf>
    <xf numFmtId="0" fontId="0" fillId="5" borderId="0" xfId="0" applyFill="1" applyAlignment="1">
      <alignment horizontal="left"/>
    </xf>
    <xf numFmtId="0" fontId="6" fillId="5" borderId="0" xfId="0" applyFont="1" applyFill="1" applyAlignment="1">
      <alignment horizontal="left"/>
    </xf>
    <xf numFmtId="166" fontId="6" fillId="0" borderId="0" xfId="3" applyNumberFormat="1" applyFont="1" applyBorder="1" applyAlignment="1">
      <alignment horizontal="center" vertical="center"/>
    </xf>
    <xf numFmtId="166" fontId="6" fillId="0" borderId="1" xfId="3" applyNumberFormat="1" applyFont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6" fillId="2" borderId="0" xfId="0" applyFont="1" applyFill="1" applyAlignment="1">
      <alignment horizontal="center" vertical="center" wrapText="1"/>
    </xf>
    <xf numFmtId="167" fontId="0" fillId="0" borderId="0" xfId="0" applyNumberFormat="1"/>
    <xf numFmtId="0" fontId="0" fillId="6" borderId="0" xfId="0" applyFill="1" applyAlignment="1">
      <alignment horizontal="center" vertical="center"/>
    </xf>
    <xf numFmtId="168" fontId="0" fillId="0" borderId="0" xfId="0" applyNumberFormat="1" applyAlignment="1">
      <alignment horizontal="left" vertical="top"/>
    </xf>
    <xf numFmtId="0" fontId="0" fillId="0" borderId="0" xfId="0" applyAlignment="1">
      <alignment vertical="center" wrapText="1"/>
    </xf>
    <xf numFmtId="0" fontId="9" fillId="0" borderId="0" xfId="0" applyFont="1"/>
    <xf numFmtId="166" fontId="6" fillId="0" borderId="4" xfId="0" applyNumberFormat="1" applyFont="1" applyBorder="1" applyAlignment="1">
      <alignment horizontal="center" vertical="center" wrapText="1"/>
    </xf>
    <xf numFmtId="0" fontId="16" fillId="0" borderId="0" xfId="4" applyFont="1" applyProtection="1">
      <protection hidden="1"/>
    </xf>
    <xf numFmtId="0" fontId="17" fillId="0" borderId="0" xfId="4" applyFont="1" applyProtection="1">
      <protection locked="0"/>
    </xf>
    <xf numFmtId="49" fontId="17" fillId="0" borderId="0" xfId="4" applyNumberFormat="1" applyFont="1" applyAlignment="1" applyProtection="1">
      <alignment horizontal="left" vertical="center"/>
      <protection locked="0"/>
    </xf>
    <xf numFmtId="0" fontId="17" fillId="0" borderId="0" xfId="4" applyFont="1" applyAlignment="1" applyProtection="1">
      <alignment horizontal="left" vertical="center"/>
      <protection locked="0"/>
    </xf>
    <xf numFmtId="0" fontId="16" fillId="0" borderId="0" xfId="4" applyFont="1" applyAlignment="1" applyProtection="1">
      <alignment horizontal="left"/>
      <protection hidden="1"/>
    </xf>
    <xf numFmtId="0" fontId="18" fillId="0" borderId="0" xfId="4" applyFont="1" applyAlignment="1" applyProtection="1">
      <alignment horizontal="left"/>
      <protection hidden="1"/>
    </xf>
    <xf numFmtId="0" fontId="10" fillId="0" borderId="0" xfId="4" applyFont="1" applyAlignment="1">
      <alignment vertical="center" wrapText="1"/>
    </xf>
    <xf numFmtId="0" fontId="19" fillId="0" borderId="0" xfId="4" applyFont="1" applyAlignment="1">
      <alignment vertical="center" wrapText="1"/>
    </xf>
    <xf numFmtId="0" fontId="4" fillId="0" borderId="0" xfId="4" applyProtection="1">
      <protection hidden="1"/>
    </xf>
    <xf numFmtId="169" fontId="4" fillId="0" borderId="0" xfId="4" applyNumberFormat="1" applyProtection="1">
      <protection hidden="1"/>
    </xf>
    <xf numFmtId="0" fontId="15" fillId="0" borderId="0" xfId="4" applyFont="1" applyProtection="1">
      <protection hidden="1"/>
    </xf>
    <xf numFmtId="169" fontId="15" fillId="0" borderId="0" xfId="4" applyNumberFormat="1" applyFont="1" applyProtection="1">
      <protection hidden="1"/>
    </xf>
    <xf numFmtId="0" fontId="20" fillId="8" borderId="0" xfId="4" applyFont="1" applyFill="1" applyAlignment="1" applyProtection="1">
      <alignment horizontal="left"/>
      <protection hidden="1"/>
    </xf>
    <xf numFmtId="169" fontId="21" fillId="8" borderId="0" xfId="4" applyNumberFormat="1" applyFont="1" applyFill="1" applyProtection="1">
      <protection hidden="1"/>
    </xf>
    <xf numFmtId="0" fontId="22" fillId="8" borderId="0" xfId="4" applyFont="1" applyFill="1" applyAlignment="1" applyProtection="1">
      <alignment horizontal="left"/>
      <protection hidden="1"/>
    </xf>
    <xf numFmtId="0" fontId="21" fillId="8" borderId="0" xfId="4" applyFont="1" applyFill="1" applyAlignment="1" applyProtection="1">
      <alignment horizontal="left"/>
      <protection hidden="1"/>
    </xf>
    <xf numFmtId="0" fontId="23" fillId="8" borderId="0" xfId="4" applyFont="1" applyFill="1" applyAlignment="1" applyProtection="1">
      <alignment horizontal="left"/>
      <protection hidden="1"/>
    </xf>
    <xf numFmtId="169" fontId="21" fillId="9" borderId="12" xfId="4" applyNumberFormat="1" applyFont="1" applyFill="1" applyBorder="1" applyProtection="1">
      <protection hidden="1"/>
    </xf>
    <xf numFmtId="169" fontId="21" fillId="10" borderId="12" xfId="4" applyNumberFormat="1" applyFont="1" applyFill="1" applyBorder="1" applyProtection="1">
      <protection hidden="1"/>
    </xf>
    <xf numFmtId="169" fontId="26" fillId="10" borderId="12" xfId="4" applyNumberFormat="1" applyFont="1" applyFill="1" applyBorder="1" applyProtection="1">
      <protection hidden="1"/>
    </xf>
    <xf numFmtId="0" fontId="22" fillId="10" borderId="12" xfId="4" applyFont="1" applyFill="1" applyBorder="1" applyAlignment="1" applyProtection="1">
      <alignment horizontal="left"/>
      <protection hidden="1"/>
    </xf>
    <xf numFmtId="0" fontId="21" fillId="8" borderId="12" xfId="4" applyFont="1" applyFill="1" applyBorder="1" applyAlignment="1" applyProtection="1">
      <alignment horizontal="left"/>
      <protection hidden="1"/>
    </xf>
    <xf numFmtId="49" fontId="23" fillId="8" borderId="13" xfId="4" applyNumberFormat="1" applyFont="1" applyFill="1" applyBorder="1" applyAlignment="1" applyProtection="1">
      <alignment horizontal="left"/>
      <protection hidden="1"/>
    </xf>
    <xf numFmtId="169" fontId="23" fillId="11" borderId="12" xfId="4" applyNumberFormat="1" applyFont="1" applyFill="1" applyBorder="1" applyProtection="1">
      <protection hidden="1"/>
    </xf>
    <xf numFmtId="169" fontId="24" fillId="12" borderId="12" xfId="4" applyNumberFormat="1" applyFont="1" applyFill="1" applyBorder="1" applyAlignment="1" applyProtection="1">
      <alignment horizontal="right"/>
      <protection hidden="1"/>
    </xf>
    <xf numFmtId="169" fontId="25" fillId="0" borderId="12" xfId="4" applyNumberFormat="1" applyFont="1" applyBorder="1" applyAlignment="1" applyProtection="1">
      <alignment horizontal="right"/>
      <protection hidden="1"/>
    </xf>
    <xf numFmtId="169" fontId="24" fillId="12" borderId="12" xfId="4" applyNumberFormat="1" applyFont="1" applyFill="1" applyBorder="1" applyAlignment="1" applyProtection="1">
      <alignment horizontal="right" vertical="center" wrapText="1"/>
      <protection hidden="1"/>
    </xf>
    <xf numFmtId="169" fontId="23" fillId="0" borderId="12" xfId="4" applyNumberFormat="1" applyFont="1" applyBorder="1" applyProtection="1">
      <protection hidden="1"/>
    </xf>
    <xf numFmtId="169" fontId="25" fillId="8" borderId="12" xfId="4" applyNumberFormat="1" applyFont="1" applyFill="1" applyBorder="1" applyProtection="1">
      <protection hidden="1"/>
    </xf>
    <xf numFmtId="169" fontId="24" fillId="7" borderId="12" xfId="4" applyNumberFormat="1" applyFont="1" applyFill="1" applyBorder="1" applyAlignment="1" applyProtection="1">
      <alignment horizontal="right"/>
      <protection hidden="1"/>
    </xf>
    <xf numFmtId="169" fontId="26" fillId="9" borderId="12" xfId="4" applyNumberFormat="1" applyFont="1" applyFill="1" applyBorder="1" applyProtection="1">
      <protection hidden="1"/>
    </xf>
    <xf numFmtId="169" fontId="24" fillId="12" borderId="12" xfId="4" applyNumberFormat="1" applyFont="1" applyFill="1" applyBorder="1" applyProtection="1">
      <protection hidden="1"/>
    </xf>
    <xf numFmtId="0" fontId="23" fillId="8" borderId="12" xfId="4" applyFont="1" applyFill="1" applyBorder="1" applyAlignment="1" applyProtection="1">
      <alignment horizontal="left"/>
      <protection hidden="1"/>
    </xf>
    <xf numFmtId="0" fontId="23" fillId="8" borderId="12" xfId="4" applyFont="1" applyFill="1" applyBorder="1" applyAlignment="1" applyProtection="1">
      <alignment horizontal="left" vertical="center"/>
      <protection hidden="1"/>
    </xf>
    <xf numFmtId="169" fontId="25" fillId="8" borderId="12" xfId="4" applyNumberFormat="1" applyFont="1" applyFill="1" applyBorder="1" applyAlignment="1" applyProtection="1">
      <alignment horizontal="right"/>
      <protection hidden="1"/>
    </xf>
    <xf numFmtId="169" fontId="24" fillId="12" borderId="12" xfId="4" applyNumberFormat="1" applyFont="1" applyFill="1" applyBorder="1" applyAlignment="1" applyProtection="1">
      <alignment horizontal="right" vertical="center"/>
      <protection hidden="1"/>
    </xf>
    <xf numFmtId="169" fontId="24" fillId="7" borderId="12" xfId="4" applyNumberFormat="1" applyFont="1" applyFill="1" applyBorder="1" applyAlignment="1" applyProtection="1">
      <alignment horizontal="right" vertical="center"/>
      <protection hidden="1"/>
    </xf>
    <xf numFmtId="169" fontId="24" fillId="7" borderId="12" xfId="4" applyNumberFormat="1" applyFont="1" applyFill="1" applyBorder="1" applyProtection="1">
      <protection hidden="1"/>
    </xf>
    <xf numFmtId="169" fontId="24" fillId="8" borderId="12" xfId="4" applyNumberFormat="1" applyFont="1" applyFill="1" applyBorder="1" applyAlignment="1" applyProtection="1">
      <alignment horizontal="right"/>
      <protection hidden="1"/>
    </xf>
    <xf numFmtId="169" fontId="24" fillId="8" borderId="12" xfId="4" applyNumberFormat="1" applyFont="1" applyFill="1" applyBorder="1" applyAlignment="1" applyProtection="1">
      <alignment horizontal="right" vertical="center"/>
      <protection hidden="1"/>
    </xf>
    <xf numFmtId="169" fontId="24" fillId="0" borderId="12" xfId="4" applyNumberFormat="1" applyFont="1" applyBorder="1" applyProtection="1">
      <protection hidden="1"/>
    </xf>
    <xf numFmtId="169" fontId="23" fillId="11" borderId="12" xfId="4" applyNumberFormat="1" applyFont="1" applyFill="1" applyBorder="1" applyAlignment="1" applyProtection="1">
      <alignment horizontal="center" vertical="center" wrapText="1"/>
      <protection hidden="1"/>
    </xf>
    <xf numFmtId="169" fontId="24" fillId="7" borderId="12" xfId="4" applyNumberFormat="1" applyFont="1" applyFill="1" applyBorder="1" applyAlignment="1" applyProtection="1">
      <alignment horizontal="right" vertical="center" wrapText="1"/>
      <protection hidden="1"/>
    </xf>
    <xf numFmtId="169" fontId="25" fillId="11" borderId="12" xfId="4" applyNumberFormat="1" applyFont="1" applyFill="1" applyBorder="1" applyAlignment="1" applyProtection="1">
      <alignment horizontal="right" vertical="center" wrapText="1"/>
      <protection hidden="1"/>
    </xf>
    <xf numFmtId="169" fontId="25" fillId="11" borderId="12" xfId="4" applyNumberFormat="1" applyFont="1" applyFill="1" applyBorder="1" applyAlignment="1" applyProtection="1">
      <alignment horizontal="right"/>
      <protection hidden="1"/>
    </xf>
    <xf numFmtId="169" fontId="24" fillId="12" borderId="12" xfId="4" quotePrefix="1" applyNumberFormat="1" applyFont="1" applyFill="1" applyBorder="1" applyAlignment="1" applyProtection="1">
      <alignment horizontal="right"/>
      <protection hidden="1"/>
    </xf>
    <xf numFmtId="169" fontId="24" fillId="11" borderId="12" xfId="4" applyNumberFormat="1" applyFont="1" applyFill="1" applyBorder="1" applyAlignment="1" applyProtection="1">
      <alignment horizontal="right"/>
      <protection hidden="1"/>
    </xf>
    <xf numFmtId="169" fontId="23" fillId="7" borderId="12" xfId="4" applyNumberFormat="1" applyFont="1" applyFill="1" applyBorder="1" applyAlignment="1" applyProtection="1">
      <alignment horizontal="right" vertical="center" wrapText="1"/>
      <protection hidden="1"/>
    </xf>
    <xf numFmtId="169" fontId="23" fillId="7" borderId="12" xfId="4" applyNumberFormat="1" applyFont="1" applyFill="1" applyBorder="1" applyAlignment="1" applyProtection="1">
      <alignment horizontal="right" vertical="center"/>
      <protection hidden="1"/>
    </xf>
    <xf numFmtId="0" fontId="23" fillId="17" borderId="12" xfId="4" applyFont="1" applyFill="1" applyBorder="1" applyAlignment="1" applyProtection="1">
      <alignment horizontal="left" vertical="center"/>
      <protection hidden="1"/>
    </xf>
    <xf numFmtId="0" fontId="22" fillId="9" borderId="12" xfId="4" applyFont="1" applyFill="1" applyBorder="1" applyAlignment="1" applyProtection="1">
      <alignment horizontal="center" vertical="center" wrapText="1"/>
      <protection hidden="1"/>
    </xf>
    <xf numFmtId="0" fontId="21" fillId="13" borderId="12" xfId="4" applyFont="1" applyFill="1" applyBorder="1" applyAlignment="1" applyProtection="1">
      <alignment horizontal="center" vertical="center" wrapText="1"/>
      <protection hidden="1"/>
    </xf>
    <xf numFmtId="0" fontId="21" fillId="14" borderId="12" xfId="4" applyFont="1" applyFill="1" applyBorder="1" applyAlignment="1" applyProtection="1">
      <alignment horizontal="center" vertical="center" wrapText="1"/>
      <protection hidden="1"/>
    </xf>
    <xf numFmtId="0" fontId="21" fillId="15" borderId="12" xfId="4" applyFont="1" applyFill="1" applyBorder="1" applyAlignment="1" applyProtection="1">
      <alignment horizontal="center" vertical="center" wrapText="1"/>
      <protection hidden="1"/>
    </xf>
    <xf numFmtId="0" fontId="21" fillId="16" borderId="12" xfId="4" applyFont="1" applyFill="1" applyBorder="1" applyAlignment="1" applyProtection="1">
      <alignment horizontal="center" vertical="center" wrapText="1"/>
      <protection hidden="1"/>
    </xf>
    <xf numFmtId="0" fontId="21" fillId="8" borderId="12" xfId="4" applyFont="1" applyFill="1" applyBorder="1" applyAlignment="1" applyProtection="1">
      <alignment horizontal="center" vertical="center" wrapText="1"/>
      <protection hidden="1"/>
    </xf>
    <xf numFmtId="0" fontId="28" fillId="8" borderId="12" xfId="4" applyFont="1" applyFill="1" applyBorder="1" applyAlignment="1" applyProtection="1">
      <alignment horizontal="center" vertical="center" wrapText="1"/>
      <protection hidden="1"/>
    </xf>
    <xf numFmtId="49" fontId="28" fillId="8" borderId="0" xfId="4" applyNumberFormat="1" applyFont="1" applyFill="1" applyAlignment="1" applyProtection="1">
      <alignment horizontal="center" vertical="center" wrapText="1"/>
      <protection hidden="1"/>
    </xf>
    <xf numFmtId="0" fontId="28" fillId="8" borderId="0" xfId="4" applyFont="1" applyFill="1" applyAlignment="1" applyProtection="1">
      <alignment horizontal="center" vertical="center" wrapText="1"/>
      <protection hidden="1"/>
    </xf>
    <xf numFmtId="0" fontId="22" fillId="10" borderId="12" xfId="4" applyFont="1" applyFill="1" applyBorder="1" applyAlignment="1" applyProtection="1">
      <alignment horizontal="left" vertical="center"/>
      <protection hidden="1"/>
    </xf>
    <xf numFmtId="0" fontId="21" fillId="8" borderId="12" xfId="4" applyFont="1" applyFill="1" applyBorder="1" applyAlignment="1" applyProtection="1">
      <alignment horizontal="left" vertical="center"/>
      <protection hidden="1"/>
    </xf>
    <xf numFmtId="0" fontId="23" fillId="8" borderId="13" xfId="4" applyFont="1" applyFill="1" applyBorder="1" applyAlignment="1" applyProtection="1">
      <alignment horizontal="center" vertical="center"/>
      <protection hidden="1"/>
    </xf>
    <xf numFmtId="169" fontId="21" fillId="9" borderId="12" xfId="4" applyNumberFormat="1" applyFont="1" applyFill="1" applyBorder="1" applyAlignment="1" applyProtection="1">
      <alignment horizontal="right"/>
      <protection hidden="1"/>
    </xf>
    <xf numFmtId="169" fontId="23" fillId="8" borderId="12" xfId="4" applyNumberFormat="1" applyFont="1" applyFill="1" applyBorder="1" applyAlignment="1" applyProtection="1">
      <alignment horizontal="right"/>
      <protection hidden="1"/>
    </xf>
    <xf numFmtId="169" fontId="28" fillId="9" borderId="12" xfId="4" applyNumberFormat="1" applyFont="1" applyFill="1" applyBorder="1" applyProtection="1">
      <protection hidden="1"/>
    </xf>
    <xf numFmtId="49" fontId="22" fillId="10" borderId="12" xfId="4" applyNumberFormat="1" applyFont="1" applyFill="1" applyBorder="1" applyAlignment="1" applyProtection="1">
      <alignment horizontal="left" vertical="center"/>
      <protection hidden="1"/>
    </xf>
    <xf numFmtId="0" fontId="31" fillId="8" borderId="12" xfId="4" applyFont="1" applyFill="1" applyBorder="1" applyAlignment="1" applyProtection="1">
      <alignment horizontal="left" vertical="center"/>
      <protection hidden="1"/>
    </xf>
    <xf numFmtId="0" fontId="32" fillId="8" borderId="12" xfId="4" applyFont="1" applyFill="1" applyBorder="1" applyAlignment="1" applyProtection="1">
      <alignment horizontal="left" vertical="center"/>
      <protection hidden="1"/>
    </xf>
    <xf numFmtId="0" fontId="32" fillId="8" borderId="0" xfId="4" applyFont="1" applyFill="1" applyAlignment="1" applyProtection="1">
      <alignment horizontal="center" vertical="center"/>
      <protection hidden="1"/>
    </xf>
    <xf numFmtId="169" fontId="33" fillId="7" borderId="12" xfId="4" applyNumberFormat="1" applyFont="1" applyFill="1" applyBorder="1" applyProtection="1">
      <protection hidden="1"/>
    </xf>
    <xf numFmtId="49" fontId="23" fillId="8" borderId="12" xfId="4" applyNumberFormat="1" applyFont="1" applyFill="1" applyBorder="1" applyAlignment="1" applyProtection="1">
      <alignment horizontal="left" vertical="center"/>
      <protection hidden="1"/>
    </xf>
    <xf numFmtId="49" fontId="23" fillId="8" borderId="0" xfId="4" applyNumberFormat="1" applyFont="1" applyFill="1" applyAlignment="1" applyProtection="1">
      <alignment horizontal="center" vertical="center"/>
      <protection hidden="1"/>
    </xf>
    <xf numFmtId="169" fontId="33" fillId="18" borderId="12" xfId="4" applyNumberFormat="1" applyFont="1" applyFill="1" applyBorder="1" applyProtection="1">
      <protection hidden="1"/>
    </xf>
    <xf numFmtId="169" fontId="33" fillId="0" borderId="12" xfId="4" applyNumberFormat="1" applyFont="1" applyBorder="1" applyProtection="1">
      <protection hidden="1"/>
    </xf>
    <xf numFmtId="169" fontId="33" fillId="8" borderId="12" xfId="4" applyNumberFormat="1" applyFont="1" applyFill="1" applyBorder="1" applyProtection="1">
      <protection hidden="1"/>
    </xf>
    <xf numFmtId="49" fontId="23" fillId="17" borderId="12" xfId="4" applyNumberFormat="1" applyFont="1" applyFill="1" applyBorder="1" applyAlignment="1" applyProtection="1">
      <alignment horizontal="left" vertical="center"/>
      <protection hidden="1"/>
    </xf>
    <xf numFmtId="49" fontId="28" fillId="8" borderId="12" xfId="4" applyNumberFormat="1" applyFont="1" applyFill="1" applyBorder="1" applyAlignment="1" applyProtection="1">
      <alignment horizontal="center" vertical="center" wrapText="1"/>
      <protection hidden="1"/>
    </xf>
    <xf numFmtId="49" fontId="34" fillId="8" borderId="0" xfId="4" applyNumberFormat="1" applyFont="1" applyFill="1" applyAlignment="1" applyProtection="1">
      <alignment horizontal="center" vertical="center"/>
      <protection hidden="1"/>
    </xf>
    <xf numFmtId="0" fontId="35" fillId="8" borderId="0" xfId="4" applyFont="1" applyFill="1" applyAlignment="1" applyProtection="1">
      <alignment horizontal="center" vertical="center" wrapText="1"/>
      <protection hidden="1"/>
    </xf>
    <xf numFmtId="0" fontId="34" fillId="8" borderId="0" xfId="4" applyFont="1" applyFill="1" applyAlignment="1" applyProtection="1">
      <alignment horizontal="center" vertical="center"/>
      <protection hidden="1"/>
    </xf>
    <xf numFmtId="49" fontId="30" fillId="8" borderId="0" xfId="4" applyNumberFormat="1" applyFont="1" applyFill="1" applyAlignment="1" applyProtection="1">
      <alignment horizontal="left" vertical="top"/>
      <protection hidden="1"/>
    </xf>
    <xf numFmtId="169" fontId="24" fillId="7" borderId="12" xfId="4" applyNumberFormat="1" applyFont="1" applyFill="1" applyBorder="1" applyAlignment="1" applyProtection="1">
      <alignment wrapText="1"/>
      <protection hidden="1"/>
    </xf>
    <xf numFmtId="0" fontId="23" fillId="0" borderId="13" xfId="4" applyFont="1" applyBorder="1" applyAlignment="1" applyProtection="1">
      <alignment horizontal="center" vertical="center"/>
      <protection hidden="1"/>
    </xf>
    <xf numFmtId="0" fontId="23" fillId="0" borderId="12" xfId="4" applyFont="1" applyBorder="1" applyAlignment="1" applyProtection="1">
      <alignment horizontal="left" vertical="center"/>
      <protection hidden="1"/>
    </xf>
    <xf numFmtId="169" fontId="21" fillId="0" borderId="12" xfId="4" applyNumberFormat="1" applyFont="1" applyBorder="1" applyAlignment="1" applyProtection="1">
      <alignment horizontal="right"/>
      <protection hidden="1"/>
    </xf>
    <xf numFmtId="169" fontId="23" fillId="0" borderId="12" xfId="4" applyNumberFormat="1" applyFont="1" applyBorder="1" applyAlignment="1" applyProtection="1">
      <alignment horizontal="right"/>
      <protection hidden="1"/>
    </xf>
    <xf numFmtId="169" fontId="24" fillId="0" borderId="12" xfId="4" applyNumberFormat="1" applyFont="1" applyBorder="1" applyAlignment="1" applyProtection="1">
      <alignment horizontal="right"/>
      <protection hidden="1"/>
    </xf>
    <xf numFmtId="169" fontId="21" fillId="0" borderId="12" xfId="4" applyNumberFormat="1" applyFont="1" applyBorder="1" applyProtection="1">
      <protection hidden="1"/>
    </xf>
    <xf numFmtId="169" fontId="24" fillId="0" borderId="12" xfId="4" applyNumberFormat="1" applyFont="1" applyBorder="1" applyAlignment="1" applyProtection="1">
      <alignment horizontal="right" vertical="center"/>
      <protection hidden="1"/>
    </xf>
    <xf numFmtId="169" fontId="25" fillId="0" borderId="12" xfId="4" applyNumberFormat="1" applyFont="1" applyBorder="1" applyProtection="1">
      <protection hidden="1"/>
    </xf>
    <xf numFmtId="0" fontId="20" fillId="0" borderId="0" xfId="4" applyFont="1" applyAlignment="1" applyProtection="1">
      <alignment horizontal="left"/>
      <protection hidden="1"/>
    </xf>
    <xf numFmtId="0" fontId="21" fillId="0" borderId="12" xfId="4" applyFont="1" applyBorder="1" applyAlignment="1" applyProtection="1">
      <alignment horizontal="center" vertical="center" wrapText="1"/>
      <protection hidden="1"/>
    </xf>
    <xf numFmtId="0" fontId="36" fillId="19" borderId="12" xfId="4" applyFont="1" applyFill="1" applyBorder="1" applyAlignment="1" applyProtection="1">
      <alignment horizontal="left" vertical="center"/>
      <protection hidden="1"/>
    </xf>
    <xf numFmtId="49" fontId="36" fillId="19" borderId="12" xfId="4" applyNumberFormat="1" applyFont="1" applyFill="1" applyBorder="1" applyAlignment="1" applyProtection="1">
      <alignment horizontal="left" vertical="center"/>
      <protection hidden="1"/>
    </xf>
    <xf numFmtId="0" fontId="6" fillId="0" borderId="0" xfId="0" applyFont="1"/>
    <xf numFmtId="0" fontId="38" fillId="20" borderId="0" xfId="0" applyFont="1" applyFill="1" applyAlignment="1">
      <alignment vertical="center" wrapText="1"/>
    </xf>
    <xf numFmtId="0" fontId="38" fillId="20" borderId="0" xfId="0" applyFont="1" applyFill="1" applyAlignment="1">
      <alignment vertical="center"/>
    </xf>
    <xf numFmtId="0" fontId="38" fillId="20" borderId="0" xfId="0" applyFont="1" applyFill="1" applyAlignment="1">
      <alignment horizontal="left" vertical="center"/>
    </xf>
    <xf numFmtId="0" fontId="39" fillId="20" borderId="0" xfId="0" applyFont="1" applyFill="1" applyAlignment="1">
      <alignment horizontal="right" wrapText="1"/>
    </xf>
    <xf numFmtId="0" fontId="39" fillId="20" borderId="0" xfId="0" applyFont="1" applyFill="1"/>
    <xf numFmtId="0" fontId="39" fillId="20" borderId="0" xfId="0" applyFont="1" applyFill="1" applyAlignment="1">
      <alignment horizontal="left" vertical="center" wrapText="1"/>
    </xf>
    <xf numFmtId="0" fontId="39" fillId="0" borderId="0" xfId="0" applyFont="1" applyAlignment="1">
      <alignment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37" fillId="0" borderId="0" xfId="0" applyFont="1" applyAlignment="1">
      <alignment horizontal="right" vertical="center" wrapText="1"/>
    </xf>
    <xf numFmtId="0" fontId="12" fillId="20" borderId="18" xfId="0" quotePrefix="1" applyFont="1" applyFill="1" applyBorder="1" applyAlignment="1">
      <alignment horizontal="left" vertical="center" wrapText="1" indent="1"/>
    </xf>
    <xf numFmtId="0" fontId="12" fillId="20" borderId="19" xfId="0" applyFont="1" applyFill="1" applyBorder="1" applyAlignment="1">
      <alignment horizontal="left" vertical="center" wrapText="1" indent="1"/>
    </xf>
    <xf numFmtId="0" fontId="37" fillId="0" borderId="0" xfId="0" applyFont="1" applyAlignment="1">
      <alignment vertical="center" wrapText="1"/>
    </xf>
    <xf numFmtId="0" fontId="0" fillId="0" borderId="0" xfId="0" applyAlignment="1">
      <alignment horizontal="right" vertical="top" wrapText="1"/>
    </xf>
    <xf numFmtId="0" fontId="38" fillId="3" borderId="0" xfId="0" applyFont="1" applyFill="1" applyAlignment="1">
      <alignment horizontal="left" vertical="center"/>
    </xf>
    <xf numFmtId="0" fontId="41" fillId="0" borderId="12" xfId="4" applyFont="1" applyBorder="1" applyAlignment="1" applyProtection="1">
      <alignment horizontal="left" vertical="center"/>
      <protection hidden="1"/>
    </xf>
    <xf numFmtId="0" fontId="41" fillId="8" borderId="12" xfId="4" applyFont="1" applyFill="1" applyBorder="1" applyAlignment="1" applyProtection="1">
      <alignment horizontal="left" vertical="center"/>
      <protection hidden="1"/>
    </xf>
    <xf numFmtId="0" fontId="0" fillId="0" borderId="23" xfId="0" applyBorder="1" applyAlignment="1">
      <alignment horizontal="left" vertical="center" wrapText="1" indent="1"/>
    </xf>
    <xf numFmtId="0" fontId="0" fillId="0" borderId="25" xfId="0" applyBorder="1" applyAlignment="1">
      <alignment horizontal="left" vertical="center" wrapText="1" indent="1"/>
    </xf>
    <xf numFmtId="0" fontId="0" fillId="0" borderId="39" xfId="0" applyBorder="1" applyAlignment="1">
      <alignment vertical="center" wrapText="1"/>
    </xf>
    <xf numFmtId="0" fontId="37" fillId="0" borderId="26" xfId="0" applyFont="1" applyBorder="1" applyAlignment="1">
      <alignment vertical="center" wrapText="1"/>
    </xf>
    <xf numFmtId="0" fontId="0" fillId="0" borderId="37" xfId="0" applyBorder="1" applyAlignment="1">
      <alignment vertical="center" wrapText="1"/>
    </xf>
    <xf numFmtId="0" fontId="0" fillId="0" borderId="40" xfId="0" applyBorder="1" applyAlignment="1">
      <alignment vertical="center" wrapText="1"/>
    </xf>
    <xf numFmtId="0" fontId="0" fillId="0" borderId="41" xfId="0" quotePrefix="1" applyBorder="1" applyAlignment="1">
      <alignment vertical="top" wrapText="1"/>
    </xf>
    <xf numFmtId="0" fontId="44" fillId="21" borderId="22" xfId="0" applyFont="1" applyFill="1" applyBorder="1" applyAlignment="1">
      <alignment horizontal="left" vertical="center" wrapText="1" indent="1"/>
    </xf>
    <xf numFmtId="0" fontId="44" fillId="22" borderId="24" xfId="0" applyFont="1" applyFill="1" applyBorder="1" applyAlignment="1">
      <alignment horizontal="left" vertical="center" wrapText="1" indent="1"/>
    </xf>
    <xf numFmtId="0" fontId="44" fillId="23" borderId="24" xfId="0" applyFont="1" applyFill="1" applyBorder="1" applyAlignment="1">
      <alignment horizontal="left" vertical="center" wrapText="1" indent="1"/>
    </xf>
    <xf numFmtId="0" fontId="44" fillId="24" borderId="26" xfId="0" applyFont="1" applyFill="1" applyBorder="1" applyAlignment="1">
      <alignment horizontal="left" vertical="center" wrapText="1" indent="1"/>
    </xf>
    <xf numFmtId="0" fontId="45" fillId="25" borderId="26" xfId="0" applyFont="1" applyFill="1" applyBorder="1" applyAlignment="1">
      <alignment horizontal="left" vertical="center" wrapText="1" indent="1"/>
    </xf>
    <xf numFmtId="0" fontId="45" fillId="26" borderId="36" xfId="0" applyFont="1" applyFill="1" applyBorder="1" applyAlignment="1">
      <alignment horizontal="left" vertical="center" wrapText="1" indent="1"/>
    </xf>
    <xf numFmtId="0" fontId="46" fillId="0" borderId="0" xfId="0" applyFont="1" applyAlignment="1">
      <alignment horizontal="left" indent="1"/>
    </xf>
    <xf numFmtId="0" fontId="3" fillId="0" borderId="0" xfId="0" applyFont="1" applyProtection="1">
      <protection hidden="1"/>
    </xf>
    <xf numFmtId="0" fontId="15" fillId="0" borderId="28" xfId="0" applyFont="1" applyBorder="1" applyAlignment="1" applyProtection="1">
      <alignment horizontal="left" vertical="center" indent="1"/>
      <protection hidden="1"/>
    </xf>
    <xf numFmtId="0" fontId="3" fillId="0" borderId="27" xfId="0" applyFont="1" applyBorder="1" applyAlignment="1" applyProtection="1">
      <alignment vertical="center"/>
      <protection hidden="1"/>
    </xf>
    <xf numFmtId="0" fontId="0" fillId="0" borderId="27" xfId="0" applyBorder="1" applyAlignment="1">
      <alignment vertical="center"/>
    </xf>
    <xf numFmtId="0" fontId="0" fillId="0" borderId="29" xfId="0" applyBorder="1" applyAlignment="1">
      <alignment vertical="center"/>
    </xf>
    <xf numFmtId="169" fontId="24" fillId="27" borderId="12" xfId="4" applyNumberFormat="1" applyFont="1" applyFill="1" applyBorder="1" applyAlignment="1" applyProtection="1">
      <alignment horizontal="right"/>
      <protection hidden="1"/>
    </xf>
    <xf numFmtId="169" fontId="24" fillId="28" borderId="12" xfId="4" applyNumberFormat="1" applyFont="1" applyFill="1" applyBorder="1" applyAlignment="1" applyProtection="1">
      <alignment horizontal="right"/>
      <protection hidden="1"/>
    </xf>
    <xf numFmtId="169" fontId="24" fillId="29" borderId="12" xfId="4" applyNumberFormat="1" applyFont="1" applyFill="1" applyBorder="1" applyAlignment="1" applyProtection="1">
      <alignment horizontal="right"/>
      <protection hidden="1"/>
    </xf>
    <xf numFmtId="0" fontId="20" fillId="8" borderId="0" xfId="0" applyFont="1" applyFill="1" applyAlignment="1">
      <alignment horizontal="left" vertical="center"/>
    </xf>
    <xf numFmtId="0" fontId="20" fillId="8" borderId="0" xfId="0" applyFont="1" applyFill="1" applyAlignment="1">
      <alignment horizontal="left"/>
    </xf>
    <xf numFmtId="0" fontId="29" fillId="8" borderId="0" xfId="0" applyFont="1" applyFill="1" applyAlignment="1">
      <alignment horizontal="center" vertical="center" wrapText="1"/>
    </xf>
    <xf numFmtId="0" fontId="28" fillId="8" borderId="0" xfId="0" applyFont="1" applyFill="1" applyAlignment="1">
      <alignment horizontal="center" vertical="center" wrapText="1"/>
    </xf>
    <xf numFmtId="0" fontId="21" fillId="14" borderId="12" xfId="0" applyFont="1" applyFill="1" applyBorder="1" applyAlignment="1">
      <alignment horizontal="center" vertical="center" wrapText="1"/>
    </xf>
    <xf numFmtId="0" fontId="21" fillId="13" borderId="12" xfId="0" applyFont="1" applyFill="1" applyBorder="1" applyAlignment="1">
      <alignment horizontal="center" vertical="center" wrapText="1"/>
    </xf>
    <xf numFmtId="49" fontId="28" fillId="8" borderId="0" xfId="0" applyNumberFormat="1" applyFont="1" applyFill="1" applyAlignment="1">
      <alignment horizontal="center" vertical="center" wrapText="1"/>
    </xf>
    <xf numFmtId="0" fontId="28" fillId="8" borderId="12" xfId="0" applyFont="1" applyFill="1" applyBorder="1" applyAlignment="1">
      <alignment horizontal="center" vertical="center" wrapText="1"/>
    </xf>
    <xf numFmtId="49" fontId="23" fillId="8" borderId="13" xfId="0" applyNumberFormat="1" applyFont="1" applyFill="1" applyBorder="1" applyAlignment="1">
      <alignment horizontal="left" vertical="center"/>
    </xf>
    <xf numFmtId="0" fontId="23" fillId="8" borderId="12" xfId="0" applyFont="1" applyFill="1" applyBorder="1" applyAlignment="1">
      <alignment horizontal="left"/>
    </xf>
    <xf numFmtId="0" fontId="23" fillId="8" borderId="12" xfId="0" applyFont="1" applyFill="1" applyBorder="1" applyAlignment="1">
      <alignment horizontal="left" vertical="center" wrapText="1"/>
    </xf>
    <xf numFmtId="169" fontId="24" fillId="12" borderId="12" xfId="0" applyNumberFormat="1" applyFont="1" applyFill="1" applyBorder="1" applyAlignment="1">
      <alignment horizontal="center" vertical="center" wrapText="1"/>
    </xf>
    <xf numFmtId="169" fontId="21" fillId="9" borderId="12" xfId="0" applyNumberFormat="1" applyFont="1" applyFill="1" applyBorder="1"/>
    <xf numFmtId="169" fontId="25" fillId="11" borderId="12" xfId="0" applyNumberFormat="1" applyFont="1" applyFill="1" applyBorder="1" applyAlignment="1">
      <alignment horizontal="center" vertical="center" wrapText="1"/>
    </xf>
    <xf numFmtId="169" fontId="24" fillId="11" borderId="12" xfId="0" applyNumberFormat="1" applyFont="1" applyFill="1" applyBorder="1" applyAlignment="1">
      <alignment horizontal="center" vertical="center" wrapText="1"/>
    </xf>
    <xf numFmtId="169" fontId="23" fillId="11" borderId="12" xfId="0" applyNumberFormat="1" applyFont="1" applyFill="1" applyBorder="1"/>
    <xf numFmtId="169" fontId="23" fillId="11" borderId="12" xfId="0" applyNumberFormat="1" applyFont="1" applyFill="1" applyBorder="1" applyAlignment="1">
      <alignment horizontal="center" vertical="center" wrapText="1"/>
    </xf>
    <xf numFmtId="169" fontId="25" fillId="0" borderId="12" xfId="0" applyNumberFormat="1" applyFont="1" applyBorder="1" applyAlignment="1">
      <alignment horizontal="center" wrapText="1"/>
    </xf>
    <xf numFmtId="169" fontId="25" fillId="8" borderId="12" xfId="0" applyNumberFormat="1" applyFont="1" applyFill="1" applyBorder="1" applyAlignment="1">
      <alignment horizontal="center" vertical="center" wrapText="1"/>
    </xf>
    <xf numFmtId="169" fontId="23" fillId="11" borderId="12" xfId="0" applyNumberFormat="1" applyFont="1" applyFill="1" applyBorder="1" applyAlignment="1">
      <alignment horizontal="center" vertical="center"/>
    </xf>
    <xf numFmtId="169" fontId="25" fillId="8" borderId="17" xfId="0" applyNumberFormat="1" applyFont="1" applyFill="1" applyBorder="1" applyAlignment="1">
      <alignment horizontal="center" vertical="center" wrapText="1"/>
    </xf>
    <xf numFmtId="169" fontId="25" fillId="0" borderId="10" xfId="0" applyNumberFormat="1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169" fontId="21" fillId="9" borderId="15" xfId="0" applyNumberFormat="1" applyFont="1" applyFill="1" applyBorder="1"/>
    <xf numFmtId="169" fontId="25" fillId="8" borderId="14" xfId="0" applyNumberFormat="1" applyFont="1" applyFill="1" applyBorder="1" applyAlignment="1">
      <alignment horizontal="center" vertical="center" wrapText="1"/>
    </xf>
    <xf numFmtId="169" fontId="24" fillId="0" borderId="12" xfId="0" applyNumberFormat="1" applyFont="1" applyBorder="1" applyAlignment="1">
      <alignment horizontal="center" vertical="center" wrapText="1"/>
    </xf>
    <xf numFmtId="169" fontId="25" fillId="0" borderId="12" xfId="0" applyNumberFormat="1" applyFont="1" applyBorder="1" applyAlignment="1">
      <alignment horizontal="center" vertical="center" wrapText="1"/>
    </xf>
    <xf numFmtId="0" fontId="21" fillId="8" borderId="12" xfId="0" applyFont="1" applyFill="1" applyBorder="1" applyAlignment="1">
      <alignment horizontal="left"/>
    </xf>
    <xf numFmtId="0" fontId="21" fillId="8" borderId="12" xfId="0" applyFont="1" applyFill="1" applyBorder="1" applyAlignment="1">
      <alignment horizontal="left" vertical="center" wrapText="1"/>
    </xf>
    <xf numFmtId="0" fontId="22" fillId="10" borderId="12" xfId="0" applyFont="1" applyFill="1" applyBorder="1" applyAlignment="1">
      <alignment horizontal="left" vertical="center" wrapText="1"/>
    </xf>
    <xf numFmtId="169" fontId="21" fillId="10" borderId="12" xfId="0" applyNumberFormat="1" applyFont="1" applyFill="1" applyBorder="1"/>
    <xf numFmtId="0" fontId="2" fillId="0" borderId="0" xfId="0" applyFont="1" applyAlignment="1">
      <alignment vertical="center"/>
    </xf>
    <xf numFmtId="0" fontId="2" fillId="0" borderId="0" xfId="0" applyFont="1"/>
    <xf numFmtId="0" fontId="20" fillId="8" borderId="0" xfId="0" applyFont="1" applyFill="1" applyAlignment="1" applyProtection="1">
      <alignment horizontal="left" vertical="center"/>
      <protection hidden="1"/>
    </xf>
    <xf numFmtId="0" fontId="20" fillId="0" borderId="0" xfId="0" applyFont="1" applyAlignment="1" applyProtection="1">
      <alignment horizontal="left" vertical="center"/>
      <protection hidden="1"/>
    </xf>
    <xf numFmtId="0" fontId="28" fillId="8" borderId="0" xfId="0" applyFont="1" applyFill="1" applyAlignment="1" applyProtection="1">
      <alignment horizontal="center" vertical="center" wrapText="1"/>
      <protection hidden="1"/>
    </xf>
    <xf numFmtId="0" fontId="21" fillId="8" borderId="12" xfId="0" applyFont="1" applyFill="1" applyBorder="1" applyAlignment="1" applyProtection="1">
      <alignment horizontal="center" vertical="center" wrapText="1"/>
      <protection hidden="1"/>
    </xf>
    <xf numFmtId="0" fontId="21" fillId="0" borderId="12" xfId="0" applyFont="1" applyBorder="1" applyAlignment="1" applyProtection="1">
      <alignment horizontal="center" vertical="center" wrapText="1"/>
      <protection hidden="1"/>
    </xf>
    <xf numFmtId="0" fontId="28" fillId="8" borderId="12" xfId="0" applyFont="1" applyFill="1" applyBorder="1" applyAlignment="1" applyProtection="1">
      <alignment horizontal="center" vertical="center" wrapText="1"/>
      <protection hidden="1"/>
    </xf>
    <xf numFmtId="0" fontId="23" fillId="8" borderId="13" xfId="0" applyFont="1" applyFill="1" applyBorder="1" applyAlignment="1" applyProtection="1">
      <alignment horizontal="center" vertical="center"/>
      <protection hidden="1"/>
    </xf>
    <xf numFmtId="0" fontId="23" fillId="8" borderId="12" xfId="0" applyFont="1" applyFill="1" applyBorder="1" applyAlignment="1" applyProtection="1">
      <alignment horizontal="left" vertical="center"/>
      <protection hidden="1"/>
    </xf>
    <xf numFmtId="0" fontId="23" fillId="0" borderId="12" xfId="0" applyFont="1" applyBorder="1" applyAlignment="1" applyProtection="1">
      <alignment horizontal="left" vertical="center"/>
      <protection hidden="1"/>
    </xf>
    <xf numFmtId="169" fontId="25" fillId="8" borderId="12" xfId="0" applyNumberFormat="1" applyFont="1" applyFill="1" applyBorder="1" applyAlignment="1" applyProtection="1">
      <alignment vertical="center"/>
      <protection hidden="1"/>
    </xf>
    <xf numFmtId="169" fontId="24" fillId="0" borderId="12" xfId="0" applyNumberFormat="1" applyFont="1" applyBorder="1" applyAlignment="1" applyProtection="1">
      <alignment horizontal="center" vertical="center" wrapText="1"/>
      <protection hidden="1"/>
    </xf>
    <xf numFmtId="169" fontId="21" fillId="9" borderId="12" xfId="0" applyNumberFormat="1" applyFont="1" applyFill="1" applyBorder="1" applyAlignment="1" applyProtection="1">
      <alignment horizontal="right" vertical="center"/>
      <protection hidden="1"/>
    </xf>
    <xf numFmtId="169" fontId="24" fillId="12" borderId="12" xfId="0" applyNumberFormat="1" applyFont="1" applyFill="1" applyBorder="1" applyAlignment="1" applyProtection="1">
      <alignment horizontal="center" vertical="center" wrapText="1"/>
      <protection hidden="1"/>
    </xf>
    <xf numFmtId="0" fontId="23" fillId="0" borderId="13" xfId="0" applyFont="1" applyBorder="1" applyAlignment="1" applyProtection="1">
      <alignment horizontal="center" vertical="center"/>
      <protection hidden="1"/>
    </xf>
    <xf numFmtId="169" fontId="25" fillId="0" borderId="12" xfId="0" applyNumberFormat="1" applyFont="1" applyBorder="1" applyAlignment="1" applyProtection="1">
      <alignment vertical="center"/>
      <protection hidden="1"/>
    </xf>
    <xf numFmtId="169" fontId="25" fillId="0" borderId="12" xfId="0" applyNumberFormat="1" applyFont="1" applyBorder="1" applyAlignment="1" applyProtection="1">
      <alignment horizontal="right" vertical="center"/>
      <protection hidden="1"/>
    </xf>
    <xf numFmtId="169" fontId="21" fillId="0" borderId="12" xfId="0" applyNumberFormat="1" applyFont="1" applyBorder="1" applyAlignment="1" applyProtection="1">
      <alignment horizontal="right" vertical="center"/>
      <protection hidden="1"/>
    </xf>
    <xf numFmtId="169" fontId="25" fillId="8" borderId="12" xfId="0" applyNumberFormat="1" applyFont="1" applyFill="1" applyBorder="1" applyAlignment="1" applyProtection="1">
      <alignment horizontal="right" vertical="center"/>
      <protection hidden="1"/>
    </xf>
    <xf numFmtId="169" fontId="24" fillId="0" borderId="12" xfId="0" applyNumberFormat="1" applyFont="1" applyBorder="1" applyAlignment="1" applyProtection="1">
      <alignment horizontal="right" vertical="center"/>
      <protection hidden="1"/>
    </xf>
    <xf numFmtId="0" fontId="21" fillId="8" borderId="12" xfId="0" applyFont="1" applyFill="1" applyBorder="1" applyAlignment="1" applyProtection="1">
      <alignment horizontal="left" vertical="center"/>
      <protection hidden="1"/>
    </xf>
    <xf numFmtId="0" fontId="22" fillId="10" borderId="12" xfId="0" applyFont="1" applyFill="1" applyBorder="1" applyAlignment="1" applyProtection="1">
      <alignment horizontal="left" vertical="center"/>
      <protection hidden="1"/>
    </xf>
    <xf numFmtId="169" fontId="21" fillId="9" borderId="12" xfId="0" applyNumberFormat="1" applyFont="1" applyFill="1" applyBorder="1" applyAlignment="1" applyProtection="1">
      <alignment vertical="center"/>
      <protection hidden="1"/>
    </xf>
    <xf numFmtId="169" fontId="21" fillId="0" borderId="12" xfId="0" applyNumberFormat="1" applyFont="1" applyBorder="1" applyAlignment="1" applyProtection="1">
      <alignment vertical="center"/>
      <protection hidden="1"/>
    </xf>
    <xf numFmtId="0" fontId="53" fillId="8" borderId="0" xfId="0" applyFont="1" applyFill="1" applyAlignment="1">
      <alignment horizontal="center" vertical="center"/>
    </xf>
    <xf numFmtId="0" fontId="52" fillId="8" borderId="0" xfId="0" applyFont="1" applyFill="1" applyAlignment="1">
      <alignment horizontal="center" vertical="center" wrapText="1"/>
    </xf>
    <xf numFmtId="0" fontId="54" fillId="8" borderId="12" xfId="0" applyFont="1" applyFill="1" applyBorder="1" applyAlignment="1">
      <alignment horizontal="center" vertical="center" wrapText="1"/>
    </xf>
    <xf numFmtId="0" fontId="53" fillId="8" borderId="0" xfId="0" applyFont="1" applyFill="1" applyAlignment="1">
      <alignment horizontal="left" vertical="center"/>
    </xf>
    <xf numFmtId="0" fontId="55" fillId="9" borderId="12" xfId="0" applyFont="1" applyFill="1" applyBorder="1" applyAlignment="1">
      <alignment horizontal="center" vertical="center" wrapText="1"/>
    </xf>
    <xf numFmtId="0" fontId="54" fillId="16" borderId="12" xfId="0" applyFont="1" applyFill="1" applyBorder="1" applyAlignment="1">
      <alignment horizontal="center" vertical="center" wrapText="1"/>
    </xf>
    <xf numFmtId="49" fontId="52" fillId="8" borderId="0" xfId="0" applyNumberFormat="1" applyFont="1" applyFill="1" applyAlignment="1">
      <alignment horizontal="center" vertical="center" wrapText="1"/>
    </xf>
    <xf numFmtId="0" fontId="52" fillId="8" borderId="12" xfId="0" applyFont="1" applyFill="1" applyBorder="1" applyAlignment="1">
      <alignment horizontal="center" vertical="center" wrapText="1"/>
    </xf>
    <xf numFmtId="0" fontId="56" fillId="16" borderId="12" xfId="0" applyFont="1" applyFill="1" applyBorder="1" applyAlignment="1">
      <alignment horizontal="center" vertical="center" wrapText="1"/>
    </xf>
    <xf numFmtId="0" fontId="54" fillId="15" borderId="12" xfId="0" applyFont="1" applyFill="1" applyBorder="1" applyAlignment="1">
      <alignment horizontal="center" vertical="center" wrapText="1"/>
    </xf>
    <xf numFmtId="49" fontId="57" fillId="8" borderId="13" xfId="0" applyNumberFormat="1" applyFont="1" applyFill="1" applyBorder="1" applyAlignment="1">
      <alignment horizontal="left" vertical="center"/>
    </xf>
    <xf numFmtId="0" fontId="57" fillId="8" borderId="12" xfId="0" applyFont="1" applyFill="1" applyBorder="1" applyAlignment="1">
      <alignment horizontal="left" vertical="center"/>
    </xf>
    <xf numFmtId="0" fontId="57" fillId="8" borderId="12" xfId="0" applyFont="1" applyFill="1" applyBorder="1" applyAlignment="1">
      <alignment horizontal="left" vertical="center" wrapText="1"/>
    </xf>
    <xf numFmtId="169" fontId="58" fillId="12" borderId="12" xfId="0" applyNumberFormat="1" applyFont="1" applyFill="1" applyBorder="1" applyAlignment="1">
      <alignment horizontal="center" vertical="center" wrapText="1"/>
    </xf>
    <xf numFmtId="169" fontId="54" fillId="9" borderId="12" xfId="0" applyNumberFormat="1" applyFont="1" applyFill="1" applyBorder="1" applyAlignment="1">
      <alignment horizontal="center" vertical="center" wrapText="1"/>
    </xf>
    <xf numFmtId="169" fontId="58" fillId="11" borderId="12" xfId="0" applyNumberFormat="1" applyFont="1" applyFill="1" applyBorder="1" applyAlignment="1">
      <alignment horizontal="center" wrapText="1"/>
    </xf>
    <xf numFmtId="169" fontId="60" fillId="11" borderId="12" xfId="0" applyNumberFormat="1" applyFont="1" applyFill="1" applyBorder="1" applyAlignment="1">
      <alignment horizontal="center" wrapText="1"/>
    </xf>
    <xf numFmtId="169" fontId="54" fillId="9" borderId="12" xfId="0" applyNumberFormat="1" applyFont="1" applyFill="1" applyBorder="1" applyAlignment="1">
      <alignment horizontal="center" vertical="center"/>
    </xf>
    <xf numFmtId="169" fontId="60" fillId="0" borderId="12" xfId="0" applyNumberFormat="1" applyFont="1" applyBorder="1" applyAlignment="1">
      <alignment horizontal="center" vertical="center" wrapText="1"/>
    </xf>
    <xf numFmtId="169" fontId="57" fillId="8" borderId="12" xfId="0" applyNumberFormat="1" applyFont="1" applyFill="1" applyBorder="1" applyAlignment="1">
      <alignment horizontal="center" vertical="center" wrapText="1"/>
    </xf>
    <xf numFmtId="169" fontId="60" fillId="8" borderId="12" xfId="0" applyNumberFormat="1" applyFont="1" applyFill="1" applyBorder="1" applyAlignment="1">
      <alignment horizontal="center" vertical="center"/>
    </xf>
    <xf numFmtId="169" fontId="54" fillId="9" borderId="16" xfId="0" applyNumberFormat="1" applyFont="1" applyFill="1" applyBorder="1" applyAlignment="1">
      <alignment horizontal="center" vertical="center"/>
    </xf>
    <xf numFmtId="169" fontId="58" fillId="0" borderId="12" xfId="0" applyNumberFormat="1" applyFont="1" applyBorder="1" applyAlignment="1">
      <alignment horizontal="center" vertical="center" wrapText="1"/>
    </xf>
    <xf numFmtId="0" fontId="54" fillId="8" borderId="12" xfId="0" applyFont="1" applyFill="1" applyBorder="1" applyAlignment="1">
      <alignment horizontal="left" vertical="center"/>
    </xf>
    <xf numFmtId="0" fontId="54" fillId="8" borderId="12" xfId="0" applyFont="1" applyFill="1" applyBorder="1" applyAlignment="1">
      <alignment horizontal="left" vertical="center" wrapText="1"/>
    </xf>
    <xf numFmtId="0" fontId="55" fillId="10" borderId="12" xfId="0" applyFont="1" applyFill="1" applyBorder="1" applyAlignment="1">
      <alignment horizontal="left" vertical="center" wrapText="1"/>
    </xf>
    <xf numFmtId="169" fontId="54" fillId="10" borderId="12" xfId="0" applyNumberFormat="1" applyFont="1" applyFill="1" applyBorder="1" applyAlignment="1">
      <alignment horizontal="center" vertical="center" wrapText="1"/>
    </xf>
    <xf numFmtId="169" fontId="54" fillId="10" borderId="12" xfId="0" applyNumberFormat="1" applyFont="1" applyFill="1" applyBorder="1" applyAlignment="1">
      <alignment horizontal="center" vertical="center"/>
    </xf>
    <xf numFmtId="0" fontId="20" fillId="8" borderId="0" xfId="0" applyFont="1" applyFill="1" applyAlignment="1" applyProtection="1">
      <alignment horizontal="left"/>
      <protection hidden="1"/>
    </xf>
    <xf numFmtId="0" fontId="2" fillId="0" borderId="0" xfId="0" applyFont="1" applyProtection="1">
      <protection hidden="1"/>
    </xf>
    <xf numFmtId="49" fontId="30" fillId="8" borderId="0" xfId="0" applyNumberFormat="1" applyFont="1" applyFill="1" applyAlignment="1" applyProtection="1">
      <alignment horizontal="left" vertical="top"/>
      <protection hidden="1"/>
    </xf>
    <xf numFmtId="0" fontId="34" fillId="8" borderId="0" xfId="0" applyFont="1" applyFill="1" applyAlignment="1" applyProtection="1">
      <alignment horizontal="center" vertical="center"/>
      <protection hidden="1"/>
    </xf>
    <xf numFmtId="0" fontId="35" fillId="8" borderId="0" xfId="0" applyFont="1" applyFill="1" applyAlignment="1" applyProtection="1">
      <alignment horizontal="center" vertical="center" wrapText="1"/>
      <protection hidden="1"/>
    </xf>
    <xf numFmtId="49" fontId="34" fillId="8" borderId="0" xfId="0" applyNumberFormat="1" applyFont="1" applyFill="1" applyAlignment="1" applyProtection="1">
      <alignment horizontal="center" vertical="center"/>
      <protection hidden="1"/>
    </xf>
    <xf numFmtId="49" fontId="28" fillId="8" borderId="12" xfId="0" applyNumberFormat="1" applyFont="1" applyFill="1" applyBorder="1" applyAlignment="1" applyProtection="1">
      <alignment horizontal="center" vertical="center" wrapText="1"/>
      <protection hidden="1"/>
    </xf>
    <xf numFmtId="49" fontId="23" fillId="8" borderId="0" xfId="0" applyNumberFormat="1" applyFont="1" applyFill="1" applyAlignment="1" applyProtection="1">
      <alignment horizontal="center" vertical="center"/>
      <protection hidden="1"/>
    </xf>
    <xf numFmtId="49" fontId="23" fillId="8" borderId="12" xfId="0" applyNumberFormat="1" applyFont="1" applyFill="1" applyBorder="1" applyAlignment="1" applyProtection="1">
      <alignment horizontal="left" vertical="center"/>
      <protection hidden="1"/>
    </xf>
    <xf numFmtId="49" fontId="23" fillId="0" borderId="12" xfId="0" applyNumberFormat="1" applyFont="1" applyBorder="1" applyAlignment="1" applyProtection="1">
      <alignment horizontal="left" vertical="center"/>
      <protection hidden="1"/>
    </xf>
    <xf numFmtId="169" fontId="33" fillId="7" borderId="12" xfId="0" applyNumberFormat="1" applyFont="1" applyFill="1" applyBorder="1" applyAlignment="1" applyProtection="1">
      <alignment horizontal="center" vertical="center" wrapText="1"/>
      <protection hidden="1"/>
    </xf>
    <xf numFmtId="169" fontId="28" fillId="9" borderId="12" xfId="0" applyNumberFormat="1" applyFont="1" applyFill="1" applyBorder="1" applyProtection="1">
      <protection hidden="1"/>
    </xf>
    <xf numFmtId="169" fontId="33" fillId="0" borderId="12" xfId="0" applyNumberFormat="1" applyFont="1" applyBorder="1" applyProtection="1">
      <protection hidden="1"/>
    </xf>
    <xf numFmtId="169" fontId="33" fillId="8" borderId="12" xfId="0" applyNumberFormat="1" applyFont="1" applyFill="1" applyBorder="1" applyProtection="1">
      <protection hidden="1"/>
    </xf>
    <xf numFmtId="169" fontId="33" fillId="18" borderId="12" xfId="0" applyNumberFormat="1" applyFont="1" applyFill="1" applyBorder="1" applyProtection="1">
      <protection hidden="1"/>
    </xf>
    <xf numFmtId="169" fontId="23" fillId="0" borderId="12" xfId="0" applyNumberFormat="1" applyFont="1" applyBorder="1" applyProtection="1">
      <protection hidden="1"/>
    </xf>
    <xf numFmtId="0" fontId="32" fillId="8" borderId="0" xfId="0" applyFont="1" applyFill="1" applyAlignment="1" applyProtection="1">
      <alignment horizontal="center" vertical="center"/>
      <protection hidden="1"/>
    </xf>
    <xf numFmtId="0" fontId="32" fillId="8" borderId="12" xfId="0" applyFont="1" applyFill="1" applyBorder="1" applyAlignment="1" applyProtection="1">
      <alignment horizontal="left" vertical="center"/>
      <protection hidden="1"/>
    </xf>
    <xf numFmtId="0" fontId="31" fillId="8" borderId="12" xfId="0" applyFont="1" applyFill="1" applyBorder="1" applyAlignment="1" applyProtection="1">
      <alignment horizontal="left" vertical="center"/>
      <protection hidden="1"/>
    </xf>
    <xf numFmtId="49" fontId="22" fillId="10" borderId="12" xfId="0" applyNumberFormat="1" applyFont="1" applyFill="1" applyBorder="1" applyAlignment="1" applyProtection="1">
      <alignment horizontal="left" vertical="center"/>
      <protection hidden="1"/>
    </xf>
    <xf numFmtId="0" fontId="15" fillId="0" borderId="0" xfId="0" applyFont="1" applyProtection="1">
      <protection hidden="1"/>
    </xf>
    <xf numFmtId="0" fontId="52" fillId="8" borderId="0" xfId="0" applyFont="1" applyFill="1" applyAlignment="1" applyProtection="1">
      <alignment horizontal="center" vertical="center" wrapText="1"/>
      <protection hidden="1"/>
    </xf>
    <xf numFmtId="0" fontId="53" fillId="8" borderId="0" xfId="0" applyFont="1" applyFill="1" applyAlignment="1" applyProtection="1">
      <alignment horizontal="center" vertical="center"/>
      <protection hidden="1"/>
    </xf>
    <xf numFmtId="0" fontId="53" fillId="0" borderId="0" xfId="0" applyFont="1" applyAlignment="1" applyProtection="1">
      <alignment horizontal="center" vertical="center"/>
      <protection hidden="1"/>
    </xf>
    <xf numFmtId="0" fontId="54" fillId="8" borderId="12" xfId="0" applyFont="1" applyFill="1" applyBorder="1" applyAlignment="1" applyProtection="1">
      <alignment horizontal="center" vertical="center" wrapText="1"/>
      <protection hidden="1"/>
    </xf>
    <xf numFmtId="0" fontId="54" fillId="0" borderId="12" xfId="0" applyFont="1" applyBorder="1" applyAlignment="1" applyProtection="1">
      <alignment horizontal="center" vertical="center" wrapText="1"/>
      <protection hidden="1"/>
    </xf>
    <xf numFmtId="0" fontId="52" fillId="8" borderId="12" xfId="0" applyFont="1" applyFill="1" applyBorder="1" applyAlignment="1" applyProtection="1">
      <alignment horizontal="center" vertical="center" wrapText="1"/>
      <protection hidden="1"/>
    </xf>
    <xf numFmtId="0" fontId="57" fillId="8" borderId="13" xfId="0" applyFont="1" applyFill="1" applyBorder="1" applyAlignment="1" applyProtection="1">
      <alignment horizontal="center" vertical="center"/>
      <protection hidden="1"/>
    </xf>
    <xf numFmtId="0" fontId="57" fillId="8" borderId="12" xfId="0" applyFont="1" applyFill="1" applyBorder="1" applyAlignment="1" applyProtection="1">
      <alignment horizontal="center" vertical="center"/>
      <protection hidden="1"/>
    </xf>
    <xf numFmtId="0" fontId="57" fillId="0" borderId="12" xfId="0" applyFont="1" applyBorder="1" applyAlignment="1" applyProtection="1">
      <alignment horizontal="center" vertical="center"/>
      <protection hidden="1"/>
    </xf>
    <xf numFmtId="169" fontId="54" fillId="9" borderId="12" xfId="0" applyNumberFormat="1" applyFont="1" applyFill="1" applyBorder="1" applyAlignment="1" applyProtection="1">
      <alignment horizontal="center" vertical="center"/>
      <protection hidden="1"/>
    </xf>
    <xf numFmtId="169" fontId="57" fillId="8" borderId="12" xfId="0" applyNumberFormat="1" applyFont="1" applyFill="1" applyBorder="1" applyAlignment="1" applyProtection="1">
      <alignment horizontal="center" vertical="center"/>
      <protection hidden="1"/>
    </xf>
    <xf numFmtId="169" fontId="58" fillId="0" borderId="12" xfId="0" applyNumberFormat="1" applyFont="1" applyBorder="1" applyAlignment="1" applyProtection="1">
      <alignment horizontal="center" vertical="center"/>
      <protection hidden="1"/>
    </xf>
    <xf numFmtId="169" fontId="60" fillId="0" borderId="12" xfId="0" applyNumberFormat="1" applyFont="1" applyBorder="1" applyAlignment="1" applyProtection="1">
      <alignment horizontal="center" vertical="center"/>
      <protection hidden="1"/>
    </xf>
    <xf numFmtId="169" fontId="60" fillId="8" borderId="12" xfId="0" applyNumberFormat="1" applyFont="1" applyFill="1" applyBorder="1" applyAlignment="1" applyProtection="1">
      <alignment horizontal="center" vertical="center"/>
      <protection hidden="1"/>
    </xf>
    <xf numFmtId="0" fontId="57" fillId="0" borderId="13" xfId="0" applyFont="1" applyBorder="1" applyAlignment="1" applyProtection="1">
      <alignment horizontal="center" vertical="center"/>
      <protection hidden="1"/>
    </xf>
    <xf numFmtId="169" fontId="54" fillId="0" borderId="12" xfId="0" applyNumberFormat="1" applyFont="1" applyBorder="1" applyAlignment="1" applyProtection="1">
      <alignment horizontal="center" vertical="center"/>
      <protection hidden="1"/>
    </xf>
    <xf numFmtId="169" fontId="57" fillId="0" borderId="12" xfId="0" applyNumberFormat="1" applyFont="1" applyBorder="1" applyAlignment="1" applyProtection="1">
      <alignment horizontal="center" vertical="center"/>
      <protection hidden="1"/>
    </xf>
    <xf numFmtId="169" fontId="58" fillId="8" borderId="12" xfId="0" applyNumberFormat="1" applyFont="1" applyFill="1" applyBorder="1" applyAlignment="1" applyProtection="1">
      <alignment horizontal="center" vertical="center"/>
      <protection hidden="1"/>
    </xf>
    <xf numFmtId="0" fontId="57" fillId="8" borderId="12" xfId="0" applyFont="1" applyFill="1" applyBorder="1" applyAlignment="1" applyProtection="1">
      <alignment horizontal="center" vertical="center" wrapText="1"/>
      <protection hidden="1"/>
    </xf>
    <xf numFmtId="0" fontId="54" fillId="8" borderId="12" xfId="0" applyFont="1" applyFill="1" applyBorder="1" applyAlignment="1" applyProtection="1">
      <alignment horizontal="center" vertical="center"/>
      <protection hidden="1"/>
    </xf>
    <xf numFmtId="0" fontId="55" fillId="10" borderId="12" xfId="0" applyFont="1" applyFill="1" applyBorder="1" applyAlignment="1" applyProtection="1">
      <alignment horizontal="center" vertical="center"/>
      <protection hidden="1"/>
    </xf>
    <xf numFmtId="40" fontId="49" fillId="0" borderId="0" xfId="4" applyNumberFormat="1" applyFont="1" applyProtection="1">
      <protection hidden="1"/>
    </xf>
    <xf numFmtId="40" fontId="6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6" fontId="6" fillId="0" borderId="3" xfId="0" applyNumberFormat="1" applyFont="1" applyBorder="1" applyAlignment="1">
      <alignment horizontal="center" vertical="center" wrapText="1"/>
    </xf>
    <xf numFmtId="166" fontId="62" fillId="0" borderId="2" xfId="0" applyNumberFormat="1" applyFont="1" applyBorder="1" applyAlignment="1">
      <alignment horizontal="center" vertical="center" wrapText="1"/>
    </xf>
    <xf numFmtId="170" fontId="62" fillId="0" borderId="0" xfId="3" applyNumberFormat="1" applyFont="1" applyBorder="1" applyAlignment="1">
      <alignment horizontal="center" vertical="center"/>
    </xf>
    <xf numFmtId="170" fontId="62" fillId="0" borderId="5" xfId="3" applyNumberFormat="1" applyFont="1" applyBorder="1" applyAlignment="1">
      <alignment horizontal="center" vertical="center"/>
    </xf>
    <xf numFmtId="166" fontId="62" fillId="0" borderId="4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0" borderId="4" xfId="0" applyBorder="1"/>
    <xf numFmtId="169" fontId="64" fillId="15" borderId="12" xfId="4" applyNumberFormat="1" applyFont="1" applyFill="1" applyBorder="1" applyAlignment="1" applyProtection="1">
      <alignment horizontal="right"/>
      <protection hidden="1"/>
    </xf>
    <xf numFmtId="0" fontId="65" fillId="0" borderId="0" xfId="0" applyFont="1" applyAlignment="1">
      <alignment horizontal="right" vertical="center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right" vertical="center"/>
    </xf>
    <xf numFmtId="0" fontId="1" fillId="0" borderId="0" xfId="0" applyFont="1"/>
    <xf numFmtId="0" fontId="46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0" fontId="39" fillId="0" borderId="0" xfId="0" applyFont="1" applyAlignment="1">
      <alignment horizontal="center" vertical="center"/>
    </xf>
    <xf numFmtId="0" fontId="39" fillId="0" borderId="0" xfId="0" applyFont="1" applyAlignment="1" applyProtection="1">
      <alignment horizontal="center" vertical="center"/>
      <protection hidden="1"/>
    </xf>
    <xf numFmtId="169" fontId="68" fillId="0" borderId="0" xfId="0" applyNumberFormat="1" applyFont="1" applyAlignment="1" applyProtection="1">
      <alignment horizontal="center" vertical="center"/>
      <protection hidden="1"/>
    </xf>
    <xf numFmtId="169" fontId="39" fillId="0" borderId="0" xfId="0" applyNumberFormat="1" applyFont="1" applyAlignment="1" applyProtection="1">
      <alignment horizontal="center" vertical="center"/>
      <protection hidden="1"/>
    </xf>
    <xf numFmtId="0" fontId="16" fillId="0" borderId="0" xfId="0" applyFont="1" applyAlignment="1" applyProtection="1">
      <alignment horizontal="center" vertical="center"/>
      <protection hidden="1"/>
    </xf>
    <xf numFmtId="0" fontId="59" fillId="0" borderId="0" xfId="0" applyFont="1" applyAlignment="1" applyProtection="1">
      <alignment horizontal="center" vertical="center"/>
      <protection hidden="1"/>
    </xf>
    <xf numFmtId="0" fontId="1" fillId="0" borderId="0" xfId="0" applyFont="1" applyProtection="1">
      <protection hidden="1"/>
    </xf>
    <xf numFmtId="0" fontId="69" fillId="0" borderId="0" xfId="0" applyFont="1" applyAlignment="1">
      <alignment vertical="center" wrapText="1"/>
    </xf>
    <xf numFmtId="0" fontId="0" fillId="5" borderId="0" xfId="0" applyFill="1" applyAlignment="1">
      <alignment horizontal="left" vertical="center" wrapText="1"/>
    </xf>
    <xf numFmtId="169" fontId="24" fillId="30" borderId="12" xfId="4" applyNumberFormat="1" applyFont="1" applyFill="1" applyBorder="1" applyAlignment="1" applyProtection="1">
      <alignment horizontal="right"/>
      <protection hidden="1"/>
    </xf>
    <xf numFmtId="169" fontId="64" fillId="12" borderId="12" xfId="4" applyNumberFormat="1" applyFont="1" applyFill="1" applyBorder="1" applyAlignment="1" applyProtection="1">
      <alignment horizontal="right"/>
      <protection hidden="1"/>
    </xf>
    <xf numFmtId="0" fontId="0" fillId="0" borderId="0" xfId="0" applyAlignment="1">
      <alignment horizontal="left"/>
    </xf>
    <xf numFmtId="0" fontId="6" fillId="0" borderId="0" xfId="0" applyFont="1" applyAlignment="1">
      <alignment horizontal="center" vertical="center"/>
    </xf>
    <xf numFmtId="0" fontId="6" fillId="0" borderId="0" xfId="4" applyFont="1" applyAlignment="1">
      <alignment horizontal="center" vertical="center" wrapText="1"/>
    </xf>
    <xf numFmtId="0" fontId="38" fillId="20" borderId="0" xfId="0" applyFont="1" applyFill="1" applyAlignment="1">
      <alignment horizontal="center"/>
    </xf>
    <xf numFmtId="0" fontId="40" fillId="20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30" xfId="0" applyBorder="1" applyAlignment="1">
      <alignment horizontal="left" vertical="center" wrapText="1" indent="1"/>
    </xf>
    <xf numFmtId="0" fontId="12" fillId="20" borderId="0" xfId="0" applyFont="1" applyFill="1" applyAlignment="1">
      <alignment horizontal="center" vertical="center" wrapText="1"/>
    </xf>
    <xf numFmtId="0" fontId="12" fillId="20" borderId="0" xfId="0" applyFont="1" applyFill="1" applyAlignment="1">
      <alignment vertical="center" wrapText="1"/>
    </xf>
    <xf numFmtId="0" fontId="0" fillId="0" borderId="38" xfId="0" applyBorder="1" applyAlignment="1">
      <alignment horizontal="center" vertical="center" wrapText="1"/>
    </xf>
    <xf numFmtId="0" fontId="12" fillId="20" borderId="20" xfId="0" applyFont="1" applyFill="1" applyBorder="1" applyAlignment="1">
      <alignment horizontal="left" vertical="center" wrapText="1" indent="1"/>
    </xf>
    <xf numFmtId="0" fontId="12" fillId="20" borderId="21" xfId="0" applyFont="1" applyFill="1" applyBorder="1" applyAlignment="1">
      <alignment horizontal="left" vertical="center" wrapText="1" indent="1"/>
    </xf>
    <xf numFmtId="0" fontId="42" fillId="0" borderId="11" xfId="0" applyFont="1" applyBorder="1" applyAlignment="1">
      <alignment horizontal="left" vertical="center" wrapText="1"/>
    </xf>
    <xf numFmtId="0" fontId="42" fillId="0" borderId="32" xfId="0" applyFont="1" applyBorder="1" applyAlignment="1">
      <alignment horizontal="left" vertical="center" wrapText="1"/>
    </xf>
    <xf numFmtId="0" fontId="42" fillId="0" borderId="8" xfId="0" applyFont="1" applyBorder="1" applyAlignment="1">
      <alignment horizontal="left" vertical="center" wrapText="1"/>
    </xf>
    <xf numFmtId="0" fontId="42" fillId="0" borderId="33" xfId="0" applyFont="1" applyBorder="1" applyAlignment="1">
      <alignment horizontal="left" vertical="center" wrapText="1"/>
    </xf>
    <xf numFmtId="0" fontId="42" fillId="0" borderId="4" xfId="0" applyFont="1" applyBorder="1" applyAlignment="1">
      <alignment horizontal="left" vertical="center" wrapText="1"/>
    </xf>
    <xf numFmtId="0" fontId="42" fillId="0" borderId="34" xfId="0" applyFont="1" applyBorder="1" applyAlignment="1">
      <alignment horizontal="left" vertical="center" wrapText="1"/>
    </xf>
    <xf numFmtId="0" fontId="43" fillId="0" borderId="0" xfId="0" applyFont="1" applyAlignment="1">
      <alignment horizontal="left" vertical="center" wrapText="1"/>
    </xf>
    <xf numFmtId="0" fontId="43" fillId="0" borderId="35" xfId="0" applyFont="1" applyBorder="1" applyAlignment="1">
      <alignment horizontal="left" vertical="center" wrapText="1"/>
    </xf>
    <xf numFmtId="0" fontId="43" fillId="0" borderId="30" xfId="0" applyFont="1" applyBorder="1" applyAlignment="1">
      <alignment horizontal="left" vertical="center" wrapText="1"/>
    </xf>
    <xf numFmtId="0" fontId="43" fillId="0" borderId="31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2" fillId="9" borderId="12" xfId="4" applyFont="1" applyFill="1" applyBorder="1" applyAlignment="1" applyProtection="1">
      <alignment horizontal="center" vertical="center" wrapText="1"/>
      <protection hidden="1"/>
    </xf>
    <xf numFmtId="0" fontId="30" fillId="8" borderId="0" xfId="4" applyFont="1" applyFill="1" applyAlignment="1" applyProtection="1">
      <alignment horizontal="left" vertical="top"/>
      <protection hidden="1"/>
    </xf>
    <xf numFmtId="0" fontId="30" fillId="8" borderId="0" xfId="4" applyFont="1" applyFill="1" applyAlignment="1" applyProtection="1">
      <alignment horizontal="left" vertical="top" wrapText="1"/>
      <protection hidden="1"/>
    </xf>
    <xf numFmtId="0" fontId="22" fillId="9" borderId="12" xfId="0" applyFont="1" applyFill="1" applyBorder="1" applyAlignment="1">
      <alignment horizontal="center" vertical="center" wrapText="1"/>
    </xf>
    <xf numFmtId="0" fontId="30" fillId="8" borderId="0" xfId="0" applyFont="1" applyFill="1" applyAlignment="1">
      <alignment horizontal="left" vertical="top"/>
    </xf>
    <xf numFmtId="0" fontId="30" fillId="8" borderId="0" xfId="0" applyFont="1" applyFill="1" applyAlignment="1" applyProtection="1">
      <alignment horizontal="left" vertical="center" wrapText="1"/>
      <protection hidden="1"/>
    </xf>
    <xf numFmtId="0" fontId="22" fillId="9" borderId="12" xfId="0" applyFont="1" applyFill="1" applyBorder="1" applyAlignment="1" applyProtection="1">
      <alignment horizontal="center" vertical="center" wrapText="1"/>
      <protection hidden="1"/>
    </xf>
    <xf numFmtId="0" fontId="55" fillId="9" borderId="12" xfId="0" applyFont="1" applyFill="1" applyBorder="1" applyAlignment="1">
      <alignment horizontal="center" vertical="center" wrapText="1"/>
    </xf>
    <xf numFmtId="0" fontId="52" fillId="8" borderId="0" xfId="0" applyFont="1" applyFill="1" applyAlignment="1">
      <alignment horizontal="left" vertical="center"/>
    </xf>
    <xf numFmtId="0" fontId="55" fillId="9" borderId="12" xfId="0" applyFont="1" applyFill="1" applyBorder="1" applyAlignment="1" applyProtection="1">
      <alignment horizontal="center" vertical="center" wrapText="1"/>
      <protection hidden="1"/>
    </xf>
    <xf numFmtId="0" fontId="52" fillId="8" borderId="0" xfId="0" applyFont="1" applyFill="1" applyAlignment="1" applyProtection="1">
      <alignment horizontal="center" vertical="center" wrapText="1"/>
      <protection hidden="1"/>
    </xf>
  </cellXfs>
  <cellStyles count="6">
    <cellStyle name="Comma 2" xfId="2" xr:uid="{C877C5E8-FCBF-114F-9ECB-F75EF7C9C0EB}"/>
    <cellStyle name="Milliers" xfId="3" builtinId="3"/>
    <cellStyle name="Milliers 2" xfId="5" xr:uid="{C98A9282-6AC5-784B-80AA-54BB74A59302}"/>
    <cellStyle name="Normal" xfId="0" builtinId="0"/>
    <cellStyle name="Normal 2" xfId="1" xr:uid="{6FC886D6-2077-B34D-B1DF-739B068A66D1}"/>
    <cellStyle name="Normal 3" xfId="4" xr:uid="{6BD57324-3FD5-D341-A299-730D14794802}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5" tint="0.79998168889431442"/>
          <bgColor theme="5" tint="0.79998168889431442"/>
        </patternFill>
      </fill>
      <border>
        <top style="thin">
          <color theme="1"/>
        </top>
        <vertical/>
        <horizontal/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1A94F"/>
      <color rgb="FFF7EF2D"/>
      <color rgb="FFFE0000"/>
      <color rgb="FF0B0B97"/>
      <color rgb="FF2C45E0"/>
      <color rgb="FFCE42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632166</xdr:colOff>
      <xdr:row>11</xdr:row>
      <xdr:rowOff>199927</xdr:rowOff>
    </xdr:from>
    <xdr:ext cx="389621" cy="478116"/>
    <xdr:pic>
      <xdr:nvPicPr>
        <xdr:cNvPr id="2" name="Image 1" descr="Applause PNG Transparent Images - PNG All">
          <a:extLst>
            <a:ext uri="{FF2B5EF4-FFF2-40B4-BE49-F238E27FC236}">
              <a16:creationId xmlns:a16="http://schemas.microsoft.com/office/drawing/2014/main" id="{A725DBE8-FC47-BB4E-ACFF-F99368C80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457666" y="2282727"/>
          <a:ext cx="389621" cy="478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173580</xdr:colOff>
      <xdr:row>11</xdr:row>
      <xdr:rowOff>190844</xdr:rowOff>
    </xdr:from>
    <xdr:ext cx="513642" cy="428121"/>
    <xdr:pic>
      <xdr:nvPicPr>
        <xdr:cNvPr id="3" name="Image 2">
          <a:extLst>
            <a:ext uri="{FF2B5EF4-FFF2-40B4-BE49-F238E27FC236}">
              <a16:creationId xmlns:a16="http://schemas.microsoft.com/office/drawing/2014/main" id="{35047058-CEC0-0F4C-93C4-C25DC82BDC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2015"/>
        <a:stretch/>
      </xdr:blipFill>
      <xdr:spPr>
        <a:xfrm>
          <a:off x="4301080" y="2286344"/>
          <a:ext cx="513642" cy="428121"/>
        </a:xfrm>
        <a:prstGeom prst="rect">
          <a:avLst/>
        </a:prstGeom>
      </xdr:spPr>
    </xdr:pic>
    <xdr:clientData/>
  </xdr:oneCellAnchor>
  <xdr:oneCellAnchor>
    <xdr:from>
      <xdr:col>1</xdr:col>
      <xdr:colOff>227016</xdr:colOff>
      <xdr:row>0</xdr:row>
      <xdr:rowOff>14635</xdr:rowOff>
    </xdr:from>
    <xdr:ext cx="960661" cy="902640"/>
    <xdr:pic>
      <xdr:nvPicPr>
        <xdr:cNvPr id="4" name="Picture 1">
          <a:extLst>
            <a:ext uri="{FF2B5EF4-FFF2-40B4-BE49-F238E27FC236}">
              <a16:creationId xmlns:a16="http://schemas.microsoft.com/office/drawing/2014/main" id="{2BAFB5E9-E271-8649-BC8B-F2629B6E9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20595" y="14635"/>
          <a:ext cx="960661" cy="90264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92364</xdr:colOff>
      <xdr:row>0</xdr:row>
      <xdr:rowOff>48382</xdr:rowOff>
    </xdr:from>
    <xdr:to>
      <xdr:col>0</xdr:col>
      <xdr:colOff>1027546</xdr:colOff>
      <xdr:row>0</xdr:row>
      <xdr:rowOff>923637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55C61324-E573-A246-9DC1-CC27AB5D3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364" y="48382"/>
          <a:ext cx="935182" cy="8752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92360</xdr:colOff>
      <xdr:row>0</xdr:row>
      <xdr:rowOff>46180</xdr:rowOff>
    </xdr:from>
    <xdr:to>
      <xdr:col>0</xdr:col>
      <xdr:colOff>1027043</xdr:colOff>
      <xdr:row>0</xdr:row>
      <xdr:rowOff>935179</xdr:rowOff>
    </xdr:to>
    <xdr:pic>
      <xdr:nvPicPr>
        <xdr:cNvPr id="11" name="Picture 5">
          <a:extLst>
            <a:ext uri="{FF2B5EF4-FFF2-40B4-BE49-F238E27FC236}">
              <a16:creationId xmlns:a16="http://schemas.microsoft.com/office/drawing/2014/main" id="{972ABFF3-CF12-FB44-AC70-9373B08ED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21" y="46180"/>
          <a:ext cx="1869366" cy="8889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239888</xdr:colOff>
      <xdr:row>0</xdr:row>
      <xdr:rowOff>28222</xdr:rowOff>
    </xdr:from>
    <xdr:to>
      <xdr:col>0</xdr:col>
      <xdr:colOff>1326444</xdr:colOff>
      <xdr:row>0</xdr:row>
      <xdr:rowOff>976232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CC4A8B9D-07C1-B441-8116-336307884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888" y="28222"/>
          <a:ext cx="1086556" cy="9480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3</xdr:col>
      <xdr:colOff>1049581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94C05814-536A-084A-B3F3-D787AC3C9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4</xdr:col>
      <xdr:colOff>211381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CB6F3F4A-57CD-7847-B40E-26FCFBF9C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4</xdr:col>
      <xdr:colOff>20881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8DBCC5E3-38D9-8842-9253-F2769D545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F9B09-C60F-334A-AD8D-3CC1EC8DED35}">
  <sheetPr>
    <tabColor rgb="FF002060"/>
  </sheetPr>
  <dimension ref="A1:H15"/>
  <sheetViews>
    <sheetView showGridLines="0" zoomScale="95" zoomScaleNormal="95" workbookViewId="0">
      <selection activeCell="H15" sqref="H15"/>
    </sheetView>
  </sheetViews>
  <sheetFormatPr baseColWidth="10" defaultColWidth="10.83203125" defaultRowHeight="15" x14ac:dyDescent="0.2"/>
  <cols>
    <col min="1" max="1" width="1.1640625" style="21" customWidth="1"/>
    <col min="2" max="2" width="18" style="21" customWidth="1"/>
    <col min="3" max="3" width="102.1640625" style="21" customWidth="1"/>
    <col min="4" max="4" width="56.33203125" style="21" customWidth="1"/>
    <col min="5" max="5" width="14" style="21" customWidth="1"/>
    <col min="6" max="6" width="24.33203125" style="132" customWidth="1"/>
    <col min="7" max="7" width="10.83203125" style="21" customWidth="1"/>
    <col min="8" max="16384" width="10.83203125" style="21"/>
  </cols>
  <sheetData>
    <row r="1" spans="1:8" s="26" customFormat="1" ht="60" customHeight="1" x14ac:dyDescent="0.35">
      <c r="A1" s="124"/>
      <c r="B1" s="125" t="s">
        <v>227</v>
      </c>
      <c r="C1" s="321" t="s">
        <v>228</v>
      </c>
      <c r="D1" s="321"/>
      <c r="E1" s="321"/>
      <c r="F1" s="126"/>
      <c r="H1" s="26" t="s">
        <v>0</v>
      </c>
    </row>
    <row r="2" spans="1:8" s="130" customFormat="1" ht="20" customHeight="1" x14ac:dyDescent="0.2">
      <c r="A2" s="127"/>
      <c r="B2" s="128"/>
      <c r="C2" s="322" t="s">
        <v>229</v>
      </c>
      <c r="D2" s="322"/>
      <c r="E2" s="322"/>
      <c r="F2" s="129"/>
      <c r="H2" s="26" t="s">
        <v>0</v>
      </c>
    </row>
    <row r="3" spans="1:8" s="26" customFormat="1" ht="6.5" customHeight="1" thickBot="1" x14ac:dyDescent="0.25">
      <c r="A3" s="131"/>
      <c r="F3" s="132"/>
      <c r="H3" s="26" t="s">
        <v>0</v>
      </c>
    </row>
    <row r="4" spans="1:8" s="136" customFormat="1" ht="32.25" customHeight="1" thickBot="1" x14ac:dyDescent="0.25">
      <c r="A4" s="133"/>
      <c r="B4" s="134" t="s">
        <v>230</v>
      </c>
      <c r="C4" s="135" t="s">
        <v>231</v>
      </c>
      <c r="D4" s="135" t="s">
        <v>232</v>
      </c>
      <c r="E4" s="328" t="s">
        <v>233</v>
      </c>
      <c r="F4" s="329"/>
      <c r="G4" s="144"/>
      <c r="H4" s="26" t="s">
        <v>0</v>
      </c>
    </row>
    <row r="5" spans="1:8" s="26" customFormat="1" ht="48" customHeight="1" x14ac:dyDescent="0.2">
      <c r="A5" s="131"/>
      <c r="B5" s="148" t="s">
        <v>234</v>
      </c>
      <c r="C5" s="141" t="s">
        <v>235</v>
      </c>
      <c r="D5" s="141" t="s">
        <v>236</v>
      </c>
      <c r="E5" s="330" t="s">
        <v>249</v>
      </c>
      <c r="F5" s="331"/>
      <c r="G5" s="143"/>
      <c r="H5" s="26" t="s">
        <v>0</v>
      </c>
    </row>
    <row r="6" spans="1:8" s="26" customFormat="1" ht="48" customHeight="1" x14ac:dyDescent="0.2">
      <c r="A6" s="131"/>
      <c r="B6" s="149" t="s">
        <v>237</v>
      </c>
      <c r="C6" s="142" t="s">
        <v>238</v>
      </c>
      <c r="D6" s="142" t="s">
        <v>239</v>
      </c>
      <c r="E6" s="332" t="s">
        <v>250</v>
      </c>
      <c r="F6" s="333"/>
      <c r="G6" s="143"/>
      <c r="H6" s="26" t="s">
        <v>0</v>
      </c>
    </row>
    <row r="7" spans="1:8" s="26" customFormat="1" ht="48" customHeight="1" x14ac:dyDescent="0.2">
      <c r="A7" s="131"/>
      <c r="B7" s="150" t="s">
        <v>240</v>
      </c>
      <c r="C7" s="142" t="s">
        <v>241</v>
      </c>
      <c r="D7" s="142" t="s">
        <v>242</v>
      </c>
      <c r="E7" s="332" t="s">
        <v>249</v>
      </c>
      <c r="F7" s="333"/>
      <c r="G7" s="143"/>
      <c r="H7" s="26" t="s">
        <v>0</v>
      </c>
    </row>
    <row r="8" spans="1:8" s="26" customFormat="1" ht="23" customHeight="1" x14ac:dyDescent="0.2">
      <c r="A8" s="131"/>
      <c r="B8" s="151" t="s">
        <v>243</v>
      </c>
      <c r="C8" s="323" t="s">
        <v>244</v>
      </c>
      <c r="D8" s="323" t="s">
        <v>245</v>
      </c>
      <c r="E8" s="334" t="s">
        <v>251</v>
      </c>
      <c r="F8" s="335"/>
      <c r="G8" s="143"/>
      <c r="H8" s="26" t="s">
        <v>0</v>
      </c>
    </row>
    <row r="9" spans="1:8" s="26" customFormat="1" ht="23" customHeight="1" x14ac:dyDescent="0.2">
      <c r="A9" s="131"/>
      <c r="B9" s="152" t="s">
        <v>246</v>
      </c>
      <c r="C9" s="323"/>
      <c r="D9" s="323"/>
      <c r="E9" s="336"/>
      <c r="F9" s="337"/>
      <c r="G9" s="143"/>
      <c r="H9" s="26" t="s">
        <v>0</v>
      </c>
    </row>
    <row r="10" spans="1:8" s="26" customFormat="1" ht="23" customHeight="1" thickBot="1" x14ac:dyDescent="0.25">
      <c r="A10" s="131"/>
      <c r="B10" s="153" t="s">
        <v>247</v>
      </c>
      <c r="C10" s="324"/>
      <c r="D10" s="324"/>
      <c r="E10" s="338"/>
      <c r="F10" s="339"/>
      <c r="G10" s="143"/>
      <c r="H10" s="26" t="s">
        <v>0</v>
      </c>
    </row>
    <row r="11" spans="1:8" s="26" customFormat="1" ht="5" customHeight="1" thickBot="1" x14ac:dyDescent="0.25">
      <c r="A11" s="131"/>
      <c r="B11" s="147"/>
      <c r="C11" s="147"/>
      <c r="D11" s="147"/>
      <c r="E11" s="147"/>
      <c r="F11" s="147"/>
      <c r="H11" s="26" t="s">
        <v>0</v>
      </c>
    </row>
    <row r="12" spans="1:8" s="26" customFormat="1" ht="72" customHeight="1" thickBot="1" x14ac:dyDescent="0.25">
      <c r="A12" s="131"/>
      <c r="B12" s="145"/>
      <c r="C12" s="327" t="s">
        <v>248</v>
      </c>
      <c r="D12" s="327"/>
      <c r="E12" s="327"/>
      <c r="F12" s="146"/>
      <c r="H12" s="26" t="s">
        <v>0</v>
      </c>
    </row>
    <row r="13" spans="1:8" s="26" customFormat="1" ht="6" customHeight="1" x14ac:dyDescent="0.2">
      <c r="A13" s="137"/>
      <c r="F13" s="132"/>
      <c r="H13" s="26" t="s">
        <v>0</v>
      </c>
    </row>
    <row r="14" spans="1:8" s="26" customFormat="1" ht="27" customHeight="1" x14ac:dyDescent="0.2">
      <c r="A14" s="325" t="s">
        <v>25</v>
      </c>
      <c r="B14" s="325"/>
      <c r="C14" s="325"/>
      <c r="D14" s="325"/>
      <c r="E14" s="325"/>
      <c r="F14" s="326"/>
      <c r="H14" s="26" t="s">
        <v>0</v>
      </c>
    </row>
    <row r="15" spans="1:8" ht="16" customHeight="1" x14ac:dyDescent="0.2">
      <c r="H15" s="21" t="s">
        <v>7</v>
      </c>
    </row>
  </sheetData>
  <mergeCells count="11">
    <mergeCell ref="C1:E1"/>
    <mergeCell ref="C2:E2"/>
    <mergeCell ref="C8:C10"/>
    <mergeCell ref="D8:D10"/>
    <mergeCell ref="A14:F14"/>
    <mergeCell ref="C12:E12"/>
    <mergeCell ref="E4:F4"/>
    <mergeCell ref="E5:F5"/>
    <mergeCell ref="E6:F6"/>
    <mergeCell ref="E7:F7"/>
    <mergeCell ref="E8:F10"/>
  </mergeCells>
  <pageMargins left="0.7" right="0.7" top="0.75" bottom="0.75" header="0.3" footer="0.3"/>
  <pageSetup paperSize="9" orientation="portrait" useFirstPageNumber="1" horizontalDpi="4294967295" verticalDpi="429496729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60F59-85DE-F04F-B545-970F6F7A26FE}">
  <sheetPr codeName="Feuil11">
    <tabColor rgb="FF92D050"/>
  </sheetPr>
  <dimension ref="A1:J17"/>
  <sheetViews>
    <sheetView topLeftCell="D1" zoomScale="150" workbookViewId="0">
      <selection activeCell="G5" sqref="G5"/>
    </sheetView>
  </sheetViews>
  <sheetFormatPr baseColWidth="10" defaultColWidth="11" defaultRowHeight="16" x14ac:dyDescent="0.2"/>
  <cols>
    <col min="1" max="3" width="0" style="37" hidden="1" customWidth="1"/>
    <col min="4" max="4" width="15.1640625" style="37" customWidth="1"/>
    <col min="5" max="5" width="11" style="37"/>
    <col min="6" max="6" width="46.33203125" style="37" bestFit="1" customWidth="1"/>
    <col min="7" max="16384" width="11" style="37"/>
  </cols>
  <sheetData>
    <row r="1" spans="1:10" x14ac:dyDescent="0.2">
      <c r="A1" s="41"/>
      <c r="C1" s="109"/>
      <c r="D1" s="109" t="s">
        <v>219</v>
      </c>
      <c r="E1" s="109"/>
      <c r="F1" s="109"/>
      <c r="G1" s="41"/>
      <c r="H1" s="41"/>
      <c r="I1" s="41"/>
      <c r="J1" s="41"/>
    </row>
    <row r="2" spans="1:10" x14ac:dyDescent="0.2">
      <c r="A2" s="108"/>
      <c r="B2" s="107"/>
      <c r="C2" s="107"/>
      <c r="D2" s="107"/>
      <c r="E2" s="107"/>
      <c r="F2" s="107"/>
      <c r="G2" s="84" t="s">
        <v>170</v>
      </c>
      <c r="H2" s="346" t="s">
        <v>169</v>
      </c>
      <c r="I2" s="84" t="s">
        <v>38</v>
      </c>
      <c r="J2" s="346" t="s">
        <v>168</v>
      </c>
    </row>
    <row r="3" spans="1:10" ht="36" x14ac:dyDescent="0.2">
      <c r="A3" s="108"/>
      <c r="B3" s="107"/>
      <c r="C3" s="107"/>
      <c r="D3" s="107"/>
      <c r="E3" s="107"/>
      <c r="F3" s="107"/>
      <c r="G3" s="84" t="s">
        <v>148</v>
      </c>
      <c r="H3" s="346"/>
      <c r="I3" s="84" t="s">
        <v>145</v>
      </c>
      <c r="J3" s="346"/>
    </row>
    <row r="4" spans="1:10" ht="36" x14ac:dyDescent="0.2">
      <c r="A4" s="106"/>
      <c r="B4" s="105" t="s">
        <v>115</v>
      </c>
      <c r="C4" s="105" t="s">
        <v>114</v>
      </c>
      <c r="D4" s="105" t="s">
        <v>32</v>
      </c>
      <c r="E4" s="105" t="s">
        <v>113</v>
      </c>
      <c r="F4" s="105" t="s">
        <v>112</v>
      </c>
      <c r="G4" s="84" t="s">
        <v>97</v>
      </c>
      <c r="H4" s="346"/>
      <c r="I4" s="84" t="s">
        <v>93</v>
      </c>
      <c r="J4" s="346"/>
    </row>
    <row r="5" spans="1:10" x14ac:dyDescent="0.2">
      <c r="A5" s="100" t="s">
        <v>218</v>
      </c>
      <c r="B5" s="99"/>
      <c r="C5" s="99"/>
      <c r="D5" s="104">
        <f>ETPT_CPH_DDG!$D$5</f>
        <v>0</v>
      </c>
      <c r="E5" s="99" t="s">
        <v>62</v>
      </c>
      <c r="F5" s="99" t="s">
        <v>61</v>
      </c>
      <c r="G5" s="98" t="e">
        <f>SUMIFS( INDEX( 'ETPT Format DDG'!$A:$FA,,MATCH("11.7. FONCTIONNAIRES AFFECTÉS AU CPH",'ETPT Format DDG'!2:2,0)),'ETPT Format DDG'!$C:$C,$D$5,'ETPT Format DDG'!$FA:$FA,"Fonctionnaire A-B-CBUR")</f>
        <v>#N/A</v>
      </c>
      <c r="H5" s="93" t="e">
        <f t="shared" ref="H5:H13" si="0">SUM(G5)</f>
        <v>#N/A</v>
      </c>
      <c r="I5" s="98" t="e">
        <f>SUMIFS( INDEX( 'ETPT Format DDG'!$A:$FA,,MATCH("11.7. FONCTIONNAIRES AFFECTÉS AU CPH",'ETPT Format DDG'!2:2,0)),'ETPT Format DDG'!$C:$C,$D$5,'ETPT Format DDG'!$FA:$FA,"JURISTE AS siège Autres")</f>
        <v>#N/A</v>
      </c>
      <c r="J5" s="93" t="e">
        <f t="shared" ref="J5:J13" si="1">SUM(I5)</f>
        <v>#N/A</v>
      </c>
    </row>
    <row r="6" spans="1:10" x14ac:dyDescent="0.2">
      <c r="A6" s="100" t="s">
        <v>218</v>
      </c>
      <c r="B6" s="99"/>
      <c r="C6" s="99"/>
      <c r="D6" s="62">
        <f t="shared" ref="D6:D13" si="2">$D$5</f>
        <v>0</v>
      </c>
      <c r="E6" s="99" t="s">
        <v>56</v>
      </c>
      <c r="F6" s="99" t="s">
        <v>55</v>
      </c>
      <c r="G6" s="102"/>
      <c r="H6" s="93">
        <f t="shared" si="0"/>
        <v>0</v>
      </c>
      <c r="I6" s="103"/>
      <c r="J6" s="93">
        <f t="shared" si="1"/>
        <v>0</v>
      </c>
    </row>
    <row r="7" spans="1:10" x14ac:dyDescent="0.2">
      <c r="A7" s="100" t="s">
        <v>218</v>
      </c>
      <c r="B7" s="99"/>
      <c r="C7" s="99"/>
      <c r="D7" s="62">
        <f t="shared" si="2"/>
        <v>0</v>
      </c>
      <c r="E7" s="99" t="s">
        <v>54</v>
      </c>
      <c r="F7" s="99" t="s">
        <v>53</v>
      </c>
      <c r="G7" s="102"/>
      <c r="H7" s="93">
        <f t="shared" si="0"/>
        <v>0</v>
      </c>
      <c r="I7" s="101"/>
      <c r="J7" s="93">
        <f t="shared" si="1"/>
        <v>0</v>
      </c>
    </row>
    <row r="8" spans="1:10" x14ac:dyDescent="0.2">
      <c r="A8" s="100" t="s">
        <v>218</v>
      </c>
      <c r="B8" s="99"/>
      <c r="C8" s="99"/>
      <c r="D8" s="62">
        <f t="shared" si="2"/>
        <v>0</v>
      </c>
      <c r="E8" s="99" t="s">
        <v>52</v>
      </c>
      <c r="F8" s="99" t="s">
        <v>51</v>
      </c>
      <c r="G8" s="102"/>
      <c r="H8" s="93">
        <f t="shared" si="0"/>
        <v>0</v>
      </c>
      <c r="I8" s="103"/>
      <c r="J8" s="93">
        <f t="shared" si="1"/>
        <v>0</v>
      </c>
    </row>
    <row r="9" spans="1:10" x14ac:dyDescent="0.2">
      <c r="A9" s="100" t="s">
        <v>218</v>
      </c>
      <c r="B9" s="99"/>
      <c r="C9" s="99"/>
      <c r="D9" s="62">
        <f t="shared" si="2"/>
        <v>0</v>
      </c>
      <c r="E9" s="99" t="s">
        <v>50</v>
      </c>
      <c r="F9" s="99" t="s">
        <v>49</v>
      </c>
      <c r="G9" s="102"/>
      <c r="H9" s="93">
        <f t="shared" si="0"/>
        <v>0</v>
      </c>
      <c r="I9" s="101"/>
      <c r="J9" s="93">
        <f t="shared" si="1"/>
        <v>0</v>
      </c>
    </row>
    <row r="10" spans="1:10" x14ac:dyDescent="0.2">
      <c r="A10" s="100" t="s">
        <v>218</v>
      </c>
      <c r="B10" s="99"/>
      <c r="C10" s="99"/>
      <c r="D10" s="62">
        <f t="shared" si="2"/>
        <v>0</v>
      </c>
      <c r="E10" s="99" t="s">
        <v>48</v>
      </c>
      <c r="F10" s="99" t="s">
        <v>47</v>
      </c>
      <c r="G10" s="102"/>
      <c r="H10" s="93">
        <f t="shared" si="0"/>
        <v>0</v>
      </c>
      <c r="I10" s="103"/>
      <c r="J10" s="93">
        <f t="shared" si="1"/>
        <v>0</v>
      </c>
    </row>
    <row r="11" spans="1:10" x14ac:dyDescent="0.2">
      <c r="A11" s="100" t="s">
        <v>218</v>
      </c>
      <c r="B11" s="99"/>
      <c r="C11" s="99"/>
      <c r="D11" s="62">
        <f t="shared" si="2"/>
        <v>0</v>
      </c>
      <c r="E11" s="99" t="s">
        <v>46</v>
      </c>
      <c r="F11" s="99" t="s">
        <v>45</v>
      </c>
      <c r="G11" s="102"/>
      <c r="H11" s="93">
        <f t="shared" si="0"/>
        <v>0</v>
      </c>
      <c r="I11" s="101"/>
      <c r="J11" s="93">
        <f t="shared" si="1"/>
        <v>0</v>
      </c>
    </row>
    <row r="12" spans="1:10" x14ac:dyDescent="0.2">
      <c r="A12" s="100" t="s">
        <v>218</v>
      </c>
      <c r="B12" s="99"/>
      <c r="C12" s="99"/>
      <c r="D12" s="62">
        <f t="shared" si="2"/>
        <v>0</v>
      </c>
      <c r="E12" s="99" t="s">
        <v>44</v>
      </c>
      <c r="F12" s="99" t="s">
        <v>43</v>
      </c>
      <c r="G12" s="98" t="e">
        <f>SUMIFS( INDEX( 'ETPT Format DDG'!$A:$FA,,MATCH("11.7. FONCTIONNAIRES AFFECTÉS AU CPH",'ETPT Format DDG'!2:2,0)),'ETPT Format DDG'!$C:$C,$D$5,'ETPT Format DDG'!$FA:$FA,"Fonctionnaire CTECH placé ADD")</f>
        <v>#N/A</v>
      </c>
      <c r="H12" s="93" t="e">
        <f t="shared" si="0"/>
        <v>#N/A</v>
      </c>
      <c r="I12" s="56"/>
      <c r="J12" s="93">
        <f t="shared" si="1"/>
        <v>0</v>
      </c>
    </row>
    <row r="13" spans="1:10" x14ac:dyDescent="0.2">
      <c r="A13" s="100" t="s">
        <v>218</v>
      </c>
      <c r="B13" s="99"/>
      <c r="C13" s="99"/>
      <c r="D13" s="62">
        <f t="shared" si="2"/>
        <v>0</v>
      </c>
      <c r="E13" s="99" t="s">
        <v>41</v>
      </c>
      <c r="F13" s="99" t="s">
        <v>40</v>
      </c>
      <c r="G13" s="98" t="e">
        <f>SUMIFS( INDEX( 'ETPT Format DDG'!$A:$FA,,MATCH("11.7. FONCTIONNAIRES AFFECTÉS AU CPH",'ETPT Format DDG'!2:2,0)),'ETPT Format DDG'!$C:$C,$D$5,'ETPT Format DDG'!$FA:$FA,"Fonctionnaire CTECH placé SUB")</f>
        <v>#N/A</v>
      </c>
      <c r="H13" s="93" t="e">
        <f t="shared" si="0"/>
        <v>#N/A</v>
      </c>
      <c r="I13" s="56"/>
      <c r="J13" s="93">
        <f t="shared" si="1"/>
        <v>0</v>
      </c>
    </row>
    <row r="14" spans="1:10" x14ac:dyDescent="0.2">
      <c r="A14" s="97"/>
      <c r="B14" s="96"/>
      <c r="C14" s="96"/>
      <c r="D14" s="96"/>
      <c r="E14" s="95"/>
      <c r="F14" s="94" t="s">
        <v>39</v>
      </c>
      <c r="G14" s="93" t="e">
        <f>SUM(G5:G13)</f>
        <v>#N/A</v>
      </c>
      <c r="H14" s="93" t="e">
        <f>SUM(H5:H13)</f>
        <v>#N/A</v>
      </c>
      <c r="I14" s="93" t="e">
        <f>SUM(I5:I13)</f>
        <v>#N/A</v>
      </c>
      <c r="J14" s="93" t="e">
        <f>SUM(J5:J13)</f>
        <v>#N/A</v>
      </c>
    </row>
    <row r="17" spans="4:4" x14ac:dyDescent="0.2">
      <c r="D17" s="39"/>
    </row>
  </sheetData>
  <mergeCells count="2">
    <mergeCell ref="H2:H4"/>
    <mergeCell ref="J2:J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925AE-B1C3-2143-BED8-865F5DD872E0}">
  <sheetPr codeName="Feuil9">
    <tabColor rgb="FFFE0000"/>
  </sheetPr>
  <dimension ref="A1:BK21"/>
  <sheetViews>
    <sheetView topLeftCell="D1" zoomScale="125" workbookViewId="0">
      <selection activeCell="J13" sqref="J13"/>
    </sheetView>
  </sheetViews>
  <sheetFormatPr baseColWidth="10" defaultColWidth="11" defaultRowHeight="16" x14ac:dyDescent="0.2"/>
  <cols>
    <col min="1" max="1" width="6" style="37" hidden="1" customWidth="1"/>
    <col min="2" max="2" width="17.1640625" style="37" hidden="1" customWidth="1"/>
    <col min="3" max="3" width="6.33203125" style="37" hidden="1" customWidth="1"/>
    <col min="4" max="4" width="14.6640625" style="37" customWidth="1"/>
    <col min="5" max="5" width="6.5" style="37" customWidth="1"/>
    <col min="6" max="6" width="46.33203125" style="37" bestFit="1" customWidth="1"/>
    <col min="7" max="8" width="9.33203125" style="37" customWidth="1"/>
    <col min="9" max="9" width="9.5" style="37" customWidth="1"/>
    <col min="10" max="10" width="9" style="37" customWidth="1"/>
    <col min="11" max="38" width="9.33203125" style="37" customWidth="1"/>
    <col min="39" max="39" width="8.5" style="37" bestFit="1" customWidth="1"/>
    <col min="40" max="40" width="7.33203125" style="37" bestFit="1" customWidth="1"/>
    <col min="41" max="62" width="9.33203125" style="37" customWidth="1"/>
    <col min="63" max="63" width="4" style="37" customWidth="1"/>
    <col min="64" max="16384" width="11" style="37"/>
  </cols>
  <sheetData>
    <row r="1" spans="1:63" s="4" customFormat="1" ht="80" customHeight="1" x14ac:dyDescent="0.25">
      <c r="A1" s="3" t="s">
        <v>220</v>
      </c>
      <c r="B1" s="5"/>
      <c r="C1" s="5"/>
      <c r="D1" s="3" t="s">
        <v>223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3" s="41" customFormat="1" ht="12.75" customHeight="1" x14ac:dyDescent="0.2">
      <c r="A2" s="87"/>
      <c r="B2" s="87"/>
      <c r="C2" s="87"/>
      <c r="D2" s="87"/>
      <c r="E2" s="87"/>
      <c r="F2" s="87"/>
      <c r="G2" s="84" t="s">
        <v>172</v>
      </c>
      <c r="H2" s="346" t="s">
        <v>171</v>
      </c>
      <c r="I2" s="83" t="s">
        <v>170</v>
      </c>
      <c r="J2" s="83" t="s">
        <v>170</v>
      </c>
      <c r="K2" s="83" t="s">
        <v>170</v>
      </c>
      <c r="L2" s="83" t="s">
        <v>170</v>
      </c>
      <c r="M2" s="83" t="s">
        <v>170</v>
      </c>
      <c r="N2" s="83" t="s">
        <v>170</v>
      </c>
      <c r="O2" s="83" t="s">
        <v>170</v>
      </c>
      <c r="P2" s="83" t="s">
        <v>170</v>
      </c>
      <c r="Q2" s="83" t="s">
        <v>170</v>
      </c>
      <c r="R2" s="83" t="s">
        <v>170</v>
      </c>
      <c r="S2" s="83" t="s">
        <v>170</v>
      </c>
      <c r="T2" s="83" t="s">
        <v>170</v>
      </c>
      <c r="U2" s="83" t="s">
        <v>170</v>
      </c>
      <c r="V2" s="83" t="s">
        <v>170</v>
      </c>
      <c r="W2" s="346" t="s">
        <v>169</v>
      </c>
      <c r="X2" s="84" t="s">
        <v>38</v>
      </c>
      <c r="Y2" s="84" t="s">
        <v>38</v>
      </c>
      <c r="Z2" s="84" t="s">
        <v>38</v>
      </c>
      <c r="AA2" s="84" t="s">
        <v>38</v>
      </c>
      <c r="AB2" s="346" t="s">
        <v>168</v>
      </c>
      <c r="AC2" s="81" t="s">
        <v>167</v>
      </c>
      <c r="AD2" s="81" t="s">
        <v>167</v>
      </c>
      <c r="AE2" s="81" t="s">
        <v>167</v>
      </c>
      <c r="AF2" s="81" t="s">
        <v>167</v>
      </c>
      <c r="AG2" s="81" t="s">
        <v>167</v>
      </c>
      <c r="AH2" s="81" t="s">
        <v>167</v>
      </c>
      <c r="AI2" s="81" t="s">
        <v>167</v>
      </c>
      <c r="AJ2" s="81" t="s">
        <v>167</v>
      </c>
      <c r="AK2" s="81" t="s">
        <v>167</v>
      </c>
      <c r="AL2" s="346" t="s">
        <v>166</v>
      </c>
      <c r="AM2" s="81" t="s">
        <v>165</v>
      </c>
      <c r="AN2" s="81" t="s">
        <v>165</v>
      </c>
      <c r="AO2" s="81" t="s">
        <v>165</v>
      </c>
      <c r="AP2" s="81" t="s">
        <v>165</v>
      </c>
      <c r="AQ2" s="81" t="s">
        <v>165</v>
      </c>
      <c r="AR2" s="81" t="s">
        <v>165</v>
      </c>
      <c r="AS2" s="81" t="s">
        <v>165</v>
      </c>
      <c r="AT2" s="81" t="s">
        <v>165</v>
      </c>
      <c r="AU2" s="81" t="s">
        <v>165</v>
      </c>
      <c r="AV2" s="81" t="s">
        <v>165</v>
      </c>
      <c r="AW2" s="81" t="s">
        <v>165</v>
      </c>
      <c r="AX2" s="81" t="s">
        <v>165</v>
      </c>
      <c r="AY2" s="81" t="s">
        <v>165</v>
      </c>
      <c r="AZ2" s="346" t="s">
        <v>164</v>
      </c>
      <c r="BA2" s="80" t="s">
        <v>163</v>
      </c>
      <c r="BB2" s="80" t="s">
        <v>163</v>
      </c>
      <c r="BC2" s="80" t="s">
        <v>163</v>
      </c>
      <c r="BD2" s="80" t="s">
        <v>163</v>
      </c>
      <c r="BE2" s="80" t="s">
        <v>163</v>
      </c>
      <c r="BF2" s="80" t="s">
        <v>163</v>
      </c>
      <c r="BG2" s="80" t="s">
        <v>163</v>
      </c>
      <c r="BH2" s="80" t="s">
        <v>163</v>
      </c>
      <c r="BI2" s="80" t="s">
        <v>163</v>
      </c>
      <c r="BJ2" s="346" t="s">
        <v>162</v>
      </c>
      <c r="BK2"/>
    </row>
    <row r="3" spans="1:63" s="41" customFormat="1" ht="26" hidden="1" customHeight="1" x14ac:dyDescent="0.15">
      <c r="A3" s="87"/>
      <c r="B3" s="87"/>
      <c r="C3" s="87"/>
      <c r="D3" s="87"/>
      <c r="E3" s="87"/>
      <c r="F3" s="87"/>
      <c r="G3" s="84" t="s">
        <v>161</v>
      </c>
      <c r="H3" s="346"/>
      <c r="I3" s="83" t="s">
        <v>160</v>
      </c>
      <c r="J3" s="83" t="s">
        <v>159</v>
      </c>
      <c r="K3" s="83" t="s">
        <v>158</v>
      </c>
      <c r="L3" s="83" t="s">
        <v>157</v>
      </c>
      <c r="M3" s="83" t="s">
        <v>156</v>
      </c>
      <c r="N3" s="83" t="s">
        <v>155</v>
      </c>
      <c r="O3" s="83" t="s">
        <v>154</v>
      </c>
      <c r="P3" s="83" t="s">
        <v>153</v>
      </c>
      <c r="Q3" s="83" t="s">
        <v>152</v>
      </c>
      <c r="R3" s="83"/>
      <c r="S3" s="83" t="s">
        <v>151</v>
      </c>
      <c r="T3" s="83" t="s">
        <v>150</v>
      </c>
      <c r="U3" s="83" t="s">
        <v>149</v>
      </c>
      <c r="V3" s="83" t="s">
        <v>148</v>
      </c>
      <c r="W3" s="346"/>
      <c r="X3" s="79"/>
      <c r="Y3" s="84" t="s">
        <v>147</v>
      </c>
      <c r="Z3" s="84" t="s">
        <v>146</v>
      </c>
      <c r="AA3" s="84" t="s">
        <v>145</v>
      </c>
      <c r="AB3" s="346"/>
      <c r="AC3" s="81" t="s">
        <v>144</v>
      </c>
      <c r="AD3" s="81" t="s">
        <v>143</v>
      </c>
      <c r="AE3" s="81" t="s">
        <v>142</v>
      </c>
      <c r="AF3" s="81" t="s">
        <v>141</v>
      </c>
      <c r="AG3" s="81" t="s">
        <v>140</v>
      </c>
      <c r="AH3" s="81" t="s">
        <v>139</v>
      </c>
      <c r="AI3" s="81" t="s">
        <v>35</v>
      </c>
      <c r="AJ3" s="81" t="s">
        <v>34</v>
      </c>
      <c r="AK3" s="81" t="s">
        <v>138</v>
      </c>
      <c r="AL3" s="346"/>
      <c r="AM3" s="81" t="s">
        <v>137</v>
      </c>
      <c r="AN3" s="81" t="s">
        <v>136</v>
      </c>
      <c r="AO3" s="81" t="s">
        <v>135</v>
      </c>
      <c r="AP3" s="81" t="s">
        <v>134</v>
      </c>
      <c r="AQ3" s="81" t="s">
        <v>133</v>
      </c>
      <c r="AR3" s="81" t="s">
        <v>132</v>
      </c>
      <c r="AS3" s="81" t="s">
        <v>131</v>
      </c>
      <c r="AT3" s="81" t="s">
        <v>130</v>
      </c>
      <c r="AU3" s="81" t="s">
        <v>129</v>
      </c>
      <c r="AV3" s="81" t="s">
        <v>128</v>
      </c>
      <c r="AW3" s="81" t="s">
        <v>127</v>
      </c>
      <c r="AX3" s="81" t="s">
        <v>126</v>
      </c>
      <c r="AY3" s="81" t="s">
        <v>125</v>
      </c>
      <c r="AZ3" s="346"/>
      <c r="BA3" s="80" t="s">
        <v>124</v>
      </c>
      <c r="BB3" s="80" t="s">
        <v>123</v>
      </c>
      <c r="BC3" s="80" t="s">
        <v>122</v>
      </c>
      <c r="BD3" s="80" t="s">
        <v>121</v>
      </c>
      <c r="BE3" s="80" t="s">
        <v>120</v>
      </c>
      <c r="BF3" s="80" t="s">
        <v>119</v>
      </c>
      <c r="BG3" s="80" t="s">
        <v>118</v>
      </c>
      <c r="BH3" s="80" t="s">
        <v>117</v>
      </c>
      <c r="BI3" s="80" t="s">
        <v>116</v>
      </c>
      <c r="BJ3" s="346"/>
    </row>
    <row r="4" spans="1:63" s="41" customFormat="1" ht="60" x14ac:dyDescent="0.2">
      <c r="A4" s="86"/>
      <c r="B4" s="85" t="s">
        <v>115</v>
      </c>
      <c r="C4" s="85" t="s">
        <v>114</v>
      </c>
      <c r="D4" s="85" t="s">
        <v>32</v>
      </c>
      <c r="E4" s="85" t="s">
        <v>113</v>
      </c>
      <c r="F4" s="85" t="s">
        <v>112</v>
      </c>
      <c r="G4" s="84" t="s">
        <v>111</v>
      </c>
      <c r="H4" s="346"/>
      <c r="I4" s="83" t="s">
        <v>110</v>
      </c>
      <c r="J4" s="83" t="s">
        <v>109</v>
      </c>
      <c r="K4" s="83" t="s">
        <v>108</v>
      </c>
      <c r="L4" s="83" t="s">
        <v>107</v>
      </c>
      <c r="M4" s="83" t="s">
        <v>106</v>
      </c>
      <c r="N4" s="83" t="s">
        <v>105</v>
      </c>
      <c r="O4" s="83" t="s">
        <v>104</v>
      </c>
      <c r="P4" s="83" t="s">
        <v>103</v>
      </c>
      <c r="Q4" s="83" t="s">
        <v>102</v>
      </c>
      <c r="R4" s="83" t="s">
        <v>101</v>
      </c>
      <c r="S4" s="83" t="s">
        <v>100</v>
      </c>
      <c r="T4" s="83" t="s">
        <v>99</v>
      </c>
      <c r="U4" s="83" t="s">
        <v>98</v>
      </c>
      <c r="V4" s="83" t="s">
        <v>97</v>
      </c>
      <c r="W4" s="346"/>
      <c r="X4" s="82" t="s">
        <v>96</v>
      </c>
      <c r="Y4" s="82" t="s">
        <v>95</v>
      </c>
      <c r="Z4" s="82" t="s">
        <v>94</v>
      </c>
      <c r="AA4" s="82" t="s">
        <v>93</v>
      </c>
      <c r="AB4" s="346"/>
      <c r="AC4" s="81" t="s">
        <v>92</v>
      </c>
      <c r="AD4" s="81" t="s">
        <v>91</v>
      </c>
      <c r="AE4" s="81" t="s">
        <v>90</v>
      </c>
      <c r="AF4" s="81" t="s">
        <v>89</v>
      </c>
      <c r="AG4" s="81" t="s">
        <v>88</v>
      </c>
      <c r="AH4" s="81" t="s">
        <v>87</v>
      </c>
      <c r="AI4" s="81" t="s">
        <v>35</v>
      </c>
      <c r="AJ4" s="81" t="s">
        <v>86</v>
      </c>
      <c r="AK4" s="81" t="s">
        <v>85</v>
      </c>
      <c r="AL4" s="346"/>
      <c r="AM4" s="81" t="s">
        <v>84</v>
      </c>
      <c r="AN4" s="81" t="s">
        <v>83</v>
      </c>
      <c r="AO4" s="81" t="s">
        <v>82</v>
      </c>
      <c r="AP4" s="81" t="s">
        <v>81</v>
      </c>
      <c r="AQ4" s="81" t="s">
        <v>80</v>
      </c>
      <c r="AR4" s="81" t="s">
        <v>79</v>
      </c>
      <c r="AS4" s="81" t="s">
        <v>78</v>
      </c>
      <c r="AT4" s="81" t="s">
        <v>77</v>
      </c>
      <c r="AU4" s="81" t="s">
        <v>76</v>
      </c>
      <c r="AV4" s="81" t="s">
        <v>75</v>
      </c>
      <c r="AW4" s="81" t="s">
        <v>74</v>
      </c>
      <c r="AX4" s="81" t="s">
        <v>73</v>
      </c>
      <c r="AY4" s="81" t="s">
        <v>72</v>
      </c>
      <c r="AZ4" s="346"/>
      <c r="BA4" s="80" t="s">
        <v>71</v>
      </c>
      <c r="BB4" s="80" t="s">
        <v>70</v>
      </c>
      <c r="BC4" s="80" t="s">
        <v>69</v>
      </c>
      <c r="BD4" s="80" t="s">
        <v>68</v>
      </c>
      <c r="BE4" s="80" t="s">
        <v>67</v>
      </c>
      <c r="BF4" s="80" t="s">
        <v>66</v>
      </c>
      <c r="BG4" s="80" t="s">
        <v>65</v>
      </c>
      <c r="BH4" s="80" t="s">
        <v>64</v>
      </c>
      <c r="BI4" s="80" t="s">
        <v>63</v>
      </c>
      <c r="BJ4" s="346"/>
      <c r="BK4"/>
    </row>
    <row r="5" spans="1:63" s="41" customFormat="1" ht="15" x14ac:dyDescent="0.2">
      <c r="A5" s="51" t="s">
        <v>42</v>
      </c>
      <c r="B5" s="61"/>
      <c r="C5" s="61"/>
      <c r="D5" s="139"/>
      <c r="E5" s="61" t="s">
        <v>62</v>
      </c>
      <c r="F5" s="61" t="s">
        <v>61</v>
      </c>
      <c r="G5" s="56" t="str">
        <f>IF(ISBLANK(ETPT_TJ_DDG!$D$5),"",IF(ISERROR(ETPT_TJ!G5),"",IF(ETPT_TJ!G5=0,"",ETPT_TJ!G5)))</f>
        <v/>
      </c>
      <c r="H5" s="46">
        <f t="shared" ref="H5:H15" si="0">SUM(G5)</f>
        <v>0</v>
      </c>
      <c r="I5" s="56" t="str">
        <f>IF(ISBLANK(ETPT_TJ_DDG!$D$5),"",IF(ISERROR(ETPT_TJ!I5),"",IF(ETPT_TJ!I5=0,"",ETPT_TJ!I5)))</f>
        <v/>
      </c>
      <c r="J5" s="56" t="str">
        <f>IF(ISBLANK(ETPT_TJ_DDG!$D$5),"",IF(ISERROR(ETPT_TJ!J5),"",IF(ETPT_TJ!J5=0,"",ETPT_TJ!J5)))</f>
        <v/>
      </c>
      <c r="K5" s="56" t="str">
        <f>IF(ISBLANK(ETPT_TJ_DDG!$D$5),"",IF(ISERROR(ETPT_TJ!K5),"",IF(ETPT_TJ!K5=0,"",ETPT_TJ!K5)))</f>
        <v/>
      </c>
      <c r="L5" s="56" t="str">
        <f>IF(ISBLANK(ETPT_TJ_DDG!$D$5),"",IF(ISERROR(ETPT_TJ!L5),"",IF(ETPT_TJ!L5=0,"",ETPT_TJ!L5)))</f>
        <v/>
      </c>
      <c r="M5" s="56" t="str">
        <f>IF(ISBLANK(ETPT_TJ_DDG!$D$5),"",IF(ISERROR(ETPT_TJ!M5),"",IF(ETPT_TJ!M5=0,"",ETPT_TJ!M5)))</f>
        <v/>
      </c>
      <c r="N5" s="56" t="str">
        <f>IF(ISBLANK(ETPT_TJ_DDG!$D$5),"",IF(ISERROR(ETPT_TJ!N5),"",IF(ETPT_TJ!N5=0,"",ETPT_TJ!N5)))</f>
        <v/>
      </c>
      <c r="O5" s="56" t="str">
        <f>IF(ISBLANK(ETPT_TJ_DDG!$D$5),"",IF(ISERROR(ETPT_TJ!O5),"",IF(ETPT_TJ!O5=0,"",ETPT_TJ!O5)))</f>
        <v/>
      </c>
      <c r="P5" s="56" t="str">
        <f>IF(ISBLANK(ETPT_TJ_DDG!$D$5),"",IF(ISERROR(ETPT_TJ!P5),"",IF(ETPT_TJ!P5=0,"",ETPT_TJ!P5)))</f>
        <v/>
      </c>
      <c r="Q5" s="56" t="str">
        <f>IF(ISBLANK(ETPT_TJ_DDG!$D$5),"",IF(ISERROR(ETPT_TJ!Q5),"",IF(ETPT_TJ!Q5=0,"",ETPT_TJ!Q5)))</f>
        <v/>
      </c>
      <c r="R5" s="56" t="str">
        <f>IF(ISBLANK(ETPT_TJ_DDG!$D$5),"",IF(ISERROR(ETPT_TJ!R5),"",IF(ETPT_TJ!R5=0,"",ETPT_TJ!R5)))</f>
        <v/>
      </c>
      <c r="S5" s="56" t="str">
        <f>IF(ISBLANK(ETPT_TJ_DDG!$D$5),"",IF(ISERROR(ETPT_TJ!S5),"",IF(ETPT_TJ!S5=0,"",ETPT_TJ!S5)))</f>
        <v/>
      </c>
      <c r="T5" s="56" t="str">
        <f>IF(ISBLANK(ETPT_TJ_DDG!$D$5),"",IF(ISERROR(ETPT_TJ!T5),"",IF(ETPT_TJ!T5=0,"",ETPT_TJ!T5)))</f>
        <v/>
      </c>
      <c r="U5" s="56" t="str">
        <f>IF(ISBLANK(ETPT_TJ_DDG!$D$5),"",IF(ISERROR(ETPT_TJ!U5),"",IF(ETPT_TJ!U5=0,"",ETPT_TJ!U5)))</f>
        <v/>
      </c>
      <c r="V5" s="56" t="str">
        <f>IF(ISBLANK(ETPT_TJ_DDG!$D$5),"",IF(ISERROR(ETPT_TJ!V5),"",IF(ETPT_TJ!V5=0,"",ETPT_TJ!V5)))</f>
        <v/>
      </c>
      <c r="W5" s="46">
        <f t="shared" ref="W5:W15" si="1">SUM(I5:V5)</f>
        <v>0</v>
      </c>
      <c r="X5" s="56" t="str">
        <f>IF(ISBLANK(ETPT_TJ_DDG!$D$5),"",IF(ISERROR(ETPT_TJ!X5),"",IF(ETPT_TJ!X5=0,"",ETPT_TJ!X5)))</f>
        <v/>
      </c>
      <c r="Y5" s="56" t="str">
        <f>IF(ISBLANK(ETPT_TJ_DDG!$D$5),"",IF(ISERROR(ETPT_TJ!Y5),"",IF(ETPT_TJ!Y5=0,"",ETPT_TJ!Y5)))</f>
        <v/>
      </c>
      <c r="Z5" s="56" t="str">
        <f>IF(ISBLANK(ETPT_TJ_DDG!$D$5),"",IF(ISERROR(ETPT_TJ!Z5),"",IF(ETPT_TJ!Z5=0,"",ETPT_TJ!Z5)))</f>
        <v/>
      </c>
      <c r="AA5" s="56" t="str">
        <f>IF(ISBLANK(ETPT_TJ_DDG!$D$5),"",IF(ISERROR(ETPT_TJ!AA5),"",IF(ETPT_TJ!AA5=0,"",ETPT_TJ!AA5)))</f>
        <v/>
      </c>
      <c r="AB5" s="46">
        <f t="shared" ref="AB5:AB15" si="2">SUM(X5:AA5)</f>
        <v>0</v>
      </c>
      <c r="AC5" s="56" t="str">
        <f>IF(ISBLANK(ETPT_TJ_DDG!$D$5),"",IF(ISERROR(ETPT_TJ!AC5),"",IF(ETPT_TJ!AC5=0,"",ETPT_TJ!AC5)))</f>
        <v/>
      </c>
      <c r="AD5" s="56" t="str">
        <f>IF(ISBLANK(ETPT_TJ_DDG!$D$5),"",IF(ISERROR(ETPT_TJ!AD5),"",IF(ETPT_TJ!AD5=0,"",ETPT_TJ!AD5)))</f>
        <v/>
      </c>
      <c r="AE5" s="56" t="str">
        <f>IF(ISBLANK(ETPT_TJ_DDG!$D$5),"",IF(ISERROR(ETPT_TJ!AE5),"",IF(ETPT_TJ!AE5=0,"",ETPT_TJ!AE5)))</f>
        <v/>
      </c>
      <c r="AF5" s="56" t="str">
        <f>IF(ISBLANK(ETPT_TJ_DDG!$D$5),"",IF(ISERROR(ETPT_TJ!AF5),"",IF(ETPT_TJ!AF5=0,"",ETPT_TJ!AF5)))</f>
        <v/>
      </c>
      <c r="AG5" s="56" t="str">
        <f>IF(ISBLANK(ETPT_TJ_DDG!$D$5),"",IF(ISERROR(ETPT_TJ!AG5),"",IF(ETPT_TJ!AG5=0,"",ETPT_TJ!AG5)))</f>
        <v/>
      </c>
      <c r="AH5" s="56" t="str">
        <f>IF(ISBLANK(ETPT_TJ_DDG!$D$5),"",IF(ISERROR(ETPT_TJ!AH5),"",IF(ETPT_TJ!AH5=0,"",ETPT_TJ!AH5)))</f>
        <v/>
      </c>
      <c r="AI5" s="56" t="str">
        <f>IF(ISBLANK(ETPT_TJ_DDG!$D$5),"",IF(ISERROR(ETPT_TJ!AI5),"",IF(ETPT_TJ!AI5=0,"",ETPT_TJ!AI5)))</f>
        <v/>
      </c>
      <c r="AJ5" s="56" t="str">
        <f>IF(ISBLANK(ETPT_TJ_DDG!$D$5),"",IF(ISERROR(ETPT_TJ!AJ5),"",IF(ETPT_TJ!AJ5=0,"",ETPT_TJ!AJ5)))</f>
        <v/>
      </c>
      <c r="AK5" s="56" t="str">
        <f>IF(ISBLANK(ETPT_TJ_DDG!$D$5),"",IF(ISERROR(ETPT_TJ!AK5),"",IF(ETPT_TJ!AK5=0,"",ETPT_TJ!AK5)))</f>
        <v/>
      </c>
      <c r="AL5" s="46">
        <f t="shared" ref="AL5:AL15" si="3">SUM(AC5:AK5)</f>
        <v>0</v>
      </c>
      <c r="AM5" s="56" t="str">
        <f>IF(ISBLANK(ETPT_TJ_DDG!$D$5),"",IF(ISERROR(ETPT_TJ!AM5),"",IF(ETPT_TJ!AM5=0,"",ETPT_TJ!AM5)))</f>
        <v/>
      </c>
      <c r="AN5" s="56" t="str">
        <f>IF(ISBLANK(ETPT_TJ_DDG!$D$5),"",IF(ISERROR(ETPT_TJ!AN5),"",IF(ETPT_TJ!AN5=0,"",ETPT_TJ!AN5)))</f>
        <v/>
      </c>
      <c r="AO5" s="56" t="str">
        <f>IF(ISBLANK(ETPT_TJ_DDG!$D$5),"",IF(ISERROR(ETPT_TJ!AO5),"",IF(ETPT_TJ!AO5=0,"",ETPT_TJ!AO5)))</f>
        <v/>
      </c>
      <c r="AP5" s="56" t="str">
        <f>IF(ISBLANK(ETPT_TJ_DDG!$D$5),"",IF(ISERROR(ETPT_TJ!AP5),"",IF(ETPT_TJ!AP5=0,"",ETPT_TJ!AP5)))</f>
        <v/>
      </c>
      <c r="AQ5" s="56" t="str">
        <f>IF(ISBLANK(ETPT_TJ_DDG!$D$5),"",IF(ISERROR(ETPT_TJ!AQ5),"",IF(ETPT_TJ!AQ5=0,"",ETPT_TJ!AQ5)))</f>
        <v/>
      </c>
      <c r="AR5" s="56" t="str">
        <f>IF(ISBLANK(ETPT_TJ_DDG!$D$5),"",IF(ISERROR(ETPT_TJ!AR5),"",IF(ETPT_TJ!AR5=0,"",ETPT_TJ!AR5)))</f>
        <v/>
      </c>
      <c r="AS5" s="56" t="str">
        <f>IF(ISBLANK(ETPT_TJ_DDG!$D$5),"",IF(ISERROR(ETPT_TJ!AS5),"",IF(ETPT_TJ!AS5=0,"",ETPT_TJ!AS5)))</f>
        <v/>
      </c>
      <c r="AT5" s="56" t="str">
        <f>IF(ISBLANK(ETPT_TJ_DDG!$D$5),"",IF(ISERROR(ETPT_TJ!AT5),"",IF(ETPT_TJ!AT5=0,"",ETPT_TJ!AT5)))</f>
        <v/>
      </c>
      <c r="AU5" s="56" t="str">
        <f>IF(ISBLANK(ETPT_TJ_DDG!$D$5),"",IF(ISERROR(ETPT_TJ!AU5),"",IF(ETPT_TJ!AU5=0,"",ETPT_TJ!AU5)))</f>
        <v/>
      </c>
      <c r="AV5" s="56" t="str">
        <f>IF(ISBLANK(ETPT_TJ_DDG!$D$5),"",IF(ISERROR(ETPT_TJ!AV5),"",IF(ETPT_TJ!AV5=0,"",ETPT_TJ!AV5)))</f>
        <v/>
      </c>
      <c r="AW5" s="56" t="str">
        <f>IF(ISBLANK(ETPT_TJ_DDG!$D$5),"",IF(ISERROR(ETPT_TJ!AW5),"",IF(ETPT_TJ!AW5=0,"",ETPT_TJ!AW5)))</f>
        <v/>
      </c>
      <c r="AX5" s="56" t="str">
        <f>IF(ISBLANK(ETPT_TJ_DDG!$D$5),"",IF(ISERROR(ETPT_TJ!AX5),"",IF(ETPT_TJ!AX5=0,"",ETPT_TJ!AX5)))</f>
        <v/>
      </c>
      <c r="AY5" s="56" t="str">
        <f>IF(ISBLANK(ETPT_TJ_DDG!$D$5),"",IF(ISERROR(ETPT_TJ!AY5),"",IF(ETPT_TJ!AY5=0,"",ETPT_TJ!AY5)))</f>
        <v/>
      </c>
      <c r="AZ5" s="46">
        <f t="shared" ref="AZ5:AZ15" si="4">SUM(AM5:AY5)</f>
        <v>0</v>
      </c>
      <c r="BA5" s="52"/>
      <c r="BB5" s="52"/>
      <c r="BC5" s="70"/>
      <c r="BD5" s="70"/>
      <c r="BE5" s="70"/>
      <c r="BF5" s="70"/>
      <c r="BG5" s="70"/>
      <c r="BH5" s="70"/>
      <c r="BI5" s="52"/>
      <c r="BJ5" s="46">
        <f t="shared" ref="BJ5:BJ15" si="5">SUM(BA5:BI5)</f>
        <v>0</v>
      </c>
      <c r="BK5"/>
    </row>
    <row r="6" spans="1:63" s="41" customFormat="1" ht="12" x14ac:dyDescent="0.15">
      <c r="A6" s="51" t="s">
        <v>42</v>
      </c>
      <c r="B6" s="61"/>
      <c r="C6" s="61"/>
      <c r="D6" s="140" t="str">
        <f t="shared" ref="D6:D15" si="6">IF(ISBLANK($D$5),"",$D$5)</f>
        <v/>
      </c>
      <c r="E6" s="61" t="s">
        <v>60</v>
      </c>
      <c r="F6" s="61" t="s">
        <v>59</v>
      </c>
      <c r="G6" s="56" t="str">
        <f>IF(ISBLANK(ETPT_TJ_DDG!$D$5),"",IF(ISERROR(ETPT_TJ!G6),"",IF(ETPT_TJ!G6=0,"",ETPT_TJ!G6)))</f>
        <v/>
      </c>
      <c r="H6" s="46">
        <f t="shared" si="0"/>
        <v>0</v>
      </c>
      <c r="I6" s="56" t="str">
        <f>IF(ISBLANK(ETPT_TJ_DDG!$D$5),"",IF(ISERROR(ETPT_TJ!I6),"",IF(ETPT_TJ!I6=0,"",ETPT_TJ!I6)))</f>
        <v/>
      </c>
      <c r="J6" s="56" t="str">
        <f>IF(ISBLANK(ETPT_TJ_DDG!$D$5),"",IF(ISERROR(ETPT_TJ!J6),"",IF(ETPT_TJ!J6=0,"",ETPT_TJ!J6)))</f>
        <v/>
      </c>
      <c r="K6" s="56" t="str">
        <f>IF(ISBLANK(ETPT_TJ_DDG!$D$5),"",IF(ISERROR(ETPT_TJ!K6),"",IF(ETPT_TJ!K6=0,"",ETPT_TJ!K6)))</f>
        <v/>
      </c>
      <c r="L6" s="56" t="str">
        <f>IF(ISBLANK(ETPT_TJ_DDG!$D$5),"",IF(ISERROR(ETPT_TJ!L6),"",IF(ETPT_TJ!L6=0,"",ETPT_TJ!L6)))</f>
        <v/>
      </c>
      <c r="M6" s="56" t="str">
        <f>IF(ISBLANK(ETPT_TJ_DDG!$D$5),"",IF(ISERROR(ETPT_TJ!M6),"",IF(ETPT_TJ!M6=0,"",ETPT_TJ!M6)))</f>
        <v/>
      </c>
      <c r="N6" s="56" t="str">
        <f>IF(ISBLANK(ETPT_TJ_DDG!$D$5),"",IF(ISERROR(ETPT_TJ!N6),"",IF(ETPT_TJ!N6=0,"",ETPT_TJ!N6)))</f>
        <v/>
      </c>
      <c r="O6" s="56" t="str">
        <f>IF(ISBLANK(ETPT_TJ_DDG!$D$5),"",IF(ISERROR(ETPT_TJ!O6),"",IF(ETPT_TJ!O6=0,"",ETPT_TJ!O6)))</f>
        <v/>
      </c>
      <c r="P6" s="56" t="str">
        <f>IF(ISBLANK(ETPT_TJ_DDG!$D$5),"",IF(ISERROR(ETPT_TJ!P6),"",IF(ETPT_TJ!P6=0,"",ETPT_TJ!P6)))</f>
        <v/>
      </c>
      <c r="Q6" s="56" t="str">
        <f>IF(ISBLANK(ETPT_TJ_DDG!$D$5),"",IF(ISERROR(ETPT_TJ!Q6),"",IF(ETPT_TJ!Q6=0,"",ETPT_TJ!Q6)))</f>
        <v/>
      </c>
      <c r="R6" s="56" t="str">
        <f>IF(ISBLANK(ETPT_TJ_DDG!$D$5),"",IF(ISERROR(ETPT_TJ!R6),"",IF(ETPT_TJ!R6=0,"",ETPT_TJ!R6)))</f>
        <v/>
      </c>
      <c r="S6" s="56" t="str">
        <f>IF(ISBLANK(ETPT_TJ_DDG!$D$5),"",IF(ISERROR(ETPT_TJ!S6),"",IF(ETPT_TJ!S6=0,"",ETPT_TJ!S6)))</f>
        <v/>
      </c>
      <c r="T6" s="56" t="str">
        <f>IF(ISBLANK(ETPT_TJ_DDG!$D$5),"",IF(ISERROR(ETPT_TJ!T6),"",IF(ETPT_TJ!T6=0,"",ETPT_TJ!T6)))</f>
        <v/>
      </c>
      <c r="U6" s="56" t="str">
        <f>IF(ISBLANK(ETPT_TJ_DDG!$D$5),"",IF(ISERROR(ETPT_TJ!U6),"",IF(ETPT_TJ!U6=0,"",ETPT_TJ!U6)))</f>
        <v/>
      </c>
      <c r="V6" s="56" t="str">
        <f>IF(ISBLANK(ETPT_TJ_DDG!$D$5),"",IF(ISERROR(ETPT_TJ!V6),"",IF(ETPT_TJ!V6=0,"",ETPT_TJ!V6)))</f>
        <v/>
      </c>
      <c r="W6" s="46">
        <f t="shared" si="1"/>
        <v>0</v>
      </c>
      <c r="X6" s="56" t="str">
        <f>IF(ISBLANK(ETPT_TJ_DDG!$D$5),"",IF(ISERROR(ETPT_TJ!X6),"",IF(ETPT_TJ!X6=0,"",ETPT_TJ!X6)))</f>
        <v/>
      </c>
      <c r="Y6" s="56" t="str">
        <f>IF(ISBLANK(ETPT_TJ_DDG!$D$5),"",IF(ISERROR(ETPT_TJ!Y6),"",IF(ETPT_TJ!Y6=0,"",ETPT_TJ!Y6)))</f>
        <v/>
      </c>
      <c r="Z6" s="56" t="str">
        <f>IF(ISBLANK(ETPT_TJ_DDG!$D$5),"",IF(ISERROR(ETPT_TJ!Z6),"",IF(ETPT_TJ!Z6=0,"",ETPT_TJ!Z6)))</f>
        <v/>
      </c>
      <c r="AA6" s="56" t="str">
        <f>IF(ISBLANK(ETPT_TJ_DDG!$D$5),"",IF(ISERROR(ETPT_TJ!AA6),"",IF(ETPT_TJ!AA6=0,"",ETPT_TJ!AA6)))</f>
        <v/>
      </c>
      <c r="AB6" s="46">
        <f t="shared" si="2"/>
        <v>0</v>
      </c>
      <c r="AC6" s="56" t="str">
        <f>IF(ISBLANK(ETPT_TJ_DDG!$D$5),"",IF(ISERROR(ETPT_TJ!AC6),"",IF(ETPT_TJ!AC6=0,"",ETPT_TJ!AC6)))</f>
        <v/>
      </c>
      <c r="AD6" s="56" t="str">
        <f>IF(ISBLANK(ETPT_TJ_DDG!$D$5),"",IF(ISERROR(ETPT_TJ!AD6),"",IF(ETPT_TJ!AD6=0,"",ETPT_TJ!AD6)))</f>
        <v/>
      </c>
      <c r="AE6" s="56" t="str">
        <f>IF(ISBLANK(ETPT_TJ_DDG!$D$5),"",IF(ISERROR(ETPT_TJ!AE6),"",IF(ETPT_TJ!AE6=0,"",ETPT_TJ!AE6)))</f>
        <v/>
      </c>
      <c r="AF6" s="56" t="str">
        <f>IF(ISBLANK(ETPT_TJ_DDG!$D$5),"",IF(ISERROR(ETPT_TJ!AF6),"",IF(ETPT_TJ!AF6=0,"",ETPT_TJ!AF6)))</f>
        <v/>
      </c>
      <c r="AG6" s="56" t="str">
        <f>IF(ISBLANK(ETPT_TJ_DDG!$D$5),"",IF(ISERROR(ETPT_TJ!AG6),"",IF(ETPT_TJ!AG6=0,"",ETPT_TJ!AG6)))</f>
        <v/>
      </c>
      <c r="AH6" s="56" t="str">
        <f>IF(ISBLANK(ETPT_TJ_DDG!$D$5),"",IF(ISERROR(ETPT_TJ!AH6),"",IF(ETPT_TJ!AH6=0,"",ETPT_TJ!AH6)))</f>
        <v/>
      </c>
      <c r="AI6" s="56" t="str">
        <f>IF(ISBLANK(ETPT_TJ_DDG!$D$5),"",IF(ISERROR(ETPT_TJ!AI6),"",IF(ETPT_TJ!AI6=0,"",ETPT_TJ!AI6)))</f>
        <v/>
      </c>
      <c r="AJ6" s="56" t="str">
        <f>IF(ISBLANK(ETPT_TJ_DDG!$D$5),"",IF(ISERROR(ETPT_TJ!AJ6),"",IF(ETPT_TJ!AJ6=0,"",ETPT_TJ!AJ6)))</f>
        <v/>
      </c>
      <c r="AK6" s="56" t="str">
        <f>IF(ISBLANK(ETPT_TJ_DDG!$D$5),"",IF(ISERROR(ETPT_TJ!AK6),"",IF(ETPT_TJ!AK6=0,"",ETPT_TJ!AK6)))</f>
        <v/>
      </c>
      <c r="AL6" s="46">
        <f t="shared" si="3"/>
        <v>0</v>
      </c>
      <c r="AM6" s="56" t="str">
        <f>IF(ISBLANK(ETPT_TJ_DDG!$D$5),"",IF(ISERROR(ETPT_TJ!AM6),"",IF(ETPT_TJ!AM6=0,"",ETPT_TJ!AM6)))</f>
        <v/>
      </c>
      <c r="AN6" s="56" t="str">
        <f>IF(ISBLANK(ETPT_TJ_DDG!$D$5),"",IF(ISERROR(ETPT_TJ!AN6),"",IF(ETPT_TJ!AN6=0,"",ETPT_TJ!AN6)))</f>
        <v/>
      </c>
      <c r="AO6" s="56" t="str">
        <f>IF(ISBLANK(ETPT_TJ_DDG!$D$5),"",IF(ISERROR(ETPT_TJ!AO6),"",IF(ETPT_TJ!AO6=0,"",ETPT_TJ!AO6)))</f>
        <v/>
      </c>
      <c r="AP6" s="56" t="str">
        <f>IF(ISBLANK(ETPT_TJ_DDG!$D$5),"",IF(ISERROR(ETPT_TJ!AP6),"",IF(ETPT_TJ!AP6=0,"",ETPT_TJ!AP6)))</f>
        <v/>
      </c>
      <c r="AQ6" s="56" t="str">
        <f>IF(ISBLANK(ETPT_TJ_DDG!$D$5),"",IF(ISERROR(ETPT_TJ!AQ6),"",IF(ETPT_TJ!AQ6=0,"",ETPT_TJ!AQ6)))</f>
        <v/>
      </c>
      <c r="AR6" s="56" t="str">
        <f>IF(ISBLANK(ETPT_TJ_DDG!$D$5),"",IF(ISERROR(ETPT_TJ!AR6),"",IF(ETPT_TJ!AR6=0,"",ETPT_TJ!AR6)))</f>
        <v/>
      </c>
      <c r="AS6" s="56" t="str">
        <f>IF(ISBLANK(ETPT_TJ_DDG!$D$5),"",IF(ISERROR(ETPT_TJ!AS6),"",IF(ETPT_TJ!AS6=0,"",ETPT_TJ!AS6)))</f>
        <v/>
      </c>
      <c r="AT6" s="56" t="str">
        <f>IF(ISBLANK(ETPT_TJ_DDG!$D$5),"",IF(ISERROR(ETPT_TJ!AT6),"",IF(ETPT_TJ!AT6=0,"",ETPT_TJ!AT6)))</f>
        <v/>
      </c>
      <c r="AU6" s="56" t="str">
        <f>IF(ISBLANK(ETPT_TJ_DDG!$D$5),"",IF(ISERROR(ETPT_TJ!AU6),"",IF(ETPT_TJ!AU6=0,"",ETPT_TJ!AU6)))</f>
        <v/>
      </c>
      <c r="AV6" s="56" t="str">
        <f>IF(ISBLANK(ETPT_TJ_DDG!$D$5),"",IF(ISERROR(ETPT_TJ!AV6),"",IF(ETPT_TJ!AV6=0,"",ETPT_TJ!AV6)))</f>
        <v/>
      </c>
      <c r="AW6" s="56" t="str">
        <f>IF(ISBLANK(ETPT_TJ_DDG!$D$5),"",IF(ISERROR(ETPT_TJ!AW6),"",IF(ETPT_TJ!AW6=0,"",ETPT_TJ!AW6)))</f>
        <v/>
      </c>
      <c r="AX6" s="56" t="str">
        <f>IF(ISBLANK(ETPT_TJ_DDG!$D$5),"",IF(ISERROR(ETPT_TJ!AX6),"",IF(ETPT_TJ!AX6=0,"",ETPT_TJ!AX6)))</f>
        <v/>
      </c>
      <c r="AY6" s="56" t="str">
        <f>IF(ISBLANK(ETPT_TJ_DDG!$D$5),"",IF(ISERROR(ETPT_TJ!AY6),"",IF(ETPT_TJ!AY6=0,"",ETPT_TJ!AY6)))</f>
        <v/>
      </c>
      <c r="AZ6" s="46">
        <f t="shared" si="4"/>
        <v>0</v>
      </c>
      <c r="BA6" s="52"/>
      <c r="BB6" s="52"/>
      <c r="BC6" s="52"/>
      <c r="BD6" s="52"/>
      <c r="BE6" s="52"/>
      <c r="BF6" s="52"/>
      <c r="BG6" s="52"/>
      <c r="BH6" s="70"/>
      <c r="BI6" s="52"/>
      <c r="BJ6" s="46">
        <f t="shared" si="5"/>
        <v>0</v>
      </c>
    </row>
    <row r="7" spans="1:63" s="41" customFormat="1" ht="14.25" customHeight="1" x14ac:dyDescent="0.15">
      <c r="A7" s="51" t="s">
        <v>42</v>
      </c>
      <c r="B7" s="61"/>
      <c r="C7" s="61"/>
      <c r="D7" s="140" t="str">
        <f t="shared" si="6"/>
        <v/>
      </c>
      <c r="E7" s="61" t="s">
        <v>58</v>
      </c>
      <c r="F7" s="61" t="s">
        <v>57</v>
      </c>
      <c r="G7" s="56" t="str">
        <f>IF(ISBLANK(ETPT_TJ_DDG!$D$5),"",IF(ISERROR(ETPT_TJ!G7),"",IF(ETPT_TJ!G7=0,"",ETPT_TJ!G7)))</f>
        <v/>
      </c>
      <c r="H7" s="46">
        <f t="shared" si="0"/>
        <v>0</v>
      </c>
      <c r="I7" s="56" t="str">
        <f>IF(ISBLANK(ETPT_TJ_DDG!$D$5),"",IF(ISERROR(ETPT_TJ!I7),"",IF(ETPT_TJ!I7=0,"",ETPT_TJ!I7)))</f>
        <v/>
      </c>
      <c r="J7" s="56" t="str">
        <f>IF(ISBLANK(ETPT_TJ_DDG!$D$5),"",IF(ISERROR(ETPT_TJ!J7),"",IF(ETPT_TJ!J7=0,"",ETPT_TJ!J7)))</f>
        <v/>
      </c>
      <c r="K7" s="56" t="str">
        <f>IF(ISBLANK(ETPT_TJ_DDG!$D$5),"",IF(ISERROR(ETPT_TJ!K7),"",IF(ETPT_TJ!K7=0,"",ETPT_TJ!K7)))</f>
        <v/>
      </c>
      <c r="L7" s="56" t="str">
        <f>IF(ISBLANK(ETPT_TJ_DDG!$D$5),"",IF(ISERROR(ETPT_TJ!L7),"",IF(ETPT_TJ!L7=0,"",ETPT_TJ!L7)))</f>
        <v/>
      </c>
      <c r="M7" s="56" t="str">
        <f>IF(ISBLANK(ETPT_TJ_DDG!$D$5),"",IF(ISERROR(ETPT_TJ!M7),"",IF(ETPT_TJ!M7=0,"",ETPT_TJ!M7)))</f>
        <v/>
      </c>
      <c r="N7" s="56" t="str">
        <f>IF(ISBLANK(ETPT_TJ_DDG!$D$5),"",IF(ISERROR(ETPT_TJ!N7),"",IF(ETPT_TJ!N7=0,"",ETPT_TJ!N7)))</f>
        <v/>
      </c>
      <c r="O7" s="56" t="str">
        <f>IF(ISBLANK(ETPT_TJ_DDG!$D$5),"",IF(ISERROR(ETPT_TJ!O7),"",IF(ETPT_TJ!O7=0,"",ETPT_TJ!O7)))</f>
        <v/>
      </c>
      <c r="P7" s="56" t="str">
        <f>IF(ISBLANK(ETPT_TJ_DDG!$D$5),"",IF(ISERROR(ETPT_TJ!P7),"",IF(ETPT_TJ!P7=0,"",ETPT_TJ!P7)))</f>
        <v/>
      </c>
      <c r="Q7" s="56" t="str">
        <f>IF(ISBLANK(ETPT_TJ_DDG!$D$5),"",IF(ISERROR(ETPT_TJ!Q7),"",IF(ETPT_TJ!Q7=0,"",ETPT_TJ!Q7)))</f>
        <v/>
      </c>
      <c r="R7" s="56" t="str">
        <f>IF(ISBLANK(ETPT_TJ_DDG!$D$5),"",IF(ISERROR(ETPT_TJ!R7),"",IF(ETPT_TJ!R7=0,"",ETPT_TJ!R7)))</f>
        <v/>
      </c>
      <c r="S7" s="56" t="str">
        <f>IF(ISBLANK(ETPT_TJ_DDG!$D$5),"",IF(ISERROR(ETPT_TJ!S7),"",IF(ETPT_TJ!S7=0,"",ETPT_TJ!S7)))</f>
        <v/>
      </c>
      <c r="T7" s="56" t="str">
        <f>IF(ISBLANK(ETPT_TJ_DDG!$D$5),"",IF(ISERROR(ETPT_TJ!T7),"",IF(ETPT_TJ!T7=0,"",ETPT_TJ!T7)))</f>
        <v/>
      </c>
      <c r="U7" s="56" t="str">
        <f>IF(ISBLANK(ETPT_TJ_DDG!$D$5),"",IF(ISERROR(ETPT_TJ!U7),"",IF(ETPT_TJ!U7=0,"",ETPT_TJ!U7)))</f>
        <v/>
      </c>
      <c r="V7" s="56" t="str">
        <f>IF(ISBLANK(ETPT_TJ_DDG!$D$5),"",IF(ISERROR(ETPT_TJ!V7),"",IF(ETPT_TJ!V7=0,"",ETPT_TJ!V7)))</f>
        <v/>
      </c>
      <c r="W7" s="46">
        <f t="shared" si="1"/>
        <v>0</v>
      </c>
      <c r="X7" s="56" t="str">
        <f>IF(ISBLANK(ETPT_TJ_DDG!$D$5),"",IF(ISERROR(ETPT_TJ!X7),"",IF(ETPT_TJ!X7=0,"",ETPT_TJ!X7)))</f>
        <v/>
      </c>
      <c r="Y7" s="56" t="str">
        <f>IF(ISBLANK(ETPT_TJ_DDG!$D$5),"",IF(ISERROR(ETPT_TJ!Y7),"",IF(ETPT_TJ!Y7=0,"",ETPT_TJ!Y7)))</f>
        <v/>
      </c>
      <c r="Z7" s="56" t="str">
        <f>IF(ISBLANK(ETPT_TJ_DDG!$D$5),"",IF(ISERROR(ETPT_TJ!Z7),"",IF(ETPT_TJ!Z7=0,"",ETPT_TJ!Z7)))</f>
        <v/>
      </c>
      <c r="AA7" s="56" t="str">
        <f>IF(ISBLANK(ETPT_TJ_DDG!$D$5),"",IF(ISERROR(ETPT_TJ!AA7),"",IF(ETPT_TJ!AA7=0,"",ETPT_TJ!AA7)))</f>
        <v/>
      </c>
      <c r="AB7" s="46">
        <f t="shared" si="2"/>
        <v>0</v>
      </c>
      <c r="AC7" s="56" t="str">
        <f>IF(ISBLANK(ETPT_TJ_DDG!$D$5),"",IF(ISERROR(ETPT_TJ!AC7),"",IF(ETPT_TJ!AC7=0,"",ETPT_TJ!AC7)))</f>
        <v/>
      </c>
      <c r="AD7" s="56" t="str">
        <f>IF(ISBLANK(ETPT_TJ_DDG!$D$5),"",IF(ISERROR(ETPT_TJ!AD7),"",IF(ETPT_TJ!AD7=0,"",ETPT_TJ!AD7)))</f>
        <v/>
      </c>
      <c r="AE7" s="56" t="str">
        <f>IF(ISBLANK(ETPT_TJ_DDG!$D$5),"",IF(ISERROR(ETPT_TJ!AE7),"",IF(ETPT_TJ!AE7=0,"",ETPT_TJ!AE7)))</f>
        <v/>
      </c>
      <c r="AF7" s="56" t="str">
        <f>IF(ISBLANK(ETPT_TJ_DDG!$D$5),"",IF(ISERROR(ETPT_TJ!AF7),"",IF(ETPT_TJ!AF7=0,"",ETPT_TJ!AF7)))</f>
        <v/>
      </c>
      <c r="AG7" s="56" t="str">
        <f>IF(ISBLANK(ETPT_TJ_DDG!$D$5),"",IF(ISERROR(ETPT_TJ!AG7),"",IF(ETPT_TJ!AG7=0,"",ETPT_TJ!AG7)))</f>
        <v/>
      </c>
      <c r="AH7" s="56" t="str">
        <f>IF(ISBLANK(ETPT_TJ_DDG!$D$5),"",IF(ISERROR(ETPT_TJ!AH7),"",IF(ETPT_TJ!AH7=0,"",ETPT_TJ!AH7)))</f>
        <v/>
      </c>
      <c r="AI7" s="56" t="str">
        <f>IF(ISBLANK(ETPT_TJ_DDG!$D$5),"",IF(ISERROR(ETPT_TJ!AI7),"",IF(ETPT_TJ!AI7=0,"",ETPT_TJ!AI7)))</f>
        <v/>
      </c>
      <c r="AJ7" s="56" t="str">
        <f>IF(ISBLANK(ETPT_TJ_DDG!$D$5),"",IF(ISERROR(ETPT_TJ!AJ7),"",IF(ETPT_TJ!AJ7=0,"",ETPT_TJ!AJ7)))</f>
        <v/>
      </c>
      <c r="AK7" s="56" t="str">
        <f>IF(ISBLANK(ETPT_TJ_DDG!$D$5),"",IF(ISERROR(ETPT_TJ!AK7),"",IF(ETPT_TJ!AK7=0,"",ETPT_TJ!AK7)))</f>
        <v/>
      </c>
      <c r="AL7" s="46">
        <f t="shared" si="3"/>
        <v>0</v>
      </c>
      <c r="AM7" s="56" t="str">
        <f>IF(ISBLANK(ETPT_TJ_DDG!$D$5),"",IF(ISERROR(ETPT_TJ!AM7),"",IF(ETPT_TJ!AM7=0,"",ETPT_TJ!AM7)))</f>
        <v/>
      </c>
      <c r="AN7" s="56" t="str">
        <f>IF(ISBLANK(ETPT_TJ_DDG!$D$5),"",IF(ISERROR(ETPT_TJ!AN7),"",IF(ETPT_TJ!AN7=0,"",ETPT_TJ!AN7)))</f>
        <v/>
      </c>
      <c r="AO7" s="56" t="str">
        <f>IF(ISBLANK(ETPT_TJ_DDG!$D$5),"",IF(ISERROR(ETPT_TJ!AO7),"",IF(ETPT_TJ!AO7=0,"",ETPT_TJ!AO7)))</f>
        <v/>
      </c>
      <c r="AP7" s="56" t="str">
        <f>IF(ISBLANK(ETPT_TJ_DDG!$D$5),"",IF(ISERROR(ETPT_TJ!AP7),"",IF(ETPT_TJ!AP7=0,"",ETPT_TJ!AP7)))</f>
        <v/>
      </c>
      <c r="AQ7" s="56" t="str">
        <f>IF(ISBLANK(ETPT_TJ_DDG!$D$5),"",IF(ISERROR(ETPT_TJ!AQ7),"",IF(ETPT_TJ!AQ7=0,"",ETPT_TJ!AQ7)))</f>
        <v/>
      </c>
      <c r="AR7" s="56" t="str">
        <f>IF(ISBLANK(ETPT_TJ_DDG!$D$5),"",IF(ISERROR(ETPT_TJ!AR7),"",IF(ETPT_TJ!AR7=0,"",ETPT_TJ!AR7)))</f>
        <v/>
      </c>
      <c r="AS7" s="56" t="str">
        <f>IF(ISBLANK(ETPT_TJ_DDG!$D$5),"",IF(ISERROR(ETPT_TJ!AS7),"",IF(ETPT_TJ!AS7=0,"",ETPT_TJ!AS7)))</f>
        <v/>
      </c>
      <c r="AT7" s="56" t="str">
        <f>IF(ISBLANK(ETPT_TJ_DDG!$D$5),"",IF(ISERROR(ETPT_TJ!AT7),"",IF(ETPT_TJ!AT7=0,"",ETPT_TJ!AT7)))</f>
        <v/>
      </c>
      <c r="AU7" s="56" t="str">
        <f>IF(ISBLANK(ETPT_TJ_DDG!$D$5),"",IF(ISERROR(ETPT_TJ!AU7),"",IF(ETPT_TJ!AU7=0,"",ETPT_TJ!AU7)))</f>
        <v/>
      </c>
      <c r="AV7" s="56" t="str">
        <f>IF(ISBLANK(ETPT_TJ_DDG!$D$5),"",IF(ISERROR(ETPT_TJ!AV7),"",IF(ETPT_TJ!AV7=0,"",ETPT_TJ!AV7)))</f>
        <v/>
      </c>
      <c r="AW7" s="56" t="str">
        <f>IF(ISBLANK(ETPT_TJ_DDG!$D$5),"",IF(ISERROR(ETPT_TJ!AW7),"",IF(ETPT_TJ!AW7=0,"",ETPT_TJ!AW7)))</f>
        <v/>
      </c>
      <c r="AX7" s="56" t="str">
        <f>IF(ISBLANK(ETPT_TJ_DDG!$D$5),"",IF(ISERROR(ETPT_TJ!AX7),"",IF(ETPT_TJ!AX7=0,"",ETPT_TJ!AX7)))</f>
        <v/>
      </c>
      <c r="AY7" s="56" t="str">
        <f>IF(ISBLANK(ETPT_TJ_DDG!$D$5),"",IF(ISERROR(ETPT_TJ!AY7),"",IF(ETPT_TJ!AY7=0,"",ETPT_TJ!AY7)))</f>
        <v/>
      </c>
      <c r="AZ7" s="46">
        <f t="shared" si="4"/>
        <v>0</v>
      </c>
      <c r="BA7" s="52"/>
      <c r="BB7" s="52"/>
      <c r="BC7" s="52"/>
      <c r="BD7" s="52"/>
      <c r="BE7" s="52"/>
      <c r="BF7" s="52"/>
      <c r="BG7" s="52"/>
      <c r="BH7" s="52"/>
      <c r="BI7" s="52"/>
      <c r="BJ7" s="46">
        <f t="shared" si="5"/>
        <v>0</v>
      </c>
    </row>
    <row r="8" spans="1:63" s="41" customFormat="1" ht="14.25" customHeight="1" x14ac:dyDescent="0.15">
      <c r="A8" s="51" t="s">
        <v>42</v>
      </c>
      <c r="B8" s="61"/>
      <c r="C8" s="61"/>
      <c r="D8" s="140" t="str">
        <f t="shared" si="6"/>
        <v/>
      </c>
      <c r="E8" s="61" t="s">
        <v>56</v>
      </c>
      <c r="F8" s="61" t="s">
        <v>55</v>
      </c>
      <c r="G8" s="56" t="str">
        <f>IF(ISBLANK(ETPT_TJ_DDG!$D$5),"",IF(ISERROR(ETPT_TJ!G8),"",IF(ETPT_TJ!G8=0,"",ETPT_TJ!G8)))</f>
        <v/>
      </c>
      <c r="H8" s="46">
        <f t="shared" si="0"/>
        <v>0</v>
      </c>
      <c r="I8" s="56" t="str">
        <f>IF(ISBLANK(ETPT_TJ_DDG!$D$5),"",IF(ISERROR(ETPT_TJ!I8),"",IF(ETPT_TJ!I8=0,"",ETPT_TJ!I8)))</f>
        <v/>
      </c>
      <c r="J8" s="56" t="str">
        <f>IF(ISBLANK(ETPT_TJ_DDG!$D$5),"",IF(ISERROR(ETPT_TJ!J8),"",IF(ETPT_TJ!J8=0,"",ETPT_TJ!J8)))</f>
        <v/>
      </c>
      <c r="K8" s="56" t="str">
        <f>IF(ISBLANK(ETPT_TJ_DDG!$D$5),"",IF(ISERROR(ETPT_TJ!K8),"",IF(ETPT_TJ!K8=0,"",ETPT_TJ!K8)))</f>
        <v/>
      </c>
      <c r="L8" s="56" t="str">
        <f>IF(ISBLANK(ETPT_TJ_DDG!$D$5),"",IF(ISERROR(ETPT_TJ!L8),"",IF(ETPT_TJ!L8=0,"",ETPT_TJ!L8)))</f>
        <v/>
      </c>
      <c r="M8" s="56" t="str">
        <f>IF(ISBLANK(ETPT_TJ_DDG!$D$5),"",IF(ISERROR(ETPT_TJ!M8),"",IF(ETPT_TJ!M8=0,"",ETPT_TJ!M8)))</f>
        <v/>
      </c>
      <c r="N8" s="56" t="str">
        <f>IF(ISBLANK(ETPT_TJ_DDG!$D$5),"",IF(ISERROR(ETPT_TJ!N8),"",IF(ETPT_TJ!N8=0,"",ETPT_TJ!N8)))</f>
        <v/>
      </c>
      <c r="O8" s="56" t="str">
        <f>IF(ISBLANK(ETPT_TJ_DDG!$D$5),"",IF(ISERROR(ETPT_TJ!O8),"",IF(ETPT_TJ!O8=0,"",ETPT_TJ!O8)))</f>
        <v/>
      </c>
      <c r="P8" s="56" t="str">
        <f>IF(ISBLANK(ETPT_TJ_DDG!$D$5),"",IF(ISERROR(ETPT_TJ!P8),"",IF(ETPT_TJ!P8=0,"",ETPT_TJ!P8)))</f>
        <v/>
      </c>
      <c r="Q8" s="56" t="str">
        <f>IF(ISBLANK(ETPT_TJ_DDG!$D$5),"",IF(ISERROR(ETPT_TJ!Q8),"",IF(ETPT_TJ!Q8=0,"",ETPT_TJ!Q8)))</f>
        <v/>
      </c>
      <c r="R8" s="56" t="str">
        <f>IF(ISBLANK(ETPT_TJ_DDG!$D$5),"",IF(ISERROR(ETPT_TJ!R8),"",IF(ETPT_TJ!R8=0,"",ETPT_TJ!R8)))</f>
        <v/>
      </c>
      <c r="S8" s="56" t="str">
        <f>IF(ISBLANK(ETPT_TJ_DDG!$D$5),"",IF(ISERROR(ETPT_TJ!S8),"",IF(ETPT_TJ!S8=0,"",ETPT_TJ!S8)))</f>
        <v/>
      </c>
      <c r="T8" s="56" t="str">
        <f>IF(ISBLANK(ETPT_TJ_DDG!$D$5),"",IF(ISERROR(ETPT_TJ!T8),"",IF(ETPT_TJ!T8=0,"",ETPT_TJ!T8)))</f>
        <v/>
      </c>
      <c r="U8" s="56" t="str">
        <f>IF(ISBLANK(ETPT_TJ_DDG!$D$5),"",IF(ISERROR(ETPT_TJ!U8),"",IF(ETPT_TJ!U8=0,"",ETPT_TJ!U8)))</f>
        <v/>
      </c>
      <c r="V8" s="56" t="str">
        <f>IF(ISBLANK(ETPT_TJ_DDG!$D$5),"",IF(ISERROR(ETPT_TJ!V8),"",IF(ETPT_TJ!V8=0,"",ETPT_TJ!V8)))</f>
        <v/>
      </c>
      <c r="W8" s="46">
        <f t="shared" si="1"/>
        <v>0</v>
      </c>
      <c r="X8" s="56" t="str">
        <f>IF(ISBLANK(ETPT_TJ_DDG!$D$5),"",IF(ISERROR(ETPT_TJ!X8),"",IF(ETPT_TJ!X8=0,"",ETPT_TJ!X8)))</f>
        <v/>
      </c>
      <c r="Y8" s="56" t="str">
        <f>IF(ISBLANK(ETPT_TJ_DDG!$D$5),"",IF(ISERROR(ETPT_TJ!Y8),"",IF(ETPT_TJ!Y8=0,"",ETPT_TJ!Y8)))</f>
        <v/>
      </c>
      <c r="Z8" s="56" t="str">
        <f>IF(ISBLANK(ETPT_TJ_DDG!$D$5),"",IF(ISERROR(ETPT_TJ!Z8),"",IF(ETPT_TJ!Z8=0,"",ETPT_TJ!Z8)))</f>
        <v/>
      </c>
      <c r="AA8" s="56" t="str">
        <f>IF(ISBLANK(ETPT_TJ_DDG!$D$5),"",IF(ISERROR(ETPT_TJ!AA8),"",IF(ETPT_TJ!AA8=0,"",ETPT_TJ!AA8)))</f>
        <v/>
      </c>
      <c r="AB8" s="46">
        <f t="shared" si="2"/>
        <v>0</v>
      </c>
      <c r="AC8" s="56" t="str">
        <f>IF(ISBLANK(ETPT_TJ_DDG!$D$5),"",IF(ISERROR(ETPT_TJ!AC8),"",IF(ETPT_TJ!AC8=0,"",ETPT_TJ!AC8)))</f>
        <v/>
      </c>
      <c r="AD8" s="56" t="str">
        <f>IF(ISBLANK(ETPT_TJ_DDG!$D$5),"",IF(ISERROR(ETPT_TJ!AD8),"",IF(ETPT_TJ!AD8=0,"",ETPT_TJ!AD8)))</f>
        <v/>
      </c>
      <c r="AE8" s="56" t="str">
        <f>IF(ISBLANK(ETPT_TJ_DDG!$D$5),"",IF(ISERROR(ETPT_TJ!AE8),"",IF(ETPT_TJ!AE8=0,"",ETPT_TJ!AE8)))</f>
        <v/>
      </c>
      <c r="AF8" s="56" t="str">
        <f>IF(ISBLANK(ETPT_TJ_DDG!$D$5),"",IF(ISERROR(ETPT_TJ!AF8),"",IF(ETPT_TJ!AF8=0,"",ETPT_TJ!AF8)))</f>
        <v/>
      </c>
      <c r="AG8" s="56" t="str">
        <f>IF(ISBLANK(ETPT_TJ_DDG!$D$5),"",IF(ISERROR(ETPT_TJ!AG8),"",IF(ETPT_TJ!AG8=0,"",ETPT_TJ!AG8)))</f>
        <v/>
      </c>
      <c r="AH8" s="56" t="str">
        <f>IF(ISBLANK(ETPT_TJ_DDG!$D$5),"",IF(ISERROR(ETPT_TJ!AH8),"",IF(ETPT_TJ!AH8=0,"",ETPT_TJ!AH8)))</f>
        <v/>
      </c>
      <c r="AI8" s="56" t="str">
        <f>IF(ISBLANK(ETPT_TJ_DDG!$D$5),"",IF(ISERROR(ETPT_TJ!AI8),"",IF(ETPT_TJ!AI8=0,"",ETPT_TJ!AI8)))</f>
        <v/>
      </c>
      <c r="AJ8" s="56" t="str">
        <f>IF(ISBLANK(ETPT_TJ_DDG!$D$5),"",IF(ISERROR(ETPT_TJ!AJ8),"",IF(ETPT_TJ!AJ8=0,"",ETPT_TJ!AJ8)))</f>
        <v/>
      </c>
      <c r="AK8" s="56" t="str">
        <f>IF(ISBLANK(ETPT_TJ_DDG!$D$5),"",IF(ISERROR(ETPT_TJ!AK8),"",IF(ETPT_TJ!AK8=0,"",ETPT_TJ!AK8)))</f>
        <v/>
      </c>
      <c r="AL8" s="46">
        <f t="shared" si="3"/>
        <v>0</v>
      </c>
      <c r="AM8" s="56" t="str">
        <f>IF(ISBLANK(ETPT_TJ_DDG!$D$5),"",IF(ISERROR(ETPT_TJ!AM8),"",IF(ETPT_TJ!AM8=0,"",ETPT_TJ!AM8)))</f>
        <v/>
      </c>
      <c r="AN8" s="56" t="str">
        <f>IF(ISBLANK(ETPT_TJ_DDG!$D$5),"",IF(ISERROR(ETPT_TJ!AN8),"",IF(ETPT_TJ!AN8=0,"",ETPT_TJ!AN8)))</f>
        <v/>
      </c>
      <c r="AO8" s="56" t="str">
        <f>IF(ISBLANK(ETPT_TJ_DDG!$D$5),"",IF(ISERROR(ETPT_TJ!AO8),"",IF(ETPT_TJ!AO8=0,"",ETPT_TJ!AO8)))</f>
        <v/>
      </c>
      <c r="AP8" s="56" t="str">
        <f>IF(ISBLANK(ETPT_TJ_DDG!$D$5),"",IF(ISERROR(ETPT_TJ!AP8),"",IF(ETPT_TJ!AP8=0,"",ETPT_TJ!AP8)))</f>
        <v/>
      </c>
      <c r="AQ8" s="56" t="str">
        <f>IF(ISBLANK(ETPT_TJ_DDG!$D$5),"",IF(ISERROR(ETPT_TJ!AQ8),"",IF(ETPT_TJ!AQ8=0,"",ETPT_TJ!AQ8)))</f>
        <v/>
      </c>
      <c r="AR8" s="56" t="str">
        <f>IF(ISBLANK(ETPT_TJ_DDG!$D$5),"",IF(ISERROR(ETPT_TJ!AR8),"",IF(ETPT_TJ!AR8=0,"",ETPT_TJ!AR8)))</f>
        <v/>
      </c>
      <c r="AS8" s="56" t="str">
        <f>IF(ISBLANK(ETPT_TJ_DDG!$D$5),"",IF(ISERROR(ETPT_TJ!AS8),"",IF(ETPT_TJ!AS8=0,"",ETPT_TJ!AS8)))</f>
        <v/>
      </c>
      <c r="AT8" s="56" t="str">
        <f>IF(ISBLANK(ETPT_TJ_DDG!$D$5),"",IF(ISERROR(ETPT_TJ!AT8),"",IF(ETPT_TJ!AT8=0,"",ETPT_TJ!AT8)))</f>
        <v/>
      </c>
      <c r="AU8" s="56" t="str">
        <f>IF(ISBLANK(ETPT_TJ_DDG!$D$5),"",IF(ISERROR(ETPT_TJ!AU8),"",IF(ETPT_TJ!AU8=0,"",ETPT_TJ!AU8)))</f>
        <v/>
      </c>
      <c r="AV8" s="56" t="str">
        <f>IF(ISBLANK(ETPT_TJ_DDG!$D$5),"",IF(ISERROR(ETPT_TJ!AV8),"",IF(ETPT_TJ!AV8=0,"",ETPT_TJ!AV8)))</f>
        <v/>
      </c>
      <c r="AW8" s="56" t="str">
        <f>IF(ISBLANK(ETPT_TJ_DDG!$D$5),"",IF(ISERROR(ETPT_TJ!AW8),"",IF(ETPT_TJ!AW8=0,"",ETPT_TJ!AW8)))</f>
        <v/>
      </c>
      <c r="AX8" s="56" t="str">
        <f>IF(ISBLANK(ETPT_TJ_DDG!$D$5),"",IF(ISERROR(ETPT_TJ!AX8),"",IF(ETPT_TJ!AX8=0,"",ETPT_TJ!AX8)))</f>
        <v/>
      </c>
      <c r="AY8" s="56" t="str">
        <f>IF(ISBLANK(ETPT_TJ_DDG!$D$5),"",IF(ISERROR(ETPT_TJ!AY8),"",IF(ETPT_TJ!AY8=0,"",ETPT_TJ!AY8)))</f>
        <v/>
      </c>
      <c r="AZ8" s="46">
        <f t="shared" si="4"/>
        <v>0</v>
      </c>
      <c r="BA8" s="52"/>
      <c r="BB8" s="52"/>
      <c r="BC8" s="52"/>
      <c r="BD8" s="52"/>
      <c r="BE8" s="52"/>
      <c r="BF8" s="52"/>
      <c r="BG8" s="52"/>
      <c r="BH8" s="52"/>
      <c r="BI8" s="52"/>
      <c r="BJ8" s="46">
        <f t="shared" si="5"/>
        <v>0</v>
      </c>
    </row>
    <row r="9" spans="1:63" s="41" customFormat="1" ht="14.25" customHeight="1" x14ac:dyDescent="0.15">
      <c r="A9" s="51" t="s">
        <v>42</v>
      </c>
      <c r="B9" s="61"/>
      <c r="C9" s="61"/>
      <c r="D9" s="140" t="str">
        <f t="shared" si="6"/>
        <v/>
      </c>
      <c r="E9" s="61" t="s">
        <v>54</v>
      </c>
      <c r="F9" s="61" t="s">
        <v>53</v>
      </c>
      <c r="G9" s="56" t="str">
        <f>IF(ISBLANK(ETPT_TJ_DDG!$D$5),"",IF(ISERROR(ETPT_TJ!G9),"",IF(ETPT_TJ!G9=0,"",ETPT_TJ!G9)))</f>
        <v/>
      </c>
      <c r="H9" s="46">
        <f t="shared" si="0"/>
        <v>0</v>
      </c>
      <c r="I9" s="56" t="str">
        <f>IF(ISBLANK(ETPT_TJ_DDG!$D$5),"",IF(ISERROR(ETPT_TJ!I9),"",IF(ETPT_TJ!I9=0,"",ETPT_TJ!I9)))</f>
        <v/>
      </c>
      <c r="J9" s="56" t="str">
        <f>IF(ISBLANK(ETPT_TJ_DDG!$D$5),"",IF(ISERROR(ETPT_TJ!J9),"",IF(ETPT_TJ!J9=0,"",ETPT_TJ!J9)))</f>
        <v/>
      </c>
      <c r="K9" s="56" t="str">
        <f>IF(ISBLANK(ETPT_TJ_DDG!$D$5),"",IF(ISERROR(ETPT_TJ!K9),"",IF(ETPT_TJ!K9=0,"",ETPT_TJ!K9)))</f>
        <v/>
      </c>
      <c r="L9" s="56" t="str">
        <f>IF(ISBLANK(ETPT_TJ_DDG!$D$5),"",IF(ISERROR(ETPT_TJ!L9),"",IF(ETPT_TJ!L9=0,"",ETPT_TJ!L9)))</f>
        <v/>
      </c>
      <c r="M9" s="56" t="str">
        <f>IF(ISBLANK(ETPT_TJ_DDG!$D$5),"",IF(ISERROR(ETPT_TJ!M9),"",IF(ETPT_TJ!M9=0,"",ETPT_TJ!M9)))</f>
        <v/>
      </c>
      <c r="N9" s="56" t="str">
        <f>IF(ISBLANK(ETPT_TJ_DDG!$D$5),"",IF(ISERROR(ETPT_TJ!N9),"",IF(ETPT_TJ!N9=0,"",ETPT_TJ!N9)))</f>
        <v/>
      </c>
      <c r="O9" s="56" t="str">
        <f>IF(ISBLANK(ETPT_TJ_DDG!$D$5),"",IF(ISERROR(ETPT_TJ!O9),"",IF(ETPT_TJ!O9=0,"",ETPT_TJ!O9)))</f>
        <v/>
      </c>
      <c r="P9" s="56" t="str">
        <f>IF(ISBLANK(ETPT_TJ_DDG!$D$5),"",IF(ISERROR(ETPT_TJ!P9),"",IF(ETPT_TJ!P9=0,"",ETPT_TJ!P9)))</f>
        <v/>
      </c>
      <c r="Q9" s="56" t="str">
        <f>IF(ISBLANK(ETPT_TJ_DDG!$D$5),"",IF(ISERROR(ETPT_TJ!Q9),"",IF(ETPT_TJ!Q9=0,"",ETPT_TJ!Q9)))</f>
        <v/>
      </c>
      <c r="R9" s="56" t="str">
        <f>IF(ISBLANK(ETPT_TJ_DDG!$D$5),"",IF(ISERROR(ETPT_TJ!R9),"",IF(ETPT_TJ!R9=0,"",ETPT_TJ!R9)))</f>
        <v/>
      </c>
      <c r="S9" s="56" t="str">
        <f>IF(ISBLANK(ETPT_TJ_DDG!$D$5),"",IF(ISERROR(ETPT_TJ!S9),"",IF(ETPT_TJ!S9=0,"",ETPT_TJ!S9)))</f>
        <v/>
      </c>
      <c r="T9" s="56" t="str">
        <f>IF(ISBLANK(ETPT_TJ_DDG!$D$5),"",IF(ISERROR(ETPT_TJ!T9),"",IF(ETPT_TJ!T9=0,"",ETPT_TJ!T9)))</f>
        <v/>
      </c>
      <c r="U9" s="56" t="str">
        <f>IF(ISBLANK(ETPT_TJ_DDG!$D$5),"",IF(ISERROR(ETPT_TJ!U9),"",IF(ETPT_TJ!U9=0,"",ETPT_TJ!U9)))</f>
        <v/>
      </c>
      <c r="V9" s="56" t="str">
        <f>IF(ISBLANK(ETPT_TJ_DDG!$D$5),"",IF(ISERROR(ETPT_TJ!V9),"",IF(ETPT_TJ!V9=0,"",ETPT_TJ!V9)))</f>
        <v/>
      </c>
      <c r="W9" s="46">
        <f t="shared" si="1"/>
        <v>0</v>
      </c>
      <c r="X9" s="56" t="str">
        <f>IF(ISBLANK(ETPT_TJ_DDG!$D$5),"",IF(ISERROR(ETPT_TJ!X9),"",IF(ETPT_TJ!X9=0,"",ETPT_TJ!X9)))</f>
        <v/>
      </c>
      <c r="Y9" s="56" t="str">
        <f>IF(ISBLANK(ETPT_TJ_DDG!$D$5),"",IF(ISERROR(ETPT_TJ!Y9),"",IF(ETPT_TJ!Y9=0,"",ETPT_TJ!Y9)))</f>
        <v/>
      </c>
      <c r="Z9" s="56" t="str">
        <f>IF(ISBLANK(ETPT_TJ_DDG!$D$5),"",IF(ISERROR(ETPT_TJ!Z9),"",IF(ETPT_TJ!Z9=0,"",ETPT_TJ!Z9)))</f>
        <v/>
      </c>
      <c r="AA9" s="56" t="str">
        <f>IF(ISBLANK(ETPT_TJ_DDG!$D$5),"",IF(ISERROR(ETPT_TJ!AA9),"",IF(ETPT_TJ!AA9=0,"",ETPT_TJ!AA9)))</f>
        <v/>
      </c>
      <c r="AB9" s="46">
        <f t="shared" si="2"/>
        <v>0</v>
      </c>
      <c r="AC9" s="56" t="str">
        <f>IF(ISBLANK(ETPT_TJ_DDG!$D$5),"",IF(ISERROR(ETPT_TJ!AC9),"",IF(ETPT_TJ!AC9=0,"",ETPT_TJ!AC9)))</f>
        <v/>
      </c>
      <c r="AD9" s="56" t="str">
        <f>IF(ISBLANK(ETPT_TJ_DDG!$D$5),"",IF(ISERROR(ETPT_TJ!AD9),"",IF(ETPT_TJ!AD9=0,"",ETPT_TJ!AD9)))</f>
        <v/>
      </c>
      <c r="AE9" s="56" t="str">
        <f>IF(ISBLANK(ETPT_TJ_DDG!$D$5),"",IF(ISERROR(ETPT_TJ!AE9),"",IF(ETPT_TJ!AE9=0,"",ETPT_TJ!AE9)))</f>
        <v/>
      </c>
      <c r="AF9" s="56" t="str">
        <f>IF(ISBLANK(ETPT_TJ_DDG!$D$5),"",IF(ISERROR(ETPT_TJ!AF9),"",IF(ETPT_TJ!AF9=0,"",ETPT_TJ!AF9)))</f>
        <v/>
      </c>
      <c r="AG9" s="56" t="str">
        <f>IF(ISBLANK(ETPT_TJ_DDG!$D$5),"",IF(ISERROR(ETPT_TJ!AG9),"",IF(ETPT_TJ!AG9=0,"",ETPT_TJ!AG9)))</f>
        <v/>
      </c>
      <c r="AH9" s="56" t="str">
        <f>IF(ISBLANK(ETPT_TJ_DDG!$D$5),"",IF(ISERROR(ETPT_TJ!AH9),"",IF(ETPT_TJ!AH9=0,"",ETPT_TJ!AH9)))</f>
        <v/>
      </c>
      <c r="AI9" s="56" t="str">
        <f>IF(ISBLANK(ETPT_TJ_DDG!$D$5),"",IF(ISERROR(ETPT_TJ!AI9),"",IF(ETPT_TJ!AI9=0,"",ETPT_TJ!AI9)))</f>
        <v/>
      </c>
      <c r="AJ9" s="56" t="str">
        <f>IF(ISBLANK(ETPT_TJ_DDG!$D$5),"",IF(ISERROR(ETPT_TJ!AJ9),"",IF(ETPT_TJ!AJ9=0,"",ETPT_TJ!AJ9)))</f>
        <v/>
      </c>
      <c r="AK9" s="56" t="str">
        <f>IF(ISBLANK(ETPT_TJ_DDG!$D$5),"",IF(ISERROR(ETPT_TJ!AK9),"",IF(ETPT_TJ!AK9=0,"",ETPT_TJ!AK9)))</f>
        <v/>
      </c>
      <c r="AL9" s="46">
        <f t="shared" si="3"/>
        <v>0</v>
      </c>
      <c r="AM9" s="56" t="str">
        <f>IF(ISBLANK(ETPT_TJ_DDG!$D$5),"",IF(ISERROR(ETPT_TJ!AM9),"",IF(ETPT_TJ!AM9=0,"",ETPT_TJ!AM9)))</f>
        <v/>
      </c>
      <c r="AN9" s="56" t="str">
        <f>IF(ISBLANK(ETPT_TJ_DDG!$D$5),"",IF(ISERROR(ETPT_TJ!AN9),"",IF(ETPT_TJ!AN9=0,"",ETPT_TJ!AN9)))</f>
        <v/>
      </c>
      <c r="AO9" s="56" t="str">
        <f>IF(ISBLANK(ETPT_TJ_DDG!$D$5),"",IF(ISERROR(ETPT_TJ!AO9),"",IF(ETPT_TJ!AO9=0,"",ETPT_TJ!AO9)))</f>
        <v/>
      </c>
      <c r="AP9" s="56" t="str">
        <f>IF(ISBLANK(ETPT_TJ_DDG!$D$5),"",IF(ISERROR(ETPT_TJ!AP9),"",IF(ETPT_TJ!AP9=0,"",ETPT_TJ!AP9)))</f>
        <v/>
      </c>
      <c r="AQ9" s="56" t="str">
        <f>IF(ISBLANK(ETPT_TJ_DDG!$D$5),"",IF(ISERROR(ETPT_TJ!AQ9),"",IF(ETPT_TJ!AQ9=0,"",ETPT_TJ!AQ9)))</f>
        <v/>
      </c>
      <c r="AR9" s="56" t="str">
        <f>IF(ISBLANK(ETPT_TJ_DDG!$D$5),"",IF(ISERROR(ETPT_TJ!AR9),"",IF(ETPT_TJ!AR9=0,"",ETPT_TJ!AR9)))</f>
        <v/>
      </c>
      <c r="AS9" s="56" t="str">
        <f>IF(ISBLANK(ETPT_TJ_DDG!$D$5),"",IF(ISERROR(ETPT_TJ!AS9),"",IF(ETPT_TJ!AS9=0,"",ETPT_TJ!AS9)))</f>
        <v/>
      </c>
      <c r="AT9" s="56" t="str">
        <f>IF(ISBLANK(ETPT_TJ_DDG!$D$5),"",IF(ISERROR(ETPT_TJ!AT9),"",IF(ETPT_TJ!AT9=0,"",ETPT_TJ!AT9)))</f>
        <v/>
      </c>
      <c r="AU9" s="56" t="str">
        <f>IF(ISBLANK(ETPT_TJ_DDG!$D$5),"",IF(ISERROR(ETPT_TJ!AU9),"",IF(ETPT_TJ!AU9=0,"",ETPT_TJ!AU9)))</f>
        <v/>
      </c>
      <c r="AV9" s="56" t="str">
        <f>IF(ISBLANK(ETPT_TJ_DDG!$D$5),"",IF(ISERROR(ETPT_TJ!AV9),"",IF(ETPT_TJ!AV9=0,"",ETPT_TJ!AV9)))</f>
        <v/>
      </c>
      <c r="AW9" s="56" t="str">
        <f>IF(ISBLANK(ETPT_TJ_DDG!$D$5),"",IF(ISERROR(ETPT_TJ!AW9),"",IF(ETPT_TJ!AW9=0,"",ETPT_TJ!AW9)))</f>
        <v/>
      </c>
      <c r="AX9" s="56" t="str">
        <f>IF(ISBLANK(ETPT_TJ_DDG!$D$5),"",IF(ISERROR(ETPT_TJ!AX9),"",IF(ETPT_TJ!AX9=0,"",ETPT_TJ!AX9)))</f>
        <v/>
      </c>
      <c r="AY9" s="56" t="str">
        <f>IF(ISBLANK(ETPT_TJ_DDG!$D$5),"",IF(ISERROR(ETPT_TJ!AY9),"",IF(ETPT_TJ!AY9=0,"",ETPT_TJ!AY9)))</f>
        <v/>
      </c>
      <c r="AZ9" s="46">
        <f t="shared" si="4"/>
        <v>0</v>
      </c>
      <c r="BA9" s="52"/>
      <c r="BB9" s="52"/>
      <c r="BC9" s="52"/>
      <c r="BD9" s="52"/>
      <c r="BE9" s="52"/>
      <c r="BF9" s="52"/>
      <c r="BG9" s="52"/>
      <c r="BH9" s="52"/>
      <c r="BI9" s="52"/>
      <c r="BJ9" s="46">
        <f t="shared" si="5"/>
        <v>0</v>
      </c>
    </row>
    <row r="10" spans="1:63" s="41" customFormat="1" ht="14.25" customHeight="1" x14ac:dyDescent="0.15">
      <c r="A10" s="51" t="s">
        <v>42</v>
      </c>
      <c r="B10" s="61"/>
      <c r="C10" s="61"/>
      <c r="D10" s="140" t="str">
        <f t="shared" si="6"/>
        <v/>
      </c>
      <c r="E10" s="61" t="s">
        <v>52</v>
      </c>
      <c r="F10" s="61" t="s">
        <v>51</v>
      </c>
      <c r="G10" s="56" t="str">
        <f>IF(ISBLANK(ETPT_TJ_DDG!$D$5),"",IF(ISERROR(ETPT_TJ!G10),"",IF(ETPT_TJ!G10=0,"",ETPT_TJ!G10)))</f>
        <v/>
      </c>
      <c r="H10" s="46">
        <f t="shared" si="0"/>
        <v>0</v>
      </c>
      <c r="I10" s="56" t="str">
        <f>IF(ISBLANK(ETPT_TJ_DDG!$D$5),"",IF(ISERROR(ETPT_TJ!I10),"",IF(ETPT_TJ!I10=0,"",ETPT_TJ!I10)))</f>
        <v/>
      </c>
      <c r="J10" s="56" t="str">
        <f>IF(ISBLANK(ETPT_TJ_DDG!$D$5),"",IF(ISERROR(ETPT_TJ!J10),"",IF(ETPT_TJ!J10=0,"",ETPT_TJ!J10)))</f>
        <v/>
      </c>
      <c r="K10" s="56" t="str">
        <f>IF(ISBLANK(ETPT_TJ_DDG!$D$5),"",IF(ISERROR(ETPT_TJ!K10),"",IF(ETPT_TJ!K10=0,"",ETPT_TJ!K10)))</f>
        <v/>
      </c>
      <c r="L10" s="56" t="str">
        <f>IF(ISBLANK(ETPT_TJ_DDG!$D$5),"",IF(ISERROR(ETPT_TJ!L10),"",IF(ETPT_TJ!L10=0,"",ETPT_TJ!L10)))</f>
        <v/>
      </c>
      <c r="M10" s="56" t="str">
        <f>IF(ISBLANK(ETPT_TJ_DDG!$D$5),"",IF(ISERROR(ETPT_TJ!M10),"",IF(ETPT_TJ!M10=0,"",ETPT_TJ!M10)))</f>
        <v/>
      </c>
      <c r="N10" s="56" t="str">
        <f>IF(ISBLANK(ETPT_TJ_DDG!$D$5),"",IF(ISERROR(ETPT_TJ!N10),"",IF(ETPT_TJ!N10=0,"",ETPT_TJ!N10)))</f>
        <v/>
      </c>
      <c r="O10" s="56" t="str">
        <f>IF(ISBLANK(ETPT_TJ_DDG!$D$5),"",IF(ISERROR(ETPT_TJ!O10),"",IF(ETPT_TJ!O10=0,"",ETPT_TJ!O10)))</f>
        <v/>
      </c>
      <c r="P10" s="56" t="str">
        <f>IF(ISBLANK(ETPT_TJ_DDG!$D$5),"",IF(ISERROR(ETPT_TJ!P10),"",IF(ETPT_TJ!P10=0,"",ETPT_TJ!P10)))</f>
        <v/>
      </c>
      <c r="Q10" s="56" t="str">
        <f>IF(ISBLANK(ETPT_TJ_DDG!$D$5),"",IF(ISERROR(ETPT_TJ!Q10),"",IF(ETPT_TJ!Q10=0,"",ETPT_TJ!Q10)))</f>
        <v/>
      </c>
      <c r="R10" s="56" t="str">
        <f>IF(ISBLANK(ETPT_TJ_DDG!$D$5),"",IF(ISERROR(ETPT_TJ!R10),"",IF(ETPT_TJ!R10=0,"",ETPT_TJ!R10)))</f>
        <v/>
      </c>
      <c r="S10" s="56" t="str">
        <f>IF(ISBLANK(ETPT_TJ_DDG!$D$5),"",IF(ISERROR(ETPT_TJ!S10),"",IF(ETPT_TJ!S10=0,"",ETPT_TJ!S10)))</f>
        <v/>
      </c>
      <c r="T10" s="56" t="str">
        <f>IF(ISBLANK(ETPT_TJ_DDG!$D$5),"",IF(ISERROR(ETPT_TJ!T10),"",IF(ETPT_TJ!T10=0,"",ETPT_TJ!T10)))</f>
        <v/>
      </c>
      <c r="U10" s="56" t="str">
        <f>IF(ISBLANK(ETPT_TJ_DDG!$D$5),"",IF(ISERROR(ETPT_TJ!U10),"",IF(ETPT_TJ!U10=0,"",ETPT_TJ!U10)))</f>
        <v/>
      </c>
      <c r="V10" s="56" t="str">
        <f>IF(ISBLANK(ETPT_TJ_DDG!$D$5),"",IF(ISERROR(ETPT_TJ!V10),"",IF(ETPT_TJ!V10=0,"",ETPT_TJ!V10)))</f>
        <v/>
      </c>
      <c r="W10" s="46">
        <f t="shared" si="1"/>
        <v>0</v>
      </c>
      <c r="X10" s="56" t="str">
        <f>IF(ISBLANK(ETPT_TJ_DDG!$D$5),"",IF(ISERROR(ETPT_TJ!X10),"",IF(ETPT_TJ!X10=0,"",ETPT_TJ!X10)))</f>
        <v/>
      </c>
      <c r="Y10" s="56" t="str">
        <f>IF(ISBLANK(ETPT_TJ_DDG!$D$5),"",IF(ISERROR(ETPT_TJ!Y10),"",IF(ETPT_TJ!Y10=0,"",ETPT_TJ!Y10)))</f>
        <v/>
      </c>
      <c r="Z10" s="56" t="str">
        <f>IF(ISBLANK(ETPT_TJ_DDG!$D$5),"",IF(ISERROR(ETPT_TJ!Z10),"",IF(ETPT_TJ!Z10=0,"",ETPT_TJ!Z10)))</f>
        <v/>
      </c>
      <c r="AA10" s="56" t="str">
        <f>IF(ISBLANK(ETPT_TJ_DDG!$D$5),"",IF(ISERROR(ETPT_TJ!AA10),"",IF(ETPT_TJ!AA10=0,"",ETPT_TJ!AA10)))</f>
        <v/>
      </c>
      <c r="AB10" s="46">
        <f t="shared" si="2"/>
        <v>0</v>
      </c>
      <c r="AC10" s="56" t="str">
        <f>IF(ISBLANK(ETPT_TJ_DDG!$D$5),"",IF(ISERROR(ETPT_TJ!AC10),"",IF(ETPT_TJ!AC10=0,"",ETPT_TJ!AC10)))</f>
        <v/>
      </c>
      <c r="AD10" s="56" t="str">
        <f>IF(ISBLANK(ETPT_TJ_DDG!$D$5),"",IF(ISERROR(ETPT_TJ!AD10),"",IF(ETPT_TJ!AD10=0,"",ETPT_TJ!AD10)))</f>
        <v/>
      </c>
      <c r="AE10" s="56" t="str">
        <f>IF(ISBLANK(ETPT_TJ_DDG!$D$5),"",IF(ISERROR(ETPT_TJ!AE10),"",IF(ETPT_TJ!AE10=0,"",ETPT_TJ!AE10)))</f>
        <v/>
      </c>
      <c r="AF10" s="56" t="str">
        <f>IF(ISBLANK(ETPT_TJ_DDG!$D$5),"",IF(ISERROR(ETPT_TJ!AF10),"",IF(ETPT_TJ!AF10=0,"",ETPT_TJ!AF10)))</f>
        <v/>
      </c>
      <c r="AG10" s="56" t="str">
        <f>IF(ISBLANK(ETPT_TJ_DDG!$D$5),"",IF(ISERROR(ETPT_TJ!AG10),"",IF(ETPT_TJ!AG10=0,"",ETPT_TJ!AG10)))</f>
        <v/>
      </c>
      <c r="AH10" s="56" t="str">
        <f>IF(ISBLANK(ETPT_TJ_DDG!$D$5),"",IF(ISERROR(ETPT_TJ!AH10),"",IF(ETPT_TJ!AH10=0,"",ETPT_TJ!AH10)))</f>
        <v/>
      </c>
      <c r="AI10" s="56" t="str">
        <f>IF(ISBLANK(ETPT_TJ_DDG!$D$5),"",IF(ISERROR(ETPT_TJ!AI10),"",IF(ETPT_TJ!AI10=0,"",ETPT_TJ!AI10)))</f>
        <v/>
      </c>
      <c r="AJ10" s="56" t="str">
        <f>IF(ISBLANK(ETPT_TJ_DDG!$D$5),"",IF(ISERROR(ETPT_TJ!AJ10),"",IF(ETPT_TJ!AJ10=0,"",ETPT_TJ!AJ10)))</f>
        <v/>
      </c>
      <c r="AK10" s="56" t="str">
        <f>IF(ISBLANK(ETPT_TJ_DDG!$D$5),"",IF(ISERROR(ETPT_TJ!AK10),"",IF(ETPT_TJ!AK10=0,"",ETPT_TJ!AK10)))</f>
        <v/>
      </c>
      <c r="AL10" s="46">
        <f t="shared" si="3"/>
        <v>0</v>
      </c>
      <c r="AM10" s="56" t="str">
        <f>IF(ISBLANK(ETPT_TJ_DDG!$D$5),"",IF(ISERROR(ETPT_TJ!AM10),"",IF(ETPT_TJ!AM10=0,"",ETPT_TJ!AM10)))</f>
        <v/>
      </c>
      <c r="AN10" s="56" t="str">
        <f>IF(ISBLANK(ETPT_TJ_DDG!$D$5),"",IF(ISERROR(ETPT_TJ!AN10),"",IF(ETPT_TJ!AN10=0,"",ETPT_TJ!AN10)))</f>
        <v/>
      </c>
      <c r="AO10" s="56" t="str">
        <f>IF(ISBLANK(ETPT_TJ_DDG!$D$5),"",IF(ISERROR(ETPT_TJ!AO10),"",IF(ETPT_TJ!AO10=0,"",ETPT_TJ!AO10)))</f>
        <v/>
      </c>
      <c r="AP10" s="56" t="str">
        <f>IF(ISBLANK(ETPT_TJ_DDG!$D$5),"",IF(ISERROR(ETPT_TJ!AP10),"",IF(ETPT_TJ!AP10=0,"",ETPT_TJ!AP10)))</f>
        <v/>
      </c>
      <c r="AQ10" s="56" t="str">
        <f>IF(ISBLANK(ETPT_TJ_DDG!$D$5),"",IF(ISERROR(ETPT_TJ!AQ10),"",IF(ETPT_TJ!AQ10=0,"",ETPT_TJ!AQ10)))</f>
        <v/>
      </c>
      <c r="AR10" s="56" t="str">
        <f>IF(ISBLANK(ETPT_TJ_DDG!$D$5),"",IF(ISERROR(ETPT_TJ!AR10),"",IF(ETPT_TJ!AR10=0,"",ETPT_TJ!AR10)))</f>
        <v/>
      </c>
      <c r="AS10" s="56" t="str">
        <f>IF(ISBLANK(ETPT_TJ_DDG!$D$5),"",IF(ISERROR(ETPT_TJ!AS10),"",IF(ETPT_TJ!AS10=0,"",ETPT_TJ!AS10)))</f>
        <v/>
      </c>
      <c r="AT10" s="56" t="str">
        <f>IF(ISBLANK(ETPT_TJ_DDG!$D$5),"",IF(ISERROR(ETPT_TJ!AT10),"",IF(ETPT_TJ!AT10=0,"",ETPT_TJ!AT10)))</f>
        <v/>
      </c>
      <c r="AU10" s="56" t="str">
        <f>IF(ISBLANK(ETPT_TJ_DDG!$D$5),"",IF(ISERROR(ETPT_TJ!AU10),"",IF(ETPT_TJ!AU10=0,"",ETPT_TJ!AU10)))</f>
        <v/>
      </c>
      <c r="AV10" s="56" t="str">
        <f>IF(ISBLANK(ETPT_TJ_DDG!$D$5),"",IF(ISERROR(ETPT_TJ!AV10),"",IF(ETPT_TJ!AV10=0,"",ETPT_TJ!AV10)))</f>
        <v/>
      </c>
      <c r="AW10" s="56" t="str">
        <f>IF(ISBLANK(ETPT_TJ_DDG!$D$5),"",IF(ISERROR(ETPT_TJ!AW10),"",IF(ETPT_TJ!AW10=0,"",ETPT_TJ!AW10)))</f>
        <v/>
      </c>
      <c r="AX10" s="56" t="str">
        <f>IF(ISBLANK(ETPT_TJ_DDG!$D$5),"",IF(ISERROR(ETPT_TJ!AX10),"",IF(ETPT_TJ!AX10=0,"",ETPT_TJ!AX10)))</f>
        <v/>
      </c>
      <c r="AY10" s="56" t="str">
        <f>IF(ISBLANK(ETPT_TJ_DDG!$D$5),"",IF(ISERROR(ETPT_TJ!AY10),"",IF(ETPT_TJ!AY10=0,"",ETPT_TJ!AY10)))</f>
        <v/>
      </c>
      <c r="AZ10" s="46">
        <f t="shared" si="4"/>
        <v>0</v>
      </c>
      <c r="BA10" s="52"/>
      <c r="BB10" s="52"/>
      <c r="BC10" s="52"/>
      <c r="BD10" s="52"/>
      <c r="BE10" s="52"/>
      <c r="BF10" s="52"/>
      <c r="BG10" s="52"/>
      <c r="BH10" s="52"/>
      <c r="BI10" s="52"/>
      <c r="BJ10" s="46">
        <f t="shared" si="5"/>
        <v>0</v>
      </c>
    </row>
    <row r="11" spans="1:63" s="41" customFormat="1" ht="14.25" customHeight="1" x14ac:dyDescent="0.15">
      <c r="A11" s="51" t="s">
        <v>42</v>
      </c>
      <c r="B11" s="61"/>
      <c r="C11" s="61"/>
      <c r="D11" s="140" t="str">
        <f t="shared" si="6"/>
        <v/>
      </c>
      <c r="E11" s="61" t="s">
        <v>50</v>
      </c>
      <c r="F11" s="61" t="s">
        <v>49</v>
      </c>
      <c r="G11" s="56" t="str">
        <f>IF(ISBLANK(ETPT_TJ_DDG!$D$5),"",IF(ISERROR(ETPT_TJ!G11),"",IF(ETPT_TJ!G11=0,"",ETPT_TJ!G11)))</f>
        <v/>
      </c>
      <c r="H11" s="46">
        <f t="shared" si="0"/>
        <v>0</v>
      </c>
      <c r="I11" s="56" t="str">
        <f>IF(ISBLANK(ETPT_TJ_DDG!$D$5),"",IF(ISERROR(ETPT_TJ!I11),"",IF(ETPT_TJ!I11=0,"",ETPT_TJ!I11)))</f>
        <v/>
      </c>
      <c r="J11" s="56" t="str">
        <f>IF(ISBLANK(ETPT_TJ_DDG!$D$5),"",IF(ISERROR(ETPT_TJ!J11),"",IF(ETPT_TJ!J11=0,"",ETPT_TJ!J11)))</f>
        <v/>
      </c>
      <c r="K11" s="56" t="str">
        <f>IF(ISBLANK(ETPT_TJ_DDG!$D$5),"",IF(ISERROR(ETPT_TJ!K11),"",IF(ETPT_TJ!K11=0,"",ETPT_TJ!K11)))</f>
        <v/>
      </c>
      <c r="L11" s="56" t="str">
        <f>IF(ISBLANK(ETPT_TJ_DDG!$D$5),"",IF(ISERROR(ETPT_TJ!L11),"",IF(ETPT_TJ!L11=0,"",ETPT_TJ!L11)))</f>
        <v/>
      </c>
      <c r="M11" s="56" t="str">
        <f>IF(ISBLANK(ETPT_TJ_DDG!$D$5),"",IF(ISERROR(ETPT_TJ!M11),"",IF(ETPT_TJ!M11=0,"",ETPT_TJ!M11)))</f>
        <v/>
      </c>
      <c r="N11" s="56" t="str">
        <f>IF(ISBLANK(ETPT_TJ_DDG!$D$5),"",IF(ISERROR(ETPT_TJ!N11),"",IF(ETPT_TJ!N11=0,"",ETPT_TJ!N11)))</f>
        <v/>
      </c>
      <c r="O11" s="56" t="str">
        <f>IF(ISBLANK(ETPT_TJ_DDG!$D$5),"",IF(ISERROR(ETPT_TJ!O11),"",IF(ETPT_TJ!O11=0,"",ETPT_TJ!O11)))</f>
        <v/>
      </c>
      <c r="P11" s="56" t="str">
        <f>IF(ISBLANK(ETPT_TJ_DDG!$D$5),"",IF(ISERROR(ETPT_TJ!P11),"",IF(ETPT_TJ!P11=0,"",ETPT_TJ!P11)))</f>
        <v/>
      </c>
      <c r="Q11" s="56" t="str">
        <f>IF(ISBLANK(ETPT_TJ_DDG!$D$5),"",IF(ISERROR(ETPT_TJ!Q11),"",IF(ETPT_TJ!Q11=0,"",ETPT_TJ!Q11)))</f>
        <v/>
      </c>
      <c r="R11" s="56" t="str">
        <f>IF(ISBLANK(ETPT_TJ_DDG!$D$5),"",IF(ISERROR(ETPT_TJ!R11),"",IF(ETPT_TJ!R11=0,"",ETPT_TJ!R11)))</f>
        <v/>
      </c>
      <c r="S11" s="56" t="str">
        <f>IF(ISBLANK(ETPT_TJ_DDG!$D$5),"",IF(ISERROR(ETPT_TJ!S11),"",IF(ETPT_TJ!S11=0,"",ETPT_TJ!S11)))</f>
        <v/>
      </c>
      <c r="T11" s="56" t="str">
        <f>IF(ISBLANK(ETPT_TJ_DDG!$D$5),"",IF(ISERROR(ETPT_TJ!T11),"",IF(ETPT_TJ!T11=0,"",ETPT_TJ!T11)))</f>
        <v/>
      </c>
      <c r="U11" s="56" t="str">
        <f>IF(ISBLANK(ETPT_TJ_DDG!$D$5),"",IF(ISERROR(ETPT_TJ!U11),"",IF(ETPT_TJ!U11=0,"",ETPT_TJ!U11)))</f>
        <v/>
      </c>
      <c r="V11" s="56" t="str">
        <f>IF(ISBLANK(ETPT_TJ_DDG!$D$5),"",IF(ISERROR(ETPT_TJ!V11),"",IF(ETPT_TJ!V11=0,"",ETPT_TJ!V11)))</f>
        <v/>
      </c>
      <c r="W11" s="46">
        <f t="shared" si="1"/>
        <v>0</v>
      </c>
      <c r="X11" s="56" t="str">
        <f>IF(ISBLANK(ETPT_TJ_DDG!$D$5),"",IF(ISERROR(ETPT_TJ!X11),"",IF(ETPT_TJ!X11=0,"",ETPT_TJ!X11)))</f>
        <v/>
      </c>
      <c r="Y11" s="56" t="str">
        <f>IF(ISBLANK(ETPT_TJ_DDG!$D$5),"",IF(ISERROR(ETPT_TJ!Y11),"",IF(ETPT_TJ!Y11=0,"",ETPT_TJ!Y11)))</f>
        <v/>
      </c>
      <c r="Z11" s="56" t="str">
        <f>IF(ISBLANK(ETPT_TJ_DDG!$D$5),"",IF(ISERROR(ETPT_TJ!Z11),"",IF(ETPT_TJ!Z11=0,"",ETPT_TJ!Z11)))</f>
        <v/>
      </c>
      <c r="AA11" s="56" t="str">
        <f>IF(ISBLANK(ETPT_TJ_DDG!$D$5),"",IF(ISERROR(ETPT_TJ!AA11),"",IF(ETPT_TJ!AA11=0,"",ETPT_TJ!AA11)))</f>
        <v/>
      </c>
      <c r="AB11" s="46">
        <f t="shared" si="2"/>
        <v>0</v>
      </c>
      <c r="AC11" s="56" t="str">
        <f>IF(ISBLANK(ETPT_TJ_DDG!$D$5),"",IF(ISERROR(ETPT_TJ!AC11),"",IF(ETPT_TJ!AC11=0,"",ETPT_TJ!AC11)))</f>
        <v/>
      </c>
      <c r="AD11" s="56" t="str">
        <f>IF(ISBLANK(ETPT_TJ_DDG!$D$5),"",IF(ISERROR(ETPT_TJ!AD11),"",IF(ETPT_TJ!AD11=0,"",ETPT_TJ!AD11)))</f>
        <v/>
      </c>
      <c r="AE11" s="56" t="str">
        <f>IF(ISBLANK(ETPT_TJ_DDG!$D$5),"",IF(ISERROR(ETPT_TJ!AE11),"",IF(ETPT_TJ!AE11=0,"",ETPT_TJ!AE11)))</f>
        <v/>
      </c>
      <c r="AF11" s="56" t="str">
        <f>IF(ISBLANK(ETPT_TJ_DDG!$D$5),"",IF(ISERROR(ETPT_TJ!AF11),"",IF(ETPT_TJ!AF11=0,"",ETPT_TJ!AF11)))</f>
        <v/>
      </c>
      <c r="AG11" s="56" t="str">
        <f>IF(ISBLANK(ETPT_TJ_DDG!$D$5),"",IF(ISERROR(ETPT_TJ!AG11),"",IF(ETPT_TJ!AG11=0,"",ETPT_TJ!AG11)))</f>
        <v/>
      </c>
      <c r="AH11" s="56" t="str">
        <f>IF(ISBLANK(ETPT_TJ_DDG!$D$5),"",IF(ISERROR(ETPT_TJ!AH11),"",IF(ETPT_TJ!AH11=0,"",ETPT_TJ!AH11)))</f>
        <v/>
      </c>
      <c r="AI11" s="56" t="str">
        <f>IF(ISBLANK(ETPT_TJ_DDG!$D$5),"",IF(ISERROR(ETPT_TJ!AI11),"",IF(ETPT_TJ!AI11=0,"",ETPT_TJ!AI11)))</f>
        <v/>
      </c>
      <c r="AJ11" s="56" t="str">
        <f>IF(ISBLANK(ETPT_TJ_DDG!$D$5),"",IF(ISERROR(ETPT_TJ!AJ11),"",IF(ETPT_TJ!AJ11=0,"",ETPT_TJ!AJ11)))</f>
        <v/>
      </c>
      <c r="AK11" s="56" t="str">
        <f>IF(ISBLANK(ETPT_TJ_DDG!$D$5),"",IF(ISERROR(ETPT_TJ!AK11),"",IF(ETPT_TJ!AK11=0,"",ETPT_TJ!AK11)))</f>
        <v/>
      </c>
      <c r="AL11" s="46">
        <f t="shared" si="3"/>
        <v>0</v>
      </c>
      <c r="AM11" s="56" t="str">
        <f>IF(ISBLANK(ETPT_TJ_DDG!$D$5),"",IF(ISERROR(ETPT_TJ!AM11),"",IF(ETPT_TJ!AM11=0,"",ETPT_TJ!AM11)))</f>
        <v/>
      </c>
      <c r="AN11" s="56" t="str">
        <f>IF(ISBLANK(ETPT_TJ_DDG!$D$5),"",IF(ISERROR(ETPT_TJ!AN11),"",IF(ETPT_TJ!AN11=0,"",ETPT_TJ!AN11)))</f>
        <v/>
      </c>
      <c r="AO11" s="56" t="str">
        <f>IF(ISBLANK(ETPT_TJ_DDG!$D$5),"",IF(ISERROR(ETPT_TJ!AO11),"",IF(ETPT_TJ!AO11=0,"",ETPT_TJ!AO11)))</f>
        <v/>
      </c>
      <c r="AP11" s="56" t="str">
        <f>IF(ISBLANK(ETPT_TJ_DDG!$D$5),"",IF(ISERROR(ETPT_TJ!AP11),"",IF(ETPT_TJ!AP11=0,"",ETPT_TJ!AP11)))</f>
        <v/>
      </c>
      <c r="AQ11" s="56" t="str">
        <f>IF(ISBLANK(ETPT_TJ_DDG!$D$5),"",IF(ISERROR(ETPT_TJ!AQ11),"",IF(ETPT_TJ!AQ11=0,"",ETPT_TJ!AQ11)))</f>
        <v/>
      </c>
      <c r="AR11" s="56" t="str">
        <f>IF(ISBLANK(ETPT_TJ_DDG!$D$5),"",IF(ISERROR(ETPT_TJ!AR11),"",IF(ETPT_TJ!AR11=0,"",ETPT_TJ!AR11)))</f>
        <v/>
      </c>
      <c r="AS11" s="56" t="str">
        <f>IF(ISBLANK(ETPT_TJ_DDG!$D$5),"",IF(ISERROR(ETPT_TJ!AS11),"",IF(ETPT_TJ!AS11=0,"",ETPT_TJ!AS11)))</f>
        <v/>
      </c>
      <c r="AT11" s="56" t="str">
        <f>IF(ISBLANK(ETPT_TJ_DDG!$D$5),"",IF(ISERROR(ETPT_TJ!AT11),"",IF(ETPT_TJ!AT11=0,"",ETPT_TJ!AT11)))</f>
        <v/>
      </c>
      <c r="AU11" s="56" t="str">
        <f>IF(ISBLANK(ETPT_TJ_DDG!$D$5),"",IF(ISERROR(ETPT_TJ!AU11),"",IF(ETPT_TJ!AU11=0,"",ETPT_TJ!AU11)))</f>
        <v/>
      </c>
      <c r="AV11" s="56" t="str">
        <f>IF(ISBLANK(ETPT_TJ_DDG!$D$5),"",IF(ISERROR(ETPT_TJ!AV11),"",IF(ETPT_TJ!AV11=0,"",ETPT_TJ!AV11)))</f>
        <v/>
      </c>
      <c r="AW11" s="56" t="str">
        <f>IF(ISBLANK(ETPT_TJ_DDG!$D$5),"",IF(ISERROR(ETPT_TJ!AW11),"",IF(ETPT_TJ!AW11=0,"",ETPT_TJ!AW11)))</f>
        <v/>
      </c>
      <c r="AX11" s="56" t="str">
        <f>IF(ISBLANK(ETPT_TJ_DDG!$D$5),"",IF(ISERROR(ETPT_TJ!AX11),"",IF(ETPT_TJ!AX11=0,"",ETPT_TJ!AX11)))</f>
        <v/>
      </c>
      <c r="AY11" s="56" t="str">
        <f>IF(ISBLANK(ETPT_TJ_DDG!$D$5),"",IF(ISERROR(ETPT_TJ!AY11),"",IF(ETPT_TJ!AY11=0,"",ETPT_TJ!AY11)))</f>
        <v/>
      </c>
      <c r="AZ11" s="46">
        <f t="shared" si="4"/>
        <v>0</v>
      </c>
      <c r="BA11" s="52"/>
      <c r="BB11" s="52"/>
      <c r="BC11" s="52"/>
      <c r="BD11" s="52"/>
      <c r="BE11" s="52"/>
      <c r="BF11" s="52"/>
      <c r="BG11" s="52"/>
      <c r="BH11" s="52"/>
      <c r="BI11" s="52"/>
      <c r="BJ11" s="46">
        <f t="shared" si="5"/>
        <v>0</v>
      </c>
    </row>
    <row r="12" spans="1:63" s="41" customFormat="1" ht="14.25" customHeight="1" x14ac:dyDescent="0.15">
      <c r="A12" s="51" t="s">
        <v>42</v>
      </c>
      <c r="B12" s="61"/>
      <c r="C12" s="61"/>
      <c r="D12" s="140" t="str">
        <f t="shared" si="6"/>
        <v/>
      </c>
      <c r="E12" s="61" t="s">
        <v>48</v>
      </c>
      <c r="F12" s="61" t="s">
        <v>47</v>
      </c>
      <c r="G12" s="56" t="str">
        <f>IF(ISBLANK(ETPT_TJ_DDG!$D$5),"",IF(ISERROR(ETPT_TJ!G12),"",IF(ETPT_TJ!G12=0,"",ETPT_TJ!G12)))</f>
        <v/>
      </c>
      <c r="H12" s="46">
        <f t="shared" si="0"/>
        <v>0</v>
      </c>
      <c r="I12" s="56" t="str">
        <f>IF(ISBLANK(ETPT_TJ_DDG!$D$5),"",IF(ISERROR(ETPT_TJ!I12),"",IF(ETPT_TJ!I12=0,"",ETPT_TJ!I12)))</f>
        <v/>
      </c>
      <c r="J12" s="56" t="str">
        <f>IF(ISBLANK(ETPT_TJ_DDG!$D$5),"",IF(ISERROR(ETPT_TJ!J12),"",IF(ETPT_TJ!J12=0,"",ETPT_TJ!J12)))</f>
        <v/>
      </c>
      <c r="K12" s="56" t="str">
        <f>IF(ISBLANK(ETPT_TJ_DDG!$D$5),"",IF(ISERROR(ETPT_TJ!K12),"",IF(ETPT_TJ!K12=0,"",ETPT_TJ!K12)))</f>
        <v/>
      </c>
      <c r="L12" s="56" t="str">
        <f>IF(ISBLANK(ETPT_TJ_DDG!$D$5),"",IF(ISERROR(ETPT_TJ!L12),"",IF(ETPT_TJ!L12=0,"",ETPT_TJ!L12)))</f>
        <v/>
      </c>
      <c r="M12" s="56" t="str">
        <f>IF(ISBLANK(ETPT_TJ_DDG!$D$5),"",IF(ISERROR(ETPT_TJ!M12),"",IF(ETPT_TJ!M12=0,"",ETPT_TJ!M12)))</f>
        <v/>
      </c>
      <c r="N12" s="56" t="str">
        <f>IF(ISBLANK(ETPT_TJ_DDG!$D$5),"",IF(ISERROR(ETPT_TJ!N12),"",IF(ETPT_TJ!N12=0,"",ETPT_TJ!N12)))</f>
        <v/>
      </c>
      <c r="O12" s="56" t="str">
        <f>IF(ISBLANK(ETPT_TJ_DDG!$D$5),"",IF(ISERROR(ETPT_TJ!O12),"",IF(ETPT_TJ!O12=0,"",ETPT_TJ!O12)))</f>
        <v/>
      </c>
      <c r="P12" s="56" t="str">
        <f>IF(ISBLANK(ETPT_TJ_DDG!$D$5),"",IF(ISERROR(ETPT_TJ!P12),"",IF(ETPT_TJ!P12=0,"",ETPT_TJ!P12)))</f>
        <v/>
      </c>
      <c r="Q12" s="56" t="str">
        <f>IF(ISBLANK(ETPT_TJ_DDG!$D$5),"",IF(ISERROR(ETPT_TJ!Q12),"",IF(ETPT_TJ!Q12=0,"",ETPT_TJ!Q12)))</f>
        <v/>
      </c>
      <c r="R12" s="56" t="str">
        <f>IF(ISBLANK(ETPT_TJ_DDG!$D$5),"",IF(ISERROR(ETPT_TJ!R12),"",IF(ETPT_TJ!R12=0,"",ETPT_TJ!R12)))</f>
        <v/>
      </c>
      <c r="S12" s="56" t="str">
        <f>IF(ISBLANK(ETPT_TJ_DDG!$D$5),"",IF(ISERROR(ETPT_TJ!S12),"",IF(ETPT_TJ!S12=0,"",ETPT_TJ!S12)))</f>
        <v/>
      </c>
      <c r="T12" s="56" t="str">
        <f>IF(ISBLANK(ETPT_TJ_DDG!$D$5),"",IF(ISERROR(ETPT_TJ!T12),"",IF(ETPT_TJ!T12=0,"",ETPT_TJ!T12)))</f>
        <v/>
      </c>
      <c r="U12" s="56" t="str">
        <f>IF(ISBLANK(ETPT_TJ_DDG!$D$5),"",IF(ISERROR(ETPT_TJ!U12),"",IF(ETPT_TJ!U12=0,"",ETPT_TJ!U12)))</f>
        <v/>
      </c>
      <c r="V12" s="56" t="str">
        <f>IF(ISBLANK(ETPT_TJ_DDG!$D$5),"",IF(ISERROR(ETPT_TJ!V12),"",IF(ETPT_TJ!V12=0,"",ETPT_TJ!V12)))</f>
        <v/>
      </c>
      <c r="W12" s="46">
        <f t="shared" si="1"/>
        <v>0</v>
      </c>
      <c r="X12" s="56" t="str">
        <f>IF(ISBLANK(ETPT_TJ_DDG!$D$5),"",IF(ISERROR(ETPT_TJ!X12),"",IF(ETPT_TJ!X12=0,"",ETPT_TJ!X12)))</f>
        <v/>
      </c>
      <c r="Y12" s="56" t="str">
        <f>IF(ISBLANK(ETPT_TJ_DDG!$D$5),"",IF(ISERROR(ETPT_TJ!Y12),"",IF(ETPT_TJ!Y12=0,"",ETPT_TJ!Y12)))</f>
        <v/>
      </c>
      <c r="Z12" s="56" t="str">
        <f>IF(ISBLANK(ETPT_TJ_DDG!$D$5),"",IF(ISERROR(ETPT_TJ!Z12),"",IF(ETPT_TJ!Z12=0,"",ETPT_TJ!Z12)))</f>
        <v/>
      </c>
      <c r="AA12" s="56" t="str">
        <f>IF(ISBLANK(ETPT_TJ_DDG!$D$5),"",IF(ISERROR(ETPT_TJ!AA12),"",IF(ETPT_TJ!AA12=0,"",ETPT_TJ!AA12)))</f>
        <v/>
      </c>
      <c r="AB12" s="46">
        <f t="shared" si="2"/>
        <v>0</v>
      </c>
      <c r="AC12" s="56" t="str">
        <f>IF(ISBLANK(ETPT_TJ_DDG!$D$5),"",IF(ISERROR(ETPT_TJ!AC12),"",IF(ETPT_TJ!AC12=0,"",ETPT_TJ!AC12)))</f>
        <v/>
      </c>
      <c r="AD12" s="56" t="str">
        <f>IF(ISBLANK(ETPT_TJ_DDG!$D$5),"",IF(ISERROR(ETPT_TJ!AD12),"",IF(ETPT_TJ!AD12=0,"",ETPT_TJ!AD12)))</f>
        <v/>
      </c>
      <c r="AE12" s="56" t="str">
        <f>IF(ISBLANK(ETPT_TJ_DDG!$D$5),"",IF(ISERROR(ETPT_TJ!AE12),"",IF(ETPT_TJ!AE12=0,"",ETPT_TJ!AE12)))</f>
        <v/>
      </c>
      <c r="AF12" s="56" t="str">
        <f>IF(ISBLANK(ETPT_TJ_DDG!$D$5),"",IF(ISERROR(ETPT_TJ!AF12),"",IF(ETPT_TJ!AF12=0,"",ETPT_TJ!AF12)))</f>
        <v/>
      </c>
      <c r="AG12" s="56" t="str">
        <f>IF(ISBLANK(ETPT_TJ_DDG!$D$5),"",IF(ISERROR(ETPT_TJ!AG12),"",IF(ETPT_TJ!AG12=0,"",ETPT_TJ!AG12)))</f>
        <v/>
      </c>
      <c r="AH12" s="56" t="str">
        <f>IF(ISBLANK(ETPT_TJ_DDG!$D$5),"",IF(ISERROR(ETPT_TJ!AH12),"",IF(ETPT_TJ!AH12=0,"",ETPT_TJ!AH12)))</f>
        <v/>
      </c>
      <c r="AI12" s="56" t="str">
        <f>IF(ISBLANK(ETPT_TJ_DDG!$D$5),"",IF(ISERROR(ETPT_TJ!AI12),"",IF(ETPT_TJ!AI12=0,"",ETPT_TJ!AI12)))</f>
        <v/>
      </c>
      <c r="AJ12" s="56" t="str">
        <f>IF(ISBLANK(ETPT_TJ_DDG!$D$5),"",IF(ISERROR(ETPT_TJ!AJ12),"",IF(ETPT_TJ!AJ12=0,"",ETPT_TJ!AJ12)))</f>
        <v/>
      </c>
      <c r="AK12" s="56" t="str">
        <f>IF(ISBLANK(ETPT_TJ_DDG!$D$5),"",IF(ISERROR(ETPT_TJ!AK12),"",IF(ETPT_TJ!AK12=0,"",ETPT_TJ!AK12)))</f>
        <v/>
      </c>
      <c r="AL12" s="46">
        <f t="shared" si="3"/>
        <v>0</v>
      </c>
      <c r="AM12" s="56" t="str">
        <f>IF(ISBLANK(ETPT_TJ_DDG!$D$5),"",IF(ISERROR(ETPT_TJ!AM12),"",IF(ETPT_TJ!AM12=0,"",ETPT_TJ!AM12)))</f>
        <v/>
      </c>
      <c r="AN12" s="56" t="str">
        <f>IF(ISBLANK(ETPT_TJ_DDG!$D$5),"",IF(ISERROR(ETPT_TJ!AN12),"",IF(ETPT_TJ!AN12=0,"",ETPT_TJ!AN12)))</f>
        <v/>
      </c>
      <c r="AO12" s="56" t="str">
        <f>IF(ISBLANK(ETPT_TJ_DDG!$D$5),"",IF(ISERROR(ETPT_TJ!AO12),"",IF(ETPT_TJ!AO12=0,"",ETPT_TJ!AO12)))</f>
        <v/>
      </c>
      <c r="AP12" s="56" t="str">
        <f>IF(ISBLANK(ETPT_TJ_DDG!$D$5),"",IF(ISERROR(ETPT_TJ!AP12),"",IF(ETPT_TJ!AP12=0,"",ETPT_TJ!AP12)))</f>
        <v/>
      </c>
      <c r="AQ12" s="56" t="str">
        <f>IF(ISBLANK(ETPT_TJ_DDG!$D$5),"",IF(ISERROR(ETPT_TJ!AQ12),"",IF(ETPT_TJ!AQ12=0,"",ETPT_TJ!AQ12)))</f>
        <v/>
      </c>
      <c r="AR12" s="56" t="str">
        <f>IF(ISBLANK(ETPT_TJ_DDG!$D$5),"",IF(ISERROR(ETPT_TJ!AR12),"",IF(ETPT_TJ!AR12=0,"",ETPT_TJ!AR12)))</f>
        <v/>
      </c>
      <c r="AS12" s="56" t="str">
        <f>IF(ISBLANK(ETPT_TJ_DDG!$D$5),"",IF(ISERROR(ETPT_TJ!AS12),"",IF(ETPT_TJ!AS12=0,"",ETPT_TJ!AS12)))</f>
        <v/>
      </c>
      <c r="AT12" s="56" t="str">
        <f>IF(ISBLANK(ETPT_TJ_DDG!$D$5),"",IF(ISERROR(ETPT_TJ!AT12),"",IF(ETPT_TJ!AT12=0,"",ETPT_TJ!AT12)))</f>
        <v/>
      </c>
      <c r="AU12" s="56" t="str">
        <f>IF(ISBLANK(ETPT_TJ_DDG!$D$5),"",IF(ISERROR(ETPT_TJ!AU12),"",IF(ETPT_TJ!AU12=0,"",ETPT_TJ!AU12)))</f>
        <v/>
      </c>
      <c r="AV12" s="56" t="str">
        <f>IF(ISBLANK(ETPT_TJ_DDG!$D$5),"",IF(ISERROR(ETPT_TJ!AV12),"",IF(ETPT_TJ!AV12=0,"",ETPT_TJ!AV12)))</f>
        <v/>
      </c>
      <c r="AW12" s="56" t="str">
        <f>IF(ISBLANK(ETPT_TJ_DDG!$D$5),"",IF(ISERROR(ETPT_TJ!AW12),"",IF(ETPT_TJ!AW12=0,"",ETPT_TJ!AW12)))</f>
        <v/>
      </c>
      <c r="AX12" s="56" t="str">
        <f>IF(ISBLANK(ETPT_TJ_DDG!$D$5),"",IF(ISERROR(ETPT_TJ!AX12),"",IF(ETPT_TJ!AX12=0,"",ETPT_TJ!AX12)))</f>
        <v/>
      </c>
      <c r="AY12" s="56" t="str">
        <f>IF(ISBLANK(ETPT_TJ_DDG!$D$5),"",IF(ISERROR(ETPT_TJ!AY12),"",IF(ETPT_TJ!AY12=0,"",ETPT_TJ!AY12)))</f>
        <v/>
      </c>
      <c r="AZ12" s="46">
        <f t="shared" si="4"/>
        <v>0</v>
      </c>
      <c r="BA12" s="52"/>
      <c r="BB12" s="52"/>
      <c r="BC12" s="52"/>
      <c r="BD12" s="52"/>
      <c r="BE12" s="52"/>
      <c r="BF12" s="52"/>
      <c r="BG12" s="52"/>
      <c r="BH12" s="52"/>
      <c r="BI12" s="52"/>
      <c r="BJ12" s="46">
        <f t="shared" si="5"/>
        <v>0</v>
      </c>
    </row>
    <row r="13" spans="1:63" s="41" customFormat="1" ht="14.25" customHeight="1" x14ac:dyDescent="0.15">
      <c r="A13" s="51" t="s">
        <v>42</v>
      </c>
      <c r="B13" s="61"/>
      <c r="C13" s="61"/>
      <c r="D13" s="140" t="str">
        <f t="shared" si="6"/>
        <v/>
      </c>
      <c r="E13" s="61" t="s">
        <v>46</v>
      </c>
      <c r="F13" s="61" t="s">
        <v>45</v>
      </c>
      <c r="G13" s="56" t="str">
        <f>IF(ISBLANK(ETPT_TJ_DDG!$D$5),"",IF(ISERROR(ETPT_TJ!G13),"",IF(ETPT_TJ!G13=0,"",ETPT_TJ!G13)))</f>
        <v/>
      </c>
      <c r="H13" s="46">
        <f t="shared" si="0"/>
        <v>0</v>
      </c>
      <c r="I13" s="56" t="str">
        <f>IF(ISBLANK(ETPT_TJ_DDG!$D$5),"",IF(ISERROR(ETPT_TJ!I13),"",IF(ETPT_TJ!I13=0,"",ETPT_TJ!I13)))</f>
        <v/>
      </c>
      <c r="J13" s="56" t="str">
        <f>IF(ISBLANK(ETPT_TJ_DDG!$D$5),"",IF(ISERROR(ETPT_TJ!J13),"",IF(ETPT_TJ!J13=0,"",ETPT_TJ!J13)))</f>
        <v/>
      </c>
      <c r="K13" s="56" t="str">
        <f>IF(ISBLANK(ETPT_TJ_DDG!$D$5),"",IF(ISERROR(ETPT_TJ!K13),"",IF(ETPT_TJ!K13=0,"",ETPT_TJ!K13)))</f>
        <v/>
      </c>
      <c r="L13" s="56" t="str">
        <f>IF(ISBLANK(ETPT_TJ_DDG!$D$5),"",IF(ISERROR(ETPT_TJ!L13),"",IF(ETPT_TJ!L13=0,"",ETPT_TJ!L13)))</f>
        <v/>
      </c>
      <c r="M13" s="56" t="str">
        <f>IF(ISBLANK(ETPT_TJ_DDG!$D$5),"",IF(ISERROR(ETPT_TJ!M13),"",IF(ETPT_TJ!M13=0,"",ETPT_TJ!M13)))</f>
        <v/>
      </c>
      <c r="N13" s="56" t="str">
        <f>IF(ISBLANK(ETPT_TJ_DDG!$D$5),"",IF(ISERROR(ETPT_TJ!N13),"",IF(ETPT_TJ!N13=0,"",ETPT_TJ!N13)))</f>
        <v/>
      </c>
      <c r="O13" s="56" t="str">
        <f>IF(ISBLANK(ETPT_TJ_DDG!$D$5),"",IF(ISERROR(ETPT_TJ!O13),"",IF(ETPT_TJ!O13=0,"",ETPT_TJ!O13)))</f>
        <v/>
      </c>
      <c r="P13" s="56" t="str">
        <f>IF(ISBLANK(ETPT_TJ_DDG!$D$5),"",IF(ISERROR(ETPT_TJ!P13),"",IF(ETPT_TJ!P13=0,"",ETPT_TJ!P13)))</f>
        <v/>
      </c>
      <c r="Q13" s="56" t="str">
        <f>IF(ISBLANK(ETPT_TJ_DDG!$D$5),"",IF(ISERROR(ETPT_TJ!Q13),"",IF(ETPT_TJ!Q13=0,"",ETPT_TJ!Q13)))</f>
        <v/>
      </c>
      <c r="R13" s="56" t="str">
        <f>IF(ISBLANK(ETPT_TJ_DDG!$D$5),"",IF(ISERROR(ETPT_TJ!R13),"",IF(ETPT_TJ!R13=0,"",ETPT_TJ!R13)))</f>
        <v/>
      </c>
      <c r="S13" s="56" t="str">
        <f>IF(ISBLANK(ETPT_TJ_DDG!$D$5),"",IF(ISERROR(ETPT_TJ!S13),"",IF(ETPT_TJ!S13=0,"",ETPT_TJ!S13)))</f>
        <v/>
      </c>
      <c r="T13" s="56" t="str">
        <f>IF(ISBLANK(ETPT_TJ_DDG!$D$5),"",IF(ISERROR(ETPT_TJ!T13),"",IF(ETPT_TJ!T13=0,"",ETPT_TJ!T13)))</f>
        <v/>
      </c>
      <c r="U13" s="56" t="str">
        <f>IF(ISBLANK(ETPT_TJ_DDG!$D$5),"",IF(ISERROR(ETPT_TJ!U13),"",IF(ETPT_TJ!U13=0,"",ETPT_TJ!U13)))</f>
        <v/>
      </c>
      <c r="V13" s="56" t="str">
        <f>IF(ISBLANK(ETPT_TJ_DDG!$D$5),"",IF(ISERROR(ETPT_TJ!V13),"",IF(ETPT_TJ!V13=0,"",ETPT_TJ!V13)))</f>
        <v/>
      </c>
      <c r="W13" s="46">
        <f t="shared" si="1"/>
        <v>0</v>
      </c>
      <c r="X13" s="56" t="str">
        <f>IF(ISBLANK(ETPT_TJ_DDG!$D$5),"",IF(ISERROR(ETPT_TJ!X13),"",IF(ETPT_TJ!X13=0,"",ETPT_TJ!X13)))</f>
        <v/>
      </c>
      <c r="Y13" s="56" t="str">
        <f>IF(ISBLANK(ETPT_TJ_DDG!$D$5),"",IF(ISERROR(ETPT_TJ!Y13),"",IF(ETPT_TJ!Y13=0,"",ETPT_TJ!Y13)))</f>
        <v/>
      </c>
      <c r="Z13" s="56" t="str">
        <f>IF(ISBLANK(ETPT_TJ_DDG!$D$5),"",IF(ISERROR(ETPT_TJ!Z13),"",IF(ETPT_TJ!Z13=0,"",ETPT_TJ!Z13)))</f>
        <v/>
      </c>
      <c r="AA13" s="56" t="str">
        <f>IF(ISBLANK(ETPT_TJ_DDG!$D$5),"",IF(ISERROR(ETPT_TJ!AA13),"",IF(ETPT_TJ!AA13=0,"",ETPT_TJ!AA13)))</f>
        <v/>
      </c>
      <c r="AB13" s="46">
        <f t="shared" si="2"/>
        <v>0</v>
      </c>
      <c r="AC13" s="56" t="str">
        <f>IF(ISBLANK(ETPT_TJ_DDG!$D$5),"",IF(ISERROR(ETPT_TJ!AC13),"",IF(ETPT_TJ!AC13=0,"",ETPT_TJ!AC13)))</f>
        <v/>
      </c>
      <c r="AD13" s="56" t="str">
        <f>IF(ISBLANK(ETPT_TJ_DDG!$D$5),"",IF(ISERROR(ETPT_TJ!AD13),"",IF(ETPT_TJ!AD13=0,"",ETPT_TJ!AD13)))</f>
        <v/>
      </c>
      <c r="AE13" s="56" t="str">
        <f>IF(ISBLANK(ETPT_TJ_DDG!$D$5),"",IF(ISERROR(ETPT_TJ!AE13),"",IF(ETPT_TJ!AE13=0,"",ETPT_TJ!AE13)))</f>
        <v/>
      </c>
      <c r="AF13" s="56" t="str">
        <f>IF(ISBLANK(ETPT_TJ_DDG!$D$5),"",IF(ISERROR(ETPT_TJ!AF13),"",IF(ETPT_TJ!AF13=0,"",ETPT_TJ!AF13)))</f>
        <v/>
      </c>
      <c r="AG13" s="56" t="str">
        <f>IF(ISBLANK(ETPT_TJ_DDG!$D$5),"",IF(ISERROR(ETPT_TJ!AG13),"",IF(ETPT_TJ!AG13=0,"",ETPT_TJ!AG13)))</f>
        <v/>
      </c>
      <c r="AH13" s="56" t="str">
        <f>IF(ISBLANK(ETPT_TJ_DDG!$D$5),"",IF(ISERROR(ETPT_TJ!AH13),"",IF(ETPT_TJ!AH13=0,"",ETPT_TJ!AH13)))</f>
        <v/>
      </c>
      <c r="AI13" s="56" t="str">
        <f>IF(ISBLANK(ETPT_TJ_DDG!$D$5),"",IF(ISERROR(ETPT_TJ!AI13),"",IF(ETPT_TJ!AI13=0,"",ETPT_TJ!AI13)))</f>
        <v/>
      </c>
      <c r="AJ13" s="56" t="str">
        <f>IF(ISBLANK(ETPT_TJ_DDG!$D$5),"",IF(ISERROR(ETPT_TJ!AJ13),"",IF(ETPT_TJ!AJ13=0,"",ETPT_TJ!AJ13)))</f>
        <v/>
      </c>
      <c r="AK13" s="56" t="str">
        <f>IF(ISBLANK(ETPT_TJ_DDG!$D$5),"",IF(ISERROR(ETPT_TJ!AK13),"",IF(ETPT_TJ!AK13=0,"",ETPT_TJ!AK13)))</f>
        <v/>
      </c>
      <c r="AL13" s="46">
        <f t="shared" si="3"/>
        <v>0</v>
      </c>
      <c r="AM13" s="56" t="str">
        <f>IF(ISBLANK(ETPT_TJ_DDG!$D$5),"",IF(ISERROR(ETPT_TJ!AM13),"",IF(ETPT_TJ!AM13=0,"",ETPT_TJ!AM13)))</f>
        <v/>
      </c>
      <c r="AN13" s="56" t="str">
        <f>IF(ISBLANK(ETPT_TJ_DDG!$D$5),"",IF(ISERROR(ETPT_TJ!AN13),"",IF(ETPT_TJ!AN13=0,"",ETPT_TJ!AN13)))</f>
        <v/>
      </c>
      <c r="AO13" s="56" t="str">
        <f>IF(ISBLANK(ETPT_TJ_DDG!$D$5),"",IF(ISERROR(ETPT_TJ!AO13),"",IF(ETPT_TJ!AO13=0,"",ETPT_TJ!AO13)))</f>
        <v/>
      </c>
      <c r="AP13" s="56" t="str">
        <f>IF(ISBLANK(ETPT_TJ_DDG!$D$5),"",IF(ISERROR(ETPT_TJ!AP13),"",IF(ETPT_TJ!AP13=0,"",ETPT_TJ!AP13)))</f>
        <v/>
      </c>
      <c r="AQ13" s="56" t="str">
        <f>IF(ISBLANK(ETPT_TJ_DDG!$D$5),"",IF(ISERROR(ETPT_TJ!AQ13),"",IF(ETPT_TJ!AQ13=0,"",ETPT_TJ!AQ13)))</f>
        <v/>
      </c>
      <c r="AR13" s="56" t="str">
        <f>IF(ISBLANK(ETPT_TJ_DDG!$D$5),"",IF(ISERROR(ETPT_TJ!AR13),"",IF(ETPT_TJ!AR13=0,"",ETPT_TJ!AR13)))</f>
        <v/>
      </c>
      <c r="AS13" s="56" t="str">
        <f>IF(ISBLANK(ETPT_TJ_DDG!$D$5),"",IF(ISERROR(ETPT_TJ!AS13),"",IF(ETPT_TJ!AS13=0,"",ETPT_TJ!AS13)))</f>
        <v/>
      </c>
      <c r="AT13" s="56" t="str">
        <f>IF(ISBLANK(ETPT_TJ_DDG!$D$5),"",IF(ISERROR(ETPT_TJ!AT13),"",IF(ETPT_TJ!AT13=0,"",ETPT_TJ!AT13)))</f>
        <v/>
      </c>
      <c r="AU13" s="56" t="str">
        <f>IF(ISBLANK(ETPT_TJ_DDG!$D$5),"",IF(ISERROR(ETPT_TJ!AU13),"",IF(ETPT_TJ!AU13=0,"",ETPT_TJ!AU13)))</f>
        <v/>
      </c>
      <c r="AV13" s="56" t="str">
        <f>IF(ISBLANK(ETPT_TJ_DDG!$D$5),"",IF(ISERROR(ETPT_TJ!AV13),"",IF(ETPT_TJ!AV13=0,"",ETPT_TJ!AV13)))</f>
        <v/>
      </c>
      <c r="AW13" s="56" t="str">
        <f>IF(ISBLANK(ETPT_TJ_DDG!$D$5),"",IF(ISERROR(ETPT_TJ!AW13),"",IF(ETPT_TJ!AW13=0,"",ETPT_TJ!AW13)))</f>
        <v/>
      </c>
      <c r="AX13" s="56" t="str">
        <f>IF(ISBLANK(ETPT_TJ_DDG!$D$5),"",IF(ISERROR(ETPT_TJ!AX13),"",IF(ETPT_TJ!AX13=0,"",ETPT_TJ!AX13)))</f>
        <v/>
      </c>
      <c r="AY13" s="56" t="str">
        <f>IF(ISBLANK(ETPT_TJ_DDG!$D$5),"",IF(ISERROR(ETPT_TJ!AY13),"",IF(ETPT_TJ!AY13=0,"",ETPT_TJ!AY13)))</f>
        <v/>
      </c>
      <c r="AZ13" s="46">
        <f t="shared" si="4"/>
        <v>0</v>
      </c>
      <c r="BA13" s="52"/>
      <c r="BB13" s="52"/>
      <c r="BC13" s="52"/>
      <c r="BD13" s="52"/>
      <c r="BE13" s="52"/>
      <c r="BF13" s="52"/>
      <c r="BG13" s="52"/>
      <c r="BH13" s="52"/>
      <c r="BI13" s="52"/>
      <c r="BJ13" s="46">
        <f t="shared" si="5"/>
        <v>0</v>
      </c>
    </row>
    <row r="14" spans="1:63" s="41" customFormat="1" ht="14.25" customHeight="1" x14ac:dyDescent="0.15">
      <c r="A14" s="51" t="s">
        <v>42</v>
      </c>
      <c r="B14" s="61"/>
      <c r="C14" s="61"/>
      <c r="D14" s="140" t="str">
        <f t="shared" si="6"/>
        <v/>
      </c>
      <c r="E14" s="61" t="s">
        <v>44</v>
      </c>
      <c r="F14" s="61" t="s">
        <v>43</v>
      </c>
      <c r="G14" s="56" t="str">
        <f>IF(ISBLANK(ETPT_TJ_DDG!$D$5),"",IF(ISERROR(ETPT_TJ!G14),"",IF(ETPT_TJ!G14=0,"",ETPT_TJ!G14)))</f>
        <v/>
      </c>
      <c r="H14" s="46">
        <f t="shared" si="0"/>
        <v>0</v>
      </c>
      <c r="I14" s="56" t="str">
        <f>IF(ISBLANK(ETPT_TJ_DDG!$D$5),"",IF(ISERROR(ETPT_TJ!I14),"",IF(ETPT_TJ!I14=0,"",ETPT_TJ!I14)))</f>
        <v/>
      </c>
      <c r="J14" s="56" t="str">
        <f>IF(ISBLANK(ETPT_TJ_DDG!$D$5),"",IF(ISERROR(ETPT_TJ!J14),"",IF(ETPT_TJ!J14=0,"",ETPT_TJ!J14)))</f>
        <v/>
      </c>
      <c r="K14" s="56" t="str">
        <f>IF(ISBLANK(ETPT_TJ_DDG!$D$5),"",IF(ISERROR(ETPT_TJ!K14),"",IF(ETPT_TJ!K14=0,"",ETPT_TJ!K14)))</f>
        <v/>
      </c>
      <c r="L14" s="56" t="str">
        <f>IF(ISBLANK(ETPT_TJ_DDG!$D$5),"",IF(ISERROR(ETPT_TJ!L14),"",IF(ETPT_TJ!L14=0,"",ETPT_TJ!L14)))</f>
        <v/>
      </c>
      <c r="M14" s="56" t="str">
        <f>IF(ISBLANK(ETPT_TJ_DDG!$D$5),"",IF(ISERROR(ETPT_TJ!M14),"",IF(ETPT_TJ!M14=0,"",ETPT_TJ!M14)))</f>
        <v/>
      </c>
      <c r="N14" s="56" t="str">
        <f>IF(ISBLANK(ETPT_TJ_DDG!$D$5),"",IF(ISERROR(ETPT_TJ!N14),"",IF(ETPT_TJ!N14=0,"",ETPT_TJ!N14)))</f>
        <v/>
      </c>
      <c r="O14" s="56" t="str">
        <f>IF(ISBLANK(ETPT_TJ_DDG!$D$5),"",IF(ISERROR(ETPT_TJ!O14),"",IF(ETPT_TJ!O14=0,"",ETPT_TJ!O14)))</f>
        <v/>
      </c>
      <c r="P14" s="56" t="str">
        <f>IF(ISBLANK(ETPT_TJ_DDG!$D$5),"",IF(ISERROR(ETPT_TJ!P14),"",IF(ETPT_TJ!P14=0,"",ETPT_TJ!P14)))</f>
        <v/>
      </c>
      <c r="Q14" s="56" t="str">
        <f>IF(ISBLANK(ETPT_TJ_DDG!$D$5),"",IF(ISERROR(ETPT_TJ!Q14),"",IF(ETPT_TJ!Q14=0,"",ETPT_TJ!Q14)))</f>
        <v/>
      </c>
      <c r="R14" s="56" t="str">
        <f>IF(ISBLANK(ETPT_TJ_DDG!$D$5),"",IF(ISERROR(ETPT_TJ!R14),"",IF(ETPT_TJ!R14=0,"",ETPT_TJ!R14)))</f>
        <v/>
      </c>
      <c r="S14" s="56" t="str">
        <f>IF(ISBLANK(ETPT_TJ_DDG!$D$5),"",IF(ISERROR(ETPT_TJ!S14),"",IF(ETPT_TJ!S14=0,"",ETPT_TJ!S14)))</f>
        <v/>
      </c>
      <c r="T14" s="56" t="str">
        <f>IF(ISBLANK(ETPT_TJ_DDG!$D$5),"",IF(ISERROR(ETPT_TJ!T14),"",IF(ETPT_TJ!T14=0,"",ETPT_TJ!T14)))</f>
        <v/>
      </c>
      <c r="U14" s="56" t="str">
        <f>IF(ISBLANK(ETPT_TJ_DDG!$D$5),"",IF(ISERROR(ETPT_TJ!U14),"",IF(ETPT_TJ!U14=0,"",ETPT_TJ!U14)))</f>
        <v/>
      </c>
      <c r="V14" s="56" t="str">
        <f>IF(ISBLANK(ETPT_TJ_DDG!$D$5),"",IF(ISERROR(ETPT_TJ!V14),"",IF(ETPT_TJ!V14=0,"",ETPT_TJ!V14)))</f>
        <v/>
      </c>
      <c r="W14" s="46">
        <f t="shared" si="1"/>
        <v>0</v>
      </c>
      <c r="X14" s="56" t="str">
        <f>IF(ISBLANK(ETPT_TJ_DDG!$D$5),"",IF(ISERROR(ETPT_TJ!X14),"",IF(ETPT_TJ!X14=0,"",ETPT_TJ!X14)))</f>
        <v/>
      </c>
      <c r="Y14" s="56" t="str">
        <f>IF(ISBLANK(ETPT_TJ_DDG!$D$5),"",IF(ISERROR(ETPT_TJ!Y14),"",IF(ETPT_TJ!Y14=0,"",ETPT_TJ!Y14)))</f>
        <v/>
      </c>
      <c r="Z14" s="56" t="str">
        <f>IF(ISBLANK(ETPT_TJ_DDG!$D$5),"",IF(ISERROR(ETPT_TJ!Z14),"",IF(ETPT_TJ!Z14=0,"",ETPT_TJ!Z14)))</f>
        <v/>
      </c>
      <c r="AA14" s="56" t="str">
        <f>IF(ISBLANK(ETPT_TJ_DDG!$D$5),"",IF(ISERROR(ETPT_TJ!AA14),"",IF(ETPT_TJ!AA14=0,"",ETPT_TJ!AA14)))</f>
        <v/>
      </c>
      <c r="AB14" s="46">
        <f t="shared" si="2"/>
        <v>0</v>
      </c>
      <c r="AC14" s="56" t="str">
        <f>IF(ISBLANK(ETPT_TJ_DDG!$D$5),"",IF(ISERROR(ETPT_TJ!AC14),"",IF(ETPT_TJ!AC14=0,"",ETPT_TJ!AC14)))</f>
        <v/>
      </c>
      <c r="AD14" s="56" t="str">
        <f>IF(ISBLANK(ETPT_TJ_DDG!$D$5),"",IF(ISERROR(ETPT_TJ!AD14),"",IF(ETPT_TJ!AD14=0,"",ETPT_TJ!AD14)))</f>
        <v/>
      </c>
      <c r="AE14" s="56" t="str">
        <f>IF(ISBLANK(ETPT_TJ_DDG!$D$5),"",IF(ISERROR(ETPT_TJ!AE14),"",IF(ETPT_TJ!AE14=0,"",ETPT_TJ!AE14)))</f>
        <v/>
      </c>
      <c r="AF14" s="56" t="str">
        <f>IF(ISBLANK(ETPT_TJ_DDG!$D$5),"",IF(ISERROR(ETPT_TJ!AF14),"",IF(ETPT_TJ!AF14=0,"",ETPT_TJ!AF14)))</f>
        <v/>
      </c>
      <c r="AG14" s="56" t="str">
        <f>IF(ISBLANK(ETPT_TJ_DDG!$D$5),"",IF(ISERROR(ETPT_TJ!AG14),"",IF(ETPT_TJ!AG14=0,"",ETPT_TJ!AG14)))</f>
        <v/>
      </c>
      <c r="AH14" s="56" t="str">
        <f>IF(ISBLANK(ETPT_TJ_DDG!$D$5),"",IF(ISERROR(ETPT_TJ!AH14),"",IF(ETPT_TJ!AH14=0,"",ETPT_TJ!AH14)))</f>
        <v/>
      </c>
      <c r="AI14" s="56" t="str">
        <f>IF(ISBLANK(ETPT_TJ_DDG!$D$5),"",IF(ISERROR(ETPT_TJ!AI14),"",IF(ETPT_TJ!AI14=0,"",ETPT_TJ!AI14)))</f>
        <v/>
      </c>
      <c r="AJ14" s="56" t="str">
        <f>IF(ISBLANK(ETPT_TJ_DDG!$D$5),"",IF(ISERROR(ETPT_TJ!AJ14),"",IF(ETPT_TJ!AJ14=0,"",ETPT_TJ!AJ14)))</f>
        <v/>
      </c>
      <c r="AK14" s="56" t="str">
        <f>IF(ISBLANK(ETPT_TJ_DDG!$D$5),"",IF(ISERROR(ETPT_TJ!AK14),"",IF(ETPT_TJ!AK14=0,"",ETPT_TJ!AK14)))</f>
        <v/>
      </c>
      <c r="AL14" s="46">
        <f t="shared" si="3"/>
        <v>0</v>
      </c>
      <c r="AM14" s="56" t="str">
        <f>IF(ISBLANK(ETPT_TJ_DDG!$D$5),"",IF(ISERROR(ETPT_TJ!AM14),"",IF(ETPT_TJ!AM14=0,"",ETPT_TJ!AM14)))</f>
        <v/>
      </c>
      <c r="AN14" s="56" t="str">
        <f>IF(ISBLANK(ETPT_TJ_DDG!$D$5),"",IF(ISERROR(ETPT_TJ!AN14),"",IF(ETPT_TJ!AN14=0,"",ETPT_TJ!AN14)))</f>
        <v/>
      </c>
      <c r="AO14" s="56" t="str">
        <f>IF(ISBLANK(ETPT_TJ_DDG!$D$5),"",IF(ISERROR(ETPT_TJ!AO14),"",IF(ETPT_TJ!AO14=0,"",ETPT_TJ!AO14)))</f>
        <v/>
      </c>
      <c r="AP14" s="56" t="str">
        <f>IF(ISBLANK(ETPT_TJ_DDG!$D$5),"",IF(ISERROR(ETPT_TJ!AP14),"",IF(ETPT_TJ!AP14=0,"",ETPT_TJ!AP14)))</f>
        <v/>
      </c>
      <c r="AQ14" s="56" t="str">
        <f>IF(ISBLANK(ETPT_TJ_DDG!$D$5),"",IF(ISERROR(ETPT_TJ!AQ14),"",IF(ETPT_TJ!AQ14=0,"",ETPT_TJ!AQ14)))</f>
        <v/>
      </c>
      <c r="AR14" s="56" t="str">
        <f>IF(ISBLANK(ETPT_TJ_DDG!$D$5),"",IF(ISERROR(ETPT_TJ!AR14),"",IF(ETPT_TJ!AR14=0,"",ETPT_TJ!AR14)))</f>
        <v/>
      </c>
      <c r="AS14" s="56" t="str">
        <f>IF(ISBLANK(ETPT_TJ_DDG!$D$5),"",IF(ISERROR(ETPT_TJ!AS14),"",IF(ETPT_TJ!AS14=0,"",ETPT_TJ!AS14)))</f>
        <v/>
      </c>
      <c r="AT14" s="56" t="str">
        <f>IF(ISBLANK(ETPT_TJ_DDG!$D$5),"",IF(ISERROR(ETPT_TJ!AT14),"",IF(ETPT_TJ!AT14=0,"",ETPT_TJ!AT14)))</f>
        <v/>
      </c>
      <c r="AU14" s="56" t="str">
        <f>IF(ISBLANK(ETPT_TJ_DDG!$D$5),"",IF(ISERROR(ETPT_TJ!AU14),"",IF(ETPT_TJ!AU14=0,"",ETPT_TJ!AU14)))</f>
        <v/>
      </c>
      <c r="AV14" s="56" t="str">
        <f>IF(ISBLANK(ETPT_TJ_DDG!$D$5),"",IF(ISERROR(ETPT_TJ!AV14),"",IF(ETPT_TJ!AV14=0,"",ETPT_TJ!AV14)))</f>
        <v/>
      </c>
      <c r="AW14" s="56" t="str">
        <f>IF(ISBLANK(ETPT_TJ_DDG!$D$5),"",IF(ISERROR(ETPT_TJ!AW14),"",IF(ETPT_TJ!AW14=0,"",ETPT_TJ!AW14)))</f>
        <v/>
      </c>
      <c r="AX14" s="56" t="str">
        <f>IF(ISBLANK(ETPT_TJ_DDG!$D$5),"",IF(ISERROR(ETPT_TJ!AX14),"",IF(ETPT_TJ!AX14=0,"",ETPT_TJ!AX14)))</f>
        <v/>
      </c>
      <c r="AY14" s="56" t="str">
        <f>IF(ISBLANK(ETPT_TJ_DDG!$D$5),"",IF(ISERROR(ETPT_TJ!AY14),"",IF(ETPT_TJ!AY14=0,"",ETPT_TJ!AY14)))</f>
        <v/>
      </c>
      <c r="AZ14" s="46">
        <f t="shared" si="4"/>
        <v>0</v>
      </c>
      <c r="BA14" s="52"/>
      <c r="BB14" s="52"/>
      <c r="BC14" s="52"/>
      <c r="BD14" s="52"/>
      <c r="BE14" s="52"/>
      <c r="BF14" s="52"/>
      <c r="BG14" s="52"/>
      <c r="BH14" s="52"/>
      <c r="BI14" s="52"/>
      <c r="BJ14" s="46">
        <f t="shared" si="5"/>
        <v>0</v>
      </c>
    </row>
    <row r="15" spans="1:63" s="41" customFormat="1" ht="14.25" customHeight="1" x14ac:dyDescent="0.15">
      <c r="A15" s="51" t="s">
        <v>42</v>
      </c>
      <c r="B15" s="61"/>
      <c r="C15" s="61"/>
      <c r="D15" s="140" t="str">
        <f t="shared" si="6"/>
        <v/>
      </c>
      <c r="E15" s="61" t="s">
        <v>41</v>
      </c>
      <c r="F15" s="61" t="s">
        <v>40</v>
      </c>
      <c r="G15" s="56" t="str">
        <f>IF(ISBLANK(ETPT_TJ_DDG!$D$5),"",IF(ISERROR(ETPT_TJ!G15),"",IF(ETPT_TJ!G15=0,"",ETPT_TJ!G15)))</f>
        <v/>
      </c>
      <c r="H15" s="46">
        <f t="shared" si="0"/>
        <v>0</v>
      </c>
      <c r="I15" s="56" t="str">
        <f>IF(ISBLANK(ETPT_TJ_DDG!$D$5),"",IF(ISERROR(ETPT_TJ!I15),"",IF(ETPT_TJ!I15=0,"",ETPT_TJ!I15)))</f>
        <v/>
      </c>
      <c r="J15" s="56" t="str">
        <f>IF(ISBLANK(ETPT_TJ_DDG!$D$5),"",IF(ISERROR(ETPT_TJ!J15),"",IF(ETPT_TJ!J15=0,"",ETPT_TJ!J15)))</f>
        <v/>
      </c>
      <c r="K15" s="56" t="str">
        <f>IF(ISBLANK(ETPT_TJ_DDG!$D$5),"",IF(ISERROR(ETPT_TJ!K15),"",IF(ETPT_TJ!K15=0,"",ETPT_TJ!K15)))</f>
        <v/>
      </c>
      <c r="L15" s="56" t="str">
        <f>IF(ISBLANK(ETPT_TJ_DDG!$D$5),"",IF(ISERROR(ETPT_TJ!L15),"",IF(ETPT_TJ!L15=0,"",ETPT_TJ!L15)))</f>
        <v/>
      </c>
      <c r="M15" s="56" t="str">
        <f>IF(ISBLANK(ETPT_TJ_DDG!$D$5),"",IF(ISERROR(ETPT_TJ!M15),"",IF(ETPT_TJ!M15=0,"",ETPT_TJ!M15)))</f>
        <v/>
      </c>
      <c r="N15" s="56" t="str">
        <f>IF(ISBLANK(ETPT_TJ_DDG!$D$5),"",IF(ISERROR(ETPT_TJ!N15),"",IF(ETPT_TJ!N15=0,"",ETPT_TJ!N15)))</f>
        <v/>
      </c>
      <c r="O15" s="56" t="str">
        <f>IF(ISBLANK(ETPT_TJ_DDG!$D$5),"",IF(ISERROR(ETPT_TJ!O15),"",IF(ETPT_TJ!O15=0,"",ETPT_TJ!O15)))</f>
        <v/>
      </c>
      <c r="P15" s="56" t="str">
        <f>IF(ISBLANK(ETPT_TJ_DDG!$D$5),"",IF(ISERROR(ETPT_TJ!P15),"",IF(ETPT_TJ!P15=0,"",ETPT_TJ!P15)))</f>
        <v/>
      </c>
      <c r="Q15" s="56" t="str">
        <f>IF(ISBLANK(ETPT_TJ_DDG!$D$5),"",IF(ISERROR(ETPT_TJ!Q15),"",IF(ETPT_TJ!Q15=0,"",ETPT_TJ!Q15)))</f>
        <v/>
      </c>
      <c r="R15" s="56" t="str">
        <f>IF(ISBLANK(ETPT_TJ_DDG!$D$5),"",IF(ISERROR(ETPT_TJ!R15),"",IF(ETPT_TJ!R15=0,"",ETPT_TJ!R15)))</f>
        <v/>
      </c>
      <c r="S15" s="56" t="str">
        <f>IF(ISBLANK(ETPT_TJ_DDG!$D$5),"",IF(ISERROR(ETPT_TJ!S15),"",IF(ETPT_TJ!S15=0,"",ETPT_TJ!S15)))</f>
        <v/>
      </c>
      <c r="T15" s="56" t="str">
        <f>IF(ISBLANK(ETPT_TJ_DDG!$D$5),"",IF(ISERROR(ETPT_TJ!T15),"",IF(ETPT_TJ!T15=0,"",ETPT_TJ!T15)))</f>
        <v/>
      </c>
      <c r="U15" s="56" t="str">
        <f>IF(ISBLANK(ETPT_TJ_DDG!$D$5),"",IF(ISERROR(ETPT_TJ!U15),"",IF(ETPT_TJ!U15=0,"",ETPT_TJ!U15)))</f>
        <v/>
      </c>
      <c r="V15" s="56" t="str">
        <f>IF(ISBLANK(ETPT_TJ_DDG!$D$5),"",IF(ISERROR(ETPT_TJ!V15),"",IF(ETPT_TJ!V15=0,"",ETPT_TJ!V15)))</f>
        <v/>
      </c>
      <c r="W15" s="46">
        <f t="shared" si="1"/>
        <v>0</v>
      </c>
      <c r="X15" s="56" t="str">
        <f>IF(ISBLANK(ETPT_TJ_DDG!$D$5),"",IF(ISERROR(ETPT_TJ!X15),"",IF(ETPT_TJ!X15=0,"",ETPT_TJ!X15)))</f>
        <v/>
      </c>
      <c r="Y15" s="56" t="str">
        <f>IF(ISBLANK(ETPT_TJ_DDG!$D$5),"",IF(ISERROR(ETPT_TJ!Y15),"",IF(ETPT_TJ!Y15=0,"",ETPT_TJ!Y15)))</f>
        <v/>
      </c>
      <c r="Z15" s="56" t="str">
        <f>IF(ISBLANK(ETPT_TJ_DDG!$D$5),"",IF(ISERROR(ETPT_TJ!Z15),"",IF(ETPT_TJ!Z15=0,"",ETPT_TJ!Z15)))</f>
        <v/>
      </c>
      <c r="AA15" s="56" t="str">
        <f>IF(ISBLANK(ETPT_TJ_DDG!$D$5),"",IF(ISERROR(ETPT_TJ!AA15),"",IF(ETPT_TJ!AA15=0,"",ETPT_TJ!AA15)))</f>
        <v/>
      </c>
      <c r="AB15" s="46">
        <f t="shared" si="2"/>
        <v>0</v>
      </c>
      <c r="AC15" s="56" t="str">
        <f>IF(ISBLANK(ETPT_TJ_DDG!$D$5),"",IF(ISERROR(ETPT_TJ!AC15),"",IF(ETPT_TJ!AC15=0,"",ETPT_TJ!AC15)))</f>
        <v/>
      </c>
      <c r="AD15" s="56" t="str">
        <f>IF(ISBLANK(ETPT_TJ_DDG!$D$5),"",IF(ISERROR(ETPT_TJ!AD15),"",IF(ETPT_TJ!AD15=0,"",ETPT_TJ!AD15)))</f>
        <v/>
      </c>
      <c r="AE15" s="56" t="str">
        <f>IF(ISBLANK(ETPT_TJ_DDG!$D$5),"",IF(ISERROR(ETPT_TJ!AE15),"",IF(ETPT_TJ!AE15=0,"",ETPT_TJ!AE15)))</f>
        <v/>
      </c>
      <c r="AF15" s="56" t="str">
        <f>IF(ISBLANK(ETPT_TJ_DDG!$D$5),"",IF(ISERROR(ETPT_TJ!AF15),"",IF(ETPT_TJ!AF15=0,"",ETPT_TJ!AF15)))</f>
        <v/>
      </c>
      <c r="AG15" s="56" t="str">
        <f>IF(ISBLANK(ETPT_TJ_DDG!$D$5),"",IF(ISERROR(ETPT_TJ!AG15),"",IF(ETPT_TJ!AG15=0,"",ETPT_TJ!AG15)))</f>
        <v/>
      </c>
      <c r="AH15" s="56" t="str">
        <f>IF(ISBLANK(ETPT_TJ_DDG!$D$5),"",IF(ISERROR(ETPT_TJ!AH15),"",IF(ETPT_TJ!AH15=0,"",ETPT_TJ!AH15)))</f>
        <v/>
      </c>
      <c r="AI15" s="56" t="str">
        <f>IF(ISBLANK(ETPT_TJ_DDG!$D$5),"",IF(ISERROR(ETPT_TJ!AI15),"",IF(ETPT_TJ!AI15=0,"",ETPT_TJ!AI15)))</f>
        <v/>
      </c>
      <c r="AJ15" s="56" t="str">
        <f>IF(ISBLANK(ETPT_TJ_DDG!$D$5),"",IF(ISERROR(ETPT_TJ!AJ15),"",IF(ETPT_TJ!AJ15=0,"",ETPT_TJ!AJ15)))</f>
        <v/>
      </c>
      <c r="AK15" s="56" t="str">
        <f>IF(ISBLANK(ETPT_TJ_DDG!$D$5),"",IF(ISERROR(ETPT_TJ!AK15),"",IF(ETPT_TJ!AK15=0,"",ETPT_TJ!AK15)))</f>
        <v/>
      </c>
      <c r="AL15" s="46">
        <f t="shared" si="3"/>
        <v>0</v>
      </c>
      <c r="AM15" s="56" t="str">
        <f>IF(ISBLANK(ETPT_TJ_DDG!$D$5),"",IF(ISERROR(ETPT_TJ!AM15),"",IF(ETPT_TJ!AM15=0,"",ETPT_TJ!AM15)))</f>
        <v/>
      </c>
      <c r="AN15" s="56" t="str">
        <f>IF(ISBLANK(ETPT_TJ_DDG!$D$5),"",IF(ISERROR(ETPT_TJ!AN15),"",IF(ETPT_TJ!AN15=0,"",ETPT_TJ!AN15)))</f>
        <v/>
      </c>
      <c r="AO15" s="56" t="str">
        <f>IF(ISBLANK(ETPT_TJ_DDG!$D$5),"",IF(ISERROR(ETPT_TJ!AO15),"",IF(ETPT_TJ!AO15=0,"",ETPT_TJ!AO15)))</f>
        <v/>
      </c>
      <c r="AP15" s="56" t="str">
        <f>IF(ISBLANK(ETPT_TJ_DDG!$D$5),"",IF(ISERROR(ETPT_TJ!AP15),"",IF(ETPT_TJ!AP15=0,"",ETPT_TJ!AP15)))</f>
        <v/>
      </c>
      <c r="AQ15" s="56" t="str">
        <f>IF(ISBLANK(ETPT_TJ_DDG!$D$5),"",IF(ISERROR(ETPT_TJ!AQ15),"",IF(ETPT_TJ!AQ15=0,"",ETPT_TJ!AQ15)))</f>
        <v/>
      </c>
      <c r="AR15" s="56" t="str">
        <f>IF(ISBLANK(ETPT_TJ_DDG!$D$5),"",IF(ISERROR(ETPT_TJ!AR15),"",IF(ETPT_TJ!AR15=0,"",ETPT_TJ!AR15)))</f>
        <v/>
      </c>
      <c r="AS15" s="56" t="str">
        <f>IF(ISBLANK(ETPT_TJ_DDG!$D$5),"",IF(ISERROR(ETPT_TJ!AS15),"",IF(ETPT_TJ!AS15=0,"",ETPT_TJ!AS15)))</f>
        <v/>
      </c>
      <c r="AT15" s="56" t="str">
        <f>IF(ISBLANK(ETPT_TJ_DDG!$D$5),"",IF(ISERROR(ETPT_TJ!AT15),"",IF(ETPT_TJ!AT15=0,"",ETPT_TJ!AT15)))</f>
        <v/>
      </c>
      <c r="AU15" s="56" t="str">
        <f>IF(ISBLANK(ETPT_TJ_DDG!$D$5),"",IF(ISERROR(ETPT_TJ!AU15),"",IF(ETPT_TJ!AU15=0,"",ETPT_TJ!AU15)))</f>
        <v/>
      </c>
      <c r="AV15" s="56" t="str">
        <f>IF(ISBLANK(ETPT_TJ_DDG!$D$5),"",IF(ISERROR(ETPT_TJ!AV15),"",IF(ETPT_TJ!AV15=0,"",ETPT_TJ!AV15)))</f>
        <v/>
      </c>
      <c r="AW15" s="56" t="str">
        <f>IF(ISBLANK(ETPT_TJ_DDG!$D$5),"",IF(ISERROR(ETPT_TJ!AW15),"",IF(ETPT_TJ!AW15=0,"",ETPT_TJ!AW15)))</f>
        <v/>
      </c>
      <c r="AX15" s="56" t="str">
        <f>IF(ISBLANK(ETPT_TJ_DDG!$D$5),"",IF(ISERROR(ETPT_TJ!AX15),"",IF(ETPT_TJ!AX15=0,"",ETPT_TJ!AX15)))</f>
        <v/>
      </c>
      <c r="AY15" s="56" t="str">
        <f>IF(ISBLANK(ETPT_TJ_DDG!$D$5),"",IF(ISERROR(ETPT_TJ!AY15),"",IF(ETPT_TJ!AY15=0,"",ETPT_TJ!AY15)))</f>
        <v/>
      </c>
      <c r="AZ15" s="46">
        <f t="shared" si="4"/>
        <v>0</v>
      </c>
      <c r="BA15" s="52"/>
      <c r="BB15" s="52"/>
      <c r="BC15" s="52"/>
      <c r="BD15" s="52"/>
      <c r="BE15" s="52"/>
      <c r="BF15" s="52"/>
      <c r="BG15" s="52"/>
      <c r="BH15" s="52"/>
      <c r="BI15" s="52"/>
      <c r="BJ15" s="46">
        <f t="shared" si="5"/>
        <v>0</v>
      </c>
    </row>
    <row r="16" spans="1:63" s="41" customFormat="1" ht="14.25" customHeight="1" x14ac:dyDescent="0.15">
      <c r="A16" s="51"/>
      <c r="B16" s="50"/>
      <c r="C16" s="50"/>
      <c r="D16" s="50"/>
      <c r="E16" s="50"/>
      <c r="F16" s="49" t="s">
        <v>39</v>
      </c>
      <c r="G16" s="47">
        <f t="shared" ref="G16:AL16" si="7">SUM(G5:G15)</f>
        <v>0</v>
      </c>
      <c r="H16" s="46">
        <f t="shared" si="7"/>
        <v>0</v>
      </c>
      <c r="I16" s="47">
        <f t="shared" si="7"/>
        <v>0</v>
      </c>
      <c r="J16" s="47">
        <f t="shared" si="7"/>
        <v>0</v>
      </c>
      <c r="K16" s="47">
        <f t="shared" si="7"/>
        <v>0</v>
      </c>
      <c r="L16" s="47">
        <f t="shared" si="7"/>
        <v>0</v>
      </c>
      <c r="M16" s="47">
        <f t="shared" si="7"/>
        <v>0</v>
      </c>
      <c r="N16" s="47">
        <f t="shared" si="7"/>
        <v>0</v>
      </c>
      <c r="O16" s="47">
        <f t="shared" si="7"/>
        <v>0</v>
      </c>
      <c r="P16" s="47">
        <f t="shared" si="7"/>
        <v>0</v>
      </c>
      <c r="Q16" s="47">
        <f t="shared" si="7"/>
        <v>0</v>
      </c>
      <c r="R16" s="47">
        <f t="shared" si="7"/>
        <v>0</v>
      </c>
      <c r="S16" s="47">
        <f t="shared" si="7"/>
        <v>0</v>
      </c>
      <c r="T16" s="47">
        <f t="shared" si="7"/>
        <v>0</v>
      </c>
      <c r="U16" s="47">
        <f t="shared" si="7"/>
        <v>0</v>
      </c>
      <c r="V16" s="47">
        <f t="shared" si="7"/>
        <v>0</v>
      </c>
      <c r="W16" s="46">
        <f t="shared" si="7"/>
        <v>0</v>
      </c>
      <c r="X16" s="47">
        <f t="shared" si="7"/>
        <v>0</v>
      </c>
      <c r="Y16" s="47">
        <f t="shared" si="7"/>
        <v>0</v>
      </c>
      <c r="Z16" s="47">
        <f t="shared" si="7"/>
        <v>0</v>
      </c>
      <c r="AA16" s="47">
        <f t="shared" si="7"/>
        <v>0</v>
      </c>
      <c r="AB16" s="46">
        <f t="shared" si="7"/>
        <v>0</v>
      </c>
      <c r="AC16" s="47">
        <f t="shared" si="7"/>
        <v>0</v>
      </c>
      <c r="AD16" s="47">
        <f t="shared" si="7"/>
        <v>0</v>
      </c>
      <c r="AE16" s="47">
        <f t="shared" si="7"/>
        <v>0</v>
      </c>
      <c r="AF16" s="47">
        <f t="shared" si="7"/>
        <v>0</v>
      </c>
      <c r="AG16" s="47">
        <f t="shared" si="7"/>
        <v>0</v>
      </c>
      <c r="AH16" s="47">
        <f t="shared" si="7"/>
        <v>0</v>
      </c>
      <c r="AI16" s="47">
        <f t="shared" si="7"/>
        <v>0</v>
      </c>
      <c r="AJ16" s="47">
        <f t="shared" si="7"/>
        <v>0</v>
      </c>
      <c r="AK16" s="47">
        <f t="shared" si="7"/>
        <v>0</v>
      </c>
      <c r="AL16" s="46">
        <f t="shared" si="7"/>
        <v>0</v>
      </c>
      <c r="AM16" s="47">
        <f t="shared" ref="AM16:BJ16" si="8">SUM(AM5:AM15)</f>
        <v>0</v>
      </c>
      <c r="AN16" s="47">
        <f t="shared" si="8"/>
        <v>0</v>
      </c>
      <c r="AO16" s="47">
        <f t="shared" si="8"/>
        <v>0</v>
      </c>
      <c r="AP16" s="47">
        <f t="shared" si="8"/>
        <v>0</v>
      </c>
      <c r="AQ16" s="47">
        <f t="shared" si="8"/>
        <v>0</v>
      </c>
      <c r="AR16" s="47">
        <f t="shared" si="8"/>
        <v>0</v>
      </c>
      <c r="AS16" s="47">
        <f t="shared" si="8"/>
        <v>0</v>
      </c>
      <c r="AT16" s="47">
        <f t="shared" si="8"/>
        <v>0</v>
      </c>
      <c r="AU16" s="47">
        <f t="shared" si="8"/>
        <v>0</v>
      </c>
      <c r="AV16" s="47">
        <f t="shared" si="8"/>
        <v>0</v>
      </c>
      <c r="AW16" s="47">
        <f t="shared" si="8"/>
        <v>0</v>
      </c>
      <c r="AX16" s="47">
        <f t="shared" si="8"/>
        <v>0</v>
      </c>
      <c r="AY16" s="47">
        <f t="shared" si="8"/>
        <v>0</v>
      </c>
      <c r="AZ16" s="46">
        <f t="shared" si="8"/>
        <v>0</v>
      </c>
      <c r="BA16" s="47">
        <f t="shared" si="8"/>
        <v>0</v>
      </c>
      <c r="BB16" s="47">
        <f t="shared" si="8"/>
        <v>0</v>
      </c>
      <c r="BC16" s="47">
        <f t="shared" si="8"/>
        <v>0</v>
      </c>
      <c r="BD16" s="47">
        <f t="shared" si="8"/>
        <v>0</v>
      </c>
      <c r="BE16" s="47">
        <f t="shared" si="8"/>
        <v>0</v>
      </c>
      <c r="BF16" s="47">
        <f t="shared" si="8"/>
        <v>0</v>
      </c>
      <c r="BG16" s="47">
        <f t="shared" si="8"/>
        <v>0</v>
      </c>
      <c r="BH16" s="47">
        <f t="shared" si="8"/>
        <v>0</v>
      </c>
      <c r="BI16" s="47">
        <f t="shared" si="8"/>
        <v>0</v>
      </c>
      <c r="BJ16" s="46">
        <f t="shared" si="8"/>
        <v>0</v>
      </c>
    </row>
    <row r="17" spans="4:52" ht="17" thickBot="1" x14ac:dyDescent="0.25">
      <c r="W17" s="40"/>
      <c r="AZ17" s="40"/>
    </row>
    <row r="18" spans="4:52" ht="18" thickTop="1" thickBot="1" x14ac:dyDescent="0.25">
      <c r="D18" s="156" t="s">
        <v>174</v>
      </c>
      <c r="E18" s="158"/>
      <c r="F18" s="158"/>
      <c r="G18" s="158"/>
      <c r="H18" s="158"/>
      <c r="I18" s="159"/>
      <c r="W18" s="289" t="e">
        <f>H16+W16-W14-H14-H15-W15+ETPT_CPH!G5-H12-H13-W12-W13</f>
        <v>#N/A</v>
      </c>
      <c r="AZ18" s="289">
        <f>AZ16+AL16-AZ14-AL14-AZ13-AZ12-AL13-AL12</f>
        <v>0</v>
      </c>
    </row>
    <row r="19" spans="4:52" ht="17" thickTop="1" x14ac:dyDescent="0.2"/>
    <row r="20" spans="4:52" ht="28" x14ac:dyDescent="0.2">
      <c r="F20" s="301" t="s">
        <v>390</v>
      </c>
      <c r="G20" s="232" t="str">
        <f>IF(ISBLANK(ETPT_TJ_DDG!$D$5),"",IF(ISERROR(ETPT_TJ!G20),"",IF(ETPT_TJ!G20=0,"",ETPT_TJ!G20)))</f>
        <v/>
      </c>
      <c r="U20" s="302" t="s">
        <v>392</v>
      </c>
      <c r="V20" s="232" t="str">
        <f>IF(ISBLANK(ETPT_TJ_DDG!$D$5),"",IF(ISERROR(ETPT_TJ!V20),"",IF(ETPT_TJ!V20=0,"",ETPT_TJ!V20)))</f>
        <v/>
      </c>
      <c r="AH20" s="38"/>
      <c r="AX20" s="300" t="s">
        <v>388</v>
      </c>
      <c r="AY20" s="174" t="str">
        <f>IF(ISBLANK(ETPT_TJ_DDG!$D$5),"",IF(ISERROR(ETPT_TJ!AY20),"",IF(ETPT_TJ!AY20=0,"",ETPT_TJ!AY20)))</f>
        <v/>
      </c>
    </row>
    <row r="21" spans="4:52" x14ac:dyDescent="0.2">
      <c r="E21" s="39"/>
    </row>
  </sheetData>
  <mergeCells count="6">
    <mergeCell ref="BJ2:BJ4"/>
    <mergeCell ref="H2:H4"/>
    <mergeCell ref="W2:W4"/>
    <mergeCell ref="AB2:AB4"/>
    <mergeCell ref="AL2:AL4"/>
    <mergeCell ref="AZ2:AZ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5F461-4586-D34F-8E14-1071CB20CB72}">
  <sheetPr codeName="Feuil15">
    <tabColor rgb="FFF7EF2D"/>
  </sheetPr>
  <dimension ref="A1:BJ21"/>
  <sheetViews>
    <sheetView topLeftCell="D1" zoomScale="90" zoomScaleNormal="90" workbookViewId="0">
      <selection activeCell="D60" sqref="D60"/>
    </sheetView>
  </sheetViews>
  <sheetFormatPr baseColWidth="10" defaultColWidth="11" defaultRowHeight="16" x14ac:dyDescent="0.2"/>
  <cols>
    <col min="1" max="3" width="11" style="37" hidden="1" customWidth="1"/>
    <col min="4" max="5" width="11" style="37"/>
    <col min="6" max="6" width="46.33203125" style="37" bestFit="1" customWidth="1"/>
    <col min="7" max="16384" width="11" style="37"/>
  </cols>
  <sheetData>
    <row r="1" spans="1:62" s="4" customFormat="1" ht="80" customHeight="1" x14ac:dyDescent="0.25">
      <c r="A1" s="3" t="s">
        <v>220</v>
      </c>
      <c r="B1" s="5"/>
      <c r="C1" s="5"/>
      <c r="D1" s="3" t="s">
        <v>224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2">
      <c r="A2" s="87"/>
      <c r="B2" s="87"/>
      <c r="C2" s="87"/>
      <c r="D2" s="87"/>
      <c r="E2" s="87"/>
      <c r="F2" s="87"/>
      <c r="G2" s="84" t="s">
        <v>172</v>
      </c>
      <c r="H2" s="346" t="s">
        <v>171</v>
      </c>
      <c r="I2" s="84" t="s">
        <v>170</v>
      </c>
      <c r="J2" s="84" t="s">
        <v>170</v>
      </c>
      <c r="K2" s="84" t="s">
        <v>170</v>
      </c>
      <c r="L2" s="84" t="s">
        <v>170</v>
      </c>
      <c r="M2" s="84" t="s">
        <v>170</v>
      </c>
      <c r="N2" s="84" t="s">
        <v>170</v>
      </c>
      <c r="O2" s="84" t="s">
        <v>170</v>
      </c>
      <c r="P2" s="84" t="s">
        <v>170</v>
      </c>
      <c r="Q2" s="84" t="s">
        <v>170</v>
      </c>
      <c r="R2" s="84" t="s">
        <v>170</v>
      </c>
      <c r="S2" s="346" t="s">
        <v>169</v>
      </c>
      <c r="T2" s="84" t="s">
        <v>38</v>
      </c>
      <c r="U2" s="346" t="s">
        <v>168</v>
      </c>
      <c r="V2" s="84" t="s">
        <v>167</v>
      </c>
      <c r="W2" s="84" t="s">
        <v>167</v>
      </c>
      <c r="X2" s="84" t="s">
        <v>167</v>
      </c>
      <c r="Y2" s="84" t="s">
        <v>167</v>
      </c>
      <c r="Z2" s="84" t="s">
        <v>167</v>
      </c>
      <c r="AA2" s="84" t="s">
        <v>167</v>
      </c>
      <c r="AB2" s="84" t="s">
        <v>167</v>
      </c>
      <c r="AC2" s="84" t="s">
        <v>167</v>
      </c>
      <c r="AD2" s="84" t="s">
        <v>167</v>
      </c>
      <c r="AE2" s="346" t="s">
        <v>216</v>
      </c>
      <c r="AF2" s="84" t="s">
        <v>215</v>
      </c>
      <c r="AG2" s="84" t="s">
        <v>215</v>
      </c>
      <c r="AH2" s="84" t="s">
        <v>215</v>
      </c>
      <c r="AI2" s="346" t="s">
        <v>214</v>
      </c>
    </row>
    <row r="3" spans="1:62" ht="36" x14ac:dyDescent="0.2">
      <c r="A3" s="87"/>
      <c r="B3" s="87"/>
      <c r="C3" s="87"/>
      <c r="D3" s="87"/>
      <c r="E3" s="87"/>
      <c r="F3" s="87"/>
      <c r="G3" s="84" t="s">
        <v>161</v>
      </c>
      <c r="H3" s="346"/>
      <c r="I3" s="84" t="s">
        <v>213</v>
      </c>
      <c r="J3" s="84" t="s">
        <v>212</v>
      </c>
      <c r="K3" s="84" t="s">
        <v>211</v>
      </c>
      <c r="L3" s="84" t="s">
        <v>210</v>
      </c>
      <c r="M3" s="84" t="s">
        <v>209</v>
      </c>
      <c r="N3" s="84" t="s">
        <v>208</v>
      </c>
      <c r="O3" s="84" t="s">
        <v>207</v>
      </c>
      <c r="P3" s="84" t="s">
        <v>206</v>
      </c>
      <c r="Q3" s="84" t="s">
        <v>205</v>
      </c>
      <c r="R3" s="84" t="s">
        <v>148</v>
      </c>
      <c r="S3" s="346"/>
      <c r="T3" s="84" t="s">
        <v>145</v>
      </c>
      <c r="U3" s="346"/>
      <c r="V3" s="84" t="s">
        <v>204</v>
      </c>
      <c r="W3" s="84" t="s">
        <v>203</v>
      </c>
      <c r="X3" s="84" t="s">
        <v>202</v>
      </c>
      <c r="Y3" s="84" t="s">
        <v>201</v>
      </c>
      <c r="Z3" s="84" t="s">
        <v>200</v>
      </c>
      <c r="AA3" s="84" t="s">
        <v>199</v>
      </c>
      <c r="AB3" s="84" t="s">
        <v>198</v>
      </c>
      <c r="AC3" s="84" t="s">
        <v>197</v>
      </c>
      <c r="AD3" s="84" t="s">
        <v>196</v>
      </c>
      <c r="AE3" s="346"/>
      <c r="AF3" s="84" t="s">
        <v>195</v>
      </c>
      <c r="AG3" s="84" t="s">
        <v>131</v>
      </c>
      <c r="AH3" s="84" t="s">
        <v>125</v>
      </c>
      <c r="AI3" s="346"/>
    </row>
    <row r="4" spans="1:62" ht="60" x14ac:dyDescent="0.2">
      <c r="A4" s="87"/>
      <c r="B4" s="85" t="s">
        <v>115</v>
      </c>
      <c r="C4" s="85" t="s">
        <v>114</v>
      </c>
      <c r="D4" s="85" t="s">
        <v>32</v>
      </c>
      <c r="E4" s="85" t="s">
        <v>113</v>
      </c>
      <c r="F4" s="85" t="s">
        <v>112</v>
      </c>
      <c r="G4" s="84" t="s">
        <v>111</v>
      </c>
      <c r="H4" s="346"/>
      <c r="I4" s="84" t="s">
        <v>194</v>
      </c>
      <c r="J4" s="84" t="s">
        <v>193</v>
      </c>
      <c r="K4" s="84" t="s">
        <v>192</v>
      </c>
      <c r="L4" s="84" t="s">
        <v>191</v>
      </c>
      <c r="M4" s="84" t="s">
        <v>190</v>
      </c>
      <c r="N4" s="84" t="s">
        <v>189</v>
      </c>
      <c r="O4" s="84" t="s">
        <v>188</v>
      </c>
      <c r="P4" s="84" t="s">
        <v>187</v>
      </c>
      <c r="Q4" s="84" t="s">
        <v>186</v>
      </c>
      <c r="R4" s="84" t="s">
        <v>97</v>
      </c>
      <c r="S4" s="346"/>
      <c r="T4" s="84" t="s">
        <v>93</v>
      </c>
      <c r="U4" s="346"/>
      <c r="V4" s="84" t="s">
        <v>185</v>
      </c>
      <c r="W4" s="84" t="s">
        <v>184</v>
      </c>
      <c r="X4" s="84" t="s">
        <v>183</v>
      </c>
      <c r="Y4" s="84" t="s">
        <v>182</v>
      </c>
      <c r="Z4" s="84" t="s">
        <v>181</v>
      </c>
      <c r="AA4" s="84" t="s">
        <v>180</v>
      </c>
      <c r="AB4" s="84" t="s">
        <v>179</v>
      </c>
      <c r="AC4" s="84" t="s">
        <v>178</v>
      </c>
      <c r="AD4" s="84" t="s">
        <v>177</v>
      </c>
      <c r="AE4" s="346"/>
      <c r="AF4" s="84" t="s">
        <v>176</v>
      </c>
      <c r="AG4" s="84" t="s">
        <v>78</v>
      </c>
      <c r="AH4" s="84" t="s">
        <v>72</v>
      </c>
      <c r="AI4" s="346"/>
    </row>
    <row r="5" spans="1:62" x14ac:dyDescent="0.2">
      <c r="A5" s="90" t="s">
        <v>175</v>
      </c>
      <c r="B5" s="62"/>
      <c r="C5" s="62"/>
      <c r="D5" s="121"/>
      <c r="E5" s="62" t="s">
        <v>62</v>
      </c>
      <c r="F5" s="62" t="s">
        <v>61</v>
      </c>
      <c r="G5" s="69" t="str">
        <f>IF(ISBLANK(ETPT_TPRX_DDG!$D$5),"",IF(ISERROR(ETPT_TPRX!G5),"",IF(ETPT_TPRX!G5=0,"",ETPT_TPRX!G5)))</f>
        <v/>
      </c>
      <c r="H5" s="46">
        <f t="shared" ref="H5:H15" si="0">SUM(G5)</f>
        <v>0</v>
      </c>
      <c r="I5" s="69" t="str">
        <f>IF(ISBLANK(ETPT_TPRX_DDG!$D$5),"",IF(ISERROR(ETPT_TPRX!I5),"",IF(ETPT_TPRX!I5=0,"",ETPT_TPRX!I5)))</f>
        <v/>
      </c>
      <c r="J5" s="69" t="str">
        <f>IF(ISBLANK(ETPT_TPRX_DDG!$D$5),"",IF(ISERROR(ETPT_TPRX!J5),"",IF(ETPT_TPRX!J5=0,"",ETPT_TPRX!J5)))</f>
        <v/>
      </c>
      <c r="K5" s="69" t="str">
        <f>IF(ISBLANK(ETPT_TPRX_DDG!$D$5),"",IF(ISERROR(ETPT_TPRX!K5),"",IF(ETPT_TPRX!K5=0,"",ETPT_TPRX!K5)))</f>
        <v/>
      </c>
      <c r="L5" s="69" t="str">
        <f>IF(ISBLANK(ETPT_TPRX_DDG!$D$5),"",IF(ISERROR(ETPT_TPRX!L5),"",IF(ETPT_TPRX!L5=0,"",ETPT_TPRX!L5)))</f>
        <v/>
      </c>
      <c r="M5" s="69" t="str">
        <f>IF(ISBLANK(ETPT_TPRX_DDG!$D$5),"",IF(ISERROR(ETPT_TPRX!M5),"",IF(ETPT_TPRX!M5=0,"",ETPT_TPRX!M5)))</f>
        <v/>
      </c>
      <c r="N5" s="69" t="str">
        <f>IF(ISBLANK(ETPT_TPRX_DDG!$D$5),"",IF(ISERROR(ETPT_TPRX!N5),"",IF(ETPT_TPRX!N5=0,"",ETPT_TPRX!N5)))</f>
        <v/>
      </c>
      <c r="O5" s="69" t="str">
        <f>IF(ISBLANK(ETPT_TPRX_DDG!$D$5),"",IF(ISERROR(ETPT_TPRX!O5),"",IF(ETPT_TPRX!O5=0,"",ETPT_TPRX!O5)))</f>
        <v/>
      </c>
      <c r="P5" s="69" t="str">
        <f>IF(ISBLANK(ETPT_TPRX_DDG!$D$5),"",IF(ISERROR(ETPT_TPRX!P5),"",IF(ETPT_TPRX!P5=0,"",ETPT_TPRX!P5)))</f>
        <v/>
      </c>
      <c r="Q5" s="69" t="str">
        <f>IF(ISBLANK(ETPT_TPRX_DDG!$D$5),"",IF(ISERROR(ETPT_TPRX!Q5),"",IF(ETPT_TPRX!Q5=0,"",ETPT_TPRX!Q5)))</f>
        <v/>
      </c>
      <c r="R5" s="69" t="str">
        <f>IF(ISBLANK(ETPT_TPRX_DDG!$D$5),"",IF(ISERROR(ETPT_TPRX!R5),"",IF(ETPT_TPRX!R5=0,"",ETPT_TPRX!R5)))</f>
        <v/>
      </c>
      <c r="S5" s="46">
        <f t="shared" ref="S5:S15" si="1">SUM(I5:R5)</f>
        <v>0</v>
      </c>
      <c r="T5" s="69" t="str">
        <f>IF(ISBLANK(ETPT_TPRX_DDG!$D$5),"",IF(ISERROR(ETPT_TPRX!T5),"",IF(ETPT_TPRX!T5=0,"",ETPT_TPRX!T5)))</f>
        <v/>
      </c>
      <c r="U5" s="46">
        <f t="shared" ref="U5:U15" si="2">SUM(T5)</f>
        <v>0</v>
      </c>
      <c r="V5" s="69" t="str">
        <f>IF(ISBLANK(ETPT_TPRX_DDG!$D$5),"",IF(ISERROR(ETPT_TPRX!V5),"",IF(ETPT_TPRX!V5=0,"",ETPT_TPRX!V5)))</f>
        <v/>
      </c>
      <c r="W5" s="69" t="str">
        <f>IF(ISBLANK(ETPT_TPRX_DDG!$D$5),"",IF(ISERROR(ETPT_TPRX!W5),"",IF(ETPT_TPRX!W5=0,"",ETPT_TPRX!W5)))</f>
        <v/>
      </c>
      <c r="X5" s="69" t="str">
        <f>IF(ISBLANK(ETPT_TPRX_DDG!$D$5),"",IF(ISERROR(ETPT_TPRX!X5),"",IF(ETPT_TPRX!X5=0,"",ETPT_TPRX!X5)))</f>
        <v/>
      </c>
      <c r="Y5" s="69" t="str">
        <f>IF(ISBLANK(ETPT_TPRX_DDG!$D$5),"",IF(ISERROR(ETPT_TPRX!Y5),"",IF(ETPT_TPRX!Y5=0,"",ETPT_TPRX!Y5)))</f>
        <v/>
      </c>
      <c r="Z5" s="69" t="str">
        <f>IF(ISBLANK(ETPT_TPRX_DDG!$D$5),"",IF(ISERROR(ETPT_TPRX!Z5),"",IF(ETPT_TPRX!Z5=0,"",ETPT_TPRX!Z5)))</f>
        <v/>
      </c>
      <c r="AA5" s="69" t="str">
        <f>IF(ISBLANK(ETPT_TPRX_DDG!$D$5),"",IF(ISERROR(ETPT_TPRX!AA5),"",IF(ETPT_TPRX!AA5=0,"",ETPT_TPRX!AA5)))</f>
        <v/>
      </c>
      <c r="AB5" s="69" t="str">
        <f>IF(ISBLANK(ETPT_TPRX_DDG!$D$5),"",IF(ISERROR(ETPT_TPRX!AB5),"",IF(ETPT_TPRX!AB5=0,"",ETPT_TPRX!AB5)))</f>
        <v/>
      </c>
      <c r="AC5" s="69" t="str">
        <f>IF(ISBLANK(ETPT_TPRX_DDG!$D$5),"",IF(ISERROR(ETPT_TPRX!AC5),"",IF(ETPT_TPRX!AC5=0,"",ETPT_TPRX!AC5)))</f>
        <v/>
      </c>
      <c r="AD5" s="69" t="str">
        <f>IF(ISBLANK(ETPT_TPRX_DDG!$D$5),"",IF(ISERROR(ETPT_TPRX!AD5),"",IF(ETPT_TPRX!AD5=0,"",ETPT_TPRX!AD5)))</f>
        <v/>
      </c>
      <c r="AE5" s="46">
        <f t="shared" ref="AE5:AE15" si="3">SUM(V5:AD5)</f>
        <v>0</v>
      </c>
      <c r="AF5" s="69" t="str">
        <f>IF(ISBLANK(ETPT_TPRX_DDG!$D$5),"",IF(ISERROR(ETPT_TPRX!AF5),"",IF(ETPT_TPRX!AF5=0,"",ETPT_TPRX!AF5)))</f>
        <v/>
      </c>
      <c r="AG5" s="69" t="str">
        <f>IF(ISBLANK(ETPT_TPRX_DDG!$D$5),"",IF(ISERROR(ETPT_TPRX!AG5),"",IF(ETPT_TPRX!AG5=0,"",ETPT_TPRX!AG5)))</f>
        <v/>
      </c>
      <c r="AH5" s="69" t="str">
        <f>IF(ISBLANK(ETPT_TPRX_DDG!$D$5),"",IF(ISERROR(ETPT_TPRX!AH5),"",IF(ETPT_TPRX!AH5=0,"",ETPT_TPRX!AH5)))</f>
        <v/>
      </c>
      <c r="AI5" s="46">
        <f t="shared" ref="AI5:AI15" si="4">SUM(AF5:AH5)</f>
        <v>0</v>
      </c>
    </row>
    <row r="6" spans="1:62" x14ac:dyDescent="0.2">
      <c r="A6" s="90" t="s">
        <v>175</v>
      </c>
      <c r="B6" s="62"/>
      <c r="C6" s="62"/>
      <c r="D6" s="62" t="str">
        <f t="shared" ref="D6:D15" si="5">IF(ISBLANK($D$5),"",$D$5)</f>
        <v/>
      </c>
      <c r="E6" s="62" t="s">
        <v>60</v>
      </c>
      <c r="F6" s="62" t="s">
        <v>59</v>
      </c>
      <c r="G6" s="69" t="str">
        <f>IF(ISBLANK(ETPT_TPRX_DDG!$D$5),"",IF(ISERROR(ETPT_TPRX!G6),"",IF(ETPT_TPRX!G6=0,"",ETPT_TPRX!G6)))</f>
        <v/>
      </c>
      <c r="H6" s="46">
        <f t="shared" si="0"/>
        <v>0</v>
      </c>
      <c r="I6" s="69" t="str">
        <f>IF(ISBLANK(ETPT_TPRX_DDG!$D$5),"",IF(ISERROR(ETPT_TPRX!I6),"",IF(ETPT_TPRX!I6=0,"",ETPT_TPRX!I6)))</f>
        <v/>
      </c>
      <c r="J6" s="69" t="str">
        <f>IF(ISBLANK(ETPT_TPRX_DDG!$D$5),"",IF(ISERROR(ETPT_TPRX!J6),"",IF(ETPT_TPRX!J6=0,"",ETPT_TPRX!J6)))</f>
        <v/>
      </c>
      <c r="K6" s="69" t="str">
        <f>IF(ISBLANK(ETPT_TPRX_DDG!$D$5),"",IF(ISERROR(ETPT_TPRX!K6),"",IF(ETPT_TPRX!K6=0,"",ETPT_TPRX!K6)))</f>
        <v/>
      </c>
      <c r="L6" s="69" t="str">
        <f>IF(ISBLANK(ETPT_TPRX_DDG!$D$5),"",IF(ISERROR(ETPT_TPRX!L6),"",IF(ETPT_TPRX!L6=0,"",ETPT_TPRX!L6)))</f>
        <v/>
      </c>
      <c r="M6" s="69" t="str">
        <f>IF(ISBLANK(ETPT_TPRX_DDG!$D$5),"",IF(ISERROR(ETPT_TPRX!M6),"",IF(ETPT_TPRX!M6=0,"",ETPT_TPRX!M6)))</f>
        <v/>
      </c>
      <c r="N6" s="69" t="str">
        <f>IF(ISBLANK(ETPT_TPRX_DDG!$D$5),"",IF(ISERROR(ETPT_TPRX!N6),"",IF(ETPT_TPRX!N6=0,"",ETPT_TPRX!N6)))</f>
        <v/>
      </c>
      <c r="O6" s="69" t="str">
        <f>IF(ISBLANK(ETPT_TPRX_DDG!$D$5),"",IF(ISERROR(ETPT_TPRX!O6),"",IF(ETPT_TPRX!O6=0,"",ETPT_TPRX!O6)))</f>
        <v/>
      </c>
      <c r="P6" s="69" t="str">
        <f>IF(ISBLANK(ETPT_TPRX_DDG!$D$5),"",IF(ISERROR(ETPT_TPRX!P6),"",IF(ETPT_TPRX!P6=0,"",ETPT_TPRX!P6)))</f>
        <v/>
      </c>
      <c r="Q6" s="69" t="str">
        <f>IF(ISBLANK(ETPT_TPRX_DDG!$D$5),"",IF(ISERROR(ETPT_TPRX!Q6),"",IF(ETPT_TPRX!Q6=0,"",ETPT_TPRX!Q6)))</f>
        <v/>
      </c>
      <c r="R6" s="69" t="str">
        <f>IF(ISBLANK(ETPT_TPRX_DDG!$D$5),"",IF(ISERROR(ETPT_TPRX!R6),"",IF(ETPT_TPRX!R6=0,"",ETPT_TPRX!R6)))</f>
        <v/>
      </c>
      <c r="S6" s="46">
        <f t="shared" si="1"/>
        <v>0</v>
      </c>
      <c r="T6" s="69" t="str">
        <f>IF(ISBLANK(ETPT_TPRX_DDG!$D$5),"",IF(ISERROR(ETPT_TPRX!T6),"",IF(ETPT_TPRX!T6=0,"",ETPT_TPRX!T6)))</f>
        <v/>
      </c>
      <c r="U6" s="46">
        <f t="shared" si="2"/>
        <v>0</v>
      </c>
      <c r="V6" s="69" t="str">
        <f>IF(ISBLANK(ETPT_TPRX_DDG!$D$5),"",IF(ISERROR(ETPT_TPRX!V6),"",IF(ETPT_TPRX!V6=0,"",ETPT_TPRX!V6)))</f>
        <v/>
      </c>
      <c r="W6" s="69" t="str">
        <f>IF(ISBLANK(ETPT_TPRX_DDG!$D$5),"",IF(ISERROR(ETPT_TPRX!W6),"",IF(ETPT_TPRX!W6=0,"",ETPT_TPRX!W6)))</f>
        <v/>
      </c>
      <c r="X6" s="69" t="str">
        <f>IF(ISBLANK(ETPT_TPRX_DDG!$D$5),"",IF(ISERROR(ETPT_TPRX!X6),"",IF(ETPT_TPRX!X6=0,"",ETPT_TPRX!X6)))</f>
        <v/>
      </c>
      <c r="Y6" s="69" t="str">
        <f>IF(ISBLANK(ETPT_TPRX_DDG!$D$5),"",IF(ISERROR(ETPT_TPRX!Y6),"",IF(ETPT_TPRX!Y6=0,"",ETPT_TPRX!Y6)))</f>
        <v/>
      </c>
      <c r="Z6" s="69" t="str">
        <f>IF(ISBLANK(ETPT_TPRX_DDG!$D$5),"",IF(ISERROR(ETPT_TPRX!Z6),"",IF(ETPT_TPRX!Z6=0,"",ETPT_TPRX!Z6)))</f>
        <v/>
      </c>
      <c r="AA6" s="69" t="str">
        <f>IF(ISBLANK(ETPT_TPRX_DDG!$D$5),"",IF(ISERROR(ETPT_TPRX!AA6),"",IF(ETPT_TPRX!AA6=0,"",ETPT_TPRX!AA6)))</f>
        <v/>
      </c>
      <c r="AB6" s="69" t="str">
        <f>IF(ISBLANK(ETPT_TPRX_DDG!$D$5),"",IF(ISERROR(ETPT_TPRX!AB6),"",IF(ETPT_TPRX!AB6=0,"",ETPT_TPRX!AB6)))</f>
        <v/>
      </c>
      <c r="AC6" s="69" t="str">
        <f>IF(ISBLANK(ETPT_TPRX_DDG!$D$5),"",IF(ISERROR(ETPT_TPRX!AC6),"",IF(ETPT_TPRX!AC6=0,"",ETPT_TPRX!AC6)))</f>
        <v/>
      </c>
      <c r="AD6" s="69" t="str">
        <f>IF(ISBLANK(ETPT_TPRX_DDG!$D$5),"",IF(ISERROR(ETPT_TPRX!AD6),"",IF(ETPT_TPRX!AD6=0,"",ETPT_TPRX!AD6)))</f>
        <v/>
      </c>
      <c r="AE6" s="46">
        <f t="shared" si="3"/>
        <v>0</v>
      </c>
      <c r="AF6" s="69" t="str">
        <f>IF(ISBLANK(ETPT_TPRX_DDG!$D$5),"",IF(ISERROR(ETPT_TPRX!AF6),"",IF(ETPT_TPRX!AF6=0,"",ETPT_TPRX!AF6)))</f>
        <v/>
      </c>
      <c r="AG6" s="69" t="str">
        <f>IF(ISBLANK(ETPT_TPRX_DDG!$D$5),"",IF(ISERROR(ETPT_TPRX!AG6),"",IF(ETPT_TPRX!AG6=0,"",ETPT_TPRX!AG6)))</f>
        <v/>
      </c>
      <c r="AH6" s="69" t="str">
        <f>IF(ISBLANK(ETPT_TPRX_DDG!$D$5),"",IF(ISERROR(ETPT_TPRX!AH6),"",IF(ETPT_TPRX!AH6=0,"",ETPT_TPRX!AH6)))</f>
        <v/>
      </c>
      <c r="AI6" s="46">
        <f t="shared" si="4"/>
        <v>0</v>
      </c>
    </row>
    <row r="7" spans="1:62" x14ac:dyDescent="0.2">
      <c r="A7" s="90" t="s">
        <v>175</v>
      </c>
      <c r="B7" s="62"/>
      <c r="C7" s="62"/>
      <c r="D7" s="62" t="str">
        <f t="shared" si="5"/>
        <v/>
      </c>
      <c r="E7" s="62" t="s">
        <v>58</v>
      </c>
      <c r="F7" s="62" t="s">
        <v>57</v>
      </c>
      <c r="G7" s="69" t="str">
        <f>IF(ISBLANK(ETPT_TPRX_DDG!$D$5),"",IF(ISERROR(ETPT_TPRX!G7),"",IF(ETPT_TPRX!G7=0,"",ETPT_TPRX!G7)))</f>
        <v/>
      </c>
      <c r="H7" s="46">
        <f t="shared" si="0"/>
        <v>0</v>
      </c>
      <c r="I7" s="69" t="str">
        <f>IF(ISBLANK(ETPT_TPRX_DDG!$D$5),"",IF(ISERROR(ETPT_TPRX!I7),"",IF(ETPT_TPRX!I7=0,"",ETPT_TPRX!I7)))</f>
        <v/>
      </c>
      <c r="J7" s="69" t="str">
        <f>IF(ISBLANK(ETPT_TPRX_DDG!$D$5),"",IF(ISERROR(ETPT_TPRX!J7),"",IF(ETPT_TPRX!J7=0,"",ETPT_TPRX!J7)))</f>
        <v/>
      </c>
      <c r="K7" s="69" t="str">
        <f>IF(ISBLANK(ETPT_TPRX_DDG!$D$5),"",IF(ISERROR(ETPT_TPRX!K7),"",IF(ETPT_TPRX!K7=0,"",ETPT_TPRX!K7)))</f>
        <v/>
      </c>
      <c r="L7" s="69" t="str">
        <f>IF(ISBLANK(ETPT_TPRX_DDG!$D$5),"",IF(ISERROR(ETPT_TPRX!L7),"",IF(ETPT_TPRX!L7=0,"",ETPT_TPRX!L7)))</f>
        <v/>
      </c>
      <c r="M7" s="69" t="str">
        <f>IF(ISBLANK(ETPT_TPRX_DDG!$D$5),"",IF(ISERROR(ETPT_TPRX!M7),"",IF(ETPT_TPRX!M7=0,"",ETPT_TPRX!M7)))</f>
        <v/>
      </c>
      <c r="N7" s="69" t="str">
        <f>IF(ISBLANK(ETPT_TPRX_DDG!$D$5),"",IF(ISERROR(ETPT_TPRX!N7),"",IF(ETPT_TPRX!N7=0,"",ETPT_TPRX!N7)))</f>
        <v/>
      </c>
      <c r="O7" s="69" t="str">
        <f>IF(ISBLANK(ETPT_TPRX_DDG!$D$5),"",IF(ISERROR(ETPT_TPRX!O7),"",IF(ETPT_TPRX!O7=0,"",ETPT_TPRX!O7)))</f>
        <v/>
      </c>
      <c r="P7" s="69" t="str">
        <f>IF(ISBLANK(ETPT_TPRX_DDG!$D$5),"",IF(ISERROR(ETPT_TPRX!P7),"",IF(ETPT_TPRX!P7=0,"",ETPT_TPRX!P7)))</f>
        <v/>
      </c>
      <c r="Q7" s="69" t="str">
        <f>IF(ISBLANK(ETPT_TPRX_DDG!$D$5),"",IF(ISERROR(ETPT_TPRX!Q7),"",IF(ETPT_TPRX!Q7=0,"",ETPT_TPRX!Q7)))</f>
        <v/>
      </c>
      <c r="R7" s="69" t="str">
        <f>IF(ISBLANK(ETPT_TPRX_DDG!$D$5),"",IF(ISERROR(ETPT_TPRX!R7),"",IF(ETPT_TPRX!R7=0,"",ETPT_TPRX!R7)))</f>
        <v/>
      </c>
      <c r="S7" s="46">
        <f t="shared" si="1"/>
        <v>0</v>
      </c>
      <c r="T7" s="69" t="str">
        <f>IF(ISBLANK(ETPT_TPRX_DDG!$D$5),"",IF(ISERROR(ETPT_TPRX!T7),"",IF(ETPT_TPRX!T7=0,"",ETPT_TPRX!T7)))</f>
        <v/>
      </c>
      <c r="U7" s="46">
        <f t="shared" si="2"/>
        <v>0</v>
      </c>
      <c r="V7" s="69" t="str">
        <f>IF(ISBLANK(ETPT_TPRX_DDG!$D$5),"",IF(ISERROR(ETPT_TPRX!V7),"",IF(ETPT_TPRX!V7=0,"",ETPT_TPRX!V7)))</f>
        <v/>
      </c>
      <c r="W7" s="69" t="str">
        <f>IF(ISBLANK(ETPT_TPRX_DDG!$D$5),"",IF(ISERROR(ETPT_TPRX!W7),"",IF(ETPT_TPRX!W7=0,"",ETPT_TPRX!W7)))</f>
        <v/>
      </c>
      <c r="X7" s="69" t="str">
        <f>IF(ISBLANK(ETPT_TPRX_DDG!$D$5),"",IF(ISERROR(ETPT_TPRX!X7),"",IF(ETPT_TPRX!X7=0,"",ETPT_TPRX!X7)))</f>
        <v/>
      </c>
      <c r="Y7" s="69" t="str">
        <f>IF(ISBLANK(ETPT_TPRX_DDG!$D$5),"",IF(ISERROR(ETPT_TPRX!Y7),"",IF(ETPT_TPRX!Y7=0,"",ETPT_TPRX!Y7)))</f>
        <v/>
      </c>
      <c r="Z7" s="69" t="str">
        <f>IF(ISBLANK(ETPT_TPRX_DDG!$D$5),"",IF(ISERROR(ETPT_TPRX!Z7),"",IF(ETPT_TPRX!Z7=0,"",ETPT_TPRX!Z7)))</f>
        <v/>
      </c>
      <c r="AA7" s="69" t="str">
        <f>IF(ISBLANK(ETPT_TPRX_DDG!$D$5),"",IF(ISERROR(ETPT_TPRX!AA7),"",IF(ETPT_TPRX!AA7=0,"",ETPT_TPRX!AA7)))</f>
        <v/>
      </c>
      <c r="AB7" s="69" t="str">
        <f>IF(ISBLANK(ETPT_TPRX_DDG!$D$5),"",IF(ISERROR(ETPT_TPRX!AB7),"",IF(ETPT_TPRX!AB7=0,"",ETPT_TPRX!AB7)))</f>
        <v/>
      </c>
      <c r="AC7" s="69" t="str">
        <f>IF(ISBLANK(ETPT_TPRX_DDG!$D$5),"",IF(ISERROR(ETPT_TPRX!AC7),"",IF(ETPT_TPRX!AC7=0,"",ETPT_TPRX!AC7)))</f>
        <v/>
      </c>
      <c r="AD7" s="69" t="str">
        <f>IF(ISBLANK(ETPT_TPRX_DDG!$D$5),"",IF(ISERROR(ETPT_TPRX!AD7),"",IF(ETPT_TPRX!AD7=0,"",ETPT_TPRX!AD7)))</f>
        <v/>
      </c>
      <c r="AE7" s="46">
        <f t="shared" si="3"/>
        <v>0</v>
      </c>
      <c r="AF7" s="69" t="str">
        <f>IF(ISBLANK(ETPT_TPRX_DDG!$D$5),"",IF(ISERROR(ETPT_TPRX!AF7),"",IF(ETPT_TPRX!AF7=0,"",ETPT_TPRX!AF7)))</f>
        <v/>
      </c>
      <c r="AG7" s="69" t="str">
        <f>IF(ISBLANK(ETPT_TPRX_DDG!$D$5),"",IF(ISERROR(ETPT_TPRX!AG7),"",IF(ETPT_TPRX!AG7=0,"",ETPT_TPRX!AG7)))</f>
        <v/>
      </c>
      <c r="AH7" s="69" t="str">
        <f>IF(ISBLANK(ETPT_TPRX_DDG!$D$5),"",IF(ISERROR(ETPT_TPRX!AH7),"",IF(ETPT_TPRX!AH7=0,"",ETPT_TPRX!AH7)))</f>
        <v/>
      </c>
      <c r="AI7" s="46">
        <f t="shared" si="4"/>
        <v>0</v>
      </c>
    </row>
    <row r="8" spans="1:62" x14ac:dyDescent="0.2">
      <c r="A8" s="90" t="s">
        <v>175</v>
      </c>
      <c r="B8" s="62"/>
      <c r="C8" s="62"/>
      <c r="D8" s="62" t="str">
        <f t="shared" si="5"/>
        <v/>
      </c>
      <c r="E8" s="62" t="s">
        <v>56</v>
      </c>
      <c r="F8" s="62" t="s">
        <v>55</v>
      </c>
      <c r="G8" s="69" t="str">
        <f>IF(ISBLANK(ETPT_TPRX_DDG!$D$5),"",IF(ISERROR(ETPT_TPRX!G8),"",IF(ETPT_TPRX!G8=0,"",ETPT_TPRX!G8)))</f>
        <v/>
      </c>
      <c r="H8" s="46">
        <f t="shared" si="0"/>
        <v>0</v>
      </c>
      <c r="I8" s="69" t="str">
        <f>IF(ISBLANK(ETPT_TPRX_DDG!$D$5),"",IF(ISERROR(ETPT_TPRX!I8),"",IF(ETPT_TPRX!I8=0,"",ETPT_TPRX!I8)))</f>
        <v/>
      </c>
      <c r="J8" s="69" t="str">
        <f>IF(ISBLANK(ETPT_TPRX_DDG!$D$5),"",IF(ISERROR(ETPT_TPRX!J8),"",IF(ETPT_TPRX!J8=0,"",ETPT_TPRX!J8)))</f>
        <v/>
      </c>
      <c r="K8" s="69" t="str">
        <f>IF(ISBLANK(ETPT_TPRX_DDG!$D$5),"",IF(ISERROR(ETPT_TPRX!K8),"",IF(ETPT_TPRX!K8=0,"",ETPT_TPRX!K8)))</f>
        <v/>
      </c>
      <c r="L8" s="69" t="str">
        <f>IF(ISBLANK(ETPT_TPRX_DDG!$D$5),"",IF(ISERROR(ETPT_TPRX!L8),"",IF(ETPT_TPRX!L8=0,"",ETPT_TPRX!L8)))</f>
        <v/>
      </c>
      <c r="M8" s="69" t="str">
        <f>IF(ISBLANK(ETPT_TPRX_DDG!$D$5),"",IF(ISERROR(ETPT_TPRX!M8),"",IF(ETPT_TPRX!M8=0,"",ETPT_TPRX!M8)))</f>
        <v/>
      </c>
      <c r="N8" s="69" t="str">
        <f>IF(ISBLANK(ETPT_TPRX_DDG!$D$5),"",IF(ISERROR(ETPT_TPRX!N8),"",IF(ETPT_TPRX!N8=0,"",ETPT_TPRX!N8)))</f>
        <v/>
      </c>
      <c r="O8" s="69" t="str">
        <f>IF(ISBLANK(ETPT_TPRX_DDG!$D$5),"",IF(ISERROR(ETPT_TPRX!O8),"",IF(ETPT_TPRX!O8=0,"",ETPT_TPRX!O8)))</f>
        <v/>
      </c>
      <c r="P8" s="69" t="str">
        <f>IF(ISBLANK(ETPT_TPRX_DDG!$D$5),"",IF(ISERROR(ETPT_TPRX!P8),"",IF(ETPT_TPRX!P8=0,"",ETPT_TPRX!P8)))</f>
        <v/>
      </c>
      <c r="Q8" s="69" t="str">
        <f>IF(ISBLANK(ETPT_TPRX_DDG!$D$5),"",IF(ISERROR(ETPT_TPRX!Q8),"",IF(ETPT_TPRX!Q8=0,"",ETPT_TPRX!Q8)))</f>
        <v/>
      </c>
      <c r="R8" s="69" t="str">
        <f>IF(ISBLANK(ETPT_TPRX_DDG!$D$5),"",IF(ISERROR(ETPT_TPRX!R8),"",IF(ETPT_TPRX!R8=0,"",ETPT_TPRX!R8)))</f>
        <v/>
      </c>
      <c r="S8" s="46">
        <f t="shared" si="1"/>
        <v>0</v>
      </c>
      <c r="T8" s="69" t="str">
        <f>IF(ISBLANK(ETPT_TPRX_DDG!$D$5),"",IF(ISERROR(ETPT_TPRX!T8),"",IF(ETPT_TPRX!T8=0,"",ETPT_TPRX!T8)))</f>
        <v/>
      </c>
      <c r="U8" s="46">
        <f t="shared" si="2"/>
        <v>0</v>
      </c>
      <c r="V8" s="69" t="str">
        <f>IF(ISBLANK(ETPT_TPRX_DDG!$D$5),"",IF(ISERROR(ETPT_TPRX!V8),"",IF(ETPT_TPRX!V8=0,"",ETPT_TPRX!V8)))</f>
        <v/>
      </c>
      <c r="W8" s="69" t="str">
        <f>IF(ISBLANK(ETPT_TPRX_DDG!$D$5),"",IF(ISERROR(ETPT_TPRX!W8),"",IF(ETPT_TPRX!W8=0,"",ETPT_TPRX!W8)))</f>
        <v/>
      </c>
      <c r="X8" s="69" t="str">
        <f>IF(ISBLANK(ETPT_TPRX_DDG!$D$5),"",IF(ISERROR(ETPT_TPRX!X8),"",IF(ETPT_TPRX!X8=0,"",ETPT_TPRX!X8)))</f>
        <v/>
      </c>
      <c r="Y8" s="69" t="str">
        <f>IF(ISBLANK(ETPT_TPRX_DDG!$D$5),"",IF(ISERROR(ETPT_TPRX!Y8),"",IF(ETPT_TPRX!Y8=0,"",ETPT_TPRX!Y8)))</f>
        <v/>
      </c>
      <c r="Z8" s="69" t="str">
        <f>IF(ISBLANK(ETPT_TPRX_DDG!$D$5),"",IF(ISERROR(ETPT_TPRX!Z8),"",IF(ETPT_TPRX!Z8=0,"",ETPT_TPRX!Z8)))</f>
        <v/>
      </c>
      <c r="AA8" s="69" t="str">
        <f>IF(ISBLANK(ETPT_TPRX_DDG!$D$5),"",IF(ISERROR(ETPT_TPRX!AA8),"",IF(ETPT_TPRX!AA8=0,"",ETPT_TPRX!AA8)))</f>
        <v/>
      </c>
      <c r="AB8" s="69" t="str">
        <f>IF(ISBLANK(ETPT_TPRX_DDG!$D$5),"",IF(ISERROR(ETPT_TPRX!AB8),"",IF(ETPT_TPRX!AB8=0,"",ETPT_TPRX!AB8)))</f>
        <v/>
      </c>
      <c r="AC8" s="69" t="str">
        <f>IF(ISBLANK(ETPT_TPRX_DDG!$D$5),"",IF(ISERROR(ETPT_TPRX!AC8),"",IF(ETPT_TPRX!AC8=0,"",ETPT_TPRX!AC8)))</f>
        <v/>
      </c>
      <c r="AD8" s="69" t="str">
        <f>IF(ISBLANK(ETPT_TPRX_DDG!$D$5),"",IF(ISERROR(ETPT_TPRX!AD8),"",IF(ETPT_TPRX!AD8=0,"",ETPT_TPRX!AD8)))</f>
        <v/>
      </c>
      <c r="AE8" s="46">
        <f t="shared" si="3"/>
        <v>0</v>
      </c>
      <c r="AF8" s="69" t="str">
        <f>IF(ISBLANK(ETPT_TPRX_DDG!$D$5),"",IF(ISERROR(ETPT_TPRX!AF8),"",IF(ETPT_TPRX!AF8=0,"",ETPT_TPRX!AF8)))</f>
        <v/>
      </c>
      <c r="AG8" s="69" t="str">
        <f>IF(ISBLANK(ETPT_TPRX_DDG!$D$5),"",IF(ISERROR(ETPT_TPRX!AG8),"",IF(ETPT_TPRX!AG8=0,"",ETPT_TPRX!AG8)))</f>
        <v/>
      </c>
      <c r="AH8" s="69" t="str">
        <f>IF(ISBLANK(ETPT_TPRX_DDG!$D$5),"",IF(ISERROR(ETPT_TPRX!AH8),"",IF(ETPT_TPRX!AH8=0,"",ETPT_TPRX!AH8)))</f>
        <v/>
      </c>
      <c r="AI8" s="46">
        <f t="shared" si="4"/>
        <v>0</v>
      </c>
    </row>
    <row r="9" spans="1:62" x14ac:dyDescent="0.2">
      <c r="A9" s="90" t="s">
        <v>175</v>
      </c>
      <c r="B9" s="62"/>
      <c r="C9" s="62"/>
      <c r="D9" s="62" t="str">
        <f t="shared" si="5"/>
        <v/>
      </c>
      <c r="E9" s="62" t="s">
        <v>54</v>
      </c>
      <c r="F9" s="62" t="s">
        <v>53</v>
      </c>
      <c r="G9" s="69" t="str">
        <f>IF(ISBLANK(ETPT_TPRX_DDG!$D$5),"",IF(ISERROR(ETPT_TPRX!G9),"",IF(ETPT_TPRX!G9=0,"",ETPT_TPRX!G9)))</f>
        <v/>
      </c>
      <c r="H9" s="46">
        <f t="shared" si="0"/>
        <v>0</v>
      </c>
      <c r="I9" s="69" t="str">
        <f>IF(ISBLANK(ETPT_TPRX_DDG!$D$5),"",IF(ISERROR(ETPT_TPRX!I9),"",IF(ETPT_TPRX!I9=0,"",ETPT_TPRX!I9)))</f>
        <v/>
      </c>
      <c r="J9" s="69" t="str">
        <f>IF(ISBLANK(ETPT_TPRX_DDG!$D$5),"",IF(ISERROR(ETPT_TPRX!J9),"",IF(ETPT_TPRX!J9=0,"",ETPT_TPRX!J9)))</f>
        <v/>
      </c>
      <c r="K9" s="69" t="str">
        <f>IF(ISBLANK(ETPT_TPRX_DDG!$D$5),"",IF(ISERROR(ETPT_TPRX!K9),"",IF(ETPT_TPRX!K9=0,"",ETPT_TPRX!K9)))</f>
        <v/>
      </c>
      <c r="L9" s="69" t="str">
        <f>IF(ISBLANK(ETPT_TPRX_DDG!$D$5),"",IF(ISERROR(ETPT_TPRX!L9),"",IF(ETPT_TPRX!L9=0,"",ETPT_TPRX!L9)))</f>
        <v/>
      </c>
      <c r="M9" s="69" t="str">
        <f>IF(ISBLANK(ETPT_TPRX_DDG!$D$5),"",IF(ISERROR(ETPT_TPRX!M9),"",IF(ETPT_TPRX!M9=0,"",ETPT_TPRX!M9)))</f>
        <v/>
      </c>
      <c r="N9" s="69" t="str">
        <f>IF(ISBLANK(ETPT_TPRX_DDG!$D$5),"",IF(ISERROR(ETPT_TPRX!N9),"",IF(ETPT_TPRX!N9=0,"",ETPT_TPRX!N9)))</f>
        <v/>
      </c>
      <c r="O9" s="69" t="str">
        <f>IF(ISBLANK(ETPT_TPRX_DDG!$D$5),"",IF(ISERROR(ETPT_TPRX!O9),"",IF(ETPT_TPRX!O9=0,"",ETPT_TPRX!O9)))</f>
        <v/>
      </c>
      <c r="P9" s="69" t="str">
        <f>IF(ISBLANK(ETPT_TPRX_DDG!$D$5),"",IF(ISERROR(ETPT_TPRX!P9),"",IF(ETPT_TPRX!P9=0,"",ETPT_TPRX!P9)))</f>
        <v/>
      </c>
      <c r="Q9" s="69" t="str">
        <f>IF(ISBLANK(ETPT_TPRX_DDG!$D$5),"",IF(ISERROR(ETPT_TPRX!Q9),"",IF(ETPT_TPRX!Q9=0,"",ETPT_TPRX!Q9)))</f>
        <v/>
      </c>
      <c r="R9" s="69" t="str">
        <f>IF(ISBLANK(ETPT_TPRX_DDG!$D$5),"",IF(ISERROR(ETPT_TPRX!R9),"",IF(ETPT_TPRX!R9=0,"",ETPT_TPRX!R9)))</f>
        <v/>
      </c>
      <c r="S9" s="46">
        <f t="shared" si="1"/>
        <v>0</v>
      </c>
      <c r="T9" s="69" t="str">
        <f>IF(ISBLANK(ETPT_TPRX_DDG!$D$5),"",IF(ISERROR(ETPT_TPRX!T9),"",IF(ETPT_TPRX!T9=0,"",ETPT_TPRX!T9)))</f>
        <v/>
      </c>
      <c r="U9" s="46">
        <f t="shared" si="2"/>
        <v>0</v>
      </c>
      <c r="V9" s="69" t="str">
        <f>IF(ISBLANK(ETPT_TPRX_DDG!$D$5),"",IF(ISERROR(ETPT_TPRX!V9),"",IF(ETPT_TPRX!V9=0,"",ETPT_TPRX!V9)))</f>
        <v/>
      </c>
      <c r="W9" s="69" t="str">
        <f>IF(ISBLANK(ETPT_TPRX_DDG!$D$5),"",IF(ISERROR(ETPT_TPRX!W9),"",IF(ETPT_TPRX!W9=0,"",ETPT_TPRX!W9)))</f>
        <v/>
      </c>
      <c r="X9" s="69" t="str">
        <f>IF(ISBLANK(ETPT_TPRX_DDG!$D$5),"",IF(ISERROR(ETPT_TPRX!X9),"",IF(ETPT_TPRX!X9=0,"",ETPT_TPRX!X9)))</f>
        <v/>
      </c>
      <c r="Y9" s="69" t="str">
        <f>IF(ISBLANK(ETPT_TPRX_DDG!$D$5),"",IF(ISERROR(ETPT_TPRX!Y9),"",IF(ETPT_TPRX!Y9=0,"",ETPT_TPRX!Y9)))</f>
        <v/>
      </c>
      <c r="Z9" s="69" t="str">
        <f>IF(ISBLANK(ETPT_TPRX_DDG!$D$5),"",IF(ISERROR(ETPT_TPRX!Z9),"",IF(ETPT_TPRX!Z9=0,"",ETPT_TPRX!Z9)))</f>
        <v/>
      </c>
      <c r="AA9" s="69" t="str">
        <f>IF(ISBLANK(ETPT_TPRX_DDG!$D$5),"",IF(ISERROR(ETPT_TPRX!AA9),"",IF(ETPT_TPRX!AA9=0,"",ETPT_TPRX!AA9)))</f>
        <v/>
      </c>
      <c r="AB9" s="69" t="str">
        <f>IF(ISBLANK(ETPT_TPRX_DDG!$D$5),"",IF(ISERROR(ETPT_TPRX!AB9),"",IF(ETPT_TPRX!AB9=0,"",ETPT_TPRX!AB9)))</f>
        <v/>
      </c>
      <c r="AC9" s="69" t="str">
        <f>IF(ISBLANK(ETPT_TPRX_DDG!$D$5),"",IF(ISERROR(ETPT_TPRX!AC9),"",IF(ETPT_TPRX!AC9=0,"",ETPT_TPRX!AC9)))</f>
        <v/>
      </c>
      <c r="AD9" s="69" t="str">
        <f>IF(ISBLANK(ETPT_TPRX_DDG!$D$5),"",IF(ISERROR(ETPT_TPRX!AD9),"",IF(ETPT_TPRX!AD9=0,"",ETPT_TPRX!AD9)))</f>
        <v/>
      </c>
      <c r="AE9" s="46">
        <f t="shared" si="3"/>
        <v>0</v>
      </c>
      <c r="AF9" s="69" t="str">
        <f>IF(ISBLANK(ETPT_TPRX_DDG!$D$5),"",IF(ISERROR(ETPT_TPRX!AF9),"",IF(ETPT_TPRX!AF9=0,"",ETPT_TPRX!AF9)))</f>
        <v/>
      </c>
      <c r="AG9" s="69" t="str">
        <f>IF(ISBLANK(ETPT_TPRX_DDG!$D$5),"",IF(ISERROR(ETPT_TPRX!AG9),"",IF(ETPT_TPRX!AG9=0,"",ETPT_TPRX!AG9)))</f>
        <v/>
      </c>
      <c r="AH9" s="69" t="str">
        <f>IF(ISBLANK(ETPT_TPRX_DDG!$D$5),"",IF(ISERROR(ETPT_TPRX!AH9),"",IF(ETPT_TPRX!AH9=0,"",ETPT_TPRX!AH9)))</f>
        <v/>
      </c>
      <c r="AI9" s="46">
        <f t="shared" si="4"/>
        <v>0</v>
      </c>
    </row>
    <row r="10" spans="1:62" x14ac:dyDescent="0.2">
      <c r="A10" s="90" t="s">
        <v>175</v>
      </c>
      <c r="B10" s="62"/>
      <c r="C10" s="62"/>
      <c r="D10" s="62" t="str">
        <f t="shared" si="5"/>
        <v/>
      </c>
      <c r="E10" s="62" t="s">
        <v>52</v>
      </c>
      <c r="F10" s="62" t="s">
        <v>51</v>
      </c>
      <c r="G10" s="69" t="str">
        <f>IF(ISBLANK(ETPT_TPRX_DDG!$D$5),"",IF(ISERROR(ETPT_TPRX!G10),"",IF(ETPT_TPRX!G10=0,"",ETPT_TPRX!G10)))</f>
        <v/>
      </c>
      <c r="H10" s="46">
        <f t="shared" si="0"/>
        <v>0</v>
      </c>
      <c r="I10" s="69" t="str">
        <f>IF(ISBLANK(ETPT_TPRX_DDG!$D$5),"",IF(ISERROR(ETPT_TPRX!I10),"",IF(ETPT_TPRX!I10=0,"",ETPT_TPRX!I10)))</f>
        <v/>
      </c>
      <c r="J10" s="69" t="str">
        <f>IF(ISBLANK(ETPT_TPRX_DDG!$D$5),"",IF(ISERROR(ETPT_TPRX!J10),"",IF(ETPT_TPRX!J10=0,"",ETPT_TPRX!J10)))</f>
        <v/>
      </c>
      <c r="K10" s="69" t="str">
        <f>IF(ISBLANK(ETPT_TPRX_DDG!$D$5),"",IF(ISERROR(ETPT_TPRX!K10),"",IF(ETPT_TPRX!K10=0,"",ETPT_TPRX!K10)))</f>
        <v/>
      </c>
      <c r="L10" s="69" t="str">
        <f>IF(ISBLANK(ETPT_TPRX_DDG!$D$5),"",IF(ISERROR(ETPT_TPRX!L10),"",IF(ETPT_TPRX!L10=0,"",ETPT_TPRX!L10)))</f>
        <v/>
      </c>
      <c r="M10" s="69" t="str">
        <f>IF(ISBLANK(ETPT_TPRX_DDG!$D$5),"",IF(ISERROR(ETPT_TPRX!M10),"",IF(ETPT_TPRX!M10=0,"",ETPT_TPRX!M10)))</f>
        <v/>
      </c>
      <c r="N10" s="69" t="str">
        <f>IF(ISBLANK(ETPT_TPRX_DDG!$D$5),"",IF(ISERROR(ETPT_TPRX!N10),"",IF(ETPT_TPRX!N10=0,"",ETPT_TPRX!N10)))</f>
        <v/>
      </c>
      <c r="O10" s="69" t="str">
        <f>IF(ISBLANK(ETPT_TPRX_DDG!$D$5),"",IF(ISERROR(ETPT_TPRX!O10),"",IF(ETPT_TPRX!O10=0,"",ETPT_TPRX!O10)))</f>
        <v/>
      </c>
      <c r="P10" s="69" t="str">
        <f>IF(ISBLANK(ETPT_TPRX_DDG!$D$5),"",IF(ISERROR(ETPT_TPRX!P10),"",IF(ETPT_TPRX!P10=0,"",ETPT_TPRX!P10)))</f>
        <v/>
      </c>
      <c r="Q10" s="69" t="str">
        <f>IF(ISBLANK(ETPT_TPRX_DDG!$D$5),"",IF(ISERROR(ETPT_TPRX!Q10),"",IF(ETPT_TPRX!Q10=0,"",ETPT_TPRX!Q10)))</f>
        <v/>
      </c>
      <c r="R10" s="69" t="str">
        <f>IF(ISBLANK(ETPT_TPRX_DDG!$D$5),"",IF(ISERROR(ETPT_TPRX!R10),"",IF(ETPT_TPRX!R10=0,"",ETPT_TPRX!R10)))</f>
        <v/>
      </c>
      <c r="S10" s="46">
        <f t="shared" si="1"/>
        <v>0</v>
      </c>
      <c r="T10" s="69" t="str">
        <f>IF(ISBLANK(ETPT_TPRX_DDG!$D$5),"",IF(ISERROR(ETPT_TPRX!T10),"",IF(ETPT_TPRX!T10=0,"",ETPT_TPRX!T10)))</f>
        <v/>
      </c>
      <c r="U10" s="46">
        <f t="shared" si="2"/>
        <v>0</v>
      </c>
      <c r="V10" s="69" t="str">
        <f>IF(ISBLANK(ETPT_TPRX_DDG!$D$5),"",IF(ISERROR(ETPT_TPRX!V10),"",IF(ETPT_TPRX!V10=0,"",ETPT_TPRX!V10)))</f>
        <v/>
      </c>
      <c r="W10" s="69" t="str">
        <f>IF(ISBLANK(ETPT_TPRX_DDG!$D$5),"",IF(ISERROR(ETPT_TPRX!W10),"",IF(ETPT_TPRX!W10=0,"",ETPT_TPRX!W10)))</f>
        <v/>
      </c>
      <c r="X10" s="69" t="str">
        <f>IF(ISBLANK(ETPT_TPRX_DDG!$D$5),"",IF(ISERROR(ETPT_TPRX!X10),"",IF(ETPT_TPRX!X10=0,"",ETPT_TPRX!X10)))</f>
        <v/>
      </c>
      <c r="Y10" s="69" t="str">
        <f>IF(ISBLANK(ETPT_TPRX_DDG!$D$5),"",IF(ISERROR(ETPT_TPRX!Y10),"",IF(ETPT_TPRX!Y10=0,"",ETPT_TPRX!Y10)))</f>
        <v/>
      </c>
      <c r="Z10" s="69" t="str">
        <f>IF(ISBLANK(ETPT_TPRX_DDG!$D$5),"",IF(ISERROR(ETPT_TPRX!Z10),"",IF(ETPT_TPRX!Z10=0,"",ETPT_TPRX!Z10)))</f>
        <v/>
      </c>
      <c r="AA10" s="69" t="str">
        <f>IF(ISBLANK(ETPT_TPRX_DDG!$D$5),"",IF(ISERROR(ETPT_TPRX!AA10),"",IF(ETPT_TPRX!AA10=0,"",ETPT_TPRX!AA10)))</f>
        <v/>
      </c>
      <c r="AB10" s="69" t="str">
        <f>IF(ISBLANK(ETPT_TPRX_DDG!$D$5),"",IF(ISERROR(ETPT_TPRX!AB10),"",IF(ETPT_TPRX!AB10=0,"",ETPT_TPRX!AB10)))</f>
        <v/>
      </c>
      <c r="AC10" s="69" t="str">
        <f>IF(ISBLANK(ETPT_TPRX_DDG!$D$5),"",IF(ISERROR(ETPT_TPRX!AC10),"",IF(ETPT_TPRX!AC10=0,"",ETPT_TPRX!AC10)))</f>
        <v/>
      </c>
      <c r="AD10" s="69" t="str">
        <f>IF(ISBLANK(ETPT_TPRX_DDG!$D$5),"",IF(ISERROR(ETPT_TPRX!AD10),"",IF(ETPT_TPRX!AD10=0,"",ETPT_TPRX!AD10)))</f>
        <v/>
      </c>
      <c r="AE10" s="46">
        <f t="shared" si="3"/>
        <v>0</v>
      </c>
      <c r="AF10" s="69" t="str">
        <f>IF(ISBLANK(ETPT_TPRX_DDG!$D$5),"",IF(ISERROR(ETPT_TPRX!AF10),"",IF(ETPT_TPRX!AF10=0,"",ETPT_TPRX!AF10)))</f>
        <v/>
      </c>
      <c r="AG10" s="69" t="str">
        <f>IF(ISBLANK(ETPT_TPRX_DDG!$D$5),"",IF(ISERROR(ETPT_TPRX!AG10),"",IF(ETPT_TPRX!AG10=0,"",ETPT_TPRX!AG10)))</f>
        <v/>
      </c>
      <c r="AH10" s="69" t="str">
        <f>IF(ISBLANK(ETPT_TPRX_DDG!$D$5),"",IF(ISERROR(ETPT_TPRX!AH10),"",IF(ETPT_TPRX!AH10=0,"",ETPT_TPRX!AH10)))</f>
        <v/>
      </c>
      <c r="AI10" s="46">
        <f t="shared" si="4"/>
        <v>0</v>
      </c>
    </row>
    <row r="11" spans="1:62" x14ac:dyDescent="0.2">
      <c r="A11" s="90" t="s">
        <v>175</v>
      </c>
      <c r="B11" s="62"/>
      <c r="C11" s="62"/>
      <c r="D11" s="62" t="str">
        <f t="shared" si="5"/>
        <v/>
      </c>
      <c r="E11" s="62" t="s">
        <v>50</v>
      </c>
      <c r="F11" s="62" t="s">
        <v>49</v>
      </c>
      <c r="G11" s="69" t="str">
        <f>IF(ISBLANK(ETPT_TPRX_DDG!$D$5),"",IF(ISERROR(ETPT_TPRX!G11),"",IF(ETPT_TPRX!G11=0,"",ETPT_TPRX!G11)))</f>
        <v/>
      </c>
      <c r="H11" s="46">
        <f t="shared" si="0"/>
        <v>0</v>
      </c>
      <c r="I11" s="69" t="str">
        <f>IF(ISBLANK(ETPT_TPRX_DDG!$D$5),"",IF(ISERROR(ETPT_TPRX!I11),"",IF(ETPT_TPRX!I11=0,"",ETPT_TPRX!I11)))</f>
        <v/>
      </c>
      <c r="J11" s="69" t="str">
        <f>IF(ISBLANK(ETPT_TPRX_DDG!$D$5),"",IF(ISERROR(ETPT_TPRX!J11),"",IF(ETPT_TPRX!J11=0,"",ETPT_TPRX!J11)))</f>
        <v/>
      </c>
      <c r="K11" s="69" t="str">
        <f>IF(ISBLANK(ETPT_TPRX_DDG!$D$5),"",IF(ISERROR(ETPT_TPRX!K11),"",IF(ETPT_TPRX!K11=0,"",ETPT_TPRX!K11)))</f>
        <v/>
      </c>
      <c r="L11" s="69" t="str">
        <f>IF(ISBLANK(ETPT_TPRX_DDG!$D$5),"",IF(ISERROR(ETPT_TPRX!L11),"",IF(ETPT_TPRX!L11=0,"",ETPT_TPRX!L11)))</f>
        <v/>
      </c>
      <c r="M11" s="69" t="str">
        <f>IF(ISBLANK(ETPT_TPRX_DDG!$D$5),"",IF(ISERROR(ETPT_TPRX!M11),"",IF(ETPT_TPRX!M11=0,"",ETPT_TPRX!M11)))</f>
        <v/>
      </c>
      <c r="N11" s="69" t="str">
        <f>IF(ISBLANK(ETPT_TPRX_DDG!$D$5),"",IF(ISERROR(ETPT_TPRX!N11),"",IF(ETPT_TPRX!N11=0,"",ETPT_TPRX!N11)))</f>
        <v/>
      </c>
      <c r="O11" s="69" t="str">
        <f>IF(ISBLANK(ETPT_TPRX_DDG!$D$5),"",IF(ISERROR(ETPT_TPRX!O11),"",IF(ETPT_TPRX!O11=0,"",ETPT_TPRX!O11)))</f>
        <v/>
      </c>
      <c r="P11" s="69" t="str">
        <f>IF(ISBLANK(ETPT_TPRX_DDG!$D$5),"",IF(ISERROR(ETPT_TPRX!P11),"",IF(ETPT_TPRX!P11=0,"",ETPT_TPRX!P11)))</f>
        <v/>
      </c>
      <c r="Q11" s="69" t="str">
        <f>IF(ISBLANK(ETPT_TPRX_DDG!$D$5),"",IF(ISERROR(ETPT_TPRX!Q11),"",IF(ETPT_TPRX!Q11=0,"",ETPT_TPRX!Q11)))</f>
        <v/>
      </c>
      <c r="R11" s="69" t="str">
        <f>IF(ISBLANK(ETPT_TPRX_DDG!$D$5),"",IF(ISERROR(ETPT_TPRX!R11),"",IF(ETPT_TPRX!R11=0,"",ETPT_TPRX!R11)))</f>
        <v/>
      </c>
      <c r="S11" s="46">
        <f t="shared" si="1"/>
        <v>0</v>
      </c>
      <c r="T11" s="69" t="str">
        <f>IF(ISBLANK(ETPT_TPRX_DDG!$D$5),"",IF(ISERROR(ETPT_TPRX!T11),"",IF(ETPT_TPRX!T11=0,"",ETPT_TPRX!T11)))</f>
        <v/>
      </c>
      <c r="U11" s="46">
        <f t="shared" si="2"/>
        <v>0</v>
      </c>
      <c r="V11" s="69" t="str">
        <f>IF(ISBLANK(ETPT_TPRX_DDG!$D$5),"",IF(ISERROR(ETPT_TPRX!V11),"",IF(ETPT_TPRX!V11=0,"",ETPT_TPRX!V11)))</f>
        <v/>
      </c>
      <c r="W11" s="69" t="str">
        <f>IF(ISBLANK(ETPT_TPRX_DDG!$D$5),"",IF(ISERROR(ETPT_TPRX!W11),"",IF(ETPT_TPRX!W11=0,"",ETPT_TPRX!W11)))</f>
        <v/>
      </c>
      <c r="X11" s="69" t="str">
        <f>IF(ISBLANK(ETPT_TPRX_DDG!$D$5),"",IF(ISERROR(ETPT_TPRX!X11),"",IF(ETPT_TPRX!X11=0,"",ETPT_TPRX!X11)))</f>
        <v/>
      </c>
      <c r="Y11" s="69" t="str">
        <f>IF(ISBLANK(ETPT_TPRX_DDG!$D$5),"",IF(ISERROR(ETPT_TPRX!Y11),"",IF(ETPT_TPRX!Y11=0,"",ETPT_TPRX!Y11)))</f>
        <v/>
      </c>
      <c r="Z11" s="69" t="str">
        <f>IF(ISBLANK(ETPT_TPRX_DDG!$D$5),"",IF(ISERROR(ETPT_TPRX!Z11),"",IF(ETPT_TPRX!Z11=0,"",ETPT_TPRX!Z11)))</f>
        <v/>
      </c>
      <c r="AA11" s="69" t="str">
        <f>IF(ISBLANK(ETPT_TPRX_DDG!$D$5),"",IF(ISERROR(ETPT_TPRX!AA11),"",IF(ETPT_TPRX!AA11=0,"",ETPT_TPRX!AA11)))</f>
        <v/>
      </c>
      <c r="AB11" s="69" t="str">
        <f>IF(ISBLANK(ETPT_TPRX_DDG!$D$5),"",IF(ISERROR(ETPT_TPRX!AB11),"",IF(ETPT_TPRX!AB11=0,"",ETPT_TPRX!AB11)))</f>
        <v/>
      </c>
      <c r="AC11" s="69" t="str">
        <f>IF(ISBLANK(ETPT_TPRX_DDG!$D$5),"",IF(ISERROR(ETPT_TPRX!AC11),"",IF(ETPT_TPRX!AC11=0,"",ETPT_TPRX!AC11)))</f>
        <v/>
      </c>
      <c r="AD11" s="69" t="str">
        <f>IF(ISBLANK(ETPT_TPRX_DDG!$D$5),"",IF(ISERROR(ETPT_TPRX!AD11),"",IF(ETPT_TPRX!AD11=0,"",ETPT_TPRX!AD11)))</f>
        <v/>
      </c>
      <c r="AE11" s="46">
        <f t="shared" si="3"/>
        <v>0</v>
      </c>
      <c r="AF11" s="69" t="str">
        <f>IF(ISBLANK(ETPT_TPRX_DDG!$D$5),"",IF(ISERROR(ETPT_TPRX!AF11),"",IF(ETPT_TPRX!AF11=0,"",ETPT_TPRX!AF11)))</f>
        <v/>
      </c>
      <c r="AG11" s="69" t="str">
        <f>IF(ISBLANK(ETPT_TPRX_DDG!$D$5),"",IF(ISERROR(ETPT_TPRX!AG11),"",IF(ETPT_TPRX!AG11=0,"",ETPT_TPRX!AG11)))</f>
        <v/>
      </c>
      <c r="AH11" s="69" t="str">
        <f>IF(ISBLANK(ETPT_TPRX_DDG!$D$5),"",IF(ISERROR(ETPT_TPRX!AH11),"",IF(ETPT_TPRX!AH11=0,"",ETPT_TPRX!AH11)))</f>
        <v/>
      </c>
      <c r="AI11" s="46">
        <f t="shared" si="4"/>
        <v>0</v>
      </c>
    </row>
    <row r="12" spans="1:62" x14ac:dyDescent="0.2">
      <c r="A12" s="90" t="s">
        <v>175</v>
      </c>
      <c r="B12" s="62"/>
      <c r="C12" s="62"/>
      <c r="D12" s="62" t="str">
        <f t="shared" si="5"/>
        <v/>
      </c>
      <c r="E12" s="62" t="s">
        <v>48</v>
      </c>
      <c r="F12" s="62" t="s">
        <v>47</v>
      </c>
      <c r="G12" s="69" t="str">
        <f>IF(ISBLANK(ETPT_TPRX_DDG!$D$5),"",IF(ISERROR(ETPT_TPRX!G12),"",IF(ETPT_TPRX!G12=0,"",ETPT_TPRX!G12)))</f>
        <v/>
      </c>
      <c r="H12" s="46">
        <f t="shared" si="0"/>
        <v>0</v>
      </c>
      <c r="I12" s="69" t="str">
        <f>IF(ISBLANK(ETPT_TPRX_DDG!$D$5),"",IF(ISERROR(ETPT_TPRX!I12),"",IF(ETPT_TPRX!I12=0,"",ETPT_TPRX!I12)))</f>
        <v/>
      </c>
      <c r="J12" s="69" t="str">
        <f>IF(ISBLANK(ETPT_TPRX_DDG!$D$5),"",IF(ISERROR(ETPT_TPRX!J12),"",IF(ETPT_TPRX!J12=0,"",ETPT_TPRX!J12)))</f>
        <v/>
      </c>
      <c r="K12" s="69" t="str">
        <f>IF(ISBLANK(ETPT_TPRX_DDG!$D$5),"",IF(ISERROR(ETPT_TPRX!K12),"",IF(ETPT_TPRX!K12=0,"",ETPT_TPRX!K12)))</f>
        <v/>
      </c>
      <c r="L12" s="69" t="str">
        <f>IF(ISBLANK(ETPT_TPRX_DDG!$D$5),"",IF(ISERROR(ETPT_TPRX!L12),"",IF(ETPT_TPRX!L12=0,"",ETPT_TPRX!L12)))</f>
        <v/>
      </c>
      <c r="M12" s="69" t="str">
        <f>IF(ISBLANK(ETPT_TPRX_DDG!$D$5),"",IF(ISERROR(ETPT_TPRX!M12),"",IF(ETPT_TPRX!M12=0,"",ETPT_TPRX!M12)))</f>
        <v/>
      </c>
      <c r="N12" s="69" t="str">
        <f>IF(ISBLANK(ETPT_TPRX_DDG!$D$5),"",IF(ISERROR(ETPT_TPRX!N12),"",IF(ETPT_TPRX!N12=0,"",ETPT_TPRX!N12)))</f>
        <v/>
      </c>
      <c r="O12" s="69" t="str">
        <f>IF(ISBLANK(ETPT_TPRX_DDG!$D$5),"",IF(ISERROR(ETPT_TPRX!O12),"",IF(ETPT_TPRX!O12=0,"",ETPT_TPRX!O12)))</f>
        <v/>
      </c>
      <c r="P12" s="69" t="str">
        <f>IF(ISBLANK(ETPT_TPRX_DDG!$D$5),"",IF(ISERROR(ETPT_TPRX!P12),"",IF(ETPT_TPRX!P12=0,"",ETPT_TPRX!P12)))</f>
        <v/>
      </c>
      <c r="Q12" s="69" t="str">
        <f>IF(ISBLANK(ETPT_TPRX_DDG!$D$5),"",IF(ISERROR(ETPT_TPRX!Q12),"",IF(ETPT_TPRX!Q12=0,"",ETPT_TPRX!Q12)))</f>
        <v/>
      </c>
      <c r="R12" s="69" t="str">
        <f>IF(ISBLANK(ETPT_TPRX_DDG!$D$5),"",IF(ISERROR(ETPT_TPRX!R12),"",IF(ETPT_TPRX!R12=0,"",ETPT_TPRX!R12)))</f>
        <v/>
      </c>
      <c r="S12" s="46">
        <f t="shared" si="1"/>
        <v>0</v>
      </c>
      <c r="T12" s="69" t="str">
        <f>IF(ISBLANK(ETPT_TPRX_DDG!$D$5),"",IF(ISERROR(ETPT_TPRX!T12),"",IF(ETPT_TPRX!T12=0,"",ETPT_TPRX!T12)))</f>
        <v/>
      </c>
      <c r="U12" s="46">
        <f t="shared" si="2"/>
        <v>0</v>
      </c>
      <c r="V12" s="69" t="str">
        <f>IF(ISBLANK(ETPT_TPRX_DDG!$D$5),"",IF(ISERROR(ETPT_TPRX!V12),"",IF(ETPT_TPRX!V12=0,"",ETPT_TPRX!V12)))</f>
        <v/>
      </c>
      <c r="W12" s="69" t="str">
        <f>IF(ISBLANK(ETPT_TPRX_DDG!$D$5),"",IF(ISERROR(ETPT_TPRX!W12),"",IF(ETPT_TPRX!W12=0,"",ETPT_TPRX!W12)))</f>
        <v/>
      </c>
      <c r="X12" s="69" t="str">
        <f>IF(ISBLANK(ETPT_TPRX_DDG!$D$5),"",IF(ISERROR(ETPT_TPRX!X12),"",IF(ETPT_TPRX!X12=0,"",ETPT_TPRX!X12)))</f>
        <v/>
      </c>
      <c r="Y12" s="69" t="str">
        <f>IF(ISBLANK(ETPT_TPRX_DDG!$D$5),"",IF(ISERROR(ETPT_TPRX!Y12),"",IF(ETPT_TPRX!Y12=0,"",ETPT_TPRX!Y12)))</f>
        <v/>
      </c>
      <c r="Z12" s="69" t="str">
        <f>IF(ISBLANK(ETPT_TPRX_DDG!$D$5),"",IF(ISERROR(ETPT_TPRX!Z12),"",IF(ETPT_TPRX!Z12=0,"",ETPT_TPRX!Z12)))</f>
        <v/>
      </c>
      <c r="AA12" s="69" t="str">
        <f>IF(ISBLANK(ETPT_TPRX_DDG!$D$5),"",IF(ISERROR(ETPT_TPRX!AA12),"",IF(ETPT_TPRX!AA12=0,"",ETPT_TPRX!AA12)))</f>
        <v/>
      </c>
      <c r="AB12" s="69" t="str">
        <f>IF(ISBLANK(ETPT_TPRX_DDG!$D$5),"",IF(ISERROR(ETPT_TPRX!AB12),"",IF(ETPT_TPRX!AB12=0,"",ETPT_TPRX!AB12)))</f>
        <v/>
      </c>
      <c r="AC12" s="69" t="str">
        <f>IF(ISBLANK(ETPT_TPRX_DDG!$D$5),"",IF(ISERROR(ETPT_TPRX!AC12),"",IF(ETPT_TPRX!AC12=0,"",ETPT_TPRX!AC12)))</f>
        <v/>
      </c>
      <c r="AD12" s="69" t="str">
        <f>IF(ISBLANK(ETPT_TPRX_DDG!$D$5),"",IF(ISERROR(ETPT_TPRX!AD12),"",IF(ETPT_TPRX!AD12=0,"",ETPT_TPRX!AD12)))</f>
        <v/>
      </c>
      <c r="AE12" s="46">
        <f t="shared" si="3"/>
        <v>0</v>
      </c>
      <c r="AF12" s="69" t="str">
        <f>IF(ISBLANK(ETPT_TPRX_DDG!$D$5),"",IF(ISERROR(ETPT_TPRX!AF12),"",IF(ETPT_TPRX!AF12=0,"",ETPT_TPRX!AF12)))</f>
        <v/>
      </c>
      <c r="AG12" s="69" t="str">
        <f>IF(ISBLANK(ETPT_TPRX_DDG!$D$5),"",IF(ISERROR(ETPT_TPRX!AG12),"",IF(ETPT_TPRX!AG12=0,"",ETPT_TPRX!AG12)))</f>
        <v/>
      </c>
      <c r="AH12" s="69" t="str">
        <f>IF(ISBLANK(ETPT_TPRX_DDG!$D$5),"",IF(ISERROR(ETPT_TPRX!AH12),"",IF(ETPT_TPRX!AH12=0,"",ETPT_TPRX!AH12)))</f>
        <v/>
      </c>
      <c r="AI12" s="46">
        <f t="shared" si="4"/>
        <v>0</v>
      </c>
    </row>
    <row r="13" spans="1:62" x14ac:dyDescent="0.2">
      <c r="A13" s="90" t="s">
        <v>175</v>
      </c>
      <c r="B13" s="62"/>
      <c r="C13" s="62"/>
      <c r="D13" s="62" t="str">
        <f t="shared" si="5"/>
        <v/>
      </c>
      <c r="E13" s="62" t="s">
        <v>46</v>
      </c>
      <c r="F13" s="62" t="s">
        <v>45</v>
      </c>
      <c r="G13" s="69" t="str">
        <f>IF(ISBLANK(ETPT_TPRX_DDG!$D$5),"",IF(ISERROR(ETPT_TPRX!G13),"",IF(ETPT_TPRX!G13=0,"",ETPT_TPRX!G13)))</f>
        <v/>
      </c>
      <c r="H13" s="46">
        <f t="shared" si="0"/>
        <v>0</v>
      </c>
      <c r="I13" s="69" t="str">
        <f>IF(ISBLANK(ETPT_TPRX_DDG!$D$5),"",IF(ISERROR(ETPT_TPRX!I13),"",IF(ETPT_TPRX!I13=0,"",ETPT_TPRX!I13)))</f>
        <v/>
      </c>
      <c r="J13" s="69" t="str">
        <f>IF(ISBLANK(ETPT_TPRX_DDG!$D$5),"",IF(ISERROR(ETPT_TPRX!J13),"",IF(ETPT_TPRX!J13=0,"",ETPT_TPRX!J13)))</f>
        <v/>
      </c>
      <c r="K13" s="69" t="str">
        <f>IF(ISBLANK(ETPT_TPRX_DDG!$D$5),"",IF(ISERROR(ETPT_TPRX!K13),"",IF(ETPT_TPRX!K13=0,"",ETPT_TPRX!K13)))</f>
        <v/>
      </c>
      <c r="L13" s="69" t="str">
        <f>IF(ISBLANK(ETPT_TPRX_DDG!$D$5),"",IF(ISERROR(ETPT_TPRX!L13),"",IF(ETPT_TPRX!L13=0,"",ETPT_TPRX!L13)))</f>
        <v/>
      </c>
      <c r="M13" s="69" t="str">
        <f>IF(ISBLANK(ETPT_TPRX_DDG!$D$5),"",IF(ISERROR(ETPT_TPRX!M13),"",IF(ETPT_TPRX!M13=0,"",ETPT_TPRX!M13)))</f>
        <v/>
      </c>
      <c r="N13" s="69" t="str">
        <f>IF(ISBLANK(ETPT_TPRX_DDG!$D$5),"",IF(ISERROR(ETPT_TPRX!N13),"",IF(ETPT_TPRX!N13=0,"",ETPT_TPRX!N13)))</f>
        <v/>
      </c>
      <c r="O13" s="69" t="str">
        <f>IF(ISBLANK(ETPT_TPRX_DDG!$D$5),"",IF(ISERROR(ETPT_TPRX!O13),"",IF(ETPT_TPRX!O13=0,"",ETPT_TPRX!O13)))</f>
        <v/>
      </c>
      <c r="P13" s="69" t="str">
        <f>IF(ISBLANK(ETPT_TPRX_DDG!$D$5),"",IF(ISERROR(ETPT_TPRX!P13),"",IF(ETPT_TPRX!P13=0,"",ETPT_TPRX!P13)))</f>
        <v/>
      </c>
      <c r="Q13" s="69" t="str">
        <f>IF(ISBLANK(ETPT_TPRX_DDG!$D$5),"",IF(ISERROR(ETPT_TPRX!Q13),"",IF(ETPT_TPRX!Q13=0,"",ETPT_TPRX!Q13)))</f>
        <v/>
      </c>
      <c r="R13" s="69" t="str">
        <f>IF(ISBLANK(ETPT_TPRX_DDG!$D$5),"",IF(ISERROR(ETPT_TPRX!R13),"",IF(ETPT_TPRX!R13=0,"",ETPT_TPRX!R13)))</f>
        <v/>
      </c>
      <c r="S13" s="46">
        <f t="shared" si="1"/>
        <v>0</v>
      </c>
      <c r="T13" s="69" t="str">
        <f>IF(ISBLANK(ETPT_TPRX_DDG!$D$5),"",IF(ISERROR(ETPT_TPRX!T13),"",IF(ETPT_TPRX!T13=0,"",ETPT_TPRX!T13)))</f>
        <v/>
      </c>
      <c r="U13" s="46">
        <f t="shared" si="2"/>
        <v>0</v>
      </c>
      <c r="V13" s="69" t="str">
        <f>IF(ISBLANK(ETPT_TPRX_DDG!$D$5),"",IF(ISERROR(ETPT_TPRX!V13),"",IF(ETPT_TPRX!V13=0,"",ETPT_TPRX!V13)))</f>
        <v/>
      </c>
      <c r="W13" s="69" t="str">
        <f>IF(ISBLANK(ETPT_TPRX_DDG!$D$5),"",IF(ISERROR(ETPT_TPRX!W13),"",IF(ETPT_TPRX!W13=0,"",ETPT_TPRX!W13)))</f>
        <v/>
      </c>
      <c r="X13" s="69" t="str">
        <f>IF(ISBLANK(ETPT_TPRX_DDG!$D$5),"",IF(ISERROR(ETPT_TPRX!X13),"",IF(ETPT_TPRX!X13=0,"",ETPT_TPRX!X13)))</f>
        <v/>
      </c>
      <c r="Y13" s="69" t="str">
        <f>IF(ISBLANK(ETPT_TPRX_DDG!$D$5),"",IF(ISERROR(ETPT_TPRX!Y13),"",IF(ETPT_TPRX!Y13=0,"",ETPT_TPRX!Y13)))</f>
        <v/>
      </c>
      <c r="Z13" s="69" t="str">
        <f>IF(ISBLANK(ETPT_TPRX_DDG!$D$5),"",IF(ISERROR(ETPT_TPRX!Z13),"",IF(ETPT_TPRX!Z13=0,"",ETPT_TPRX!Z13)))</f>
        <v/>
      </c>
      <c r="AA13" s="69" t="str">
        <f>IF(ISBLANK(ETPT_TPRX_DDG!$D$5),"",IF(ISERROR(ETPT_TPRX!AA13),"",IF(ETPT_TPRX!AA13=0,"",ETPT_TPRX!AA13)))</f>
        <v/>
      </c>
      <c r="AB13" s="69" t="str">
        <f>IF(ISBLANK(ETPT_TPRX_DDG!$D$5),"",IF(ISERROR(ETPT_TPRX!AB13),"",IF(ETPT_TPRX!AB13=0,"",ETPT_TPRX!AB13)))</f>
        <v/>
      </c>
      <c r="AC13" s="69" t="str">
        <f>IF(ISBLANK(ETPT_TPRX_DDG!$D$5),"",IF(ISERROR(ETPT_TPRX!AC13),"",IF(ETPT_TPRX!AC13=0,"",ETPT_TPRX!AC13)))</f>
        <v/>
      </c>
      <c r="AD13" s="69" t="str">
        <f>IF(ISBLANK(ETPT_TPRX_DDG!$D$5),"",IF(ISERROR(ETPT_TPRX!AD13),"",IF(ETPT_TPRX!AD13=0,"",ETPT_TPRX!AD13)))</f>
        <v/>
      </c>
      <c r="AE13" s="46">
        <f t="shared" si="3"/>
        <v>0</v>
      </c>
      <c r="AF13" s="69" t="str">
        <f>IF(ISBLANK(ETPT_TPRX_DDG!$D$5),"",IF(ISERROR(ETPT_TPRX!AF13),"",IF(ETPT_TPRX!AF13=0,"",ETPT_TPRX!AF13)))</f>
        <v/>
      </c>
      <c r="AG13" s="69" t="str">
        <f>IF(ISBLANK(ETPT_TPRX_DDG!$D$5),"",IF(ISERROR(ETPT_TPRX!AG13),"",IF(ETPT_TPRX!AG13=0,"",ETPT_TPRX!AG13)))</f>
        <v/>
      </c>
      <c r="AH13" s="69" t="str">
        <f>IF(ISBLANK(ETPT_TPRX_DDG!$D$5),"",IF(ISERROR(ETPT_TPRX!AH13),"",IF(ETPT_TPRX!AH13=0,"",ETPT_TPRX!AH13)))</f>
        <v/>
      </c>
      <c r="AI13" s="46">
        <f t="shared" si="4"/>
        <v>0</v>
      </c>
    </row>
    <row r="14" spans="1:62" x14ac:dyDescent="0.2">
      <c r="A14" s="90" t="s">
        <v>175</v>
      </c>
      <c r="B14" s="62"/>
      <c r="C14" s="62"/>
      <c r="D14" s="62" t="str">
        <f t="shared" si="5"/>
        <v/>
      </c>
      <c r="E14" s="62" t="s">
        <v>44</v>
      </c>
      <c r="F14" s="62" t="s">
        <v>43</v>
      </c>
      <c r="G14" s="69" t="str">
        <f>IF(ISBLANK(ETPT_TPRX_DDG!$D$5),"",IF(ISERROR(ETPT_TPRX!G14),"",IF(ETPT_TPRX!G14=0,"",ETPT_TPRX!G14)))</f>
        <v/>
      </c>
      <c r="H14" s="46">
        <f t="shared" si="0"/>
        <v>0</v>
      </c>
      <c r="I14" s="69" t="str">
        <f>IF(ISBLANK(ETPT_TPRX_DDG!$D$5),"",IF(ISERROR(ETPT_TPRX!I14),"",IF(ETPT_TPRX!I14=0,"",ETPT_TPRX!I14)))</f>
        <v/>
      </c>
      <c r="J14" s="69" t="str">
        <f>IF(ISBLANK(ETPT_TPRX_DDG!$D$5),"",IF(ISERROR(ETPT_TPRX!J14),"",IF(ETPT_TPRX!J14=0,"",ETPT_TPRX!J14)))</f>
        <v/>
      </c>
      <c r="K14" s="69" t="str">
        <f>IF(ISBLANK(ETPT_TPRX_DDG!$D$5),"",IF(ISERROR(ETPT_TPRX!K14),"",IF(ETPT_TPRX!K14=0,"",ETPT_TPRX!K14)))</f>
        <v/>
      </c>
      <c r="L14" s="69" t="str">
        <f>IF(ISBLANK(ETPT_TPRX_DDG!$D$5),"",IF(ISERROR(ETPT_TPRX!L14),"",IF(ETPT_TPRX!L14=0,"",ETPT_TPRX!L14)))</f>
        <v/>
      </c>
      <c r="M14" s="69" t="str">
        <f>IF(ISBLANK(ETPT_TPRX_DDG!$D$5),"",IF(ISERROR(ETPT_TPRX!M14),"",IF(ETPT_TPRX!M14=0,"",ETPT_TPRX!M14)))</f>
        <v/>
      </c>
      <c r="N14" s="69" t="str">
        <f>IF(ISBLANK(ETPT_TPRX_DDG!$D$5),"",IF(ISERROR(ETPT_TPRX!N14),"",IF(ETPT_TPRX!N14=0,"",ETPT_TPRX!N14)))</f>
        <v/>
      </c>
      <c r="O14" s="69" t="str">
        <f>IF(ISBLANK(ETPT_TPRX_DDG!$D$5),"",IF(ISERROR(ETPT_TPRX!O14),"",IF(ETPT_TPRX!O14=0,"",ETPT_TPRX!O14)))</f>
        <v/>
      </c>
      <c r="P14" s="69" t="str">
        <f>IF(ISBLANK(ETPT_TPRX_DDG!$D$5),"",IF(ISERROR(ETPT_TPRX!P14),"",IF(ETPT_TPRX!P14=0,"",ETPT_TPRX!P14)))</f>
        <v/>
      </c>
      <c r="Q14" s="69" t="str">
        <f>IF(ISBLANK(ETPT_TPRX_DDG!$D$5),"",IF(ISERROR(ETPT_TPRX!Q14),"",IF(ETPT_TPRX!Q14=0,"",ETPT_TPRX!Q14)))</f>
        <v/>
      </c>
      <c r="R14" s="69" t="str">
        <f>IF(ISBLANK(ETPT_TPRX_DDG!$D$5),"",IF(ISERROR(ETPT_TPRX!R14),"",IF(ETPT_TPRX!R14=0,"",ETPT_TPRX!R14)))</f>
        <v/>
      </c>
      <c r="S14" s="46">
        <f t="shared" si="1"/>
        <v>0</v>
      </c>
      <c r="T14" s="69" t="str">
        <f>IF(ISBLANK(ETPT_TPRX_DDG!$D$5),"",IF(ISERROR(ETPT_TPRX!T14),"",IF(ETPT_TPRX!T14=0,"",ETPT_TPRX!T14)))</f>
        <v/>
      </c>
      <c r="U14" s="46">
        <f t="shared" si="2"/>
        <v>0</v>
      </c>
      <c r="V14" s="69" t="str">
        <f>IF(ISBLANK(ETPT_TPRX_DDG!$D$5),"",IF(ISERROR(ETPT_TPRX!V14),"",IF(ETPT_TPRX!V14=0,"",ETPT_TPRX!V14)))</f>
        <v/>
      </c>
      <c r="W14" s="69" t="str">
        <f>IF(ISBLANK(ETPT_TPRX_DDG!$D$5),"",IF(ISERROR(ETPT_TPRX!W14),"",IF(ETPT_TPRX!W14=0,"",ETPT_TPRX!W14)))</f>
        <v/>
      </c>
      <c r="X14" s="69" t="str">
        <f>IF(ISBLANK(ETPT_TPRX_DDG!$D$5),"",IF(ISERROR(ETPT_TPRX!X14),"",IF(ETPT_TPRX!X14=0,"",ETPT_TPRX!X14)))</f>
        <v/>
      </c>
      <c r="Y14" s="69" t="str">
        <f>IF(ISBLANK(ETPT_TPRX_DDG!$D$5),"",IF(ISERROR(ETPT_TPRX!Y14),"",IF(ETPT_TPRX!Y14=0,"",ETPT_TPRX!Y14)))</f>
        <v/>
      </c>
      <c r="Z14" s="69" t="str">
        <f>IF(ISBLANK(ETPT_TPRX_DDG!$D$5),"",IF(ISERROR(ETPT_TPRX!Z14),"",IF(ETPT_TPRX!Z14=0,"",ETPT_TPRX!Z14)))</f>
        <v/>
      </c>
      <c r="AA14" s="69" t="str">
        <f>IF(ISBLANK(ETPT_TPRX_DDG!$D$5),"",IF(ISERROR(ETPT_TPRX!AA14),"",IF(ETPT_TPRX!AA14=0,"",ETPT_TPRX!AA14)))</f>
        <v/>
      </c>
      <c r="AB14" s="69" t="str">
        <f>IF(ISBLANK(ETPT_TPRX_DDG!$D$5),"",IF(ISERROR(ETPT_TPRX!AB14),"",IF(ETPT_TPRX!AB14=0,"",ETPT_TPRX!AB14)))</f>
        <v/>
      </c>
      <c r="AC14" s="69" t="str">
        <f>IF(ISBLANK(ETPT_TPRX_DDG!$D$5),"",IF(ISERROR(ETPT_TPRX!AC14),"",IF(ETPT_TPRX!AC14=0,"",ETPT_TPRX!AC14)))</f>
        <v/>
      </c>
      <c r="AD14" s="69" t="str">
        <f>IF(ISBLANK(ETPT_TPRX_DDG!$D$5),"",IF(ISERROR(ETPT_TPRX!AD14),"",IF(ETPT_TPRX!AD14=0,"",ETPT_TPRX!AD14)))</f>
        <v/>
      </c>
      <c r="AE14" s="46">
        <f t="shared" si="3"/>
        <v>0</v>
      </c>
      <c r="AF14" s="69" t="str">
        <f>IF(ISBLANK(ETPT_TPRX_DDG!$D$5),"",IF(ISERROR(ETPT_TPRX!AF14),"",IF(ETPT_TPRX!AF14=0,"",ETPT_TPRX!AF14)))</f>
        <v/>
      </c>
      <c r="AG14" s="69" t="str">
        <f>IF(ISBLANK(ETPT_TPRX_DDG!$D$5),"",IF(ISERROR(ETPT_TPRX!AG14),"",IF(ETPT_TPRX!AG14=0,"",ETPT_TPRX!AG14)))</f>
        <v/>
      </c>
      <c r="AH14" s="69" t="str">
        <f>IF(ISBLANK(ETPT_TPRX_DDG!$D$5),"",IF(ISERROR(ETPT_TPRX!AH14),"",IF(ETPT_TPRX!AH14=0,"",ETPT_TPRX!AH14)))</f>
        <v/>
      </c>
      <c r="AI14" s="46">
        <f t="shared" si="4"/>
        <v>0</v>
      </c>
    </row>
    <row r="15" spans="1:62" x14ac:dyDescent="0.2">
      <c r="A15" s="90" t="s">
        <v>175</v>
      </c>
      <c r="B15" s="62"/>
      <c r="C15" s="62"/>
      <c r="D15" s="62" t="str">
        <f t="shared" si="5"/>
        <v/>
      </c>
      <c r="E15" s="62" t="s">
        <v>41</v>
      </c>
      <c r="F15" s="62" t="s">
        <v>40</v>
      </c>
      <c r="G15" s="69" t="str">
        <f>IF(ISBLANK(ETPT_TPRX_DDG!$D$5),"",IF(ISERROR(ETPT_TPRX!G15),"",IF(ETPT_TPRX!G15=0,"",ETPT_TPRX!G15)))</f>
        <v/>
      </c>
      <c r="H15" s="46">
        <f t="shared" si="0"/>
        <v>0</v>
      </c>
      <c r="I15" s="69" t="str">
        <f>IF(ISBLANK(ETPT_TPRX_DDG!$D$5),"",IF(ISERROR(ETPT_TPRX!I15),"",IF(ETPT_TPRX!I15=0,"",ETPT_TPRX!I15)))</f>
        <v/>
      </c>
      <c r="J15" s="69" t="str">
        <f>IF(ISBLANK(ETPT_TPRX_DDG!$D$5),"",IF(ISERROR(ETPT_TPRX!J15),"",IF(ETPT_TPRX!J15=0,"",ETPT_TPRX!J15)))</f>
        <v/>
      </c>
      <c r="K15" s="69" t="str">
        <f>IF(ISBLANK(ETPT_TPRX_DDG!$D$5),"",IF(ISERROR(ETPT_TPRX!K15),"",IF(ETPT_TPRX!K15=0,"",ETPT_TPRX!K15)))</f>
        <v/>
      </c>
      <c r="L15" s="69" t="str">
        <f>IF(ISBLANK(ETPT_TPRX_DDG!$D$5),"",IF(ISERROR(ETPT_TPRX!L15),"",IF(ETPT_TPRX!L15=0,"",ETPT_TPRX!L15)))</f>
        <v/>
      </c>
      <c r="M15" s="69" t="str">
        <f>IF(ISBLANK(ETPT_TPRX_DDG!$D$5),"",IF(ISERROR(ETPT_TPRX!M15),"",IF(ETPT_TPRX!M15=0,"",ETPT_TPRX!M15)))</f>
        <v/>
      </c>
      <c r="N15" s="69" t="str">
        <f>IF(ISBLANK(ETPT_TPRX_DDG!$D$5),"",IF(ISERROR(ETPT_TPRX!N15),"",IF(ETPT_TPRX!N15=0,"",ETPT_TPRX!N15)))</f>
        <v/>
      </c>
      <c r="O15" s="69" t="str">
        <f>IF(ISBLANK(ETPT_TPRX_DDG!$D$5),"",IF(ISERROR(ETPT_TPRX!O15),"",IF(ETPT_TPRX!O15=0,"",ETPT_TPRX!O15)))</f>
        <v/>
      </c>
      <c r="P15" s="69" t="str">
        <f>IF(ISBLANK(ETPT_TPRX_DDG!$D$5),"",IF(ISERROR(ETPT_TPRX!P15),"",IF(ETPT_TPRX!P15=0,"",ETPT_TPRX!P15)))</f>
        <v/>
      </c>
      <c r="Q15" s="69" t="str">
        <f>IF(ISBLANK(ETPT_TPRX_DDG!$D$5),"",IF(ISERROR(ETPT_TPRX!Q15),"",IF(ETPT_TPRX!Q15=0,"",ETPT_TPRX!Q15)))</f>
        <v/>
      </c>
      <c r="R15" s="69" t="str">
        <f>IF(ISBLANK(ETPT_TPRX_DDG!$D$5),"",IF(ISERROR(ETPT_TPRX!R15),"",IF(ETPT_TPRX!R15=0,"",ETPT_TPRX!R15)))</f>
        <v/>
      </c>
      <c r="S15" s="46">
        <f t="shared" si="1"/>
        <v>0</v>
      </c>
      <c r="T15" s="69" t="str">
        <f>IF(ISBLANK(ETPT_TPRX_DDG!$D$5),"",IF(ISERROR(ETPT_TPRX!T15),"",IF(ETPT_TPRX!T15=0,"",ETPT_TPRX!T15)))</f>
        <v/>
      </c>
      <c r="U15" s="46">
        <f t="shared" si="2"/>
        <v>0</v>
      </c>
      <c r="V15" s="69" t="str">
        <f>IF(ISBLANK(ETPT_TPRX_DDG!$D$5),"",IF(ISERROR(ETPT_TPRX!V15),"",IF(ETPT_TPRX!V15=0,"",ETPT_TPRX!V15)))</f>
        <v/>
      </c>
      <c r="W15" s="69" t="str">
        <f>IF(ISBLANK(ETPT_TPRX_DDG!$D$5),"",IF(ISERROR(ETPT_TPRX!W15),"",IF(ETPT_TPRX!W15=0,"",ETPT_TPRX!W15)))</f>
        <v/>
      </c>
      <c r="X15" s="69" t="str">
        <f>IF(ISBLANK(ETPT_TPRX_DDG!$D$5),"",IF(ISERROR(ETPT_TPRX!X15),"",IF(ETPT_TPRX!X15=0,"",ETPT_TPRX!X15)))</f>
        <v/>
      </c>
      <c r="Y15" s="69" t="str">
        <f>IF(ISBLANK(ETPT_TPRX_DDG!$D$5),"",IF(ISERROR(ETPT_TPRX!Y15),"",IF(ETPT_TPRX!Y15=0,"",ETPT_TPRX!Y15)))</f>
        <v/>
      </c>
      <c r="Z15" s="69" t="str">
        <f>IF(ISBLANK(ETPT_TPRX_DDG!$D$5),"",IF(ISERROR(ETPT_TPRX!Z15),"",IF(ETPT_TPRX!Z15=0,"",ETPT_TPRX!Z15)))</f>
        <v/>
      </c>
      <c r="AA15" s="69" t="str">
        <f>IF(ISBLANK(ETPT_TPRX_DDG!$D$5),"",IF(ISERROR(ETPT_TPRX!AA15),"",IF(ETPT_TPRX!AA15=0,"",ETPT_TPRX!AA15)))</f>
        <v/>
      </c>
      <c r="AB15" s="69" t="str">
        <f>IF(ISBLANK(ETPT_TPRX_DDG!$D$5),"",IF(ISERROR(ETPT_TPRX!AB15),"",IF(ETPT_TPRX!AB15=0,"",ETPT_TPRX!AB15)))</f>
        <v/>
      </c>
      <c r="AC15" s="69" t="str">
        <f>IF(ISBLANK(ETPT_TPRX_DDG!$D$5),"",IF(ISERROR(ETPT_TPRX!AC15),"",IF(ETPT_TPRX!AC15=0,"",ETPT_TPRX!AC15)))</f>
        <v/>
      </c>
      <c r="AD15" s="69" t="str">
        <f>IF(ISBLANK(ETPT_TPRX_DDG!$D$5),"",IF(ISERROR(ETPT_TPRX!AD15),"",IF(ETPT_TPRX!AD15=0,"",ETPT_TPRX!AD15)))</f>
        <v/>
      </c>
      <c r="AE15" s="46">
        <f t="shared" si="3"/>
        <v>0</v>
      </c>
      <c r="AF15" s="69" t="str">
        <f>IF(ISBLANK(ETPT_TPRX_DDG!$D$5),"",IF(ISERROR(ETPT_TPRX!AF15),"",IF(ETPT_TPRX!AF15=0,"",ETPT_TPRX!AF15)))</f>
        <v/>
      </c>
      <c r="AG15" s="69" t="str">
        <f>IF(ISBLANK(ETPT_TPRX_DDG!$D$5),"",IF(ISERROR(ETPT_TPRX!AG15),"",IF(ETPT_TPRX!AG15=0,"",ETPT_TPRX!AG15)))</f>
        <v/>
      </c>
      <c r="AH15" s="69" t="str">
        <f>IF(ISBLANK(ETPT_TPRX_DDG!$D$5),"",IF(ISERROR(ETPT_TPRX!AH15),"",IF(ETPT_TPRX!AH15=0,"",ETPT_TPRX!AH15)))</f>
        <v/>
      </c>
      <c r="AI15" s="46">
        <f t="shared" si="4"/>
        <v>0</v>
      </c>
    </row>
    <row r="16" spans="1:62" x14ac:dyDescent="0.2">
      <c r="A16" s="90"/>
      <c r="B16" s="89"/>
      <c r="C16" s="89"/>
      <c r="D16" s="89"/>
      <c r="E16" s="89"/>
      <c r="F16" s="88" t="s">
        <v>39</v>
      </c>
      <c r="G16" s="46">
        <f t="shared" ref="G16:AI16" si="6">SUM(G5:G15)</f>
        <v>0</v>
      </c>
      <c r="H16" s="46">
        <f t="shared" si="6"/>
        <v>0</v>
      </c>
      <c r="I16" s="46">
        <f t="shared" si="6"/>
        <v>0</v>
      </c>
      <c r="J16" s="46">
        <f t="shared" si="6"/>
        <v>0</v>
      </c>
      <c r="K16" s="46">
        <f t="shared" si="6"/>
        <v>0</v>
      </c>
      <c r="L16" s="46">
        <f t="shared" si="6"/>
        <v>0</v>
      </c>
      <c r="M16" s="46">
        <f t="shared" si="6"/>
        <v>0</v>
      </c>
      <c r="N16" s="46">
        <f t="shared" si="6"/>
        <v>0</v>
      </c>
      <c r="O16" s="46">
        <f t="shared" si="6"/>
        <v>0</v>
      </c>
      <c r="P16" s="46">
        <f t="shared" si="6"/>
        <v>0</v>
      </c>
      <c r="Q16" s="46">
        <f t="shared" si="6"/>
        <v>0</v>
      </c>
      <c r="R16" s="46">
        <f t="shared" si="6"/>
        <v>0</v>
      </c>
      <c r="S16" s="46">
        <f t="shared" si="6"/>
        <v>0</v>
      </c>
      <c r="T16" s="46">
        <f t="shared" si="6"/>
        <v>0</v>
      </c>
      <c r="U16" s="46">
        <f t="shared" si="6"/>
        <v>0</v>
      </c>
      <c r="V16" s="46">
        <f t="shared" si="6"/>
        <v>0</v>
      </c>
      <c r="W16" s="46">
        <f t="shared" si="6"/>
        <v>0</v>
      </c>
      <c r="X16" s="46">
        <f t="shared" si="6"/>
        <v>0</v>
      </c>
      <c r="Y16" s="46">
        <f t="shared" si="6"/>
        <v>0</v>
      </c>
      <c r="Z16" s="46">
        <f t="shared" si="6"/>
        <v>0</v>
      </c>
      <c r="AA16" s="46">
        <f t="shared" si="6"/>
        <v>0</v>
      </c>
      <c r="AB16" s="46">
        <f t="shared" si="6"/>
        <v>0</v>
      </c>
      <c r="AC16" s="46">
        <f t="shared" si="6"/>
        <v>0</v>
      </c>
      <c r="AD16" s="46">
        <f t="shared" si="6"/>
        <v>0</v>
      </c>
      <c r="AE16" s="46">
        <f t="shared" si="6"/>
        <v>0</v>
      </c>
      <c r="AF16" s="46">
        <f t="shared" si="6"/>
        <v>0</v>
      </c>
      <c r="AG16" s="46">
        <f t="shared" si="6"/>
        <v>0</v>
      </c>
      <c r="AH16" s="46">
        <f t="shared" si="6"/>
        <v>0</v>
      </c>
      <c r="AI16" s="46">
        <f t="shared" si="6"/>
        <v>0</v>
      </c>
    </row>
    <row r="17" spans="4:34" x14ac:dyDescent="0.2">
      <c r="S17" s="40"/>
    </row>
    <row r="18" spans="4:34" ht="93" customHeight="1" x14ac:dyDescent="0.2">
      <c r="D18" s="304"/>
      <c r="E18"/>
      <c r="F18" s="301" t="s">
        <v>390</v>
      </c>
      <c r="G18" s="232" t="str">
        <f>IF(ISBLANK(ETPT_TPRX_DDG!$D$5),"",IF(ISERROR(ETPT_TPRX!G18),"",IF(ETPT_TPRX!G18=0,"",ETPT_TPRX!G18)))</f>
        <v/>
      </c>
      <c r="H18"/>
      <c r="I18"/>
      <c r="J18"/>
      <c r="K18"/>
      <c r="Q18" s="302" t="s">
        <v>392</v>
      </c>
      <c r="R18" s="232" t="str">
        <f>IF(ISBLANK(ETPT_TPRX_DDG!$D$5),"",IF(ISERROR(ETPT_TPRX!R18),"",IF(ETPT_TPRX!R18=0,"",ETPT_TPRX!R18)))</f>
        <v/>
      </c>
      <c r="AF18" s="303"/>
      <c r="AG18" s="300" t="s">
        <v>388</v>
      </c>
      <c r="AH18" s="232" t="str">
        <f>IF(ISBLANK(ETPT_TPRX_DDG!$D$5),"",IF(ISERROR(ETPT_TPRX!AH18),"",IF(ETPT_TPRX!AH18=0,"",ETPT_TPRX!AH18)))</f>
        <v/>
      </c>
    </row>
    <row r="19" spans="4:34" ht="17" thickBot="1" x14ac:dyDescent="0.25">
      <c r="D19" s="154" t="s">
        <v>252</v>
      </c>
      <c r="E19" s="155"/>
      <c r="F19" s="155"/>
      <c r="G19" s="155"/>
      <c r="H19" s="155"/>
      <c r="I19" s="155"/>
      <c r="J19" s="155"/>
      <c r="K19" s="155"/>
    </row>
    <row r="20" spans="4:34" ht="18" thickTop="1" thickBot="1" x14ac:dyDescent="0.25">
      <c r="D20" s="156" t="s">
        <v>174</v>
      </c>
      <c r="E20" s="157"/>
      <c r="F20" s="158"/>
      <c r="G20" s="158"/>
      <c r="H20" s="158"/>
      <c r="I20" s="158"/>
      <c r="J20" s="159"/>
      <c r="K20" s="4"/>
    </row>
    <row r="21" spans="4:34" ht="17" thickTop="1" x14ac:dyDescent="0.2"/>
  </sheetData>
  <mergeCells count="5">
    <mergeCell ref="AI2:AI4"/>
    <mergeCell ref="H2:H4"/>
    <mergeCell ref="S2:S4"/>
    <mergeCell ref="U2:U4"/>
    <mergeCell ref="AE2:AE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B6A9-5FC7-3A43-BF37-0B81E3F33F51}">
  <sheetPr codeName="Feuil16">
    <tabColor rgb="FF01A94F"/>
  </sheetPr>
  <dimension ref="A1:BJ17"/>
  <sheetViews>
    <sheetView topLeftCell="D1" zoomScaleNormal="100" workbookViewId="0">
      <selection activeCell="D92" sqref="D92"/>
    </sheetView>
  </sheetViews>
  <sheetFormatPr baseColWidth="10" defaultColWidth="11" defaultRowHeight="16" x14ac:dyDescent="0.2"/>
  <cols>
    <col min="1" max="3" width="11" style="37" hidden="1" customWidth="1"/>
    <col min="4" max="4" width="13.5" style="37" bestFit="1" customWidth="1"/>
    <col min="5" max="5" width="11" style="37"/>
    <col min="6" max="6" width="46.33203125" style="37" bestFit="1" customWidth="1"/>
    <col min="7" max="16384" width="11" style="37"/>
  </cols>
  <sheetData>
    <row r="1" spans="1:62" s="4" customFormat="1" ht="80" customHeight="1" x14ac:dyDescent="0.25">
      <c r="A1" s="3" t="s">
        <v>220</v>
      </c>
      <c r="B1" s="5"/>
      <c r="C1" s="5"/>
      <c r="D1" s="3" t="s">
        <v>225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2">
      <c r="A2" s="108"/>
      <c r="B2" s="107"/>
      <c r="C2" s="107"/>
      <c r="D2" s="107"/>
      <c r="E2" s="107"/>
      <c r="F2" s="107"/>
      <c r="G2" s="84" t="s">
        <v>170</v>
      </c>
      <c r="H2" s="346" t="s">
        <v>169</v>
      </c>
      <c r="I2" s="84" t="s">
        <v>38</v>
      </c>
      <c r="J2" s="346" t="s">
        <v>168</v>
      </c>
    </row>
    <row r="3" spans="1:62" ht="36" x14ac:dyDescent="0.2">
      <c r="A3" s="108"/>
      <c r="B3" s="107"/>
      <c r="C3" s="107"/>
      <c r="D3" s="107"/>
      <c r="E3" s="107"/>
      <c r="F3" s="107"/>
      <c r="G3" s="84" t="s">
        <v>148</v>
      </c>
      <c r="H3" s="346"/>
      <c r="I3" s="84" t="s">
        <v>145</v>
      </c>
      <c r="J3" s="346"/>
    </row>
    <row r="4" spans="1:62" ht="36" x14ac:dyDescent="0.2">
      <c r="A4" s="106"/>
      <c r="B4" s="105" t="s">
        <v>115</v>
      </c>
      <c r="C4" s="105" t="s">
        <v>114</v>
      </c>
      <c r="D4" s="105" t="s">
        <v>32</v>
      </c>
      <c r="E4" s="105" t="s">
        <v>113</v>
      </c>
      <c r="F4" s="105" t="s">
        <v>112</v>
      </c>
      <c r="G4" s="84" t="s">
        <v>97</v>
      </c>
      <c r="H4" s="346"/>
      <c r="I4" s="84" t="s">
        <v>93</v>
      </c>
      <c r="J4" s="346"/>
    </row>
    <row r="5" spans="1:62" x14ac:dyDescent="0.2">
      <c r="A5" s="100" t="s">
        <v>218</v>
      </c>
      <c r="B5" s="99"/>
      <c r="C5" s="99"/>
      <c r="D5" s="122"/>
      <c r="E5" s="99" t="s">
        <v>62</v>
      </c>
      <c r="F5" s="99" t="s">
        <v>61</v>
      </c>
      <c r="G5" s="56" t="str">
        <f>IF(ISBLANK(ETPT_CPH_DDG!$D$5),"",IF(ISERROR(ETPT_CPH!G5),"",IF(ETPT_CPH!G5=0,"",ETPT_CPH!G5)))</f>
        <v/>
      </c>
      <c r="H5" s="93">
        <f t="shared" ref="H5:H13" si="0">SUM(G5)</f>
        <v>0</v>
      </c>
      <c r="I5" s="56" t="str">
        <f>IF(ISBLANK(ETPT_CPH_DDG!$D$5),"",IF(ISERROR(ETPT_CPH!I5),"",IF(ETPT_CPH!I5=0,"",ETPT_CPH!I5)))</f>
        <v/>
      </c>
      <c r="J5" s="93">
        <f t="shared" ref="J5:J13" si="1">SUM(I5)</f>
        <v>0</v>
      </c>
    </row>
    <row r="6" spans="1:62" x14ac:dyDescent="0.2">
      <c r="A6" s="100" t="s">
        <v>218</v>
      </c>
      <c r="B6" s="99"/>
      <c r="C6" s="99"/>
      <c r="D6" s="62" t="str">
        <f t="shared" ref="D6:D13" si="2">IF(ISBLANK($D$5),"",$D$5)</f>
        <v/>
      </c>
      <c r="E6" s="99" t="s">
        <v>56</v>
      </c>
      <c r="F6" s="99" t="s">
        <v>55</v>
      </c>
      <c r="G6" s="56" t="str">
        <f>IF(ISBLANK(ETPT_CPH_DDG!$D$5),"",IF(ISERROR(ETPT_CPH!G6),"",IF(ETPT_CPH!G6=0,"",ETPT_CPH!G6)))</f>
        <v/>
      </c>
      <c r="H6" s="93">
        <f t="shared" si="0"/>
        <v>0</v>
      </c>
      <c r="I6" s="56" t="str">
        <f>IF(ISBLANK(ETPT_CPH_DDG!$D$5),"",IF(ISERROR(ETPT_CPH!I6),"",IF(ETPT_CPH!I6=0,"",ETPT_CPH!I6)))</f>
        <v/>
      </c>
      <c r="J6" s="93">
        <f t="shared" si="1"/>
        <v>0</v>
      </c>
    </row>
    <row r="7" spans="1:62" x14ac:dyDescent="0.2">
      <c r="A7" s="100" t="s">
        <v>218</v>
      </c>
      <c r="B7" s="99"/>
      <c r="C7" s="99"/>
      <c r="D7" s="62" t="str">
        <f t="shared" si="2"/>
        <v/>
      </c>
      <c r="E7" s="99" t="s">
        <v>54</v>
      </c>
      <c r="F7" s="99" t="s">
        <v>53</v>
      </c>
      <c r="G7" s="56" t="str">
        <f>IF(ISBLANK(ETPT_CPH_DDG!$D$5),"",IF(ISERROR(ETPT_CPH!G7),"",IF(ETPT_CPH!G7=0,"",ETPT_CPH!G7)))</f>
        <v/>
      </c>
      <c r="H7" s="93">
        <f t="shared" si="0"/>
        <v>0</v>
      </c>
      <c r="I7" s="56" t="str">
        <f>IF(ISBLANK(ETPT_CPH_DDG!$D$5),"",IF(ISERROR(ETPT_CPH!I7),"",IF(ETPT_CPH!I7=0,"",ETPT_CPH!I7)))</f>
        <v/>
      </c>
      <c r="J7" s="93">
        <f t="shared" si="1"/>
        <v>0</v>
      </c>
    </row>
    <row r="8" spans="1:62" x14ac:dyDescent="0.2">
      <c r="A8" s="100" t="s">
        <v>218</v>
      </c>
      <c r="B8" s="99"/>
      <c r="C8" s="99"/>
      <c r="D8" s="62" t="str">
        <f t="shared" si="2"/>
        <v/>
      </c>
      <c r="E8" s="99" t="s">
        <v>52</v>
      </c>
      <c r="F8" s="99" t="s">
        <v>51</v>
      </c>
      <c r="G8" s="56" t="str">
        <f>IF(ISBLANK(ETPT_CPH_DDG!$D$5),"",IF(ISERROR(ETPT_CPH!G8),"",IF(ETPT_CPH!G8=0,"",ETPT_CPH!G8)))</f>
        <v/>
      </c>
      <c r="H8" s="93">
        <f t="shared" si="0"/>
        <v>0</v>
      </c>
      <c r="I8" s="56" t="str">
        <f>IF(ISBLANK(ETPT_CPH_DDG!$D$5),"",IF(ISERROR(ETPT_CPH!I8),"",IF(ETPT_CPH!I8=0,"",ETPT_CPH!I8)))</f>
        <v/>
      </c>
      <c r="J8" s="93">
        <f t="shared" si="1"/>
        <v>0</v>
      </c>
    </row>
    <row r="9" spans="1:62" x14ac:dyDescent="0.2">
      <c r="A9" s="100" t="s">
        <v>218</v>
      </c>
      <c r="B9" s="99"/>
      <c r="C9" s="99"/>
      <c r="D9" s="62" t="str">
        <f t="shared" si="2"/>
        <v/>
      </c>
      <c r="E9" s="99" t="s">
        <v>50</v>
      </c>
      <c r="F9" s="99" t="s">
        <v>49</v>
      </c>
      <c r="G9" s="56" t="str">
        <f>IF(ISBLANK(ETPT_CPH_DDG!$D$5),"",IF(ISERROR(ETPT_CPH!G9),"",IF(ETPT_CPH!G9=0,"",ETPT_CPH!G9)))</f>
        <v/>
      </c>
      <c r="H9" s="93">
        <f t="shared" si="0"/>
        <v>0</v>
      </c>
      <c r="I9" s="56" t="str">
        <f>IF(ISBLANK(ETPT_CPH_DDG!$D$5),"",IF(ISERROR(ETPT_CPH!I9),"",IF(ETPT_CPH!I9=0,"",ETPT_CPH!I9)))</f>
        <v/>
      </c>
      <c r="J9" s="93">
        <f t="shared" si="1"/>
        <v>0</v>
      </c>
    </row>
    <row r="10" spans="1:62" x14ac:dyDescent="0.2">
      <c r="A10" s="100" t="s">
        <v>218</v>
      </c>
      <c r="B10" s="99"/>
      <c r="C10" s="99"/>
      <c r="D10" s="62" t="str">
        <f t="shared" si="2"/>
        <v/>
      </c>
      <c r="E10" s="99" t="s">
        <v>48</v>
      </c>
      <c r="F10" s="99" t="s">
        <v>47</v>
      </c>
      <c r="G10" s="56" t="str">
        <f>IF(ISBLANK(ETPT_CPH_DDG!$D$5),"",IF(ISERROR(ETPT_CPH!G10),"",IF(ETPT_CPH!G10=0,"",ETPT_CPH!G10)))</f>
        <v/>
      </c>
      <c r="H10" s="93">
        <f t="shared" si="0"/>
        <v>0</v>
      </c>
      <c r="I10" s="56" t="str">
        <f>IF(ISBLANK(ETPT_CPH_DDG!$D$5),"",IF(ISERROR(ETPT_CPH!I10),"",IF(ETPT_CPH!I10=0,"",ETPT_CPH!I10)))</f>
        <v/>
      </c>
      <c r="J10" s="93">
        <f t="shared" si="1"/>
        <v>0</v>
      </c>
    </row>
    <row r="11" spans="1:62" x14ac:dyDescent="0.2">
      <c r="A11" s="100" t="s">
        <v>218</v>
      </c>
      <c r="B11" s="99"/>
      <c r="C11" s="99"/>
      <c r="D11" s="62" t="str">
        <f t="shared" si="2"/>
        <v/>
      </c>
      <c r="E11" s="99" t="s">
        <v>46</v>
      </c>
      <c r="F11" s="99" t="s">
        <v>45</v>
      </c>
      <c r="G11" s="56" t="str">
        <f>IF(ISBLANK(ETPT_CPH_DDG!$D$5),"",IF(ISERROR(ETPT_CPH!G11),"",IF(ETPT_CPH!G11=0,"",ETPT_CPH!G11)))</f>
        <v/>
      </c>
      <c r="H11" s="93">
        <f t="shared" si="0"/>
        <v>0</v>
      </c>
      <c r="I11" s="56" t="str">
        <f>IF(ISBLANK(ETPT_CPH_DDG!$D$5),"",IF(ISERROR(ETPT_CPH!I11),"",IF(ETPT_CPH!I11=0,"",ETPT_CPH!I11)))</f>
        <v/>
      </c>
      <c r="J11" s="93">
        <f t="shared" si="1"/>
        <v>0</v>
      </c>
    </row>
    <row r="12" spans="1:62" x14ac:dyDescent="0.2">
      <c r="A12" s="100" t="s">
        <v>218</v>
      </c>
      <c r="B12" s="99"/>
      <c r="C12" s="99"/>
      <c r="D12" s="62" t="str">
        <f t="shared" si="2"/>
        <v/>
      </c>
      <c r="E12" s="99" t="s">
        <v>44</v>
      </c>
      <c r="F12" s="99" t="s">
        <v>43</v>
      </c>
      <c r="G12" s="56" t="str">
        <f>IF(ISBLANK(ETPT_CPH_DDG!$D$5),"",IF(ISERROR(ETPT_CPH!G12),"",IF(ETPT_CPH!G12=0,"",ETPT_CPH!G12)))</f>
        <v/>
      </c>
      <c r="H12" s="93">
        <f t="shared" si="0"/>
        <v>0</v>
      </c>
      <c r="I12" s="56" t="str">
        <f>IF(ISBLANK(ETPT_CPH_DDG!$D$5),"",IF(ISERROR(ETPT_CPH!I12),"",IF(ETPT_CPH!I12=0,"",ETPT_CPH!I12)))</f>
        <v/>
      </c>
      <c r="J12" s="93">
        <f t="shared" si="1"/>
        <v>0</v>
      </c>
    </row>
    <row r="13" spans="1:62" x14ac:dyDescent="0.2">
      <c r="A13" s="100" t="s">
        <v>218</v>
      </c>
      <c r="B13" s="99"/>
      <c r="C13" s="99"/>
      <c r="D13" s="62" t="str">
        <f t="shared" si="2"/>
        <v/>
      </c>
      <c r="E13" s="99" t="s">
        <v>41</v>
      </c>
      <c r="F13" s="99" t="s">
        <v>40</v>
      </c>
      <c r="G13" s="56" t="str">
        <f>IF(ISBLANK(ETPT_CPH_DDG!$D$5),"",IF(ISERROR(ETPT_CPH!G13),"",IF(ETPT_CPH!G13=0,"",ETPT_CPH!G13)))</f>
        <v/>
      </c>
      <c r="H13" s="93">
        <f t="shared" si="0"/>
        <v>0</v>
      </c>
      <c r="I13" s="56" t="str">
        <f>IF(ISBLANK(ETPT_CPH_DDG!$D$5),"",IF(ISERROR(ETPT_CPH!I13),"",IF(ETPT_CPH!I13=0,"",ETPT_CPH!I13)))</f>
        <v/>
      </c>
      <c r="J13" s="93">
        <f t="shared" si="1"/>
        <v>0</v>
      </c>
    </row>
    <row r="14" spans="1:62" x14ac:dyDescent="0.2">
      <c r="A14" s="97"/>
      <c r="B14" s="96"/>
      <c r="C14" s="96"/>
      <c r="D14" s="96"/>
      <c r="E14" s="95"/>
      <c r="F14" s="94" t="s">
        <v>39</v>
      </c>
      <c r="G14" s="93">
        <f>SUM(G5:G13)</f>
        <v>0</v>
      </c>
      <c r="H14" s="93">
        <f>SUM(H5:H13)</f>
        <v>0</v>
      </c>
      <c r="I14" s="93">
        <f>SUM(I5:I13)</f>
        <v>0</v>
      </c>
      <c r="J14" s="93">
        <f>SUM(J5:J13)</f>
        <v>0</v>
      </c>
    </row>
    <row r="16" spans="1:62" x14ac:dyDescent="0.2">
      <c r="D16" s="154" t="s">
        <v>252</v>
      </c>
      <c r="E16" s="155"/>
      <c r="F16" s="21"/>
      <c r="G16" s="21"/>
      <c r="H16" s="21"/>
      <c r="I16" s="21"/>
      <c r="J16" s="21"/>
    </row>
    <row r="17" spans="4:10" ht="26" customHeight="1" x14ac:dyDescent="0.2">
      <c r="D17" s="39"/>
      <c r="E17" s="21"/>
      <c r="F17" s="21"/>
      <c r="G17" s="21"/>
      <c r="H17" s="21"/>
      <c r="I17" s="21"/>
      <c r="J17" s="21"/>
    </row>
  </sheetData>
  <mergeCells count="2">
    <mergeCell ref="H2:H4"/>
    <mergeCell ref="J2:J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4C4C8-D3B2-3F44-A4A5-E418681F372C}">
  <sheetPr codeName="Feuil7">
    <pageSetUpPr fitToPage="1"/>
  </sheetPr>
  <dimension ref="A1:BI27"/>
  <sheetViews>
    <sheetView zoomScaleNormal="100" workbookViewId="0">
      <pane xSplit="5" ySplit="1" topLeftCell="F9" activePane="bottomRight" state="frozen"/>
      <selection pane="topRight" activeCell="G1" sqref="G1"/>
      <selection pane="bottomLeft" activeCell="A2" sqref="A2"/>
      <selection pane="bottomRight" activeCell="AC13" sqref="AC13"/>
    </sheetView>
  </sheetViews>
  <sheetFormatPr baseColWidth="10" defaultColWidth="10.83203125" defaultRowHeight="16" x14ac:dyDescent="0.2"/>
  <cols>
    <col min="1" max="1" width="5.83203125" style="194" bestFit="1" customWidth="1"/>
    <col min="2" max="2" width="17.1640625" style="195" hidden="1" customWidth="1"/>
    <col min="3" max="3" width="6.33203125" style="195" customWidth="1"/>
    <col min="4" max="4" width="6.5" style="194" customWidth="1"/>
    <col min="5" max="5" width="19.5" style="194" customWidth="1"/>
    <col min="6" max="6" width="23" style="195" customWidth="1"/>
    <col min="7" max="7" width="9.33203125" style="195" customWidth="1"/>
    <col min="8" max="8" width="11.33203125" style="195" customWidth="1"/>
    <col min="9" max="9" width="9" style="195" customWidth="1"/>
    <col min="10" max="28" width="9.33203125" style="195" customWidth="1"/>
    <col min="29" max="29" width="11.6640625" style="195" customWidth="1"/>
    <col min="30" max="37" width="9.33203125" style="195" customWidth="1"/>
    <col min="38" max="38" width="7.83203125" style="195" customWidth="1"/>
    <col min="39" max="39" width="8.6640625" style="195" customWidth="1"/>
    <col min="40" max="42" width="9.33203125" style="195" customWidth="1"/>
    <col min="43" max="43" width="10.83203125" style="195" customWidth="1"/>
    <col min="44" max="48" width="9.33203125" style="195" customWidth="1"/>
    <col min="49" max="49" width="15.5" style="195" customWidth="1"/>
    <col min="50" max="50" width="16.5" style="195" customWidth="1"/>
    <col min="51" max="51" width="9.33203125" style="195" customWidth="1"/>
    <col min="52" max="61" width="9.33203125" style="195" hidden="1" customWidth="1"/>
    <col min="62" max="62" width="4" style="195" customWidth="1"/>
    <col min="63" max="16384" width="10.83203125" style="195"/>
  </cols>
  <sheetData>
    <row r="1" spans="1:61" s="164" customFormat="1" ht="12" customHeight="1" x14ac:dyDescent="0.15">
      <c r="A1" s="163"/>
      <c r="B1" s="350" t="s">
        <v>173</v>
      </c>
      <c r="C1" s="350"/>
      <c r="D1" s="350"/>
      <c r="E1" s="350"/>
      <c r="F1" s="350"/>
      <c r="G1" s="165"/>
      <c r="H1" s="165"/>
      <c r="I1" s="165"/>
      <c r="J1" s="165"/>
      <c r="K1" s="165"/>
      <c r="L1" s="165"/>
      <c r="M1" s="165"/>
      <c r="N1" s="165"/>
      <c r="O1" s="165"/>
    </row>
    <row r="2" spans="1:61" s="164" customFormat="1" ht="12" customHeight="1" x14ac:dyDescent="0.15">
      <c r="A2" s="166"/>
      <c r="B2" s="166"/>
      <c r="C2" s="166"/>
      <c r="D2" s="166"/>
      <c r="E2" s="166"/>
      <c r="F2" s="166"/>
      <c r="G2" s="167" t="s">
        <v>167</v>
      </c>
      <c r="H2" s="167" t="s">
        <v>167</v>
      </c>
      <c r="I2" s="167" t="s">
        <v>167</v>
      </c>
      <c r="J2" s="167" t="s">
        <v>167</v>
      </c>
      <c r="K2" s="167" t="s">
        <v>167</v>
      </c>
      <c r="L2" s="167" t="s">
        <v>167</v>
      </c>
      <c r="M2" s="167" t="s">
        <v>167</v>
      </c>
      <c r="N2" s="167" t="s">
        <v>167</v>
      </c>
      <c r="O2" s="167" t="s">
        <v>167</v>
      </c>
      <c r="P2" s="349" t="s">
        <v>166</v>
      </c>
      <c r="Q2" s="167" t="s">
        <v>165</v>
      </c>
      <c r="R2" s="167" t="s">
        <v>165</v>
      </c>
      <c r="S2" s="167" t="s">
        <v>165</v>
      </c>
      <c r="T2" s="167" t="s">
        <v>165</v>
      </c>
      <c r="U2" s="167" t="s">
        <v>165</v>
      </c>
      <c r="V2" s="167" t="s">
        <v>165</v>
      </c>
      <c r="W2" s="167" t="s">
        <v>165</v>
      </c>
      <c r="X2" s="167" t="s">
        <v>165</v>
      </c>
      <c r="Y2" s="167" t="s">
        <v>165</v>
      </c>
      <c r="Z2" s="167" t="s">
        <v>165</v>
      </c>
      <c r="AA2" s="167" t="s">
        <v>165</v>
      </c>
      <c r="AB2" s="167" t="s">
        <v>165</v>
      </c>
      <c r="AC2" s="167" t="s">
        <v>165</v>
      </c>
      <c r="AD2" s="349" t="s">
        <v>164</v>
      </c>
      <c r="AE2" s="168" t="s">
        <v>163</v>
      </c>
      <c r="AF2" s="168" t="s">
        <v>163</v>
      </c>
      <c r="AG2" s="168" t="s">
        <v>163</v>
      </c>
      <c r="AH2" s="168" t="s">
        <v>163</v>
      </c>
      <c r="AI2" s="168" t="s">
        <v>163</v>
      </c>
      <c r="AJ2" s="168" t="s">
        <v>163</v>
      </c>
      <c r="AK2" s="168" t="s">
        <v>163</v>
      </c>
      <c r="AL2" s="168" t="s">
        <v>163</v>
      </c>
      <c r="AM2" s="168" t="s">
        <v>163</v>
      </c>
      <c r="AN2" s="349" t="s">
        <v>162</v>
      </c>
      <c r="AQ2" s="167"/>
      <c r="AR2" s="167"/>
      <c r="AS2" s="167"/>
      <c r="AT2" s="167"/>
      <c r="AU2" s="167"/>
      <c r="AV2" s="167"/>
      <c r="AW2" s="167"/>
      <c r="AX2" s="167"/>
      <c r="AY2" s="349"/>
      <c r="AZ2" s="168"/>
      <c r="BA2" s="168"/>
      <c r="BB2" s="168"/>
      <c r="BC2" s="168"/>
      <c r="BD2" s="168"/>
      <c r="BE2" s="168"/>
      <c r="BF2" s="168"/>
      <c r="BG2" s="168"/>
      <c r="BH2" s="168"/>
      <c r="BI2" s="349"/>
    </row>
    <row r="3" spans="1:61" s="164" customFormat="1" ht="36" customHeight="1" x14ac:dyDescent="0.15">
      <c r="A3" s="166"/>
      <c r="B3" s="166"/>
      <c r="C3" s="166"/>
      <c r="D3" s="166"/>
      <c r="E3" s="166"/>
      <c r="F3" s="166"/>
      <c r="G3" s="167" t="s">
        <v>144</v>
      </c>
      <c r="H3" s="167" t="s">
        <v>143</v>
      </c>
      <c r="I3" s="167" t="s">
        <v>142</v>
      </c>
      <c r="J3" s="167" t="s">
        <v>141</v>
      </c>
      <c r="K3" s="167" t="s">
        <v>140</v>
      </c>
      <c r="L3" s="167" t="s">
        <v>139</v>
      </c>
      <c r="M3" s="167" t="s">
        <v>35</v>
      </c>
      <c r="N3" s="167" t="s">
        <v>34</v>
      </c>
      <c r="O3" s="167" t="s">
        <v>138</v>
      </c>
      <c r="P3" s="349"/>
      <c r="Q3" s="167" t="s">
        <v>137</v>
      </c>
      <c r="R3" s="167" t="s">
        <v>136</v>
      </c>
      <c r="S3" s="167" t="s">
        <v>135</v>
      </c>
      <c r="T3" s="167" t="s">
        <v>134</v>
      </c>
      <c r="U3" s="167" t="s">
        <v>133</v>
      </c>
      <c r="V3" s="167" t="s">
        <v>132</v>
      </c>
      <c r="W3" s="167" t="s">
        <v>131</v>
      </c>
      <c r="X3" s="167" t="s">
        <v>130</v>
      </c>
      <c r="Y3" s="167" t="s">
        <v>129</v>
      </c>
      <c r="Z3" s="167" t="s">
        <v>128</v>
      </c>
      <c r="AA3" s="167" t="s">
        <v>127</v>
      </c>
      <c r="AB3" s="167" t="s">
        <v>126</v>
      </c>
      <c r="AC3" s="167" t="s">
        <v>125</v>
      </c>
      <c r="AD3" s="349"/>
      <c r="AE3" s="168" t="s">
        <v>124</v>
      </c>
      <c r="AF3" s="168" t="s">
        <v>123</v>
      </c>
      <c r="AG3" s="168" t="s">
        <v>122</v>
      </c>
      <c r="AH3" s="168" t="s">
        <v>121</v>
      </c>
      <c r="AI3" s="168" t="s">
        <v>120</v>
      </c>
      <c r="AJ3" s="168" t="s">
        <v>119</v>
      </c>
      <c r="AK3" s="168" t="s">
        <v>118</v>
      </c>
      <c r="AL3" s="168" t="s">
        <v>117</v>
      </c>
      <c r="AM3" s="168" t="s">
        <v>116</v>
      </c>
      <c r="AN3" s="349"/>
      <c r="AQ3" s="167"/>
      <c r="AR3" s="167"/>
      <c r="AS3" s="167"/>
      <c r="AT3" s="167"/>
      <c r="AU3" s="167"/>
      <c r="AV3" s="167"/>
      <c r="AW3" s="167"/>
      <c r="AX3" s="167"/>
      <c r="AY3" s="349"/>
      <c r="AZ3" s="168"/>
      <c r="BA3" s="168"/>
      <c r="BB3" s="168"/>
      <c r="BC3" s="168"/>
      <c r="BD3" s="168"/>
      <c r="BE3" s="168"/>
      <c r="BF3" s="168"/>
      <c r="BG3" s="168"/>
      <c r="BH3" s="168"/>
      <c r="BI3" s="349"/>
    </row>
    <row r="4" spans="1:61" s="164" customFormat="1" ht="60" customHeight="1" x14ac:dyDescent="0.15">
      <c r="A4" s="169"/>
      <c r="B4" s="170" t="s">
        <v>115</v>
      </c>
      <c r="C4" s="170" t="s">
        <v>114</v>
      </c>
      <c r="D4" s="170" t="s">
        <v>32</v>
      </c>
      <c r="E4" s="170" t="s">
        <v>113</v>
      </c>
      <c r="F4" s="170" t="s">
        <v>112</v>
      </c>
      <c r="G4" s="167" t="s">
        <v>92</v>
      </c>
      <c r="H4" s="167" t="s">
        <v>91</v>
      </c>
      <c r="I4" s="167" t="s">
        <v>90</v>
      </c>
      <c r="J4" s="167" t="s">
        <v>89</v>
      </c>
      <c r="K4" s="167" t="s">
        <v>88</v>
      </c>
      <c r="L4" s="167" t="s">
        <v>87</v>
      </c>
      <c r="M4" s="167" t="s">
        <v>35</v>
      </c>
      <c r="N4" s="167" t="s">
        <v>86</v>
      </c>
      <c r="O4" s="167" t="s">
        <v>85</v>
      </c>
      <c r="P4" s="349"/>
      <c r="Q4" s="167" t="s">
        <v>84</v>
      </c>
      <c r="R4" s="167" t="s">
        <v>83</v>
      </c>
      <c r="S4" s="167" t="s">
        <v>82</v>
      </c>
      <c r="T4" s="167" t="s">
        <v>81</v>
      </c>
      <c r="U4" s="167" t="s">
        <v>80</v>
      </c>
      <c r="V4" s="167" t="s">
        <v>79</v>
      </c>
      <c r="W4" s="167" t="s">
        <v>78</v>
      </c>
      <c r="X4" s="167" t="s">
        <v>77</v>
      </c>
      <c r="Y4" s="167" t="s">
        <v>76</v>
      </c>
      <c r="Z4" s="167" t="s">
        <v>75</v>
      </c>
      <c r="AA4" s="167" t="s">
        <v>74</v>
      </c>
      <c r="AB4" s="167" t="s">
        <v>73</v>
      </c>
      <c r="AC4" s="167" t="s">
        <v>72</v>
      </c>
      <c r="AD4" s="349"/>
      <c r="AE4" s="168" t="s">
        <v>71</v>
      </c>
      <c r="AF4" s="168" t="s">
        <v>70</v>
      </c>
      <c r="AG4" s="168" t="s">
        <v>69</v>
      </c>
      <c r="AH4" s="168" t="s">
        <v>68</v>
      </c>
      <c r="AI4" s="168" t="s">
        <v>67</v>
      </c>
      <c r="AJ4" s="168" t="s">
        <v>66</v>
      </c>
      <c r="AK4" s="168" t="s">
        <v>65</v>
      </c>
      <c r="AL4" s="168" t="s">
        <v>64</v>
      </c>
      <c r="AM4" s="168" t="s">
        <v>63</v>
      </c>
      <c r="AN4" s="349"/>
      <c r="AQ4" s="167"/>
      <c r="AR4" s="167"/>
      <c r="AS4" s="167"/>
      <c r="AT4" s="167"/>
      <c r="AU4" s="167"/>
      <c r="AV4" s="167"/>
      <c r="AW4" s="167"/>
      <c r="AX4" s="167"/>
      <c r="AY4" s="349"/>
      <c r="AZ4" s="168"/>
      <c r="BA4" s="168"/>
      <c r="BB4" s="168"/>
      <c r="BC4" s="168"/>
      <c r="BD4" s="168"/>
      <c r="BE4" s="168"/>
      <c r="BF4" s="168"/>
      <c r="BG4" s="168"/>
      <c r="BH4" s="168"/>
      <c r="BI4" s="349"/>
    </row>
    <row r="5" spans="1:61" s="164" customFormat="1" ht="144" customHeight="1" x14ac:dyDescent="0.15">
      <c r="A5" s="171" t="s">
        <v>42</v>
      </c>
      <c r="B5" s="172"/>
      <c r="C5" s="172"/>
      <c r="D5" s="173"/>
      <c r="E5" s="173" t="s">
        <v>62</v>
      </c>
      <c r="F5" s="173" t="s">
        <v>61</v>
      </c>
      <c r="G5" s="174" t="s">
        <v>253</v>
      </c>
      <c r="H5" s="174" t="s">
        <v>254</v>
      </c>
      <c r="I5" s="176"/>
      <c r="J5" s="176"/>
      <c r="K5" s="176"/>
      <c r="L5" s="176"/>
      <c r="M5" s="177"/>
      <c r="N5" s="174" t="s">
        <v>255</v>
      </c>
      <c r="O5" s="174" t="s">
        <v>256</v>
      </c>
      <c r="P5" s="175">
        <f>SUMIF($G$2:O$2,O$2,$G5:O5)</f>
        <v>0</v>
      </c>
      <c r="Q5" s="176"/>
      <c r="R5" s="176"/>
      <c r="S5" s="176"/>
      <c r="T5" s="176"/>
      <c r="U5" s="176"/>
      <c r="V5" s="176"/>
      <c r="W5" s="174" t="s">
        <v>257</v>
      </c>
      <c r="X5" s="174" t="s">
        <v>258</v>
      </c>
      <c r="Y5" s="174" t="s">
        <v>259</v>
      </c>
      <c r="Z5" s="174" t="s">
        <v>260</v>
      </c>
      <c r="AA5" s="174" t="s">
        <v>261</v>
      </c>
      <c r="AB5" s="174" t="s">
        <v>262</v>
      </c>
      <c r="AC5" s="174" t="s">
        <v>263</v>
      </c>
      <c r="AD5" s="175">
        <f>SUMIF($G$2:AC$2,Y$2,$G5:AC5)</f>
        <v>0</v>
      </c>
      <c r="AE5" s="178"/>
      <c r="AF5" s="178"/>
      <c r="AG5" s="179"/>
      <c r="AH5" s="179"/>
      <c r="AI5" s="179"/>
      <c r="AJ5" s="179"/>
      <c r="AK5" s="179"/>
      <c r="AL5" s="179"/>
      <c r="AM5" s="178"/>
      <c r="AN5" s="175">
        <f>SUMIF($G$2:AM$2,AM$2,$G5:AM5)</f>
        <v>0</v>
      </c>
      <c r="AQ5" s="176"/>
      <c r="AR5" s="174"/>
      <c r="AS5" s="174"/>
      <c r="AT5" s="174"/>
      <c r="AU5" s="174"/>
      <c r="AV5" s="174"/>
      <c r="AW5" s="174"/>
      <c r="AX5" s="174"/>
      <c r="AY5" s="175"/>
      <c r="AZ5" s="178"/>
      <c r="BA5" s="178"/>
      <c r="BB5" s="179"/>
      <c r="BC5" s="179"/>
      <c r="BD5" s="179"/>
      <c r="BE5" s="179"/>
      <c r="BF5" s="179"/>
      <c r="BG5" s="179"/>
      <c r="BH5" s="178"/>
      <c r="BI5" s="175"/>
    </row>
    <row r="6" spans="1:61" s="164" customFormat="1" ht="409.6" x14ac:dyDescent="0.15">
      <c r="A6" s="171" t="s">
        <v>42</v>
      </c>
      <c r="B6" s="172"/>
      <c r="C6" s="172"/>
      <c r="D6" s="173"/>
      <c r="E6" s="173" t="s">
        <v>60</v>
      </c>
      <c r="F6" s="173" t="s">
        <v>59</v>
      </c>
      <c r="G6" s="176"/>
      <c r="H6" s="176"/>
      <c r="I6" s="174" t="s">
        <v>264</v>
      </c>
      <c r="J6" s="174" t="s">
        <v>265</v>
      </c>
      <c r="K6" s="174" t="s">
        <v>266</v>
      </c>
      <c r="L6" s="174" t="s">
        <v>267</v>
      </c>
      <c r="M6" s="174" t="s">
        <v>268</v>
      </c>
      <c r="N6" s="174" t="s">
        <v>269</v>
      </c>
      <c r="O6" s="174" t="s">
        <v>270</v>
      </c>
      <c r="P6" s="175">
        <f>SUMIF($G$2:O$2,O$2,$G6:O6)</f>
        <v>0</v>
      </c>
      <c r="Q6" s="174" t="s">
        <v>271</v>
      </c>
      <c r="R6" s="174" t="s">
        <v>272</v>
      </c>
      <c r="S6" s="174" t="s">
        <v>273</v>
      </c>
      <c r="T6" s="174" t="s">
        <v>274</v>
      </c>
      <c r="U6" s="174" t="s">
        <v>275</v>
      </c>
      <c r="V6" s="174" t="s">
        <v>276</v>
      </c>
      <c r="W6" s="176"/>
      <c r="X6" s="176"/>
      <c r="Y6" s="176"/>
      <c r="Z6" s="176"/>
      <c r="AA6" s="176"/>
      <c r="AB6" s="174" t="s">
        <v>277</v>
      </c>
      <c r="AC6" s="174" t="s">
        <v>278</v>
      </c>
      <c r="AD6" s="175">
        <f>SUMIF($G$2:AC$2,Y$2,$G6:AC6)</f>
        <v>0</v>
      </c>
      <c r="AE6" s="178"/>
      <c r="AF6" s="179"/>
      <c r="AG6" s="179"/>
      <c r="AH6" s="179"/>
      <c r="AI6" s="179"/>
      <c r="AJ6" s="179"/>
      <c r="AK6" s="179"/>
      <c r="AL6" s="179"/>
      <c r="AM6" s="178"/>
      <c r="AN6" s="175">
        <f>SUMIF($G$2:AM$2,AM$2,$G6:AM6)</f>
        <v>0</v>
      </c>
      <c r="AQ6" s="174"/>
      <c r="AR6" s="176"/>
      <c r="AS6" s="176"/>
      <c r="AT6" s="176"/>
      <c r="AU6" s="176"/>
      <c r="AV6" s="176"/>
      <c r="AW6" s="174"/>
      <c r="AX6" s="174"/>
      <c r="AY6" s="175"/>
      <c r="AZ6" s="178"/>
      <c r="BA6" s="179"/>
      <c r="BB6" s="179"/>
      <c r="BC6" s="179"/>
      <c r="BD6" s="179"/>
      <c r="BE6" s="179"/>
      <c r="BF6" s="179"/>
      <c r="BG6" s="179"/>
      <c r="BH6" s="178"/>
      <c r="BI6" s="175"/>
    </row>
    <row r="7" spans="1:61" s="164" customFormat="1" ht="48" customHeight="1" x14ac:dyDescent="0.15">
      <c r="A7" s="171" t="s">
        <v>42</v>
      </c>
      <c r="B7" s="172"/>
      <c r="C7" s="172"/>
      <c r="D7" s="173"/>
      <c r="E7" s="173" t="s">
        <v>58</v>
      </c>
      <c r="F7" s="173" t="s">
        <v>57</v>
      </c>
      <c r="G7" s="181"/>
      <c r="H7" s="174" t="s">
        <v>279</v>
      </c>
      <c r="I7" s="174" t="s">
        <v>280</v>
      </c>
      <c r="J7" s="181"/>
      <c r="K7" s="181"/>
      <c r="L7" s="181"/>
      <c r="M7" s="174" t="s">
        <v>281</v>
      </c>
      <c r="N7" s="174" t="s">
        <v>282</v>
      </c>
      <c r="O7" s="174" t="s">
        <v>283</v>
      </c>
      <c r="P7" s="175">
        <f>SUMIF($G$2:O$2,O$2,$G7:O7)</f>
        <v>0</v>
      </c>
      <c r="Q7" s="181"/>
      <c r="R7" s="181"/>
      <c r="S7" s="181"/>
      <c r="T7" s="181"/>
      <c r="U7" s="181"/>
      <c r="V7" s="181"/>
      <c r="W7" s="181"/>
      <c r="X7" s="181"/>
      <c r="Y7" s="181"/>
      <c r="Z7" s="181"/>
      <c r="AA7" s="181"/>
      <c r="AB7" s="181"/>
      <c r="AC7" s="174" t="s">
        <v>284</v>
      </c>
      <c r="AD7" s="175">
        <f>SUMIF($G$2:AC$2,Y$2,$G7:AC7)</f>
        <v>0</v>
      </c>
      <c r="AE7" s="178"/>
      <c r="AF7" s="178"/>
      <c r="AG7" s="178"/>
      <c r="AH7" s="178"/>
      <c r="AI7" s="178"/>
      <c r="AJ7" s="178"/>
      <c r="AK7" s="178"/>
      <c r="AL7" s="178"/>
      <c r="AM7" s="182"/>
      <c r="AN7" s="175">
        <f>SUMIF($G$2:AM$2,AM$2,$G7:AM7)</f>
        <v>0</v>
      </c>
      <c r="AQ7" s="181"/>
      <c r="AR7" s="181"/>
      <c r="AS7" s="181"/>
      <c r="AT7" s="181"/>
      <c r="AU7" s="181"/>
      <c r="AV7" s="181"/>
      <c r="AW7" s="181"/>
      <c r="AX7" s="174"/>
      <c r="AY7" s="175"/>
      <c r="AZ7" s="178"/>
      <c r="BA7" s="178"/>
      <c r="BB7" s="178"/>
      <c r="BC7" s="178"/>
      <c r="BD7" s="178"/>
      <c r="BE7" s="178"/>
      <c r="BF7" s="178"/>
      <c r="BG7" s="178"/>
      <c r="BH7" s="182"/>
      <c r="BI7" s="175"/>
    </row>
    <row r="8" spans="1:61" s="164" customFormat="1" ht="24" customHeight="1" x14ac:dyDescent="0.15">
      <c r="A8" s="171" t="s">
        <v>42</v>
      </c>
      <c r="B8" s="172"/>
      <c r="C8" s="172"/>
      <c r="D8" s="173"/>
      <c r="E8" s="173" t="s">
        <v>56</v>
      </c>
      <c r="F8" s="173" t="s">
        <v>55</v>
      </c>
      <c r="G8" s="183"/>
      <c r="H8" s="183"/>
      <c r="I8" s="183"/>
      <c r="J8" s="183"/>
      <c r="K8" s="183"/>
      <c r="L8" s="183"/>
      <c r="M8" s="183"/>
      <c r="N8" s="183"/>
      <c r="O8" s="183"/>
      <c r="P8" s="175">
        <f>SUMIF($G$2:O$2,O$2,$G8:O8)</f>
        <v>0</v>
      </c>
      <c r="Q8" s="181"/>
      <c r="R8" s="181"/>
      <c r="S8" s="181"/>
      <c r="T8" s="181"/>
      <c r="U8" s="181"/>
      <c r="V8" s="181"/>
      <c r="W8" s="181"/>
      <c r="X8" s="181"/>
      <c r="Y8" s="181"/>
      <c r="Z8" s="181"/>
      <c r="AA8" s="181"/>
      <c r="AB8" s="181"/>
      <c r="AC8" s="180"/>
      <c r="AD8" s="175">
        <f>SUMIF($G$2:AC$2,Y$2,$G8:AC8)</f>
        <v>0</v>
      </c>
      <c r="AE8" s="178"/>
      <c r="AF8" s="178"/>
      <c r="AG8" s="178"/>
      <c r="AH8" s="178"/>
      <c r="AI8" s="178"/>
      <c r="AJ8" s="178"/>
      <c r="AK8" s="178"/>
      <c r="AL8" s="178"/>
      <c r="AM8" s="178"/>
      <c r="AN8" s="175">
        <f>SUMIF($G$2:AM$2,AM$2,$G8:AM8)</f>
        <v>0</v>
      </c>
      <c r="AQ8" s="181"/>
      <c r="AR8" s="181"/>
      <c r="AS8" s="181"/>
      <c r="AT8" s="181"/>
      <c r="AU8" s="181"/>
      <c r="AV8" s="181"/>
      <c r="AW8" s="181"/>
      <c r="AX8" s="180"/>
      <c r="AY8" s="175"/>
      <c r="AZ8" s="178"/>
      <c r="BA8" s="178"/>
      <c r="BB8" s="178"/>
      <c r="BC8" s="178"/>
      <c r="BD8" s="178"/>
      <c r="BE8" s="178"/>
      <c r="BF8" s="178"/>
      <c r="BG8" s="178"/>
      <c r="BH8" s="178"/>
      <c r="BI8" s="175"/>
    </row>
    <row r="9" spans="1:61" s="164" customFormat="1" ht="156" customHeight="1" x14ac:dyDescent="0.15">
      <c r="A9" s="171" t="s">
        <v>42</v>
      </c>
      <c r="B9" s="172"/>
      <c r="C9" s="172"/>
      <c r="D9" s="173"/>
      <c r="E9" s="173" t="s">
        <v>54</v>
      </c>
      <c r="F9" s="173" t="s">
        <v>53</v>
      </c>
      <c r="G9" s="184"/>
      <c r="H9" s="174" t="s">
        <v>285</v>
      </c>
      <c r="I9" s="174" t="s">
        <v>286</v>
      </c>
      <c r="J9" s="185"/>
      <c r="K9" s="185"/>
      <c r="L9" s="185"/>
      <c r="M9" s="174" t="s">
        <v>287</v>
      </c>
      <c r="N9" s="174" t="s">
        <v>288</v>
      </c>
      <c r="O9" s="174" t="s">
        <v>289</v>
      </c>
      <c r="P9" s="186">
        <f>SUMIF($G$2:O$2,O$2,$G9:O9)</f>
        <v>0</v>
      </c>
      <c r="Q9" s="181"/>
      <c r="R9" s="181"/>
      <c r="S9" s="181"/>
      <c r="T9" s="181"/>
      <c r="U9" s="181"/>
      <c r="V9" s="181"/>
      <c r="W9" s="181"/>
      <c r="X9" s="181"/>
      <c r="Y9" s="181"/>
      <c r="Z9" s="181"/>
      <c r="AA9" s="181"/>
      <c r="AB9" s="181"/>
      <c r="AC9" s="174" t="s">
        <v>290</v>
      </c>
      <c r="AD9" s="175">
        <f>SUMIF($G$2:AC$2,Y$2,$G9:AC9)</f>
        <v>0</v>
      </c>
      <c r="AE9" s="178"/>
      <c r="AF9" s="178"/>
      <c r="AG9" s="178"/>
      <c r="AH9" s="178"/>
      <c r="AI9" s="178"/>
      <c r="AJ9" s="178"/>
      <c r="AK9" s="178"/>
      <c r="AL9" s="178"/>
      <c r="AM9" s="178"/>
      <c r="AN9" s="175">
        <f>SUMIF($G$2:AM$2,AM$2,$G9:AM9)</f>
        <v>0</v>
      </c>
      <c r="AQ9" s="181"/>
      <c r="AR9" s="181"/>
      <c r="AS9" s="181"/>
      <c r="AT9" s="181"/>
      <c r="AU9" s="181"/>
      <c r="AV9" s="181"/>
      <c r="AW9" s="181"/>
      <c r="AX9" s="174"/>
      <c r="AY9" s="175"/>
      <c r="AZ9" s="178"/>
      <c r="BA9" s="178"/>
      <c r="BB9" s="178"/>
      <c r="BC9" s="178"/>
      <c r="BD9" s="178"/>
      <c r="BE9" s="178"/>
      <c r="BF9" s="178"/>
      <c r="BG9" s="178"/>
      <c r="BH9" s="178"/>
      <c r="BI9" s="175"/>
    </row>
    <row r="10" spans="1:61" s="164" customFormat="1" ht="72" customHeight="1" x14ac:dyDescent="0.15">
      <c r="A10" s="171" t="s">
        <v>42</v>
      </c>
      <c r="B10" s="172"/>
      <c r="C10" s="172"/>
      <c r="D10" s="173"/>
      <c r="E10" s="173" t="s">
        <v>52</v>
      </c>
      <c r="F10" s="173" t="s">
        <v>51</v>
      </c>
      <c r="G10" s="184"/>
      <c r="H10" s="174" t="s">
        <v>291</v>
      </c>
      <c r="I10" s="174" t="s">
        <v>292</v>
      </c>
      <c r="J10" s="185"/>
      <c r="K10" s="185"/>
      <c r="L10" s="185"/>
      <c r="M10" s="174" t="s">
        <v>293</v>
      </c>
      <c r="N10" s="174" t="s">
        <v>294</v>
      </c>
      <c r="O10" s="174" t="s">
        <v>295</v>
      </c>
      <c r="P10" s="186">
        <f>SUMIF($G$2:O$2,O$2,$G10:O10)</f>
        <v>0</v>
      </c>
      <c r="Q10" s="181"/>
      <c r="R10" s="181"/>
      <c r="S10" s="181"/>
      <c r="T10" s="181"/>
      <c r="U10" s="181"/>
      <c r="V10" s="181"/>
      <c r="W10" s="181"/>
      <c r="X10" s="181"/>
      <c r="Y10" s="181"/>
      <c r="Z10" s="181"/>
      <c r="AA10" s="181"/>
      <c r="AB10" s="181"/>
      <c r="AC10" s="174" t="s">
        <v>296</v>
      </c>
      <c r="AD10" s="175">
        <f>SUMIF($G$2:AC$2,Y$2,$G10:AC10)</f>
        <v>0</v>
      </c>
      <c r="AE10" s="178"/>
      <c r="AF10" s="178"/>
      <c r="AG10" s="178"/>
      <c r="AH10" s="178"/>
      <c r="AI10" s="178"/>
      <c r="AJ10" s="178"/>
      <c r="AK10" s="178"/>
      <c r="AL10" s="178"/>
      <c r="AM10" s="178"/>
      <c r="AN10" s="175">
        <f>SUMIF($G$2:AM$2,AM$2,$G10:AM10)</f>
        <v>0</v>
      </c>
      <c r="AQ10" s="181"/>
      <c r="AR10" s="181"/>
      <c r="AS10" s="181"/>
      <c r="AT10" s="181"/>
      <c r="AU10" s="181"/>
      <c r="AV10" s="181"/>
      <c r="AW10" s="181"/>
      <c r="AX10" s="174"/>
      <c r="AY10" s="175"/>
      <c r="AZ10" s="178"/>
      <c r="BA10" s="178"/>
      <c r="BB10" s="178"/>
      <c r="BC10" s="178"/>
      <c r="BD10" s="178"/>
      <c r="BE10" s="178"/>
      <c r="BF10" s="178"/>
      <c r="BG10" s="178"/>
      <c r="BH10" s="178"/>
      <c r="BI10" s="175"/>
    </row>
    <row r="11" spans="1:61" s="164" customFormat="1" ht="72" customHeight="1" x14ac:dyDescent="0.15">
      <c r="A11" s="171" t="s">
        <v>42</v>
      </c>
      <c r="B11" s="172"/>
      <c r="C11" s="172"/>
      <c r="D11" s="173"/>
      <c r="E11" s="173" t="s">
        <v>50</v>
      </c>
      <c r="F11" s="173" t="s">
        <v>49</v>
      </c>
      <c r="G11" s="184"/>
      <c r="H11" s="174" t="s">
        <v>297</v>
      </c>
      <c r="I11" s="174" t="s">
        <v>298</v>
      </c>
      <c r="J11" s="184"/>
      <c r="K11" s="184"/>
      <c r="L11" s="184"/>
      <c r="M11" s="174" t="s">
        <v>299</v>
      </c>
      <c r="N11" s="174" t="s">
        <v>300</v>
      </c>
      <c r="O11" s="174" t="s">
        <v>301</v>
      </c>
      <c r="P11" s="186">
        <f>SUMIF($G$2:O$2,O$2,$G11:O11)</f>
        <v>0</v>
      </c>
      <c r="Q11" s="181"/>
      <c r="R11" s="181"/>
      <c r="S11" s="181"/>
      <c r="T11" s="181"/>
      <c r="U11" s="181"/>
      <c r="V11" s="181"/>
      <c r="W11" s="181"/>
      <c r="X11" s="181"/>
      <c r="Y11" s="181"/>
      <c r="Z11" s="181"/>
      <c r="AA11" s="181"/>
      <c r="AB11" s="181"/>
      <c r="AC11" s="174" t="s">
        <v>302</v>
      </c>
      <c r="AD11" s="175">
        <f>SUMIF($G$2:AC$2,Y$2,$G11:AC11)</f>
        <v>0</v>
      </c>
      <c r="AE11" s="178"/>
      <c r="AF11" s="178"/>
      <c r="AG11" s="178"/>
      <c r="AH11" s="178"/>
      <c r="AI11" s="178"/>
      <c r="AJ11" s="178"/>
      <c r="AK11" s="178"/>
      <c r="AL11" s="178"/>
      <c r="AM11" s="178"/>
      <c r="AN11" s="175">
        <f>SUMIF($G$2:AM$2,AM$2,$G11:AM11)</f>
        <v>0</v>
      </c>
      <c r="AQ11" s="181"/>
      <c r="AR11" s="181"/>
      <c r="AS11" s="181"/>
      <c r="AT11" s="181"/>
      <c r="AU11" s="181"/>
      <c r="AV11" s="181"/>
      <c r="AW11" s="181"/>
      <c r="AX11" s="174"/>
      <c r="AY11" s="175"/>
      <c r="AZ11" s="178"/>
      <c r="BA11" s="178"/>
      <c r="BB11" s="178"/>
      <c r="BC11" s="178"/>
      <c r="BD11" s="178"/>
      <c r="BE11" s="178"/>
      <c r="BF11" s="178"/>
      <c r="BG11" s="178"/>
      <c r="BH11" s="178"/>
      <c r="BI11" s="175"/>
    </row>
    <row r="12" spans="1:61" s="164" customFormat="1" ht="72" customHeight="1" x14ac:dyDescent="0.15">
      <c r="A12" s="171" t="s">
        <v>42</v>
      </c>
      <c r="B12" s="172"/>
      <c r="C12" s="172"/>
      <c r="D12" s="173"/>
      <c r="E12" s="173" t="s">
        <v>48</v>
      </c>
      <c r="F12" s="173" t="s">
        <v>47</v>
      </c>
      <c r="G12" s="184"/>
      <c r="H12" s="174" t="s">
        <v>395</v>
      </c>
      <c r="I12" s="174" t="s">
        <v>396</v>
      </c>
      <c r="J12" s="185"/>
      <c r="K12" s="185"/>
      <c r="L12" s="185"/>
      <c r="M12" s="174" t="s">
        <v>397</v>
      </c>
      <c r="N12" s="174" t="s">
        <v>398</v>
      </c>
      <c r="O12" s="174" t="s">
        <v>399</v>
      </c>
      <c r="P12" s="186">
        <f>SUMIF($G$2:O$2,O$2,$G12:O12)</f>
        <v>0</v>
      </c>
      <c r="Q12" s="181"/>
      <c r="R12" s="181"/>
      <c r="S12" s="181"/>
      <c r="T12" s="181"/>
      <c r="U12" s="181"/>
      <c r="V12" s="181"/>
      <c r="W12" s="181"/>
      <c r="X12" s="181"/>
      <c r="Y12" s="181"/>
      <c r="Z12" s="181"/>
      <c r="AA12" s="181"/>
      <c r="AB12" s="181"/>
      <c r="AC12" s="174" t="s">
        <v>400</v>
      </c>
      <c r="AD12" s="175">
        <f>SUMIF($G$2:AC$2,Y$2,$G12:AC12)</f>
        <v>0</v>
      </c>
      <c r="AE12" s="178"/>
      <c r="AF12" s="178"/>
      <c r="AG12" s="178"/>
      <c r="AH12" s="178"/>
      <c r="AI12" s="178"/>
      <c r="AJ12" s="178"/>
      <c r="AK12" s="178"/>
      <c r="AL12" s="178"/>
      <c r="AM12" s="178"/>
      <c r="AN12" s="175">
        <f>SUMIF($G$2:AM$2,AM$2,$G12:AM12)</f>
        <v>0</v>
      </c>
      <c r="AQ12" s="181"/>
      <c r="AR12" s="181"/>
      <c r="AS12" s="181"/>
      <c r="AT12" s="181"/>
      <c r="AU12" s="181"/>
      <c r="AV12" s="181"/>
      <c r="AW12" s="181"/>
      <c r="AX12" s="174"/>
      <c r="AY12" s="175"/>
      <c r="AZ12" s="178"/>
      <c r="BA12" s="178"/>
      <c r="BB12" s="178"/>
      <c r="BC12" s="178"/>
      <c r="BD12" s="178"/>
      <c r="BE12" s="178"/>
      <c r="BF12" s="178"/>
      <c r="BG12" s="178"/>
      <c r="BH12" s="178"/>
      <c r="BI12" s="175"/>
    </row>
    <row r="13" spans="1:61" s="164" customFormat="1" ht="79" customHeight="1" x14ac:dyDescent="0.15">
      <c r="A13" s="171" t="s">
        <v>42</v>
      </c>
      <c r="B13" s="172"/>
      <c r="C13" s="172"/>
      <c r="D13" s="173"/>
      <c r="E13" s="173" t="s">
        <v>46</v>
      </c>
      <c r="F13" s="173" t="s">
        <v>45</v>
      </c>
      <c r="G13" s="187"/>
      <c r="H13" s="174" t="s">
        <v>401</v>
      </c>
      <c r="I13" s="174" t="s">
        <v>402</v>
      </c>
      <c r="J13" s="185"/>
      <c r="K13" s="185"/>
      <c r="L13" s="185"/>
      <c r="M13" s="174" t="s">
        <v>403</v>
      </c>
      <c r="N13" s="174" t="s">
        <v>404</v>
      </c>
      <c r="O13" s="174" t="s">
        <v>405</v>
      </c>
      <c r="P13" s="175">
        <f>SUMIF($G$2:O$2,O$2,$G13:O13)</f>
        <v>0</v>
      </c>
      <c r="Q13" s="181"/>
      <c r="R13" s="181"/>
      <c r="S13" s="181"/>
      <c r="T13" s="181"/>
      <c r="U13" s="181"/>
      <c r="V13" s="181"/>
      <c r="W13" s="181"/>
      <c r="X13" s="181"/>
      <c r="Y13" s="181"/>
      <c r="Z13" s="181"/>
      <c r="AA13" s="181"/>
      <c r="AB13" s="181"/>
      <c r="AC13" s="174" t="s">
        <v>406</v>
      </c>
      <c r="AD13" s="175">
        <f>SUMIF($G$2:AC$2,Y$2,$G13:AC13)</f>
        <v>0</v>
      </c>
      <c r="AE13" s="178"/>
      <c r="AF13" s="178"/>
      <c r="AG13" s="178"/>
      <c r="AH13" s="178"/>
      <c r="AI13" s="178"/>
      <c r="AJ13" s="178"/>
      <c r="AK13" s="178"/>
      <c r="AL13" s="178"/>
      <c r="AM13" s="178"/>
      <c r="AN13" s="175">
        <f>SUMIF($G$2:AM$2,AM$2,$G13:AM13)</f>
        <v>0</v>
      </c>
      <c r="AQ13" s="181"/>
      <c r="AR13" s="181"/>
      <c r="AS13" s="181"/>
      <c r="AT13" s="181"/>
      <c r="AU13" s="181"/>
      <c r="AV13" s="181"/>
      <c r="AW13" s="181"/>
      <c r="AX13" s="181"/>
      <c r="AY13" s="175"/>
      <c r="AZ13" s="178"/>
      <c r="BA13" s="178"/>
      <c r="BB13" s="178"/>
      <c r="BC13" s="178"/>
      <c r="BD13" s="178"/>
      <c r="BE13" s="178"/>
      <c r="BF13" s="178"/>
      <c r="BG13" s="178"/>
      <c r="BH13" s="178"/>
      <c r="BI13" s="175"/>
    </row>
    <row r="14" spans="1:61" s="164" customFormat="1" ht="180" customHeight="1" x14ac:dyDescent="0.15">
      <c r="A14" s="171" t="s">
        <v>42</v>
      </c>
      <c r="B14" s="172"/>
      <c r="C14" s="172"/>
      <c r="D14" s="173"/>
      <c r="E14" s="173" t="s">
        <v>44</v>
      </c>
      <c r="F14" s="173" t="s">
        <v>43</v>
      </c>
      <c r="G14" s="174" t="s">
        <v>303</v>
      </c>
      <c r="H14" s="174" t="s">
        <v>304</v>
      </c>
      <c r="I14" s="174" t="s">
        <v>305</v>
      </c>
      <c r="J14" s="174" t="s">
        <v>306</v>
      </c>
      <c r="K14" s="174" t="s">
        <v>307</v>
      </c>
      <c r="L14" s="174" t="s">
        <v>308</v>
      </c>
      <c r="M14" s="174" t="s">
        <v>309</v>
      </c>
      <c r="N14" s="174" t="s">
        <v>310</v>
      </c>
      <c r="O14" s="174" t="s">
        <v>311</v>
      </c>
      <c r="P14" s="175">
        <f>SUMIF($G$2:O$2,O$2,$G14:O14)</f>
        <v>0</v>
      </c>
      <c r="Q14" s="174" t="s">
        <v>312</v>
      </c>
      <c r="R14" s="174" t="s">
        <v>313</v>
      </c>
      <c r="S14" s="174" t="s">
        <v>314</v>
      </c>
      <c r="T14" s="174" t="s">
        <v>315</v>
      </c>
      <c r="U14" s="174" t="s">
        <v>316</v>
      </c>
      <c r="V14" s="174" t="s">
        <v>317</v>
      </c>
      <c r="W14" s="174" t="s">
        <v>318</v>
      </c>
      <c r="X14" s="174" t="s">
        <v>319</v>
      </c>
      <c r="Y14" s="174" t="s">
        <v>320</v>
      </c>
      <c r="Z14" s="174" t="s">
        <v>321</v>
      </c>
      <c r="AA14" s="174" t="s">
        <v>322</v>
      </c>
      <c r="AB14" s="189"/>
      <c r="AC14" s="174" t="s">
        <v>407</v>
      </c>
      <c r="AD14" s="175">
        <f>SUMIF($G$2:AC$2,Y$2,$G14:AC14)</f>
        <v>0</v>
      </c>
      <c r="AE14" s="178"/>
      <c r="AF14" s="178"/>
      <c r="AG14" s="178"/>
      <c r="AH14" s="178"/>
      <c r="AI14" s="178"/>
      <c r="AJ14" s="178"/>
      <c r="AK14" s="178"/>
      <c r="AL14" s="178"/>
      <c r="AM14" s="178"/>
      <c r="AN14" s="175">
        <f>SUMIF($G$2:AM$2,AM$2,$G14:AM14)</f>
        <v>0</v>
      </c>
      <c r="AQ14" s="174"/>
      <c r="AR14" s="174"/>
      <c r="AS14" s="174"/>
      <c r="AT14" s="174"/>
      <c r="AU14" s="174"/>
      <c r="AV14" s="174"/>
      <c r="AW14" s="189"/>
      <c r="AX14" s="174"/>
      <c r="AY14" s="175"/>
      <c r="AZ14" s="178"/>
      <c r="BA14" s="178"/>
      <c r="BB14" s="178"/>
      <c r="BC14" s="178"/>
      <c r="BD14" s="178"/>
      <c r="BE14" s="178"/>
      <c r="BF14" s="178"/>
      <c r="BG14" s="178"/>
      <c r="BH14" s="178"/>
      <c r="BI14" s="175"/>
    </row>
    <row r="15" spans="1:61" s="164" customFormat="1" ht="180" customHeight="1" x14ac:dyDescent="0.15">
      <c r="A15" s="171" t="s">
        <v>42</v>
      </c>
      <c r="B15" s="172"/>
      <c r="C15" s="172"/>
      <c r="D15" s="173"/>
      <c r="E15" s="173" t="s">
        <v>41</v>
      </c>
      <c r="F15" s="173" t="s">
        <v>40</v>
      </c>
      <c r="G15" s="174" t="s">
        <v>303</v>
      </c>
      <c r="H15" s="174" t="s">
        <v>304</v>
      </c>
      <c r="I15" s="174" t="s">
        <v>305</v>
      </c>
      <c r="J15" s="174" t="s">
        <v>306</v>
      </c>
      <c r="K15" s="174" t="s">
        <v>307</v>
      </c>
      <c r="L15" s="174" t="s">
        <v>308</v>
      </c>
      <c r="M15" s="174" t="s">
        <v>309</v>
      </c>
      <c r="N15" s="174" t="s">
        <v>310</v>
      </c>
      <c r="O15" s="174" t="s">
        <v>311</v>
      </c>
      <c r="P15" s="175">
        <f>SUMIF($G$2:O$2,O$2,$G15:O15)</f>
        <v>0</v>
      </c>
      <c r="Q15" s="174" t="s">
        <v>312</v>
      </c>
      <c r="R15" s="174" t="s">
        <v>313</v>
      </c>
      <c r="S15" s="174" t="s">
        <v>314</v>
      </c>
      <c r="T15" s="174" t="s">
        <v>315</v>
      </c>
      <c r="U15" s="174" t="s">
        <v>316</v>
      </c>
      <c r="V15" s="174" t="s">
        <v>317</v>
      </c>
      <c r="W15" s="174" t="s">
        <v>318</v>
      </c>
      <c r="X15" s="174" t="s">
        <v>319</v>
      </c>
      <c r="Y15" s="174" t="s">
        <v>320</v>
      </c>
      <c r="Z15" s="174" t="s">
        <v>321</v>
      </c>
      <c r="AA15" s="174" t="s">
        <v>322</v>
      </c>
      <c r="AB15" s="181"/>
      <c r="AC15" s="174" t="s">
        <v>407</v>
      </c>
      <c r="AD15" s="175">
        <f>SUMIF($G$2:AC$2,Y$2,$G15:AC15)</f>
        <v>0</v>
      </c>
      <c r="AE15" s="178"/>
      <c r="AF15" s="178"/>
      <c r="AG15" s="178"/>
      <c r="AH15" s="178"/>
      <c r="AI15" s="178"/>
      <c r="AJ15" s="178"/>
      <c r="AK15" s="178"/>
      <c r="AL15" s="178"/>
      <c r="AM15" s="178"/>
      <c r="AN15" s="175">
        <f>SUMIF($G$2:AM$2,AM$2,$G15:AM15)</f>
        <v>0</v>
      </c>
      <c r="AQ15" s="174"/>
      <c r="AR15" s="174"/>
      <c r="AS15" s="174"/>
      <c r="AT15" s="174"/>
      <c r="AU15" s="174"/>
      <c r="AV15" s="174"/>
      <c r="AW15" s="181"/>
      <c r="AX15" s="174"/>
      <c r="AY15" s="175"/>
      <c r="AZ15" s="178"/>
      <c r="BA15" s="178"/>
      <c r="BB15" s="178"/>
      <c r="BC15" s="178"/>
      <c r="BD15" s="178"/>
      <c r="BE15" s="178"/>
      <c r="BF15" s="178"/>
      <c r="BG15" s="178"/>
      <c r="BH15" s="178"/>
      <c r="BI15" s="175"/>
    </row>
    <row r="16" spans="1:61" s="164" customFormat="1" ht="12" customHeight="1" x14ac:dyDescent="0.15">
      <c r="A16" s="171"/>
      <c r="B16" s="190"/>
      <c r="C16" s="190"/>
      <c r="D16" s="191"/>
      <c r="E16" s="191"/>
      <c r="F16" s="192" t="s">
        <v>39</v>
      </c>
      <c r="G16" s="193">
        <f>SUMIF($C$5:$C15,$C15,G$5:G15)</f>
        <v>0</v>
      </c>
      <c r="H16" s="193">
        <f>SUMIF($C$5:$C15,$C15,H$5:H15)</f>
        <v>0</v>
      </c>
      <c r="I16" s="193">
        <f>SUMIF($C$5:$C15,$C15,I$5:I15)</f>
        <v>0</v>
      </c>
      <c r="J16" s="193">
        <f>SUMIF($C$5:$C15,$C15,J$5:J15)</f>
        <v>0</v>
      </c>
      <c r="K16" s="193">
        <f>SUMIF($C$5:$C15,$C15,K$5:K15)</f>
        <v>0</v>
      </c>
      <c r="L16" s="193">
        <f>SUMIF($C$5:$C15,$C15,L$5:L15)</f>
        <v>0</v>
      </c>
      <c r="M16" s="193">
        <f>SUMIF($C$5:$C15,$C15,M$5:M15)</f>
        <v>0</v>
      </c>
      <c r="N16" s="193">
        <f>SUMIF($C$5:$C15,$C15,N$5:N15)</f>
        <v>0</v>
      </c>
      <c r="O16" s="193">
        <f>SUMIF($C$5:$C15,$C15,O$5:O15)</f>
        <v>0</v>
      </c>
      <c r="P16" s="175">
        <f>SUMIF($C$5:$C15,$C15,P$5:P15)</f>
        <v>0</v>
      </c>
      <c r="Q16" s="193">
        <f>SUMIF($C$5:$C15,$C15,Q$5:Q15)</f>
        <v>0</v>
      </c>
      <c r="R16" s="193">
        <f>SUMIF($C$5:$C15,$C15,R$5:R15)</f>
        <v>0</v>
      </c>
      <c r="S16" s="193">
        <f>SUMIF($C$5:$C15,$C15,S$5:S15)</f>
        <v>0</v>
      </c>
      <c r="T16" s="193">
        <f>SUMIF($C$5:$C15,$C15,T$5:T15)</f>
        <v>0</v>
      </c>
      <c r="U16" s="193">
        <f>SUMIF($C$5:$C15,$C15,U$5:U15)</f>
        <v>0</v>
      </c>
      <c r="V16" s="193">
        <f>SUMIF($C$5:$C15,$C15,V$5:V15)</f>
        <v>0</v>
      </c>
      <c r="W16" s="193">
        <f>SUMIF($C$5:$C15,$C15,W$5:W15)</f>
        <v>0</v>
      </c>
      <c r="X16" s="193">
        <f>SUMIF($C$5:$C15,$C15,X$5:X15)</f>
        <v>0</v>
      </c>
      <c r="Y16" s="193">
        <f>SUMIF($C$5:$C15,$C15,Y$5:Y15)</f>
        <v>0</v>
      </c>
      <c r="Z16" s="193">
        <f>SUMIF($C$5:$C15,$C15,Z$5:Z15)</f>
        <v>0</v>
      </c>
      <c r="AA16" s="193">
        <f>SUMIF($C$5:$C15,$C15,AA$5:AA15)</f>
        <v>0</v>
      </c>
      <c r="AB16" s="193">
        <f>SUMIF($C$5:$C15,$C15,AB$5:AB15)</f>
        <v>0</v>
      </c>
      <c r="AC16" s="193">
        <f>SUMIF($C$5:$C15,$C15,AC$5:AC15)</f>
        <v>0</v>
      </c>
      <c r="AD16" s="175">
        <f>SUMIF($C$5:$C15,$C15,AD$5:AD15)</f>
        <v>0</v>
      </c>
      <c r="AE16" s="193">
        <f>SUMIF($C$5:$C15,$C15,AE$5:AE15)</f>
        <v>0</v>
      </c>
      <c r="AF16" s="193">
        <f>SUMIF($C$5:$C15,$C15,AF$5:AF15)</f>
        <v>0</v>
      </c>
      <c r="AG16" s="193">
        <f>SUMIF($C$5:$C15,$C15,AG$5:AG15)</f>
        <v>0</v>
      </c>
      <c r="AH16" s="193">
        <f>SUMIF($C$5:$C15,$C15,AH$5:AH15)</f>
        <v>0</v>
      </c>
      <c r="AI16" s="193">
        <f>SUMIF($C$5:$C15,$C15,AI$5:AI15)</f>
        <v>0</v>
      </c>
      <c r="AJ16" s="193">
        <f>SUMIF($C$5:$C15,$C15,AJ$5:AJ15)</f>
        <v>0</v>
      </c>
      <c r="AK16" s="193">
        <f>SUMIF($C$5:$C15,$C15,AK$5:AK15)</f>
        <v>0</v>
      </c>
      <c r="AL16" s="193">
        <f>SUMIF($C$5:$C15,$C15,AL$5:AL15)</f>
        <v>0</v>
      </c>
      <c r="AM16" s="193">
        <f>SUMIF($C$5:$C15,$C15,AM$5:AM15)</f>
        <v>0</v>
      </c>
      <c r="AN16" s="175">
        <f>SUMIF($C$5:$C15,$C15,AN$5:AN15)</f>
        <v>0</v>
      </c>
      <c r="AQ16" s="193"/>
      <c r="AR16" s="193"/>
      <c r="AS16" s="193"/>
      <c r="AT16" s="193"/>
      <c r="AU16" s="193"/>
      <c r="AV16" s="193"/>
      <c r="AW16" s="193"/>
      <c r="AX16" s="193"/>
      <c r="AY16" s="175"/>
      <c r="AZ16" s="193"/>
      <c r="BA16" s="193"/>
      <c r="BB16" s="193"/>
      <c r="BC16" s="193"/>
      <c r="BD16" s="193"/>
      <c r="BE16" s="193"/>
      <c r="BF16" s="193"/>
      <c r="BG16" s="193"/>
      <c r="BH16" s="193"/>
      <c r="BI16" s="175"/>
    </row>
    <row r="17" spans="1:42" ht="16" customHeight="1" x14ac:dyDescent="0.2">
      <c r="A17" s="305"/>
      <c r="B17" s="303"/>
      <c r="C17" s="303"/>
      <c r="D17" s="305"/>
      <c r="E17" s="305"/>
      <c r="F17" s="305"/>
      <c r="G17" s="303"/>
      <c r="H17" s="303"/>
      <c r="I17" s="303"/>
      <c r="J17" s="303"/>
      <c r="K17" s="303"/>
      <c r="L17" s="303"/>
      <c r="M17" s="303"/>
      <c r="N17" s="303"/>
      <c r="O17" s="303"/>
      <c r="P17" s="303"/>
      <c r="Q17" s="303"/>
      <c r="R17" s="303"/>
      <c r="S17" s="303"/>
      <c r="T17" s="303"/>
      <c r="U17" s="303"/>
      <c r="V17" s="303"/>
      <c r="W17" s="303"/>
      <c r="X17" s="303"/>
      <c r="Y17" s="303"/>
      <c r="Z17" s="303"/>
      <c r="AA17" s="303"/>
      <c r="AB17" s="303"/>
      <c r="AC17" s="303"/>
      <c r="AD17" s="303"/>
      <c r="AE17" s="303"/>
      <c r="AF17" s="303"/>
      <c r="AG17" s="303"/>
      <c r="AH17" s="303"/>
      <c r="AI17" s="303"/>
      <c r="AJ17" s="303"/>
      <c r="AK17" s="303"/>
      <c r="AL17" s="303"/>
      <c r="AM17" s="303"/>
      <c r="AN17" s="303"/>
      <c r="AO17" s="303"/>
      <c r="AP17" s="303"/>
    </row>
    <row r="18" spans="1:42" ht="16" customHeight="1" x14ac:dyDescent="0.2">
      <c r="A18" s="305"/>
      <c r="B18" s="303"/>
      <c r="C18" s="303"/>
      <c r="D18" s="305"/>
      <c r="E18" s="305"/>
      <c r="F18" s="305"/>
      <c r="G18" s="303"/>
      <c r="H18" s="303"/>
      <c r="I18" s="303"/>
      <c r="J18" s="303"/>
      <c r="K18" s="303"/>
      <c r="L18" s="303"/>
      <c r="M18" s="303"/>
      <c r="N18" s="303"/>
      <c r="O18" s="303"/>
      <c r="P18" s="303"/>
      <c r="Q18" s="303"/>
      <c r="R18" s="303"/>
      <c r="S18" s="303"/>
      <c r="T18" s="303"/>
      <c r="U18" s="303"/>
      <c r="V18" s="303"/>
      <c r="W18" s="303"/>
      <c r="X18" s="303"/>
      <c r="Y18" s="303"/>
      <c r="Z18" s="303"/>
      <c r="AA18" s="303"/>
      <c r="AB18" s="303"/>
      <c r="AC18" s="303"/>
      <c r="AD18" s="303"/>
      <c r="AE18" s="303"/>
      <c r="AF18" s="303"/>
      <c r="AG18" s="303"/>
      <c r="AH18" s="303"/>
      <c r="AI18" s="303"/>
      <c r="AJ18" s="303"/>
      <c r="AK18" s="303"/>
      <c r="AL18" s="303"/>
      <c r="AM18" s="303"/>
      <c r="AN18" s="303"/>
      <c r="AO18" s="303"/>
      <c r="AP18" s="303"/>
    </row>
    <row r="19" spans="1:42" ht="84" x14ac:dyDescent="0.2">
      <c r="A19" s="305"/>
      <c r="B19" s="303"/>
      <c r="C19" s="303"/>
      <c r="D19" s="305"/>
      <c r="E19" s="305"/>
      <c r="F19" s="305"/>
      <c r="G19" s="303"/>
      <c r="H19" s="303"/>
      <c r="I19" s="303"/>
      <c r="J19" s="303"/>
      <c r="K19" s="303"/>
      <c r="L19" s="303"/>
      <c r="M19" s="303"/>
      <c r="N19" s="303"/>
      <c r="O19" s="303"/>
      <c r="P19" s="303"/>
      <c r="Q19" s="303"/>
      <c r="R19" s="303"/>
      <c r="S19" s="303"/>
      <c r="T19" s="303"/>
      <c r="U19" s="303"/>
      <c r="V19" s="303"/>
      <c r="W19" s="303"/>
      <c r="X19" s="303"/>
      <c r="Y19" s="303"/>
      <c r="Z19" s="303"/>
      <c r="AA19" s="303"/>
      <c r="AB19" s="300" t="s">
        <v>388</v>
      </c>
      <c r="AC19" s="174" t="s">
        <v>389</v>
      </c>
      <c r="AD19" s="303"/>
      <c r="AE19" s="303"/>
      <c r="AF19" s="303"/>
      <c r="AG19" s="303"/>
      <c r="AH19" s="303"/>
      <c r="AI19" s="303"/>
      <c r="AJ19" s="303"/>
      <c r="AK19" s="303"/>
      <c r="AL19" s="303"/>
      <c r="AM19" s="303"/>
      <c r="AN19" s="303"/>
      <c r="AO19" s="303"/>
      <c r="AP19" s="303"/>
    </row>
    <row r="20" spans="1:42" x14ac:dyDescent="0.2">
      <c r="A20" s="305"/>
      <c r="B20" s="303"/>
      <c r="C20" s="303"/>
      <c r="D20" s="305"/>
      <c r="E20" s="305"/>
      <c r="F20" s="305"/>
      <c r="G20" s="303"/>
      <c r="H20" s="303"/>
      <c r="I20" s="303"/>
      <c r="J20" s="303"/>
      <c r="K20" s="303"/>
      <c r="L20" s="303"/>
      <c r="M20" s="303"/>
      <c r="N20" s="303"/>
      <c r="O20" s="303"/>
      <c r="P20" s="303"/>
      <c r="Q20" s="303"/>
      <c r="R20" s="303"/>
      <c r="S20" s="303"/>
      <c r="T20" s="303"/>
      <c r="U20" s="303"/>
      <c r="V20" s="303"/>
      <c r="W20" s="303"/>
      <c r="X20" s="303"/>
      <c r="Y20" s="303"/>
      <c r="Z20" s="303"/>
      <c r="AA20" s="303"/>
      <c r="AB20" s="303"/>
      <c r="AC20" s="303"/>
      <c r="AD20" s="303"/>
      <c r="AE20" s="303"/>
      <c r="AF20" s="303"/>
      <c r="AG20" s="303"/>
      <c r="AH20" s="303"/>
      <c r="AI20" s="303"/>
      <c r="AJ20" s="303"/>
      <c r="AK20" s="303"/>
      <c r="AL20" s="303"/>
      <c r="AM20" s="303"/>
      <c r="AN20" s="303"/>
      <c r="AO20" s="303"/>
      <c r="AP20" s="303"/>
    </row>
    <row r="21" spans="1:42" x14ac:dyDescent="0.2">
      <c r="A21" s="305"/>
      <c r="B21" s="303"/>
      <c r="C21" s="303"/>
      <c r="D21" s="305"/>
      <c r="E21" s="305"/>
      <c r="F21" s="305"/>
      <c r="G21" s="303"/>
      <c r="H21" s="303"/>
      <c r="I21" s="303"/>
      <c r="J21" s="303"/>
      <c r="K21" s="303"/>
      <c r="L21" s="303"/>
      <c r="M21" s="303"/>
      <c r="N21" s="303"/>
      <c r="O21" s="303"/>
      <c r="P21" s="303"/>
      <c r="Q21" s="303"/>
      <c r="R21" s="303"/>
      <c r="S21" s="303"/>
      <c r="T21" s="303"/>
      <c r="U21" s="303"/>
      <c r="V21" s="303"/>
      <c r="W21" s="303"/>
      <c r="X21" s="303"/>
      <c r="Y21" s="303"/>
      <c r="Z21" s="303"/>
      <c r="AA21" s="303"/>
      <c r="AB21" s="303"/>
      <c r="AC21" s="303"/>
      <c r="AD21" s="303"/>
      <c r="AE21" s="303"/>
      <c r="AF21" s="303"/>
      <c r="AG21" s="303"/>
      <c r="AH21" s="303"/>
      <c r="AI21" s="303"/>
      <c r="AJ21" s="303"/>
      <c r="AK21" s="303"/>
      <c r="AL21" s="303"/>
      <c r="AM21" s="303"/>
      <c r="AN21" s="303"/>
      <c r="AO21" s="303"/>
      <c r="AP21" s="303"/>
    </row>
    <row r="22" spans="1:42" x14ac:dyDescent="0.2">
      <c r="A22" s="305"/>
      <c r="B22" s="303"/>
      <c r="C22" s="303"/>
      <c r="D22" s="305"/>
      <c r="E22" s="305"/>
      <c r="F22" s="305"/>
      <c r="G22" s="303"/>
      <c r="H22" s="303"/>
      <c r="I22" s="303"/>
      <c r="J22" s="303"/>
      <c r="K22" s="303"/>
      <c r="L22" s="303"/>
      <c r="M22" s="303"/>
      <c r="N22" s="303"/>
      <c r="O22" s="303"/>
      <c r="P22" s="303"/>
      <c r="Q22" s="303"/>
      <c r="R22" s="303"/>
      <c r="S22" s="303"/>
      <c r="T22" s="303"/>
      <c r="U22" s="303"/>
      <c r="V22" s="303"/>
      <c r="W22" s="303"/>
      <c r="X22" s="303"/>
      <c r="Y22" s="303"/>
      <c r="Z22" s="303"/>
      <c r="AA22" s="303"/>
      <c r="AB22" s="303"/>
      <c r="AC22" s="303"/>
      <c r="AD22" s="303"/>
      <c r="AE22" s="303"/>
      <c r="AF22" s="303"/>
      <c r="AG22" s="303"/>
      <c r="AH22" s="303"/>
      <c r="AI22" s="303"/>
      <c r="AJ22" s="303"/>
      <c r="AK22" s="303"/>
      <c r="AL22" s="303"/>
      <c r="AM22" s="303"/>
      <c r="AN22" s="303"/>
      <c r="AO22" s="303"/>
      <c r="AP22" s="303"/>
    </row>
    <row r="23" spans="1:42" x14ac:dyDescent="0.2">
      <c r="A23" s="305"/>
      <c r="B23" s="303"/>
      <c r="C23" s="303"/>
      <c r="D23" s="305"/>
      <c r="E23" s="305"/>
      <c r="F23" s="305"/>
      <c r="G23" s="303"/>
      <c r="H23" s="303"/>
      <c r="I23" s="303"/>
      <c r="J23" s="303"/>
      <c r="K23" s="303"/>
      <c r="L23" s="303"/>
      <c r="M23" s="303"/>
      <c r="N23" s="303"/>
      <c r="O23" s="303"/>
      <c r="P23" s="303"/>
      <c r="Q23" s="303"/>
      <c r="R23" s="303"/>
      <c r="S23" s="303"/>
      <c r="T23" s="303"/>
      <c r="U23" s="303"/>
      <c r="V23" s="303"/>
      <c r="W23" s="303"/>
      <c r="X23" s="303"/>
      <c r="Y23" s="303"/>
      <c r="Z23" s="303"/>
      <c r="AA23" s="303"/>
      <c r="AB23" s="303"/>
      <c r="AC23" s="303"/>
      <c r="AD23" s="303"/>
      <c r="AE23" s="303"/>
      <c r="AF23" s="303"/>
      <c r="AG23" s="303"/>
      <c r="AH23" s="303"/>
      <c r="AI23" s="303"/>
      <c r="AJ23" s="303"/>
      <c r="AK23" s="303"/>
      <c r="AL23" s="303"/>
      <c r="AM23" s="303"/>
      <c r="AN23" s="303"/>
      <c r="AO23" s="303"/>
      <c r="AP23" s="303"/>
    </row>
    <row r="24" spans="1:42" x14ac:dyDescent="0.2">
      <c r="A24" s="305"/>
      <c r="B24" s="303"/>
      <c r="C24" s="303"/>
      <c r="D24" s="305"/>
      <c r="E24" s="305"/>
      <c r="F24" s="305"/>
      <c r="G24" s="303"/>
      <c r="H24" s="303"/>
      <c r="I24" s="303"/>
      <c r="J24" s="303"/>
      <c r="K24" s="303"/>
      <c r="L24" s="303"/>
      <c r="M24" s="303"/>
      <c r="N24" s="303"/>
      <c r="O24" s="303"/>
      <c r="P24" s="303"/>
      <c r="Q24" s="303"/>
      <c r="R24" s="303"/>
      <c r="S24" s="303"/>
      <c r="T24" s="303"/>
      <c r="U24" s="303"/>
      <c r="V24" s="303"/>
      <c r="W24" s="303"/>
      <c r="X24" s="303"/>
      <c r="Y24" s="303"/>
      <c r="Z24" s="303"/>
      <c r="AA24" s="303"/>
      <c r="AB24" s="303"/>
      <c r="AC24" s="303"/>
      <c r="AD24" s="303"/>
      <c r="AE24" s="303"/>
      <c r="AF24" s="303"/>
      <c r="AG24" s="303"/>
      <c r="AH24" s="303"/>
      <c r="AI24" s="303"/>
      <c r="AJ24" s="303"/>
      <c r="AK24" s="303"/>
      <c r="AL24" s="303"/>
      <c r="AM24" s="303"/>
      <c r="AN24" s="303"/>
      <c r="AO24" s="303"/>
      <c r="AP24" s="303"/>
    </row>
    <row r="25" spans="1:42" x14ac:dyDescent="0.2">
      <c r="A25" s="305"/>
      <c r="B25" s="303"/>
      <c r="C25" s="303"/>
      <c r="D25" s="305"/>
      <c r="E25" s="305"/>
      <c r="F25" s="305"/>
      <c r="G25" s="303"/>
      <c r="H25" s="303"/>
      <c r="I25" s="303"/>
      <c r="J25" s="303"/>
      <c r="K25" s="303"/>
      <c r="L25" s="303"/>
      <c r="M25" s="303"/>
      <c r="N25" s="303"/>
      <c r="O25" s="303"/>
      <c r="P25" s="303"/>
      <c r="Q25" s="303"/>
      <c r="R25" s="303"/>
      <c r="S25" s="303"/>
      <c r="T25" s="303"/>
      <c r="U25" s="303"/>
      <c r="V25" s="303"/>
      <c r="W25" s="303"/>
      <c r="X25" s="303"/>
      <c r="Y25" s="303"/>
      <c r="Z25" s="303"/>
      <c r="AA25" s="303"/>
      <c r="AB25" s="303"/>
      <c r="AC25" s="303"/>
      <c r="AD25" s="303"/>
      <c r="AE25" s="303"/>
      <c r="AF25" s="303"/>
      <c r="AG25" s="303"/>
      <c r="AH25" s="303"/>
      <c r="AI25" s="303"/>
      <c r="AJ25" s="303"/>
      <c r="AK25" s="303"/>
      <c r="AL25" s="303"/>
      <c r="AM25" s="303"/>
      <c r="AN25" s="303"/>
      <c r="AO25" s="303"/>
      <c r="AP25" s="303"/>
    </row>
    <row r="26" spans="1:42" x14ac:dyDescent="0.2">
      <c r="A26" s="305"/>
      <c r="B26" s="303"/>
      <c r="C26" s="303"/>
      <c r="D26" s="305"/>
      <c r="E26" s="305"/>
      <c r="F26" s="305"/>
      <c r="G26" s="303"/>
      <c r="H26" s="303"/>
      <c r="I26" s="303"/>
      <c r="J26" s="303"/>
      <c r="K26" s="303"/>
      <c r="L26" s="303"/>
      <c r="M26" s="303"/>
      <c r="N26" s="303"/>
      <c r="O26" s="303"/>
      <c r="P26" s="303"/>
      <c r="Q26" s="303"/>
      <c r="R26" s="303"/>
      <c r="S26" s="303"/>
      <c r="T26" s="303"/>
      <c r="U26" s="303"/>
      <c r="V26" s="303"/>
      <c r="W26" s="303"/>
      <c r="X26" s="303"/>
      <c r="Y26" s="303"/>
      <c r="Z26" s="303"/>
      <c r="AA26" s="303"/>
      <c r="AB26" s="303"/>
      <c r="AC26" s="303"/>
      <c r="AD26" s="303"/>
      <c r="AE26" s="303"/>
      <c r="AF26" s="303"/>
      <c r="AG26" s="303"/>
      <c r="AH26" s="303"/>
      <c r="AI26" s="303"/>
      <c r="AJ26" s="303"/>
      <c r="AK26" s="303"/>
      <c r="AL26" s="303"/>
      <c r="AM26" s="303"/>
      <c r="AN26" s="303"/>
      <c r="AO26" s="303"/>
      <c r="AP26" s="303"/>
    </row>
    <row r="27" spans="1:42" x14ac:dyDescent="0.2">
      <c r="A27" s="305"/>
      <c r="B27" s="303"/>
      <c r="C27" s="303"/>
      <c r="D27" s="305"/>
      <c r="E27" s="305"/>
      <c r="F27" s="305"/>
      <c r="G27" s="303"/>
      <c r="H27" s="303"/>
      <c r="I27" s="303"/>
      <c r="J27" s="303"/>
      <c r="K27" s="303"/>
      <c r="L27" s="303"/>
      <c r="M27" s="303"/>
      <c r="N27" s="303"/>
      <c r="O27" s="303"/>
      <c r="P27" s="303"/>
      <c r="Q27" s="303"/>
      <c r="R27" s="303"/>
      <c r="S27" s="303"/>
      <c r="T27" s="303"/>
      <c r="U27" s="303"/>
      <c r="V27" s="303"/>
      <c r="W27" s="303"/>
      <c r="X27" s="303"/>
      <c r="Y27" s="303"/>
      <c r="Z27" s="303"/>
      <c r="AA27" s="303"/>
      <c r="AB27" s="303"/>
      <c r="AC27" s="303"/>
      <c r="AD27" s="303"/>
      <c r="AE27" s="303"/>
      <c r="AF27" s="303"/>
      <c r="AG27" s="303"/>
      <c r="AH27" s="303"/>
      <c r="AI27" s="303"/>
      <c r="AJ27" s="303"/>
      <c r="AK27" s="303"/>
      <c r="AL27" s="303"/>
      <c r="AM27" s="303"/>
      <c r="AN27" s="303"/>
      <c r="AO27" s="303"/>
      <c r="AP27" s="303"/>
    </row>
  </sheetData>
  <mergeCells count="6">
    <mergeCell ref="BI2:BI4"/>
    <mergeCell ref="AY2:AY4"/>
    <mergeCell ref="B1:F1"/>
    <mergeCell ref="P2:P4"/>
    <mergeCell ref="AD2:AD4"/>
    <mergeCell ref="AN2:AN4"/>
  </mergeCells>
  <pageMargins left="0.70866141732283472" right="0.70866141732283472" top="0.74803149606299213" bottom="0.74803149606299213" header="0.31496062992125984" footer="0.31496062992125984"/>
  <pageSetup paperSize="8" scale="2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2324D-705A-A94A-B5F8-6AFA2E068B3B}">
  <dimension ref="A1:T19"/>
  <sheetViews>
    <sheetView topLeftCell="A11" workbookViewId="0">
      <selection activeCell="B2" sqref="B1:B1048576"/>
    </sheetView>
  </sheetViews>
  <sheetFormatPr baseColWidth="10" defaultRowHeight="15" x14ac:dyDescent="0.2"/>
  <cols>
    <col min="2" max="2" width="0" hidden="1" customWidth="1"/>
  </cols>
  <sheetData>
    <row r="1" spans="1:20" ht="31" customHeight="1" x14ac:dyDescent="0.2">
      <c r="A1" s="351" t="s">
        <v>217</v>
      </c>
      <c r="B1" s="351"/>
      <c r="C1" s="351"/>
      <c r="D1" s="351"/>
      <c r="E1" s="351"/>
      <c r="F1" s="351"/>
      <c r="G1" s="196"/>
      <c r="H1" s="196"/>
      <c r="I1" s="196"/>
      <c r="J1" s="196"/>
      <c r="K1" s="196"/>
      <c r="L1" s="196"/>
      <c r="M1" s="197"/>
      <c r="N1" s="197"/>
      <c r="O1" s="196"/>
      <c r="P1" s="196"/>
      <c r="Q1" s="196"/>
      <c r="R1" s="196"/>
      <c r="S1" s="196"/>
      <c r="T1" s="196"/>
    </row>
    <row r="2" spans="1:20" x14ac:dyDescent="0.2">
      <c r="A2" s="198"/>
      <c r="B2" s="198"/>
      <c r="C2" s="198"/>
      <c r="D2" s="198"/>
      <c r="E2" s="198"/>
      <c r="F2" s="198"/>
      <c r="G2" s="199" t="s">
        <v>167</v>
      </c>
      <c r="H2" s="199" t="s">
        <v>167</v>
      </c>
      <c r="I2" s="199" t="s">
        <v>167</v>
      </c>
      <c r="J2" s="199" t="s">
        <v>167</v>
      </c>
      <c r="K2" s="199" t="s">
        <v>167</v>
      </c>
      <c r="L2" s="199" t="s">
        <v>167</v>
      </c>
      <c r="M2" s="200" t="s">
        <v>167</v>
      </c>
      <c r="N2" s="200" t="s">
        <v>167</v>
      </c>
      <c r="O2" s="199" t="s">
        <v>167</v>
      </c>
      <c r="P2" s="352" t="s">
        <v>216</v>
      </c>
      <c r="Q2" s="199" t="s">
        <v>215</v>
      </c>
      <c r="R2" s="199" t="s">
        <v>215</v>
      </c>
      <c r="S2" s="199" t="s">
        <v>215</v>
      </c>
      <c r="T2" s="352" t="s">
        <v>214</v>
      </c>
    </row>
    <row r="3" spans="1:20" ht="24" x14ac:dyDescent="0.2">
      <c r="A3" s="198"/>
      <c r="B3" s="198"/>
      <c r="C3" s="198"/>
      <c r="D3" s="198"/>
      <c r="E3" s="198"/>
      <c r="F3" s="198"/>
      <c r="G3" s="199" t="s">
        <v>204</v>
      </c>
      <c r="H3" s="199" t="s">
        <v>203</v>
      </c>
      <c r="I3" s="199" t="s">
        <v>202</v>
      </c>
      <c r="J3" s="199" t="s">
        <v>201</v>
      </c>
      <c r="K3" s="199" t="s">
        <v>200</v>
      </c>
      <c r="L3" s="199" t="s">
        <v>199</v>
      </c>
      <c r="M3" s="200" t="s">
        <v>198</v>
      </c>
      <c r="N3" s="200" t="s">
        <v>197</v>
      </c>
      <c r="O3" s="199" t="s">
        <v>196</v>
      </c>
      <c r="P3" s="352"/>
      <c r="Q3" s="199" t="s">
        <v>195</v>
      </c>
      <c r="R3" s="199" t="s">
        <v>131</v>
      </c>
      <c r="S3" s="199" t="s">
        <v>125</v>
      </c>
      <c r="T3" s="352"/>
    </row>
    <row r="4" spans="1:20" ht="60" x14ac:dyDescent="0.2">
      <c r="A4" s="198"/>
      <c r="B4" s="201" t="s">
        <v>115</v>
      </c>
      <c r="C4" s="201" t="s">
        <v>114</v>
      </c>
      <c r="D4" s="201" t="s">
        <v>32</v>
      </c>
      <c r="E4" s="201" t="s">
        <v>113</v>
      </c>
      <c r="F4" s="201" t="s">
        <v>112</v>
      </c>
      <c r="G4" s="199" t="s">
        <v>185</v>
      </c>
      <c r="H4" s="199" t="s">
        <v>184</v>
      </c>
      <c r="I4" s="199" t="s">
        <v>183</v>
      </c>
      <c r="J4" s="199" t="s">
        <v>182</v>
      </c>
      <c r="K4" s="199" t="s">
        <v>181</v>
      </c>
      <c r="L4" s="199" t="s">
        <v>180</v>
      </c>
      <c r="M4" s="200" t="s">
        <v>179</v>
      </c>
      <c r="N4" s="200" t="s">
        <v>178</v>
      </c>
      <c r="O4" s="199" t="s">
        <v>177</v>
      </c>
      <c r="P4" s="352"/>
      <c r="Q4" s="199" t="s">
        <v>176</v>
      </c>
      <c r="R4" s="199" t="s">
        <v>78</v>
      </c>
      <c r="S4" s="199" t="s">
        <v>72</v>
      </c>
      <c r="T4" s="352"/>
    </row>
    <row r="5" spans="1:20" ht="317" x14ac:dyDescent="0.2">
      <c r="A5" s="202" t="s">
        <v>175</v>
      </c>
      <c r="B5" s="203"/>
      <c r="C5" s="203"/>
      <c r="D5" s="204"/>
      <c r="E5" s="203" t="s">
        <v>62</v>
      </c>
      <c r="F5" s="203" t="s">
        <v>61</v>
      </c>
      <c r="G5" s="205"/>
      <c r="H5" s="174" t="s">
        <v>323</v>
      </c>
      <c r="I5" s="174" t="s">
        <v>324</v>
      </c>
      <c r="J5" s="174" t="s">
        <v>325</v>
      </c>
      <c r="K5" s="206" t="s">
        <v>326</v>
      </c>
      <c r="L5" s="206" t="s">
        <v>326</v>
      </c>
      <c r="M5" s="206"/>
      <c r="N5" s="206"/>
      <c r="O5" s="206" t="s">
        <v>326</v>
      </c>
      <c r="P5" s="207">
        <f t="shared" ref="P5:P15" si="0">SUM(G5:O5)</f>
        <v>0</v>
      </c>
      <c r="Q5" s="206" t="s">
        <v>326</v>
      </c>
      <c r="R5" s="174" t="s">
        <v>327</v>
      </c>
      <c r="S5" s="208" t="s">
        <v>328</v>
      </c>
      <c r="T5" s="207">
        <f t="shared" ref="T5:T15" si="1">SUM(Q5:S5)</f>
        <v>0</v>
      </c>
    </row>
    <row r="6" spans="1:20" ht="48" x14ac:dyDescent="0.2">
      <c r="A6" s="209" t="s">
        <v>175</v>
      </c>
      <c r="B6" s="204"/>
      <c r="C6" s="204"/>
      <c r="D6" s="204"/>
      <c r="E6" s="204" t="s">
        <v>60</v>
      </c>
      <c r="F6" s="204" t="s">
        <v>59</v>
      </c>
      <c r="G6" s="210"/>
      <c r="H6" s="211"/>
      <c r="I6" s="211"/>
      <c r="J6" s="211"/>
      <c r="K6" s="211"/>
      <c r="L6" s="211"/>
      <c r="M6" s="206" t="s">
        <v>326</v>
      </c>
      <c r="N6" s="206" t="s">
        <v>326</v>
      </c>
      <c r="O6" s="206" t="s">
        <v>326</v>
      </c>
      <c r="P6" s="212">
        <f t="shared" si="0"/>
        <v>0</v>
      </c>
      <c r="Q6" s="211"/>
      <c r="R6" s="211"/>
      <c r="S6" s="211"/>
      <c r="T6" s="212">
        <f t="shared" si="1"/>
        <v>0</v>
      </c>
    </row>
    <row r="7" spans="1:20" x14ac:dyDescent="0.2">
      <c r="A7" s="202" t="s">
        <v>175</v>
      </c>
      <c r="B7" s="203"/>
      <c r="C7" s="203"/>
      <c r="D7" s="203"/>
      <c r="E7" s="203" t="s">
        <v>58</v>
      </c>
      <c r="F7" s="203" t="s">
        <v>57</v>
      </c>
      <c r="G7" s="205"/>
      <c r="H7" s="213"/>
      <c r="I7" s="213"/>
      <c r="J7" s="213"/>
      <c r="K7" s="213"/>
      <c r="L7" s="213"/>
      <c r="M7" s="211"/>
      <c r="N7" s="211"/>
      <c r="O7" s="211"/>
      <c r="P7" s="207">
        <f t="shared" si="0"/>
        <v>0</v>
      </c>
      <c r="Q7" s="213"/>
      <c r="R7" s="213"/>
      <c r="S7" s="188"/>
      <c r="T7" s="207">
        <f t="shared" si="1"/>
        <v>0</v>
      </c>
    </row>
    <row r="8" spans="1:20" x14ac:dyDescent="0.2">
      <c r="A8" s="202" t="s">
        <v>175</v>
      </c>
      <c r="B8" s="203"/>
      <c r="C8" s="203"/>
      <c r="D8" s="203"/>
      <c r="E8" s="203" t="s">
        <v>56</v>
      </c>
      <c r="F8" s="203" t="s">
        <v>55</v>
      </c>
      <c r="G8" s="205"/>
      <c r="H8" s="213"/>
      <c r="I8" s="213"/>
      <c r="J8" s="213"/>
      <c r="K8" s="213"/>
      <c r="L8" s="213"/>
      <c r="M8" s="211"/>
      <c r="N8" s="211"/>
      <c r="O8" s="211"/>
      <c r="P8" s="207">
        <f t="shared" si="0"/>
        <v>0</v>
      </c>
      <c r="Q8" s="213"/>
      <c r="R8" s="213"/>
      <c r="S8" s="180"/>
      <c r="T8" s="207">
        <f t="shared" si="1"/>
        <v>0</v>
      </c>
    </row>
    <row r="9" spans="1:20" ht="144" x14ac:dyDescent="0.2">
      <c r="A9" s="202" t="s">
        <v>175</v>
      </c>
      <c r="B9" s="203"/>
      <c r="C9" s="203"/>
      <c r="D9" s="203"/>
      <c r="E9" s="203" t="s">
        <v>54</v>
      </c>
      <c r="F9" s="203" t="s">
        <v>53</v>
      </c>
      <c r="G9" s="205"/>
      <c r="H9" s="213"/>
      <c r="I9" s="213"/>
      <c r="J9" s="213"/>
      <c r="K9" s="213"/>
      <c r="L9" s="213"/>
      <c r="M9" s="211"/>
      <c r="N9" s="211"/>
      <c r="O9" s="211"/>
      <c r="P9" s="207">
        <f t="shared" si="0"/>
        <v>0</v>
      </c>
      <c r="Q9" s="213"/>
      <c r="R9" s="213"/>
      <c r="S9" s="174" t="s">
        <v>329</v>
      </c>
      <c r="T9" s="207">
        <f t="shared" si="1"/>
        <v>0</v>
      </c>
    </row>
    <row r="10" spans="1:20" ht="96" x14ac:dyDescent="0.2">
      <c r="A10" s="202" t="s">
        <v>175</v>
      </c>
      <c r="B10" s="203"/>
      <c r="C10" s="203"/>
      <c r="D10" s="203"/>
      <c r="E10" s="203" t="s">
        <v>52</v>
      </c>
      <c r="F10" s="203" t="s">
        <v>51</v>
      </c>
      <c r="G10" s="205"/>
      <c r="H10" s="213"/>
      <c r="I10" s="213"/>
      <c r="J10" s="213"/>
      <c r="K10" s="213"/>
      <c r="L10" s="213"/>
      <c r="M10" s="211"/>
      <c r="N10" s="211"/>
      <c r="O10" s="211"/>
      <c r="P10" s="207">
        <f t="shared" si="0"/>
        <v>0</v>
      </c>
      <c r="Q10" s="213"/>
      <c r="R10" s="213"/>
      <c r="S10" s="174" t="s">
        <v>330</v>
      </c>
      <c r="T10" s="207">
        <f t="shared" si="1"/>
        <v>0</v>
      </c>
    </row>
    <row r="11" spans="1:20" ht="96" x14ac:dyDescent="0.2">
      <c r="A11" s="202" t="s">
        <v>175</v>
      </c>
      <c r="B11" s="203"/>
      <c r="C11" s="203"/>
      <c r="D11" s="203"/>
      <c r="E11" s="203" t="s">
        <v>50</v>
      </c>
      <c r="F11" s="203" t="s">
        <v>49</v>
      </c>
      <c r="G11" s="205"/>
      <c r="H11" s="213"/>
      <c r="I11" s="213"/>
      <c r="J11" s="213"/>
      <c r="K11" s="213"/>
      <c r="L11" s="213"/>
      <c r="M11" s="211"/>
      <c r="N11" s="211"/>
      <c r="O11" s="211"/>
      <c r="P11" s="207">
        <f t="shared" si="0"/>
        <v>0</v>
      </c>
      <c r="Q11" s="213"/>
      <c r="R11" s="213"/>
      <c r="S11" s="174" t="s">
        <v>331</v>
      </c>
      <c r="T11" s="207">
        <f t="shared" si="1"/>
        <v>0</v>
      </c>
    </row>
    <row r="12" spans="1:20" ht="120" x14ac:dyDescent="0.2">
      <c r="A12" s="202" t="s">
        <v>175</v>
      </c>
      <c r="B12" s="203"/>
      <c r="C12" s="203"/>
      <c r="D12" s="203"/>
      <c r="E12" s="203" t="s">
        <v>48</v>
      </c>
      <c r="F12" s="203" t="s">
        <v>47</v>
      </c>
      <c r="G12" s="205"/>
      <c r="H12" s="213"/>
      <c r="I12" s="213"/>
      <c r="J12" s="213"/>
      <c r="K12" s="213"/>
      <c r="L12" s="213"/>
      <c r="M12" s="211"/>
      <c r="N12" s="211"/>
      <c r="O12" s="211"/>
      <c r="P12" s="207">
        <f t="shared" si="0"/>
        <v>0</v>
      </c>
      <c r="Q12" s="213"/>
      <c r="R12" s="213"/>
      <c r="S12" s="174" t="s">
        <v>408</v>
      </c>
      <c r="T12" s="207">
        <f t="shared" si="1"/>
        <v>0</v>
      </c>
    </row>
    <row r="13" spans="1:20" ht="96" x14ac:dyDescent="0.2">
      <c r="A13" s="202" t="s">
        <v>175</v>
      </c>
      <c r="B13" s="203"/>
      <c r="C13" s="203"/>
      <c r="D13" s="203"/>
      <c r="E13" s="203" t="s">
        <v>46</v>
      </c>
      <c r="F13" s="203" t="s">
        <v>45</v>
      </c>
      <c r="G13" s="205"/>
      <c r="H13" s="213"/>
      <c r="I13" s="213"/>
      <c r="J13" s="213"/>
      <c r="K13" s="213"/>
      <c r="L13" s="213"/>
      <c r="M13" s="211"/>
      <c r="N13" s="211"/>
      <c r="O13" s="211"/>
      <c r="P13" s="207">
        <f t="shared" si="0"/>
        <v>0</v>
      </c>
      <c r="Q13" s="213"/>
      <c r="R13" s="213"/>
      <c r="S13" s="174" t="s">
        <v>409</v>
      </c>
      <c r="T13" s="207">
        <f t="shared" si="1"/>
        <v>0</v>
      </c>
    </row>
    <row r="14" spans="1:20" ht="132" x14ac:dyDescent="0.2">
      <c r="A14" s="202" t="s">
        <v>175</v>
      </c>
      <c r="B14" s="203"/>
      <c r="C14" s="203"/>
      <c r="D14" s="203"/>
      <c r="E14" s="203" t="s">
        <v>44</v>
      </c>
      <c r="F14" s="203" t="s">
        <v>43</v>
      </c>
      <c r="G14" s="205"/>
      <c r="H14" s="174" t="s">
        <v>332</v>
      </c>
      <c r="I14" s="174" t="s">
        <v>333</v>
      </c>
      <c r="J14" s="174" t="s">
        <v>334</v>
      </c>
      <c r="K14" s="214"/>
      <c r="L14" s="214"/>
      <c r="M14" s="211"/>
      <c r="N14" s="211"/>
      <c r="O14" s="211"/>
      <c r="P14" s="207">
        <f t="shared" si="0"/>
        <v>0</v>
      </c>
      <c r="Q14" s="211"/>
      <c r="R14" s="174" t="s">
        <v>335</v>
      </c>
      <c r="S14" s="208" t="s">
        <v>410</v>
      </c>
      <c r="T14" s="207">
        <f t="shared" si="1"/>
        <v>0</v>
      </c>
    </row>
    <row r="15" spans="1:20" ht="132" x14ac:dyDescent="0.2">
      <c r="A15" s="202" t="s">
        <v>175</v>
      </c>
      <c r="B15" s="203"/>
      <c r="C15" s="203"/>
      <c r="D15" s="203"/>
      <c r="E15" s="203" t="s">
        <v>41</v>
      </c>
      <c r="F15" s="203" t="s">
        <v>40</v>
      </c>
      <c r="G15" s="205"/>
      <c r="H15" s="174" t="s">
        <v>332</v>
      </c>
      <c r="I15" s="174" t="s">
        <v>333</v>
      </c>
      <c r="J15" s="174" t="s">
        <v>334</v>
      </c>
      <c r="K15" s="214"/>
      <c r="L15" s="214"/>
      <c r="M15" s="211"/>
      <c r="N15" s="211"/>
      <c r="O15" s="211"/>
      <c r="P15" s="207">
        <f t="shared" si="0"/>
        <v>0</v>
      </c>
      <c r="Q15" s="213"/>
      <c r="R15" s="174" t="s">
        <v>335</v>
      </c>
      <c r="S15" s="208" t="s">
        <v>410</v>
      </c>
      <c r="T15" s="207">
        <f t="shared" si="1"/>
        <v>0</v>
      </c>
    </row>
    <row r="16" spans="1:20" x14ac:dyDescent="0.2">
      <c r="A16" s="202"/>
      <c r="B16" s="215"/>
      <c r="C16" s="215"/>
      <c r="D16" s="215"/>
      <c r="E16" s="215"/>
      <c r="F16" s="216" t="s">
        <v>39</v>
      </c>
      <c r="G16" s="217">
        <f t="shared" ref="G16:T16" si="2">SUM(G5:G15)</f>
        <v>0</v>
      </c>
      <c r="H16" s="217">
        <f t="shared" si="2"/>
        <v>0</v>
      </c>
      <c r="I16" s="217">
        <f t="shared" si="2"/>
        <v>0</v>
      </c>
      <c r="J16" s="217">
        <f t="shared" si="2"/>
        <v>0</v>
      </c>
      <c r="K16" s="217">
        <f t="shared" si="2"/>
        <v>0</v>
      </c>
      <c r="L16" s="217">
        <f t="shared" si="2"/>
        <v>0</v>
      </c>
      <c r="M16" s="218">
        <f t="shared" si="2"/>
        <v>0</v>
      </c>
      <c r="N16" s="218">
        <f t="shared" si="2"/>
        <v>0</v>
      </c>
      <c r="O16" s="217">
        <f t="shared" si="2"/>
        <v>0</v>
      </c>
      <c r="P16" s="217">
        <f t="shared" si="2"/>
        <v>0</v>
      </c>
      <c r="Q16" s="217">
        <f t="shared" si="2"/>
        <v>0</v>
      </c>
      <c r="R16" s="217">
        <f t="shared" si="2"/>
        <v>0</v>
      </c>
      <c r="S16" s="217">
        <f t="shared" si="2"/>
        <v>0</v>
      </c>
      <c r="T16" s="217">
        <f t="shared" si="2"/>
        <v>0</v>
      </c>
    </row>
    <row r="17" spans="1:20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ht="84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303"/>
      <c r="R19" s="300" t="s">
        <v>388</v>
      </c>
      <c r="S19" s="174" t="s">
        <v>394</v>
      </c>
      <c r="T19" s="4"/>
    </row>
  </sheetData>
  <mergeCells count="3">
    <mergeCell ref="A1:F1"/>
    <mergeCell ref="P2:P4"/>
    <mergeCell ref="T2:T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6D3E5-B7F3-C14C-8528-86F4142584D0}">
  <dimension ref="A1:AB19"/>
  <sheetViews>
    <sheetView workbookViewId="0">
      <selection activeCell="B2" sqref="B1:B1048576"/>
    </sheetView>
  </sheetViews>
  <sheetFormatPr baseColWidth="10" defaultRowHeight="15" x14ac:dyDescent="0.2"/>
  <cols>
    <col min="2" max="2" width="0" hidden="1" customWidth="1"/>
  </cols>
  <sheetData>
    <row r="1" spans="1:28" ht="23" customHeight="1" x14ac:dyDescent="0.2">
      <c r="A1" s="222"/>
      <c r="B1" s="354" t="s">
        <v>173</v>
      </c>
      <c r="C1" s="354"/>
      <c r="D1" s="354"/>
      <c r="E1" s="354"/>
      <c r="F1" s="354"/>
      <c r="G1" s="354"/>
      <c r="H1" s="354"/>
      <c r="I1" s="354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/>
      <c r="Z1" s="219"/>
      <c r="AA1" s="219"/>
      <c r="AB1" s="219"/>
    </row>
    <row r="2" spans="1:28" ht="28" x14ac:dyDescent="0.2">
      <c r="A2" s="220"/>
      <c r="B2" s="220"/>
      <c r="C2" s="220"/>
      <c r="D2" s="220"/>
      <c r="E2" s="220"/>
      <c r="F2" s="220"/>
      <c r="G2" s="221" t="s">
        <v>172</v>
      </c>
      <c r="H2" s="353" t="s">
        <v>171</v>
      </c>
      <c r="I2" s="224" t="s">
        <v>170</v>
      </c>
      <c r="J2" s="224" t="s">
        <v>170</v>
      </c>
      <c r="K2" s="224" t="s">
        <v>170</v>
      </c>
      <c r="L2" s="224" t="s">
        <v>170</v>
      </c>
      <c r="M2" s="224" t="s">
        <v>170</v>
      </c>
      <c r="N2" s="224" t="s">
        <v>170</v>
      </c>
      <c r="O2" s="224" t="s">
        <v>170</v>
      </c>
      <c r="P2" s="224" t="s">
        <v>170</v>
      </c>
      <c r="Q2" s="224" t="s">
        <v>170</v>
      </c>
      <c r="R2" s="224" t="s">
        <v>170</v>
      </c>
      <c r="S2" s="224" t="s">
        <v>170</v>
      </c>
      <c r="T2" s="224" t="s">
        <v>170</v>
      </c>
      <c r="U2" s="224" t="s">
        <v>170</v>
      </c>
      <c r="V2" s="224" t="s">
        <v>170</v>
      </c>
      <c r="W2" s="353" t="s">
        <v>169</v>
      </c>
      <c r="X2" s="221" t="s">
        <v>38</v>
      </c>
      <c r="Y2" s="221" t="s">
        <v>38</v>
      </c>
      <c r="Z2" s="221" t="s">
        <v>38</v>
      </c>
      <c r="AA2" s="221" t="s">
        <v>38</v>
      </c>
      <c r="AB2" s="353" t="s">
        <v>168</v>
      </c>
    </row>
    <row r="3" spans="1:28" ht="56" x14ac:dyDescent="0.2">
      <c r="A3" s="220"/>
      <c r="B3" s="220"/>
      <c r="C3" s="220"/>
      <c r="D3" s="220"/>
      <c r="E3" s="220"/>
      <c r="F3" s="220"/>
      <c r="G3" s="221" t="s">
        <v>161</v>
      </c>
      <c r="H3" s="353"/>
      <c r="I3" s="224" t="s">
        <v>160</v>
      </c>
      <c r="J3" s="224" t="s">
        <v>159</v>
      </c>
      <c r="K3" s="224" t="s">
        <v>158</v>
      </c>
      <c r="L3" s="224" t="s">
        <v>157</v>
      </c>
      <c r="M3" s="224" t="s">
        <v>156</v>
      </c>
      <c r="N3" s="224" t="s">
        <v>155</v>
      </c>
      <c r="O3" s="224" t="s">
        <v>154</v>
      </c>
      <c r="P3" s="224" t="s">
        <v>153</v>
      </c>
      <c r="Q3" s="224" t="s">
        <v>152</v>
      </c>
      <c r="R3" s="224"/>
      <c r="S3" s="224" t="s">
        <v>151</v>
      </c>
      <c r="T3" s="224" t="s">
        <v>150</v>
      </c>
      <c r="U3" s="224" t="s">
        <v>149</v>
      </c>
      <c r="V3" s="224" t="s">
        <v>148</v>
      </c>
      <c r="W3" s="353"/>
      <c r="X3" s="223"/>
      <c r="Y3" s="221" t="s">
        <v>147</v>
      </c>
      <c r="Z3" s="221" t="s">
        <v>146</v>
      </c>
      <c r="AA3" s="221" t="s">
        <v>145</v>
      </c>
      <c r="AB3" s="353"/>
    </row>
    <row r="4" spans="1:28" ht="98" x14ac:dyDescent="0.2">
      <c r="A4" s="225"/>
      <c r="B4" s="226" t="s">
        <v>115</v>
      </c>
      <c r="C4" s="226" t="s">
        <v>114</v>
      </c>
      <c r="D4" s="226" t="s">
        <v>32</v>
      </c>
      <c r="E4" s="226" t="s">
        <v>113</v>
      </c>
      <c r="F4" s="226" t="s">
        <v>112</v>
      </c>
      <c r="G4" s="221" t="s">
        <v>111</v>
      </c>
      <c r="H4" s="353"/>
      <c r="I4" s="224" t="s">
        <v>110</v>
      </c>
      <c r="J4" s="227" t="s">
        <v>109</v>
      </c>
      <c r="K4" s="224" t="s">
        <v>108</v>
      </c>
      <c r="L4" s="224" t="s">
        <v>107</v>
      </c>
      <c r="M4" s="224" t="s">
        <v>106</v>
      </c>
      <c r="N4" s="224" t="s">
        <v>105</v>
      </c>
      <c r="O4" s="224" t="s">
        <v>104</v>
      </c>
      <c r="P4" s="224" t="s">
        <v>103</v>
      </c>
      <c r="Q4" s="224" t="s">
        <v>102</v>
      </c>
      <c r="R4" s="227" t="s">
        <v>101</v>
      </c>
      <c r="S4" s="224" t="s">
        <v>100</v>
      </c>
      <c r="T4" s="224" t="s">
        <v>99</v>
      </c>
      <c r="U4" s="224" t="s">
        <v>98</v>
      </c>
      <c r="V4" s="227" t="s">
        <v>97</v>
      </c>
      <c r="W4" s="353"/>
      <c r="X4" s="228" t="s">
        <v>96</v>
      </c>
      <c r="Y4" s="228" t="s">
        <v>95</v>
      </c>
      <c r="Z4" s="228" t="s">
        <v>94</v>
      </c>
      <c r="AA4" s="228" t="s">
        <v>93</v>
      </c>
      <c r="AB4" s="353"/>
    </row>
    <row r="5" spans="1:28" ht="196" x14ac:dyDescent="0.2">
      <c r="A5" s="229" t="s">
        <v>42</v>
      </c>
      <c r="B5" s="230"/>
      <c r="C5" s="230"/>
      <c r="D5" s="231"/>
      <c r="E5" s="231" t="s">
        <v>62</v>
      </c>
      <c r="F5" s="231" t="s">
        <v>61</v>
      </c>
      <c r="G5" s="232" t="s">
        <v>336</v>
      </c>
      <c r="H5" s="233">
        <f>SUMIF($G$2:G$2,G$2,$G5:G5)</f>
        <v>0</v>
      </c>
      <c r="I5" s="232" t="s">
        <v>337</v>
      </c>
      <c r="J5" s="234"/>
      <c r="K5" s="235"/>
      <c r="L5" s="235"/>
      <c r="M5" s="235"/>
      <c r="N5" s="235"/>
      <c r="O5" s="235"/>
      <c r="P5" s="232" t="s">
        <v>338</v>
      </c>
      <c r="Q5" s="232" t="s">
        <v>339</v>
      </c>
      <c r="R5" s="232" t="s">
        <v>340</v>
      </c>
      <c r="S5" s="232" t="s">
        <v>341</v>
      </c>
      <c r="T5" s="232" t="s">
        <v>342</v>
      </c>
      <c r="U5" s="232" t="s">
        <v>343</v>
      </c>
      <c r="V5" s="232" t="s">
        <v>344</v>
      </c>
      <c r="W5" s="233">
        <f>SUMIF($G$2:V$2,V$2,$G5:V5)</f>
        <v>0</v>
      </c>
      <c r="X5" s="232" t="s">
        <v>345</v>
      </c>
      <c r="Y5" s="232" t="s">
        <v>345</v>
      </c>
      <c r="Z5" s="232" t="s">
        <v>345</v>
      </c>
      <c r="AA5" s="232" t="s">
        <v>345</v>
      </c>
      <c r="AB5" s="236">
        <f>SUMIF($G$2:AA$2,AA$2,$G5:AA5)</f>
        <v>0</v>
      </c>
    </row>
    <row r="6" spans="1:28" ht="266" x14ac:dyDescent="0.2">
      <c r="A6" s="229" t="s">
        <v>42</v>
      </c>
      <c r="B6" s="230"/>
      <c r="C6" s="230"/>
      <c r="D6" s="231"/>
      <c r="E6" s="231" t="s">
        <v>60</v>
      </c>
      <c r="F6" s="231" t="s">
        <v>59</v>
      </c>
      <c r="G6" s="232" t="s">
        <v>346</v>
      </c>
      <c r="H6" s="233">
        <f>SUMIF($G$2:G$2,G$2,$G6:G6)</f>
        <v>0</v>
      </c>
      <c r="I6" s="234"/>
      <c r="J6" s="232" t="s">
        <v>347</v>
      </c>
      <c r="K6" s="232" t="s">
        <v>348</v>
      </c>
      <c r="L6" s="232" t="s">
        <v>349</v>
      </c>
      <c r="M6" s="232" t="s">
        <v>350</v>
      </c>
      <c r="N6" s="232" t="s">
        <v>351</v>
      </c>
      <c r="O6" s="232" t="s">
        <v>352</v>
      </c>
      <c r="P6" s="235"/>
      <c r="Q6" s="235"/>
      <c r="R6" s="232" t="s">
        <v>353</v>
      </c>
      <c r="S6" s="235"/>
      <c r="T6" s="235"/>
      <c r="U6" s="235"/>
      <c r="V6" s="232" t="s">
        <v>354</v>
      </c>
      <c r="W6" s="233">
        <f>SUMIF($G$2:V$2,V$2,$G6:V6)</f>
        <v>0</v>
      </c>
      <c r="X6" s="232" t="s">
        <v>355</v>
      </c>
      <c r="Y6" s="232" t="s">
        <v>355</v>
      </c>
      <c r="Z6" s="232" t="s">
        <v>355</v>
      </c>
      <c r="AA6" s="232" t="s">
        <v>355</v>
      </c>
      <c r="AB6" s="236">
        <f>SUMIF($G$2:AA$2,AA$2,$G6:AA6)</f>
        <v>0</v>
      </c>
    </row>
    <row r="7" spans="1:28" ht="70" x14ac:dyDescent="0.2">
      <c r="A7" s="229" t="s">
        <v>42</v>
      </c>
      <c r="B7" s="230"/>
      <c r="C7" s="230"/>
      <c r="D7" s="231"/>
      <c r="E7" s="231" t="s">
        <v>58</v>
      </c>
      <c r="F7" s="231" t="s">
        <v>57</v>
      </c>
      <c r="G7" s="237"/>
      <c r="H7" s="233">
        <f>SUMIF($G$2:G$2,G$2,$G7:G7)</f>
        <v>0</v>
      </c>
      <c r="I7" s="238"/>
      <c r="J7" s="238"/>
      <c r="K7" s="238"/>
      <c r="L7" s="238"/>
      <c r="M7" s="238"/>
      <c r="N7" s="238"/>
      <c r="O7" s="238"/>
      <c r="P7" s="238"/>
      <c r="Q7" s="238"/>
      <c r="R7" s="238"/>
      <c r="S7" s="238"/>
      <c r="T7" s="238"/>
      <c r="U7" s="238"/>
      <c r="V7" s="237"/>
      <c r="W7" s="233">
        <f>SUMIF($G$2:V$2,V$2,$G7:V7)</f>
        <v>0</v>
      </c>
      <c r="X7" s="239"/>
      <c r="Y7" s="239"/>
      <c r="Z7" s="239"/>
      <c r="AA7" s="239"/>
      <c r="AB7" s="236">
        <f>SUMIF($G$2:AA$2,AA$2,$G7:AA7)</f>
        <v>0</v>
      </c>
    </row>
    <row r="8" spans="1:28" ht="70" x14ac:dyDescent="0.2">
      <c r="A8" s="229" t="s">
        <v>42</v>
      </c>
      <c r="B8" s="230"/>
      <c r="C8" s="230"/>
      <c r="D8" s="231"/>
      <c r="E8" s="231" t="s">
        <v>56</v>
      </c>
      <c r="F8" s="231" t="s">
        <v>55</v>
      </c>
      <c r="G8" s="232" t="s">
        <v>356</v>
      </c>
      <c r="H8" s="233">
        <f>SUMIF($G$2:G$2,G$2,$G8:G8)</f>
        <v>0</v>
      </c>
      <c r="I8" s="238"/>
      <c r="J8" s="238"/>
      <c r="K8" s="238"/>
      <c r="L8" s="238"/>
      <c r="M8" s="238"/>
      <c r="N8" s="238"/>
      <c r="O8" s="238"/>
      <c r="P8" s="238"/>
      <c r="Q8" s="238"/>
      <c r="R8" s="238"/>
      <c r="S8" s="238"/>
      <c r="T8" s="238"/>
      <c r="U8" s="238"/>
      <c r="V8" s="232" t="s">
        <v>356</v>
      </c>
      <c r="W8" s="233">
        <f>SUMIF($G$2:V$2,V$2,$G8:V8)</f>
        <v>0</v>
      </c>
      <c r="X8" s="232" t="s">
        <v>356</v>
      </c>
      <c r="Y8" s="232" t="s">
        <v>356</v>
      </c>
      <c r="Z8" s="232" t="s">
        <v>356</v>
      </c>
      <c r="AA8" s="232" t="s">
        <v>356</v>
      </c>
      <c r="AB8" s="236">
        <f>SUMIF($G$2:AA$2,AA$2,$G8:AA8)</f>
        <v>0</v>
      </c>
    </row>
    <row r="9" spans="1:28" ht="238" x14ac:dyDescent="0.2">
      <c r="A9" s="229" t="s">
        <v>42</v>
      </c>
      <c r="B9" s="230"/>
      <c r="C9" s="230"/>
      <c r="D9" s="231"/>
      <c r="E9" s="231" t="s">
        <v>54</v>
      </c>
      <c r="F9" s="231" t="s">
        <v>53</v>
      </c>
      <c r="G9" s="232" t="s">
        <v>357</v>
      </c>
      <c r="H9" s="233">
        <f>SUMIF($G$2:G$2,G$2,$G9:G9)</f>
        <v>0</v>
      </c>
      <c r="I9" s="238"/>
      <c r="J9" s="238"/>
      <c r="K9" s="238"/>
      <c r="L9" s="238"/>
      <c r="M9" s="238"/>
      <c r="N9" s="238"/>
      <c r="O9" s="238"/>
      <c r="P9" s="238"/>
      <c r="Q9" s="238"/>
      <c r="R9" s="238"/>
      <c r="S9" s="238"/>
      <c r="T9" s="238"/>
      <c r="U9" s="238"/>
      <c r="V9" s="232" t="s">
        <v>358</v>
      </c>
      <c r="W9" s="233">
        <f>SUMIF($G$2:V$2,V$2,$G9:V9)</f>
        <v>0</v>
      </c>
      <c r="X9" s="232" t="s">
        <v>357</v>
      </c>
      <c r="Y9" s="232" t="s">
        <v>357</v>
      </c>
      <c r="Z9" s="232" t="s">
        <v>357</v>
      </c>
      <c r="AA9" s="232" t="s">
        <v>357</v>
      </c>
      <c r="AB9" s="240">
        <f>SUMIF($G$2:AA$2,AA$2,$G9:AA9)</f>
        <v>0</v>
      </c>
    </row>
    <row r="10" spans="1:28" ht="84" x14ac:dyDescent="0.2">
      <c r="A10" s="229" t="s">
        <v>42</v>
      </c>
      <c r="B10" s="230"/>
      <c r="C10" s="230"/>
      <c r="D10" s="231"/>
      <c r="E10" s="231" t="s">
        <v>52</v>
      </c>
      <c r="F10" s="231" t="s">
        <v>51</v>
      </c>
      <c r="G10" s="232" t="s">
        <v>359</v>
      </c>
      <c r="H10" s="233">
        <f>SUMIF($G$2:G$2,G$2,$G10:G10)</f>
        <v>0</v>
      </c>
      <c r="I10" s="238"/>
      <c r="J10" s="238"/>
      <c r="K10" s="238"/>
      <c r="L10" s="238"/>
      <c r="M10" s="238"/>
      <c r="N10" s="238"/>
      <c r="O10" s="238"/>
      <c r="P10" s="238"/>
      <c r="Q10" s="238"/>
      <c r="R10" s="238"/>
      <c r="S10" s="238"/>
      <c r="T10" s="238"/>
      <c r="U10" s="238"/>
      <c r="V10" s="232" t="s">
        <v>359</v>
      </c>
      <c r="W10" s="233">
        <f>SUMIF($G$2:V$2,V$2,$G10:V10)</f>
        <v>0</v>
      </c>
      <c r="X10" s="232" t="s">
        <v>360</v>
      </c>
      <c r="Y10" s="232" t="s">
        <v>360</v>
      </c>
      <c r="Z10" s="232" t="s">
        <v>360</v>
      </c>
      <c r="AA10" s="232" t="s">
        <v>360</v>
      </c>
      <c r="AB10" s="240">
        <f>SUMIF($G$2:AA$2,AA$2,$G10:AA10)</f>
        <v>0</v>
      </c>
    </row>
    <row r="11" spans="1:28" ht="70" x14ac:dyDescent="0.2">
      <c r="A11" s="229" t="s">
        <v>42</v>
      </c>
      <c r="B11" s="230"/>
      <c r="C11" s="230"/>
      <c r="D11" s="231"/>
      <c r="E11" s="231" t="s">
        <v>50</v>
      </c>
      <c r="F11" s="231" t="s">
        <v>49</v>
      </c>
      <c r="G11" s="232" t="s">
        <v>361</v>
      </c>
      <c r="H11" s="233">
        <f>SUMIF($G$2:G$2,G$2,$G11:G11)</f>
        <v>0</v>
      </c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2" t="s">
        <v>361</v>
      </c>
      <c r="W11" s="233">
        <f>SUMIF($G$2:V$2,V$2,$G11:V11)</f>
        <v>0</v>
      </c>
      <c r="X11" s="232" t="s">
        <v>361</v>
      </c>
      <c r="Y11" s="232" t="s">
        <v>361</v>
      </c>
      <c r="Z11" s="232" t="s">
        <v>361</v>
      </c>
      <c r="AA11" s="232" t="s">
        <v>361</v>
      </c>
      <c r="AB11" s="240">
        <f>SUMIF($G$2:AA$2,AA$2,$G11:AA11)</f>
        <v>0</v>
      </c>
    </row>
    <row r="12" spans="1:28" ht="98" x14ac:dyDescent="0.2">
      <c r="A12" s="229" t="s">
        <v>42</v>
      </c>
      <c r="B12" s="230"/>
      <c r="C12" s="230"/>
      <c r="D12" s="231"/>
      <c r="E12" s="231" t="s">
        <v>48</v>
      </c>
      <c r="F12" s="231" t="s">
        <v>47</v>
      </c>
      <c r="G12" s="232" t="s">
        <v>362</v>
      </c>
      <c r="H12" s="233">
        <f>SUMIF($G$2:G$2,G$2,$G12:G12)</f>
        <v>0</v>
      </c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2" t="s">
        <v>362</v>
      </c>
      <c r="W12" s="233">
        <f>SUMIF($G$2:V$2,V$2,$G12:V12)</f>
        <v>0</v>
      </c>
      <c r="X12" s="232" t="s">
        <v>362</v>
      </c>
      <c r="Y12" s="232" t="s">
        <v>362</v>
      </c>
      <c r="Z12" s="232" t="s">
        <v>362</v>
      </c>
      <c r="AA12" s="232" t="s">
        <v>362</v>
      </c>
      <c r="AB12" s="240">
        <f>SUMIF($G$2:AA$2,AA$2,$G12:AA12)</f>
        <v>0</v>
      </c>
    </row>
    <row r="13" spans="1:28" ht="112" x14ac:dyDescent="0.2">
      <c r="A13" s="229" t="s">
        <v>42</v>
      </c>
      <c r="B13" s="230"/>
      <c r="C13" s="230"/>
      <c r="D13" s="231"/>
      <c r="E13" s="231" t="s">
        <v>46</v>
      </c>
      <c r="F13" s="231" t="s">
        <v>45</v>
      </c>
      <c r="G13" s="232" t="s">
        <v>363</v>
      </c>
      <c r="H13" s="233">
        <f>SUMIF($G$2:G$2,G$2,$G13:G13)</f>
        <v>0</v>
      </c>
      <c r="I13" s="238"/>
      <c r="J13" s="238"/>
      <c r="K13" s="238"/>
      <c r="L13" s="238"/>
      <c r="M13" s="238"/>
      <c r="N13" s="238"/>
      <c r="O13" s="238"/>
      <c r="P13" s="238"/>
      <c r="Q13" s="238"/>
      <c r="R13" s="238"/>
      <c r="S13" s="238"/>
      <c r="T13" s="238"/>
      <c r="U13" s="238"/>
      <c r="V13" s="232" t="s">
        <v>363</v>
      </c>
      <c r="W13" s="233">
        <f>SUMIF($G$2:V$2,V$2,$G13:V13)</f>
        <v>0</v>
      </c>
      <c r="X13" s="232" t="s">
        <v>363</v>
      </c>
      <c r="Y13" s="232" t="s">
        <v>363</v>
      </c>
      <c r="Z13" s="232" t="s">
        <v>363</v>
      </c>
      <c r="AA13" s="232" t="s">
        <v>363</v>
      </c>
      <c r="AB13" s="236">
        <f>SUMIF($G$2:AA$2,AA$2,$G13:AA13)</f>
        <v>0</v>
      </c>
    </row>
    <row r="14" spans="1:28" ht="319" x14ac:dyDescent="0.2">
      <c r="A14" s="229" t="s">
        <v>42</v>
      </c>
      <c r="B14" s="230"/>
      <c r="C14" s="230"/>
      <c r="D14" s="231"/>
      <c r="E14" s="231" t="s">
        <v>44</v>
      </c>
      <c r="F14" s="231" t="s">
        <v>43</v>
      </c>
      <c r="G14" s="232" t="s">
        <v>411</v>
      </c>
      <c r="H14" s="233">
        <f>SUMIF($G$2:G$2,G$2,$G14:G14)</f>
        <v>0</v>
      </c>
      <c r="I14" s="232" t="s">
        <v>337</v>
      </c>
      <c r="J14" s="232" t="s">
        <v>364</v>
      </c>
      <c r="K14" s="232" t="s">
        <v>365</v>
      </c>
      <c r="L14" s="232" t="s">
        <v>366</v>
      </c>
      <c r="M14" s="232" t="s">
        <v>367</v>
      </c>
      <c r="N14" s="232" t="s">
        <v>368</v>
      </c>
      <c r="O14" s="232" t="s">
        <v>369</v>
      </c>
      <c r="P14" s="232" t="s">
        <v>338</v>
      </c>
      <c r="Q14" s="232" t="s">
        <v>339</v>
      </c>
      <c r="R14" s="232" t="s">
        <v>370</v>
      </c>
      <c r="S14" s="232" t="s">
        <v>341</v>
      </c>
      <c r="T14" s="232" t="s">
        <v>342</v>
      </c>
      <c r="U14" s="232" t="s">
        <v>343</v>
      </c>
      <c r="V14" s="232" t="s">
        <v>412</v>
      </c>
      <c r="W14" s="233">
        <f>SUMIF($G$2:V$2,V$2,$G14:V14)</f>
        <v>0</v>
      </c>
      <c r="X14" s="241"/>
      <c r="Y14" s="241"/>
      <c r="Z14" s="241"/>
      <c r="AA14" s="241"/>
      <c r="AB14" s="236">
        <f>SUMIF($G$2:AA$2,AA$2,$G14:AA14)</f>
        <v>0</v>
      </c>
    </row>
    <row r="15" spans="1:28" ht="319" x14ac:dyDescent="0.2">
      <c r="A15" s="229" t="s">
        <v>42</v>
      </c>
      <c r="B15" s="230"/>
      <c r="C15" s="230"/>
      <c r="D15" s="231"/>
      <c r="E15" s="231" t="s">
        <v>41</v>
      </c>
      <c r="F15" s="231" t="s">
        <v>40</v>
      </c>
      <c r="G15" s="232" t="s">
        <v>411</v>
      </c>
      <c r="H15" s="233">
        <f>SUMIF($G$2:G$2,G$2,$G15:G15)</f>
        <v>0</v>
      </c>
      <c r="I15" s="232" t="s">
        <v>337</v>
      </c>
      <c r="J15" s="232" t="s">
        <v>364</v>
      </c>
      <c r="K15" s="232" t="s">
        <v>365</v>
      </c>
      <c r="L15" s="232" t="s">
        <v>366</v>
      </c>
      <c r="M15" s="232" t="s">
        <v>367</v>
      </c>
      <c r="N15" s="232" t="s">
        <v>368</v>
      </c>
      <c r="O15" s="232" t="s">
        <v>369</v>
      </c>
      <c r="P15" s="232" t="s">
        <v>338</v>
      </c>
      <c r="Q15" s="232" t="s">
        <v>339</v>
      </c>
      <c r="R15" s="232" t="s">
        <v>370</v>
      </c>
      <c r="S15" s="232" t="s">
        <v>341</v>
      </c>
      <c r="T15" s="232" t="s">
        <v>342</v>
      </c>
      <c r="U15" s="232" t="s">
        <v>343</v>
      </c>
      <c r="V15" s="232" t="s">
        <v>412</v>
      </c>
      <c r="W15" s="233">
        <f>SUMIF($G$2:V$2,V$2,$G15:V15)</f>
        <v>0</v>
      </c>
      <c r="X15" s="241"/>
      <c r="Y15" s="241"/>
      <c r="Z15" s="241"/>
      <c r="AA15" s="241"/>
      <c r="AB15" s="236">
        <f>SUMIF($G$2:AA$2,AA$2,$G15:AA15)</f>
        <v>0</v>
      </c>
    </row>
    <row r="16" spans="1:28" ht="28" x14ac:dyDescent="0.2">
      <c r="A16" s="229"/>
      <c r="B16" s="242"/>
      <c r="C16" s="242"/>
      <c r="D16" s="243"/>
      <c r="E16" s="243"/>
      <c r="F16" s="244" t="s">
        <v>39</v>
      </c>
      <c r="G16" s="245">
        <f>SUMIF($C$5:$C15,$C15,G$5:G15)</f>
        <v>0</v>
      </c>
      <c r="H16" s="233">
        <f>SUMIF($C$5:$C15,$C15,H$5:H15)</f>
        <v>0</v>
      </c>
      <c r="I16" s="245">
        <f>SUMIF($C$5:$C15,$C15,I$5:I15)</f>
        <v>0</v>
      </c>
      <c r="J16" s="245">
        <f>SUMIF($C$5:$C15,$C15,J$5:J15)</f>
        <v>0</v>
      </c>
      <c r="K16" s="245">
        <f>SUMIF($C$5:$C15,$C15,K$5:K15)</f>
        <v>0</v>
      </c>
      <c r="L16" s="245">
        <f>SUMIF($C$5:$C15,$C15,L$5:L15)</f>
        <v>0</v>
      </c>
      <c r="M16" s="245">
        <f>SUMIF($C$5:$C15,$C15,M$5:M15)</f>
        <v>0</v>
      </c>
      <c r="N16" s="245">
        <f>SUMIF($C$5:$C15,$C15,N$5:N15)</f>
        <v>0</v>
      </c>
      <c r="O16" s="245">
        <f>SUMIF($C$5:$C15,$C15,O$5:O15)</f>
        <v>0</v>
      </c>
      <c r="P16" s="245">
        <f>SUMIF($C$5:$C15,$C15,P$5:P15)</f>
        <v>0</v>
      </c>
      <c r="Q16" s="245">
        <f>SUMIF($C$5:$C15,$C15,Q$5:Q15)</f>
        <v>0</v>
      </c>
      <c r="R16" s="245"/>
      <c r="S16" s="245">
        <f>SUMIF($C$5:$C15,$C15,S$5:S15)</f>
        <v>0</v>
      </c>
      <c r="T16" s="245">
        <f>SUMIF($C$5:$C15,$C15,T$5:T15)</f>
        <v>0</v>
      </c>
      <c r="U16" s="245">
        <f>SUMIF($C$5:$C15,$C15,U$5:U15)</f>
        <v>0</v>
      </c>
      <c r="V16" s="245">
        <f>SUMIF($C$5:$C15,$C15,V$5:V15)</f>
        <v>0</v>
      </c>
      <c r="W16" s="233">
        <f>SUMIF($C$5:$C15,$C15,W$5:W15)</f>
        <v>0</v>
      </c>
      <c r="X16" s="246">
        <f>SUMIF($C$5:$C15,$C15,X$5:X15)</f>
        <v>0</v>
      </c>
      <c r="Y16" s="246">
        <f>SUMIF($C$5:$C15,$C15,Y$5:Y15)</f>
        <v>0</v>
      </c>
      <c r="Z16" s="246">
        <f>SUMIF($C$5:$C15,$C15,Z$5:Z15)</f>
        <v>0</v>
      </c>
      <c r="AA16" s="246">
        <f>SUMIF($C$5:$C15,$C15,AA$5:AA15)</f>
        <v>0</v>
      </c>
      <c r="AB16" s="236">
        <f>SUMIF($C$5:$C15,$C15,AB$5:AB15)</f>
        <v>0</v>
      </c>
    </row>
    <row r="17" spans="1:28" x14ac:dyDescent="0.2">
      <c r="A17" s="306"/>
      <c r="B17" s="306"/>
      <c r="C17" s="306"/>
      <c r="D17" s="306"/>
      <c r="E17" s="306"/>
      <c r="F17" s="306"/>
      <c r="G17" s="307"/>
      <c r="H17" s="307"/>
      <c r="I17" s="307"/>
      <c r="J17" s="307"/>
      <c r="K17" s="307"/>
      <c r="L17" s="307"/>
      <c r="M17" s="307"/>
      <c r="N17" s="307"/>
      <c r="O17" s="307"/>
      <c r="P17" s="307"/>
      <c r="Q17" s="307"/>
      <c r="R17" s="307"/>
      <c r="S17" s="307"/>
      <c r="T17" s="307"/>
      <c r="U17" s="307"/>
      <c r="V17" s="307"/>
      <c r="W17" s="307"/>
      <c r="X17" s="307"/>
      <c r="Y17" s="307"/>
      <c r="Z17" s="307"/>
      <c r="AA17" s="307"/>
      <c r="AB17" s="307"/>
    </row>
    <row r="18" spans="1:28" x14ac:dyDescent="0.2">
      <c r="A18" s="306"/>
      <c r="B18" s="306"/>
      <c r="C18" s="306"/>
      <c r="D18" s="306"/>
      <c r="E18" s="306"/>
      <c r="F18" s="306"/>
      <c r="G18" s="307"/>
      <c r="H18" s="307"/>
      <c r="I18" s="307"/>
      <c r="J18" s="307"/>
      <c r="K18" s="307"/>
      <c r="L18" s="307"/>
      <c r="M18" s="307"/>
      <c r="N18" s="307"/>
      <c r="O18" s="307"/>
      <c r="P18" s="307"/>
      <c r="Q18" s="307"/>
      <c r="R18" s="307"/>
      <c r="S18" s="307"/>
      <c r="T18" s="307"/>
      <c r="U18" s="307"/>
      <c r="V18" s="307"/>
      <c r="W18" s="307"/>
      <c r="X18" s="307"/>
      <c r="Y18" s="307"/>
      <c r="Z18" s="307"/>
      <c r="AA18" s="307"/>
      <c r="AB18" s="307"/>
    </row>
    <row r="19" spans="1:28" ht="210" x14ac:dyDescent="0.2">
      <c r="A19" s="306"/>
      <c r="B19" s="306"/>
      <c r="C19" s="306"/>
      <c r="D19" s="306"/>
      <c r="E19" s="306"/>
      <c r="F19" s="301" t="s">
        <v>390</v>
      </c>
      <c r="G19" s="232" t="s">
        <v>391</v>
      </c>
      <c r="H19" s="307"/>
      <c r="I19" s="307"/>
      <c r="J19" s="307"/>
      <c r="K19" s="307"/>
      <c r="L19" s="307"/>
      <c r="M19" s="307"/>
      <c r="N19" s="307"/>
      <c r="O19" s="307"/>
      <c r="P19" s="307"/>
      <c r="Q19" s="307"/>
      <c r="R19" s="307"/>
      <c r="S19" s="307"/>
      <c r="T19" s="307"/>
      <c r="U19" s="302" t="s">
        <v>392</v>
      </c>
      <c r="V19" s="232" t="s">
        <v>393</v>
      </c>
      <c r="W19" s="307"/>
      <c r="X19" s="307"/>
      <c r="Y19" s="307"/>
      <c r="Z19" s="307"/>
      <c r="AA19" s="307"/>
      <c r="AB19" s="307"/>
    </row>
  </sheetData>
  <mergeCells count="4">
    <mergeCell ref="AB2:AB4"/>
    <mergeCell ref="B1:I1"/>
    <mergeCell ref="H2:H4"/>
    <mergeCell ref="W2:W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076CA-691B-C543-A9EA-F5956F50D7E1}">
  <dimension ref="A1:U19"/>
  <sheetViews>
    <sheetView workbookViewId="0">
      <selection activeCell="B2" sqref="B1:B1048576"/>
    </sheetView>
  </sheetViews>
  <sheetFormatPr baseColWidth="10" defaultRowHeight="15" x14ac:dyDescent="0.2"/>
  <cols>
    <col min="2" max="2" width="0" hidden="1" customWidth="1"/>
  </cols>
  <sheetData>
    <row r="1" spans="1:21" ht="42" customHeight="1" x14ac:dyDescent="0.2">
      <c r="A1" s="356" t="s">
        <v>217</v>
      </c>
      <c r="B1" s="356"/>
      <c r="C1" s="356"/>
      <c r="D1" s="356"/>
      <c r="E1" s="356"/>
      <c r="F1" s="356"/>
      <c r="G1" s="356"/>
      <c r="H1" s="356"/>
      <c r="I1" s="269"/>
      <c r="J1" s="269"/>
      <c r="K1" s="269"/>
      <c r="L1" s="269"/>
      <c r="M1" s="269"/>
      <c r="N1" s="269"/>
      <c r="O1" s="270"/>
      <c r="P1" s="270"/>
      <c r="Q1" s="269"/>
      <c r="R1" s="269"/>
      <c r="S1" s="269"/>
      <c r="T1" s="269"/>
      <c r="U1" s="269"/>
    </row>
    <row r="2" spans="1:21" ht="28" x14ac:dyDescent="0.2">
      <c r="A2" s="268"/>
      <c r="B2" s="268"/>
      <c r="C2" s="268"/>
      <c r="D2" s="268"/>
      <c r="E2" s="268"/>
      <c r="F2" s="268"/>
      <c r="G2" s="271" t="s">
        <v>172</v>
      </c>
      <c r="H2" s="355" t="s">
        <v>171</v>
      </c>
      <c r="I2" s="271" t="s">
        <v>170</v>
      </c>
      <c r="J2" s="271" t="s">
        <v>170</v>
      </c>
      <c r="K2" s="271" t="s">
        <v>170</v>
      </c>
      <c r="L2" s="271" t="s">
        <v>170</v>
      </c>
      <c r="M2" s="271" t="s">
        <v>170</v>
      </c>
      <c r="N2" s="271" t="s">
        <v>170</v>
      </c>
      <c r="O2" s="272" t="s">
        <v>170</v>
      </c>
      <c r="P2" s="272" t="s">
        <v>170</v>
      </c>
      <c r="Q2" s="271" t="s">
        <v>170</v>
      </c>
      <c r="R2" s="271" t="s">
        <v>170</v>
      </c>
      <c r="S2" s="355" t="s">
        <v>169</v>
      </c>
      <c r="T2" s="271" t="s">
        <v>38</v>
      </c>
      <c r="U2" s="355" t="s">
        <v>168</v>
      </c>
    </row>
    <row r="3" spans="1:21" ht="56" x14ac:dyDescent="0.2">
      <c r="A3" s="268"/>
      <c r="B3" s="268"/>
      <c r="C3" s="268"/>
      <c r="D3" s="268"/>
      <c r="E3" s="268"/>
      <c r="F3" s="268"/>
      <c r="G3" s="271" t="s">
        <v>161</v>
      </c>
      <c r="H3" s="355"/>
      <c r="I3" s="271" t="s">
        <v>213</v>
      </c>
      <c r="J3" s="271" t="s">
        <v>212</v>
      </c>
      <c r="K3" s="271" t="s">
        <v>211</v>
      </c>
      <c r="L3" s="271" t="s">
        <v>210</v>
      </c>
      <c r="M3" s="271" t="s">
        <v>209</v>
      </c>
      <c r="N3" s="271" t="s">
        <v>208</v>
      </c>
      <c r="O3" s="272" t="s">
        <v>207</v>
      </c>
      <c r="P3" s="272" t="s">
        <v>206</v>
      </c>
      <c r="Q3" s="271" t="s">
        <v>205</v>
      </c>
      <c r="R3" s="271" t="s">
        <v>148</v>
      </c>
      <c r="S3" s="355"/>
      <c r="T3" s="271" t="s">
        <v>145</v>
      </c>
      <c r="U3" s="355"/>
    </row>
    <row r="4" spans="1:21" ht="112" x14ac:dyDescent="0.2">
      <c r="A4" s="268"/>
      <c r="B4" s="273" t="s">
        <v>115</v>
      </c>
      <c r="C4" s="273" t="s">
        <v>114</v>
      </c>
      <c r="D4" s="273" t="s">
        <v>32</v>
      </c>
      <c r="E4" s="273" t="s">
        <v>113</v>
      </c>
      <c r="F4" s="273" t="s">
        <v>112</v>
      </c>
      <c r="G4" s="271" t="s">
        <v>111</v>
      </c>
      <c r="H4" s="355"/>
      <c r="I4" s="271" t="s">
        <v>194</v>
      </c>
      <c r="J4" s="271" t="s">
        <v>193</v>
      </c>
      <c r="K4" s="271" t="s">
        <v>192</v>
      </c>
      <c r="L4" s="271" t="s">
        <v>191</v>
      </c>
      <c r="M4" s="271" t="s">
        <v>190</v>
      </c>
      <c r="N4" s="271" t="s">
        <v>189</v>
      </c>
      <c r="O4" s="272" t="s">
        <v>188</v>
      </c>
      <c r="P4" s="272" t="s">
        <v>187</v>
      </c>
      <c r="Q4" s="271" t="s">
        <v>186</v>
      </c>
      <c r="R4" s="271" t="s">
        <v>97</v>
      </c>
      <c r="S4" s="355"/>
      <c r="T4" s="271" t="s">
        <v>93</v>
      </c>
      <c r="U4" s="355"/>
    </row>
    <row r="5" spans="1:21" ht="196" x14ac:dyDescent="0.2">
      <c r="A5" s="274" t="s">
        <v>175</v>
      </c>
      <c r="B5" s="275"/>
      <c r="C5" s="275"/>
      <c r="D5" s="276"/>
      <c r="E5" s="275" t="s">
        <v>62</v>
      </c>
      <c r="F5" s="275" t="s">
        <v>61</v>
      </c>
      <c r="G5" s="232" t="s">
        <v>372</v>
      </c>
      <c r="H5" s="277">
        <f t="shared" ref="H5:H15" si="0">SUM(G5)</f>
        <v>0</v>
      </c>
      <c r="I5" s="278"/>
      <c r="J5" s="232" t="s">
        <v>373</v>
      </c>
      <c r="K5" s="232" t="s">
        <v>374</v>
      </c>
      <c r="L5" s="232" t="s">
        <v>375</v>
      </c>
      <c r="M5" s="279"/>
      <c r="N5" s="279"/>
      <c r="O5" s="280"/>
      <c r="P5" s="280"/>
      <c r="Q5" s="281"/>
      <c r="R5" s="232" t="s">
        <v>376</v>
      </c>
      <c r="S5" s="277">
        <f t="shared" ref="S5:S15" si="1">SUM(I5:R5)</f>
        <v>0</v>
      </c>
      <c r="T5" s="232" t="s">
        <v>377</v>
      </c>
      <c r="U5" s="277">
        <f t="shared" ref="U5:U15" si="2">SUM(T5)</f>
        <v>0</v>
      </c>
    </row>
    <row r="6" spans="1:21" x14ac:dyDescent="0.2">
      <c r="A6" s="282" t="s">
        <v>175</v>
      </c>
      <c r="B6" s="276"/>
      <c r="C6" s="276"/>
      <c r="D6" s="276"/>
      <c r="E6" s="276" t="s">
        <v>60</v>
      </c>
      <c r="F6" s="276" t="s">
        <v>59</v>
      </c>
      <c r="G6" s="279"/>
      <c r="H6" s="283">
        <f t="shared" si="0"/>
        <v>0</v>
      </c>
      <c r="I6" s="284"/>
      <c r="J6" s="280"/>
      <c r="K6" s="280"/>
      <c r="L6" s="280"/>
      <c r="M6" s="280"/>
      <c r="N6" s="279"/>
      <c r="O6" s="280"/>
      <c r="P6" s="280"/>
      <c r="Q6" s="280"/>
      <c r="R6" s="279"/>
      <c r="S6" s="283">
        <f t="shared" si="1"/>
        <v>0</v>
      </c>
      <c r="T6" s="279"/>
      <c r="U6" s="283">
        <f t="shared" si="2"/>
        <v>0</v>
      </c>
    </row>
    <row r="7" spans="1:21" x14ac:dyDescent="0.2">
      <c r="A7" s="274" t="s">
        <v>175</v>
      </c>
      <c r="B7" s="275"/>
      <c r="C7" s="275"/>
      <c r="D7" s="275"/>
      <c r="E7" s="275" t="s">
        <v>58</v>
      </c>
      <c r="F7" s="275" t="s">
        <v>57</v>
      </c>
      <c r="G7" s="279"/>
      <c r="H7" s="277">
        <f t="shared" si="0"/>
        <v>0</v>
      </c>
      <c r="I7" s="278"/>
      <c r="J7" s="281"/>
      <c r="K7" s="281"/>
      <c r="L7" s="281"/>
      <c r="M7" s="281"/>
      <c r="N7" s="285"/>
      <c r="O7" s="280"/>
      <c r="P7" s="280"/>
      <c r="Q7" s="281"/>
      <c r="R7" s="281"/>
      <c r="S7" s="277">
        <f t="shared" si="1"/>
        <v>0</v>
      </c>
      <c r="T7" s="284"/>
      <c r="U7" s="277">
        <f t="shared" si="2"/>
        <v>0</v>
      </c>
    </row>
    <row r="8" spans="1:21" ht="70" x14ac:dyDescent="0.2">
      <c r="A8" s="274" t="s">
        <v>175</v>
      </c>
      <c r="B8" s="275"/>
      <c r="C8" s="275"/>
      <c r="D8" s="275"/>
      <c r="E8" s="275" t="s">
        <v>56</v>
      </c>
      <c r="F8" s="275" t="s">
        <v>55</v>
      </c>
      <c r="G8" s="232" t="s">
        <v>378</v>
      </c>
      <c r="H8" s="277">
        <f t="shared" si="0"/>
        <v>0</v>
      </c>
      <c r="I8" s="278"/>
      <c r="J8" s="281"/>
      <c r="K8" s="281"/>
      <c r="L8" s="281"/>
      <c r="M8" s="281"/>
      <c r="N8" s="285"/>
      <c r="O8" s="280"/>
      <c r="P8" s="280"/>
      <c r="Q8" s="281"/>
      <c r="R8" s="232" t="s">
        <v>378</v>
      </c>
      <c r="S8" s="277">
        <f t="shared" si="1"/>
        <v>0</v>
      </c>
      <c r="T8" s="232" t="s">
        <v>378</v>
      </c>
      <c r="U8" s="277">
        <f t="shared" si="2"/>
        <v>0</v>
      </c>
    </row>
    <row r="9" spans="1:21" ht="238" x14ac:dyDescent="0.2">
      <c r="A9" s="274" t="s">
        <v>175</v>
      </c>
      <c r="B9" s="275"/>
      <c r="C9" s="275"/>
      <c r="D9" s="275"/>
      <c r="E9" s="275" t="s">
        <v>54</v>
      </c>
      <c r="F9" s="275" t="s">
        <v>53</v>
      </c>
      <c r="G9" s="232" t="s">
        <v>379</v>
      </c>
      <c r="H9" s="277">
        <f t="shared" si="0"/>
        <v>0</v>
      </c>
      <c r="I9" s="278"/>
      <c r="J9" s="281"/>
      <c r="K9" s="281"/>
      <c r="L9" s="281"/>
      <c r="M9" s="281"/>
      <c r="N9" s="285"/>
      <c r="O9" s="280"/>
      <c r="P9" s="280"/>
      <c r="Q9" s="281"/>
      <c r="R9" s="232" t="s">
        <v>380</v>
      </c>
      <c r="S9" s="277">
        <f t="shared" si="1"/>
        <v>0</v>
      </c>
      <c r="T9" s="232" t="s">
        <v>379</v>
      </c>
      <c r="U9" s="277">
        <f t="shared" si="2"/>
        <v>0</v>
      </c>
    </row>
    <row r="10" spans="1:21" ht="70" x14ac:dyDescent="0.2">
      <c r="A10" s="274" t="s">
        <v>175</v>
      </c>
      <c r="B10" s="275"/>
      <c r="C10" s="275"/>
      <c r="D10" s="275"/>
      <c r="E10" s="275" t="s">
        <v>52</v>
      </c>
      <c r="F10" s="275" t="s">
        <v>51</v>
      </c>
      <c r="G10" s="232" t="s">
        <v>381</v>
      </c>
      <c r="H10" s="277">
        <f t="shared" si="0"/>
        <v>0</v>
      </c>
      <c r="I10" s="278"/>
      <c r="J10" s="281"/>
      <c r="K10" s="281"/>
      <c r="L10" s="281"/>
      <c r="M10" s="281"/>
      <c r="N10" s="285"/>
      <c r="O10" s="280"/>
      <c r="P10" s="280"/>
      <c r="Q10" s="281"/>
      <c r="R10" s="232" t="s">
        <v>381</v>
      </c>
      <c r="S10" s="277">
        <f t="shared" si="1"/>
        <v>0</v>
      </c>
      <c r="T10" s="232" t="s">
        <v>381</v>
      </c>
      <c r="U10" s="277">
        <f t="shared" si="2"/>
        <v>0</v>
      </c>
    </row>
    <row r="11" spans="1:21" ht="70" x14ac:dyDescent="0.2">
      <c r="A11" s="274" t="s">
        <v>175</v>
      </c>
      <c r="B11" s="275"/>
      <c r="C11" s="275"/>
      <c r="D11" s="275"/>
      <c r="E11" s="275" t="s">
        <v>50</v>
      </c>
      <c r="F11" s="275" t="s">
        <v>49</v>
      </c>
      <c r="G11" s="232" t="s">
        <v>382</v>
      </c>
      <c r="H11" s="277">
        <f t="shared" si="0"/>
        <v>0</v>
      </c>
      <c r="I11" s="278"/>
      <c r="J11" s="281"/>
      <c r="K11" s="281"/>
      <c r="L11" s="281"/>
      <c r="M11" s="281"/>
      <c r="N11" s="285"/>
      <c r="O11" s="280"/>
      <c r="P11" s="280"/>
      <c r="Q11" s="281"/>
      <c r="R11" s="232" t="s">
        <v>382</v>
      </c>
      <c r="S11" s="277">
        <f t="shared" si="1"/>
        <v>0</v>
      </c>
      <c r="T11" s="232" t="s">
        <v>382</v>
      </c>
      <c r="U11" s="277">
        <f t="shared" si="2"/>
        <v>0</v>
      </c>
    </row>
    <row r="12" spans="1:21" ht="98" x14ac:dyDescent="0.2">
      <c r="A12" s="274" t="s">
        <v>175</v>
      </c>
      <c r="B12" s="275"/>
      <c r="C12" s="275"/>
      <c r="D12" s="275"/>
      <c r="E12" s="275" t="s">
        <v>48</v>
      </c>
      <c r="F12" s="275" t="s">
        <v>47</v>
      </c>
      <c r="G12" s="232" t="s">
        <v>383</v>
      </c>
      <c r="H12" s="277">
        <f t="shared" si="0"/>
        <v>0</v>
      </c>
      <c r="I12" s="278"/>
      <c r="J12" s="281"/>
      <c r="K12" s="281"/>
      <c r="L12" s="281"/>
      <c r="M12" s="281"/>
      <c r="N12" s="285"/>
      <c r="O12" s="280"/>
      <c r="P12" s="280"/>
      <c r="Q12" s="281"/>
      <c r="R12" s="232" t="s">
        <v>383</v>
      </c>
      <c r="S12" s="277">
        <f t="shared" si="1"/>
        <v>0</v>
      </c>
      <c r="T12" s="232" t="s">
        <v>383</v>
      </c>
      <c r="U12" s="277">
        <f t="shared" si="2"/>
        <v>0</v>
      </c>
    </row>
    <row r="13" spans="1:21" ht="112" x14ac:dyDescent="0.2">
      <c r="A13" s="274" t="s">
        <v>175</v>
      </c>
      <c r="B13" s="275"/>
      <c r="C13" s="275"/>
      <c r="D13" s="275"/>
      <c r="E13" s="275" t="s">
        <v>46</v>
      </c>
      <c r="F13" s="286" t="s">
        <v>45</v>
      </c>
      <c r="G13" s="232" t="s">
        <v>384</v>
      </c>
      <c r="H13" s="277">
        <f t="shared" si="0"/>
        <v>0</v>
      </c>
      <c r="I13" s="278"/>
      <c r="J13" s="281"/>
      <c r="K13" s="281"/>
      <c r="L13" s="281"/>
      <c r="M13" s="281"/>
      <c r="N13" s="285"/>
      <c r="O13" s="280"/>
      <c r="P13" s="280"/>
      <c r="Q13" s="281"/>
      <c r="R13" s="232" t="s">
        <v>384</v>
      </c>
      <c r="S13" s="277">
        <f t="shared" si="1"/>
        <v>0</v>
      </c>
      <c r="T13" s="232" t="s">
        <v>384</v>
      </c>
      <c r="U13" s="277">
        <f t="shared" si="2"/>
        <v>0</v>
      </c>
    </row>
    <row r="14" spans="1:21" ht="196" x14ac:dyDescent="0.2">
      <c r="A14" s="274" t="s">
        <v>175</v>
      </c>
      <c r="B14" s="275"/>
      <c r="C14" s="275"/>
      <c r="D14" s="275"/>
      <c r="E14" s="275" t="s">
        <v>44</v>
      </c>
      <c r="F14" s="275" t="s">
        <v>43</v>
      </c>
      <c r="G14" s="232" t="s">
        <v>413</v>
      </c>
      <c r="H14" s="277">
        <f t="shared" si="0"/>
        <v>0</v>
      </c>
      <c r="I14" s="278"/>
      <c r="J14" s="232" t="s">
        <v>373</v>
      </c>
      <c r="K14" s="232" t="s">
        <v>374</v>
      </c>
      <c r="L14" s="232" t="s">
        <v>375</v>
      </c>
      <c r="M14" s="279"/>
      <c r="N14" s="279"/>
      <c r="O14" s="280"/>
      <c r="P14" s="280"/>
      <c r="Q14" s="281"/>
      <c r="R14" s="232" t="s">
        <v>414</v>
      </c>
      <c r="S14" s="277">
        <f t="shared" si="1"/>
        <v>0</v>
      </c>
      <c r="T14" s="284"/>
      <c r="U14" s="277">
        <f t="shared" si="2"/>
        <v>0</v>
      </c>
    </row>
    <row r="15" spans="1:21" ht="196" x14ac:dyDescent="0.2">
      <c r="A15" s="274" t="s">
        <v>175</v>
      </c>
      <c r="B15" s="275"/>
      <c r="C15" s="275"/>
      <c r="D15" s="275"/>
      <c r="E15" s="275" t="s">
        <v>41</v>
      </c>
      <c r="F15" s="275" t="s">
        <v>40</v>
      </c>
      <c r="G15" s="232" t="s">
        <v>413</v>
      </c>
      <c r="H15" s="277">
        <f t="shared" si="0"/>
        <v>0</v>
      </c>
      <c r="I15" s="278"/>
      <c r="J15" s="232" t="s">
        <v>373</v>
      </c>
      <c r="K15" s="232" t="s">
        <v>374</v>
      </c>
      <c r="L15" s="232" t="s">
        <v>375</v>
      </c>
      <c r="M15" s="279"/>
      <c r="N15" s="279"/>
      <c r="O15" s="280"/>
      <c r="P15" s="280"/>
      <c r="Q15" s="281"/>
      <c r="R15" s="232" t="s">
        <v>414</v>
      </c>
      <c r="S15" s="277">
        <f t="shared" si="1"/>
        <v>0</v>
      </c>
      <c r="T15" s="284"/>
      <c r="U15" s="277">
        <f t="shared" si="2"/>
        <v>0</v>
      </c>
    </row>
    <row r="16" spans="1:21" x14ac:dyDescent="0.2">
      <c r="A16" s="274"/>
      <c r="B16" s="287"/>
      <c r="C16" s="287"/>
      <c r="D16" s="287"/>
      <c r="E16" s="287"/>
      <c r="F16" s="288" t="s">
        <v>39</v>
      </c>
      <c r="G16" s="277">
        <f t="shared" ref="G16:U16" si="3">SUM(G5:G15)</f>
        <v>0</v>
      </c>
      <c r="H16" s="277">
        <f t="shared" si="3"/>
        <v>0</v>
      </c>
      <c r="I16" s="277">
        <f t="shared" si="3"/>
        <v>0</v>
      </c>
      <c r="J16" s="277">
        <f t="shared" si="3"/>
        <v>0</v>
      </c>
      <c r="K16" s="277">
        <f t="shared" si="3"/>
        <v>0</v>
      </c>
      <c r="L16" s="277">
        <f t="shared" si="3"/>
        <v>0</v>
      </c>
      <c r="M16" s="277">
        <f t="shared" si="3"/>
        <v>0</v>
      </c>
      <c r="N16" s="277">
        <f t="shared" si="3"/>
        <v>0</v>
      </c>
      <c r="O16" s="283">
        <f t="shared" si="3"/>
        <v>0</v>
      </c>
      <c r="P16" s="283">
        <f t="shared" si="3"/>
        <v>0</v>
      </c>
      <c r="Q16" s="277">
        <f t="shared" si="3"/>
        <v>0</v>
      </c>
      <c r="R16" s="277">
        <f>SUM(R5:R15)</f>
        <v>0</v>
      </c>
      <c r="S16" s="277">
        <f t="shared" si="3"/>
        <v>0</v>
      </c>
      <c r="T16" s="277">
        <f t="shared" si="3"/>
        <v>0</v>
      </c>
      <c r="U16" s="277">
        <f t="shared" si="3"/>
        <v>0</v>
      </c>
    </row>
    <row r="17" spans="1:21" x14ac:dyDescent="0.2">
      <c r="A17" s="308"/>
      <c r="B17" s="308"/>
      <c r="C17" s="308"/>
      <c r="D17" s="308"/>
      <c r="E17" s="308"/>
      <c r="F17" s="308"/>
      <c r="G17" s="308"/>
      <c r="H17" s="308"/>
      <c r="I17" s="308"/>
      <c r="J17" s="308"/>
      <c r="K17" s="308"/>
      <c r="L17" s="308"/>
      <c r="M17" s="308"/>
      <c r="N17" s="308"/>
      <c r="O17" s="308"/>
      <c r="P17" s="308"/>
      <c r="Q17" s="308"/>
      <c r="R17" s="308"/>
      <c r="S17" s="309"/>
      <c r="T17" s="308"/>
      <c r="U17" s="308"/>
    </row>
    <row r="18" spans="1:21" x14ac:dyDescent="0.2">
      <c r="A18" s="308"/>
      <c r="B18" s="308"/>
      <c r="C18" s="308"/>
      <c r="D18" s="308"/>
      <c r="E18" s="308"/>
      <c r="F18" s="308"/>
      <c r="G18" s="308"/>
      <c r="H18" s="308"/>
      <c r="I18" s="308"/>
      <c r="J18" s="308"/>
      <c r="K18" s="308"/>
      <c r="L18" s="308"/>
      <c r="M18" s="308"/>
      <c r="N18" s="308"/>
      <c r="O18" s="308"/>
      <c r="P18" s="308"/>
      <c r="Q18" s="308"/>
      <c r="R18" s="308"/>
      <c r="S18" s="310"/>
      <c r="T18" s="308"/>
      <c r="U18" s="308"/>
    </row>
    <row r="19" spans="1:21" ht="210" x14ac:dyDescent="0.2">
      <c r="A19" s="311"/>
      <c r="B19" s="311"/>
      <c r="C19" s="311"/>
      <c r="D19" s="312"/>
      <c r="E19" s="311"/>
      <c r="F19" s="301" t="s">
        <v>390</v>
      </c>
      <c r="G19" s="232" t="s">
        <v>391</v>
      </c>
      <c r="H19" s="311"/>
      <c r="I19" s="311"/>
      <c r="J19" s="311"/>
      <c r="K19" s="311"/>
      <c r="L19" s="311"/>
      <c r="M19" s="311"/>
      <c r="N19" s="311"/>
      <c r="O19" s="311"/>
      <c r="P19" s="311"/>
      <c r="Q19" s="302" t="s">
        <v>392</v>
      </c>
      <c r="R19" s="232" t="s">
        <v>393</v>
      </c>
      <c r="S19" s="311"/>
      <c r="T19" s="311"/>
      <c r="U19" s="311"/>
    </row>
  </sheetData>
  <mergeCells count="4">
    <mergeCell ref="H2:H4"/>
    <mergeCell ref="A1:H1"/>
    <mergeCell ref="S2:S4"/>
    <mergeCell ref="U2:U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DB0A6-0C7B-B24C-996E-E43BA15C7B84}">
  <dimension ref="A1:N17"/>
  <sheetViews>
    <sheetView topLeftCell="E1" workbookViewId="0">
      <selection activeCell="F1" sqref="F1:F1048576"/>
    </sheetView>
  </sheetViews>
  <sheetFormatPr baseColWidth="10" defaultColWidth="11" defaultRowHeight="37" customHeight="1" x14ac:dyDescent="0.2"/>
  <cols>
    <col min="1" max="3" width="0" style="248" hidden="1" customWidth="1"/>
    <col min="4" max="4" width="15.1640625" style="248" hidden="1" customWidth="1"/>
    <col min="5" max="5" width="11" style="248"/>
    <col min="6" max="6" width="53.33203125" style="248" hidden="1" customWidth="1"/>
    <col min="7" max="7" width="13.5" style="248" customWidth="1"/>
    <col min="8" max="8" width="11" style="248"/>
    <col min="9" max="9" width="13.5" style="248" customWidth="1"/>
    <col min="10" max="16384" width="11" style="248"/>
  </cols>
  <sheetData>
    <row r="1" spans="1:14" ht="37" customHeight="1" x14ac:dyDescent="0.2">
      <c r="A1" s="247"/>
      <c r="C1" s="249"/>
      <c r="E1" s="247"/>
      <c r="F1" s="313"/>
      <c r="G1" s="249"/>
      <c r="H1" s="313"/>
      <c r="I1" s="249" t="s">
        <v>219</v>
      </c>
      <c r="J1" s="249"/>
      <c r="K1" s="247"/>
      <c r="L1" s="247"/>
      <c r="M1" s="247"/>
      <c r="N1" s="247"/>
    </row>
    <row r="2" spans="1:14" ht="37" customHeight="1" x14ac:dyDescent="0.2">
      <c r="A2" s="250"/>
      <c r="B2" s="251"/>
      <c r="C2" s="251"/>
      <c r="D2" s="251"/>
      <c r="E2" s="250"/>
      <c r="F2" s="251"/>
      <c r="G2" s="251"/>
      <c r="H2" s="251"/>
      <c r="I2" s="251"/>
      <c r="J2" s="251"/>
      <c r="K2" s="199" t="s">
        <v>170</v>
      </c>
      <c r="L2" s="352" t="s">
        <v>169</v>
      </c>
      <c r="M2" s="199" t="s">
        <v>38</v>
      </c>
      <c r="N2" s="352" t="s">
        <v>168</v>
      </c>
    </row>
    <row r="3" spans="1:14" ht="37" customHeight="1" x14ac:dyDescent="0.2">
      <c r="A3" s="250"/>
      <c r="B3" s="251"/>
      <c r="C3" s="251"/>
      <c r="D3" s="251"/>
      <c r="E3" s="250"/>
      <c r="F3" s="251"/>
      <c r="G3" s="251"/>
      <c r="H3" s="251"/>
      <c r="I3" s="251"/>
      <c r="J3" s="251"/>
      <c r="K3" s="199" t="s">
        <v>148</v>
      </c>
      <c r="L3" s="352"/>
      <c r="M3" s="199" t="s">
        <v>145</v>
      </c>
      <c r="N3" s="352"/>
    </row>
    <row r="4" spans="1:14" ht="37" customHeight="1" x14ac:dyDescent="0.2">
      <c r="A4" s="252"/>
      <c r="B4" s="253"/>
      <c r="C4" s="253"/>
      <c r="D4" s="253"/>
      <c r="E4" s="252"/>
      <c r="F4" s="253" t="s">
        <v>115</v>
      </c>
      <c r="G4" s="253" t="s">
        <v>114</v>
      </c>
      <c r="H4" s="253" t="s">
        <v>32</v>
      </c>
      <c r="I4" s="253" t="s">
        <v>113</v>
      </c>
      <c r="J4" s="253" t="s">
        <v>112</v>
      </c>
      <c r="K4" s="199" t="s">
        <v>97</v>
      </c>
      <c r="L4" s="352"/>
      <c r="M4" s="199" t="s">
        <v>93</v>
      </c>
      <c r="N4" s="352"/>
    </row>
    <row r="5" spans="1:14" ht="37" customHeight="1" x14ac:dyDescent="0.2">
      <c r="A5" s="254"/>
      <c r="B5" s="255"/>
      <c r="C5" s="255"/>
      <c r="D5" s="256"/>
      <c r="E5" s="254" t="s">
        <v>218</v>
      </c>
      <c r="F5" s="255"/>
      <c r="G5" s="255"/>
      <c r="H5" s="256"/>
      <c r="I5" s="255" t="s">
        <v>62</v>
      </c>
      <c r="J5" s="255" t="s">
        <v>61</v>
      </c>
      <c r="K5" s="257" t="s">
        <v>371</v>
      </c>
      <c r="L5" s="258">
        <f t="shared" ref="L5:L13" si="0">SUM(K5)</f>
        <v>0</v>
      </c>
      <c r="M5" s="257" t="s">
        <v>371</v>
      </c>
      <c r="N5" s="258">
        <f t="shared" ref="N5:N13" si="1">SUM(M5)</f>
        <v>0</v>
      </c>
    </row>
    <row r="6" spans="1:14" ht="37" customHeight="1" x14ac:dyDescent="0.2">
      <c r="A6" s="254"/>
      <c r="B6" s="255"/>
      <c r="C6" s="255"/>
      <c r="D6" s="204"/>
      <c r="E6" s="254" t="s">
        <v>218</v>
      </c>
      <c r="F6" s="255"/>
      <c r="G6" s="255"/>
      <c r="H6" s="204"/>
      <c r="I6" s="255" t="s">
        <v>56</v>
      </c>
      <c r="J6" s="255" t="s">
        <v>55</v>
      </c>
      <c r="K6" s="259"/>
      <c r="L6" s="258">
        <f t="shared" si="0"/>
        <v>0</v>
      </c>
      <c r="M6" s="260"/>
      <c r="N6" s="258">
        <f t="shared" si="1"/>
        <v>0</v>
      </c>
    </row>
    <row r="7" spans="1:14" ht="37" customHeight="1" x14ac:dyDescent="0.2">
      <c r="A7" s="254"/>
      <c r="B7" s="255"/>
      <c r="C7" s="255"/>
      <c r="D7" s="204"/>
      <c r="E7" s="254" t="s">
        <v>218</v>
      </c>
      <c r="F7" s="255"/>
      <c r="G7" s="255"/>
      <c r="H7" s="204"/>
      <c r="I7" s="255" t="s">
        <v>54</v>
      </c>
      <c r="J7" s="255" t="s">
        <v>53</v>
      </c>
      <c r="K7" s="259"/>
      <c r="L7" s="258">
        <f t="shared" si="0"/>
        <v>0</v>
      </c>
      <c r="M7" s="261"/>
      <c r="N7" s="258">
        <f t="shared" si="1"/>
        <v>0</v>
      </c>
    </row>
    <row r="8" spans="1:14" ht="37" customHeight="1" x14ac:dyDescent="0.2">
      <c r="A8" s="254"/>
      <c r="B8" s="255"/>
      <c r="C8" s="255"/>
      <c r="D8" s="204"/>
      <c r="E8" s="254" t="s">
        <v>218</v>
      </c>
      <c r="F8" s="255"/>
      <c r="G8" s="255"/>
      <c r="H8" s="204"/>
      <c r="I8" s="255" t="s">
        <v>52</v>
      </c>
      <c r="J8" s="255" t="s">
        <v>51</v>
      </c>
      <c r="K8" s="259"/>
      <c r="L8" s="258">
        <f t="shared" si="0"/>
        <v>0</v>
      </c>
      <c r="M8" s="260"/>
      <c r="N8" s="258">
        <f t="shared" si="1"/>
        <v>0</v>
      </c>
    </row>
    <row r="9" spans="1:14" ht="37" customHeight="1" x14ac:dyDescent="0.2">
      <c r="A9" s="254"/>
      <c r="B9" s="255"/>
      <c r="C9" s="255"/>
      <c r="D9" s="204"/>
      <c r="E9" s="254" t="s">
        <v>218</v>
      </c>
      <c r="F9" s="255"/>
      <c r="G9" s="255"/>
      <c r="H9" s="204"/>
      <c r="I9" s="255" t="s">
        <v>50</v>
      </c>
      <c r="J9" s="255" t="s">
        <v>49</v>
      </c>
      <c r="K9" s="259"/>
      <c r="L9" s="258">
        <f t="shared" si="0"/>
        <v>0</v>
      </c>
      <c r="M9" s="261"/>
      <c r="N9" s="258">
        <f t="shared" si="1"/>
        <v>0</v>
      </c>
    </row>
    <row r="10" spans="1:14" ht="37" customHeight="1" x14ac:dyDescent="0.2">
      <c r="A10" s="254"/>
      <c r="B10" s="255"/>
      <c r="C10" s="255"/>
      <c r="D10" s="204"/>
      <c r="E10" s="254" t="s">
        <v>218</v>
      </c>
      <c r="F10" s="255"/>
      <c r="G10" s="255"/>
      <c r="H10" s="204"/>
      <c r="I10" s="255" t="s">
        <v>48</v>
      </c>
      <c r="J10" s="255" t="s">
        <v>47</v>
      </c>
      <c r="K10" s="259"/>
      <c r="L10" s="258">
        <f t="shared" si="0"/>
        <v>0</v>
      </c>
      <c r="M10" s="260"/>
      <c r="N10" s="258">
        <f t="shared" si="1"/>
        <v>0</v>
      </c>
    </row>
    <row r="11" spans="1:14" ht="37" customHeight="1" x14ac:dyDescent="0.2">
      <c r="A11" s="254"/>
      <c r="B11" s="255"/>
      <c r="C11" s="255"/>
      <c r="D11" s="204"/>
      <c r="E11" s="254" t="s">
        <v>218</v>
      </c>
      <c r="F11" s="255"/>
      <c r="G11" s="255"/>
      <c r="H11" s="204"/>
      <c r="I11" s="255" t="s">
        <v>46</v>
      </c>
      <c r="J11" s="255" t="s">
        <v>45</v>
      </c>
      <c r="K11" s="259"/>
      <c r="L11" s="258">
        <f t="shared" si="0"/>
        <v>0</v>
      </c>
      <c r="M11" s="261"/>
      <c r="N11" s="258">
        <f t="shared" si="1"/>
        <v>0</v>
      </c>
    </row>
    <row r="12" spans="1:14" ht="37" customHeight="1" x14ac:dyDescent="0.2">
      <c r="A12" s="254"/>
      <c r="B12" s="255"/>
      <c r="C12" s="255"/>
      <c r="D12" s="204"/>
      <c r="E12" s="254" t="s">
        <v>218</v>
      </c>
      <c r="F12" s="255"/>
      <c r="G12" s="255"/>
      <c r="H12" s="204"/>
      <c r="I12" s="255" t="s">
        <v>44</v>
      </c>
      <c r="J12" s="255" t="s">
        <v>43</v>
      </c>
      <c r="K12" s="257" t="s">
        <v>371</v>
      </c>
      <c r="L12" s="258">
        <f t="shared" si="0"/>
        <v>0</v>
      </c>
      <c r="M12" s="262"/>
      <c r="N12" s="258">
        <f t="shared" si="1"/>
        <v>0</v>
      </c>
    </row>
    <row r="13" spans="1:14" ht="37" customHeight="1" x14ac:dyDescent="0.2">
      <c r="A13" s="254"/>
      <c r="B13" s="255"/>
      <c r="C13" s="255"/>
      <c r="D13" s="204"/>
      <c r="E13" s="254" t="s">
        <v>218</v>
      </c>
      <c r="F13" s="255"/>
      <c r="G13" s="255"/>
      <c r="H13" s="204"/>
      <c r="I13" s="255" t="s">
        <v>41</v>
      </c>
      <c r="J13" s="255" t="s">
        <v>40</v>
      </c>
      <c r="K13" s="257" t="s">
        <v>371</v>
      </c>
      <c r="L13" s="258">
        <f t="shared" si="0"/>
        <v>0</v>
      </c>
      <c r="M13" s="262"/>
      <c r="N13" s="258">
        <f t="shared" si="1"/>
        <v>0</v>
      </c>
    </row>
    <row r="14" spans="1:14" ht="37" customHeight="1" x14ac:dyDescent="0.2">
      <c r="A14" s="263"/>
      <c r="B14" s="264"/>
      <c r="C14" s="264"/>
      <c r="D14" s="264"/>
      <c r="E14" s="263"/>
      <c r="F14" s="264"/>
      <c r="G14" s="264"/>
      <c r="H14" s="264"/>
      <c r="I14" s="265"/>
      <c r="J14" s="266" t="s">
        <v>39</v>
      </c>
      <c r="K14" s="258">
        <f>SUM(K5:K13)</f>
        <v>0</v>
      </c>
      <c r="L14" s="258">
        <f>SUM(L5:L13)</f>
        <v>0</v>
      </c>
      <c r="M14" s="258">
        <f>SUM(M5:M13)</f>
        <v>0</v>
      </c>
      <c r="N14" s="258">
        <f>SUM(N5:N13)</f>
        <v>0</v>
      </c>
    </row>
    <row r="15" spans="1:14" ht="37" customHeight="1" x14ac:dyDescent="0.2">
      <c r="E15" s="313"/>
      <c r="F15" s="313"/>
      <c r="G15" s="313"/>
      <c r="H15" s="313"/>
      <c r="I15" s="313"/>
      <c r="J15" s="313"/>
      <c r="K15" s="313"/>
      <c r="L15" s="313"/>
      <c r="M15" s="313"/>
      <c r="N15" s="313"/>
    </row>
    <row r="16" spans="1:14" ht="37" customHeight="1" x14ac:dyDescent="0.2">
      <c r="E16" s="313"/>
      <c r="F16" s="313"/>
      <c r="G16" s="313"/>
      <c r="H16" s="313"/>
      <c r="I16" s="313"/>
      <c r="J16" s="313"/>
      <c r="K16" s="313"/>
      <c r="L16" s="313"/>
      <c r="M16" s="313"/>
      <c r="N16" s="313"/>
    </row>
    <row r="17" spans="4:4" ht="37" customHeight="1" x14ac:dyDescent="0.2">
      <c r="D17" s="267"/>
    </row>
  </sheetData>
  <mergeCells count="2">
    <mergeCell ref="L2:L4"/>
    <mergeCell ref="N2:N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74A8A-13E9-4EDB-B294-D1FF8F18362C}">
  <sheetPr codeName="Feuil4">
    <tabColor rgb="FFCE4275"/>
  </sheetPr>
  <dimension ref="A1:DN8"/>
  <sheetViews>
    <sheetView zoomScale="110" zoomScaleNormal="110" workbookViewId="0">
      <selection activeCell="A112" sqref="A112"/>
    </sheetView>
  </sheetViews>
  <sheetFormatPr baseColWidth="10" defaultColWidth="8.83203125" defaultRowHeight="15" x14ac:dyDescent="0.2"/>
  <cols>
    <col min="1" max="1" width="26.1640625" customWidth="1"/>
    <col min="2" max="2" width="22.1640625" style="1" customWidth="1"/>
    <col min="3" max="3" width="7.6640625" style="1" customWidth="1"/>
    <col min="4" max="4" width="12" style="2" customWidth="1"/>
    <col min="5" max="5" width="11.83203125" style="2" customWidth="1"/>
    <col min="6" max="6" width="60.1640625" customWidth="1"/>
    <col min="7" max="7" width="5.1640625" customWidth="1"/>
    <col min="8" max="8" width="9.1640625" customWidth="1"/>
  </cols>
  <sheetData>
    <row r="1" spans="1:118" s="4" customFormat="1" ht="80" customHeight="1" x14ac:dyDescent="0.25">
      <c r="A1" s="3" t="s">
        <v>222</v>
      </c>
      <c r="B1" s="5"/>
      <c r="C1" s="5"/>
      <c r="D1" s="7"/>
      <c r="E1" s="7"/>
      <c r="F1" s="6"/>
      <c r="G1" s="6" t="s">
        <v>6</v>
      </c>
      <c r="H1" s="8" t="s">
        <v>0</v>
      </c>
    </row>
    <row r="2" spans="1:118" ht="66" customHeight="1" x14ac:dyDescent="0.2">
      <c r="A2" s="22" t="s">
        <v>2</v>
      </c>
      <c r="B2" s="21" t="s">
        <v>1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</row>
    <row r="3" spans="1:118" x14ac:dyDescent="0.2">
      <c r="A3" s="25" t="s">
        <v>3</v>
      </c>
      <c r="B3" t="s">
        <v>4</v>
      </c>
      <c r="C3"/>
      <c r="D3"/>
      <c r="E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</row>
    <row r="4" spans="1:118" x14ac:dyDescent="0.2">
      <c r="A4" s="25" t="s">
        <v>3</v>
      </c>
      <c r="B4" t="s">
        <v>5</v>
      </c>
      <c r="C4"/>
      <c r="D4"/>
      <c r="E4"/>
    </row>
    <row r="5" spans="1:118" x14ac:dyDescent="0.2">
      <c r="B5" s="27" t="s">
        <v>7</v>
      </c>
      <c r="C5"/>
      <c r="D5"/>
      <c r="E5"/>
    </row>
    <row r="6" spans="1:118" x14ac:dyDescent="0.2">
      <c r="B6"/>
      <c r="C6"/>
      <c r="D6"/>
    </row>
    <row r="7" spans="1:118" x14ac:dyDescent="0.2">
      <c r="A7" s="1"/>
      <c r="C7" s="2"/>
    </row>
    <row r="8" spans="1:118" x14ac:dyDescent="0.2">
      <c r="C8" s="2"/>
    </row>
  </sheetData>
  <autoFilter ref="A2:DN2" xr:uid="{F3674A8A-13E9-4EDB-B294-D1FF8F18362C}"/>
  <dataConsolidate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9445B-6ECC-4440-B85C-E593AE209933}">
  <sheetPr codeName="Feuil13">
    <tabColor rgb="FF2C45E0"/>
  </sheetPr>
  <dimension ref="A1:FD4"/>
  <sheetViews>
    <sheetView showFormulas="1" tabSelected="1" zoomScaleNormal="11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B5" sqref="B5"/>
    </sheetView>
  </sheetViews>
  <sheetFormatPr baseColWidth="10" defaultRowHeight="15" x14ac:dyDescent="0.2"/>
  <cols>
    <col min="1" max="1" width="18.6640625" customWidth="1"/>
    <col min="2" max="2" width="11.83203125" customWidth="1"/>
    <col min="126" max="126" width="13.5" customWidth="1"/>
    <col min="127" max="127" width="15.83203125" customWidth="1"/>
    <col min="128" max="154" width="36.1640625" customWidth="1"/>
    <col min="155" max="155" width="16.83203125" customWidth="1"/>
    <col min="156" max="156" width="20" customWidth="1"/>
    <col min="157" max="157" width="60.6640625" bestFit="1" customWidth="1"/>
    <col min="165" max="165" width="45.1640625" bestFit="1" customWidth="1"/>
    <col min="166" max="166" width="15.1640625" bestFit="1" customWidth="1"/>
  </cols>
  <sheetData>
    <row r="1" spans="1:160" s="4" customFormat="1" ht="80" customHeight="1" x14ac:dyDescent="0.25">
      <c r="A1" s="3" t="s">
        <v>221</v>
      </c>
      <c r="B1" s="5"/>
      <c r="C1" s="5"/>
      <c r="D1" s="7"/>
      <c r="E1" s="7"/>
      <c r="F1" s="6"/>
      <c r="G1" s="6" t="s">
        <v>423</v>
      </c>
      <c r="H1" s="4" t="s">
        <v>0</v>
      </c>
      <c r="EZ1"/>
      <c r="FA1"/>
      <c r="FB1"/>
      <c r="FC1"/>
      <c r="FD1"/>
    </row>
    <row r="2" spans="1:160" ht="66" customHeight="1" x14ac:dyDescent="0.2">
      <c r="A2" s="22" t="s">
        <v>8</v>
      </c>
      <c r="B2" t="s">
        <v>9</v>
      </c>
    </row>
    <row r="3" spans="1:160" x14ac:dyDescent="0.2">
      <c r="A3" s="25" t="s">
        <v>11</v>
      </c>
      <c r="B3" t="s">
        <v>10</v>
      </c>
      <c r="N3" s="318"/>
      <c r="O3" s="318"/>
      <c r="P3" s="318"/>
    </row>
    <row r="4" spans="1:160" x14ac:dyDescent="0.2">
      <c r="B4" s="27" t="s">
        <v>7</v>
      </c>
      <c r="FA4" s="21"/>
    </row>
  </sheetData>
  <autoFilter ref="A2:DT2" xr:uid="{3B89445B-6ECC-4440-B85C-E593AE209933}"/>
  <conditionalFormatting sqref="A1:G1 I1:EY1 A2:EZ2 A3:FB1048576">
    <cfRule type="expression" dxfId="16" priority="1">
      <formula>AND(OR($P1&lt;&gt;"-",$Q1&lt;&gt;0,$R1&lt;&gt;0),ROW()&gt;2,$A1&lt;&gt;"")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93F90-1EC7-764C-B747-7920FCEC73CB}">
  <sheetPr codeName="Feuil18">
    <tabColor rgb="FF0B0B97"/>
  </sheetPr>
  <dimension ref="A1:X7"/>
  <sheetViews>
    <sheetView zoomScaleNormal="90" workbookViewId="0">
      <selection activeCell="G6" sqref="G6"/>
    </sheetView>
  </sheetViews>
  <sheetFormatPr baseColWidth="10" defaultRowHeight="15" x14ac:dyDescent="0.2"/>
  <cols>
    <col min="1" max="1" width="32.5" customWidth="1"/>
    <col min="2" max="2" width="4.6640625" hidden="1" customWidth="1"/>
    <col min="3" max="3" width="38.33203125" hidden="1" customWidth="1"/>
    <col min="4" max="4" width="51.83203125" customWidth="1"/>
    <col min="5" max="5" width="34.6640625" hidden="1" customWidth="1"/>
    <col min="6" max="6" width="70.83203125" customWidth="1"/>
    <col min="7" max="8" width="19" customWidth="1"/>
    <col min="9" max="9" width="17.6640625" customWidth="1"/>
    <col min="10" max="11" width="16.83203125" customWidth="1"/>
    <col min="12" max="13" width="18.33203125" customWidth="1"/>
    <col min="14" max="15" width="20.5" customWidth="1"/>
    <col min="16" max="16" width="16.6640625" customWidth="1"/>
    <col min="21" max="22" width="18.1640625" customWidth="1"/>
  </cols>
  <sheetData>
    <row r="1" spans="1:24" s="4" customFormat="1" ht="80" customHeight="1" x14ac:dyDescent="0.25">
      <c r="A1" s="3"/>
      <c r="B1" s="5"/>
      <c r="C1" s="138" t="s">
        <v>240</v>
      </c>
      <c r="D1" s="138"/>
      <c r="E1" s="7"/>
      <c r="F1" s="7"/>
      <c r="G1" s="7"/>
      <c r="H1" s="7"/>
      <c r="I1" s="6"/>
      <c r="J1" s="6" t="s">
        <v>6</v>
      </c>
      <c r="K1" s="7" t="s">
        <v>0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4" ht="42" customHeight="1" thickBot="1" x14ac:dyDescent="0.25">
      <c r="A2" s="20" t="s">
        <v>24</v>
      </c>
      <c r="B2" s="14" t="s">
        <v>19</v>
      </c>
      <c r="C2" t="s">
        <v>0</v>
      </c>
    </row>
    <row r="3" spans="1:24" ht="30" customHeight="1" thickTop="1" x14ac:dyDescent="0.2">
      <c r="A3" s="24" t="s">
        <v>12</v>
      </c>
      <c r="B3" s="15" t="e">
        <f>VLOOKUP(A3,'codage tribunal'!A:B,2,FALSE)</f>
        <v>#N/A</v>
      </c>
      <c r="C3" t="s">
        <v>0</v>
      </c>
    </row>
    <row r="4" spans="1:24" ht="19" customHeight="1" x14ac:dyDescent="0.2">
      <c r="B4" s="291"/>
      <c r="C4" s="290"/>
      <c r="D4" s="290"/>
      <c r="E4" s="290"/>
      <c r="F4" s="290"/>
      <c r="G4" s="340" t="s">
        <v>26</v>
      </c>
      <c r="H4" s="341"/>
      <c r="I4" s="341"/>
      <c r="J4" s="341"/>
      <c r="K4" s="341"/>
      <c r="L4" s="342"/>
      <c r="M4" s="343"/>
      <c r="N4" s="344" t="s">
        <v>27</v>
      </c>
      <c r="O4" s="342"/>
      <c r="P4" s="342"/>
      <c r="Q4" s="342"/>
      <c r="R4" s="342"/>
      <c r="S4" s="342"/>
      <c r="T4" s="345"/>
      <c r="U4" s="340" t="s">
        <v>28</v>
      </c>
      <c r="V4" s="343"/>
      <c r="W4" s="297"/>
      <c r="X4" t="s">
        <v>0</v>
      </c>
    </row>
    <row r="5" spans="1:24" ht="80" x14ac:dyDescent="0.2">
      <c r="C5" s="9"/>
      <c r="D5" s="9"/>
      <c r="E5" s="10"/>
      <c r="F5" s="10"/>
      <c r="G5" s="11" t="s">
        <v>13</v>
      </c>
      <c r="H5" s="296" t="s">
        <v>385</v>
      </c>
      <c r="I5" s="12" t="s">
        <v>14</v>
      </c>
      <c r="J5" s="12" t="s">
        <v>15</v>
      </c>
      <c r="K5" s="28" t="s">
        <v>29</v>
      </c>
      <c r="L5" s="292" t="s">
        <v>30</v>
      </c>
      <c r="M5" s="293" t="s">
        <v>385</v>
      </c>
      <c r="N5" s="12" t="s">
        <v>16</v>
      </c>
      <c r="O5" s="296" t="s">
        <v>385</v>
      </c>
      <c r="P5" s="12" t="s">
        <v>17</v>
      </c>
      <c r="Q5" s="12" t="s">
        <v>18</v>
      </c>
      <c r="R5" s="28" t="s">
        <v>29</v>
      </c>
      <c r="S5" s="292" t="s">
        <v>31</v>
      </c>
      <c r="T5" s="296" t="s">
        <v>385</v>
      </c>
      <c r="U5" s="292" t="s">
        <v>29</v>
      </c>
      <c r="V5" s="293" t="s">
        <v>385</v>
      </c>
      <c r="W5" t="s">
        <v>20</v>
      </c>
    </row>
    <row r="6" spans="1:24" ht="16" x14ac:dyDescent="0.2">
      <c r="A6" s="13"/>
      <c r="C6" s="17" t="s">
        <v>23</v>
      </c>
      <c r="D6" s="17" t="s">
        <v>386</v>
      </c>
      <c r="E6" s="16" t="s">
        <v>22</v>
      </c>
      <c r="F6" s="315" t="s">
        <v>387</v>
      </c>
      <c r="G6" s="19" t="e">
        <f>SUMIFS(INDEX('ETPT Format DDG'!$A:$FB,,IFERROR(MATCH(E6,'ETPT Format DDG'!$2:$2,0),MATCH(C6,'ETPT Format DDG'!$2:$2,0))),'ETPT Format DDG'!$FB:$FB,"M-TIT",'ETPT Format DDG'!$C:$C,$A$3)</f>
        <v>#N/A</v>
      </c>
      <c r="H6" s="294" t="str">
        <f>IF(AND(OR(LEFT(C6,3)="12.",LEFT(E6,3)="12.",LEFT(E6,5)="CET &gt;",IFERROR(G6/$G$6,"")=0),NOT(AND(LEFT(E6,5)="12.31",IFERROR(G6/$G$6,"")&lt;&gt;0)),NOT(AND(LEFT(E6,5)="12.32",IFERROR(G6/$G$6,"")&lt;&gt;0))),"", IFERROR(G6/$G$6,""))</f>
        <v/>
      </c>
      <c r="I6" s="18" t="e">
        <f>SUMIFS(INDEX('ETPT Format DDG'!$A:$FB,,IFERROR(MATCH(E6,'ETPT Format DDG'!$2:$2,0),MATCH(C6,'ETPT Format DDG'!$2:$2,0))),'ETPT Format DDG'!$FB:$FB,"M-PLAC-ADD",'ETPT Format DDG'!$C:$C,$A$3)</f>
        <v>#N/A</v>
      </c>
      <c r="J6" s="18" t="e">
        <f>SUMIFS(INDEX('ETPT Format DDG'!$A:$FB,,IFERROR(MATCH(E6,'ETPT Format DDG'!$2:$2,0),MATCH(C6,'ETPT Format DDG'!$2:$2,0))),'ETPT Format DDG'!$FB:$FB,"M-PLAC-SUB",'ETPT Format DDG'!$C:$C,$A$3)</f>
        <v>#N/A</v>
      </c>
      <c r="K6" s="18" t="e">
        <f>SUMIFS(
INDEX('ETPT Format DDG'!$A:$FB,
,
IFERROR(MATCH(E6,'ETPT Format DDG'!$2:$2,0),MATCH(C6,'ETPT Format DDG'!$2:$2,0))
),'ETPT Format DDG'!$FB:$FB,"C",
'ETPT Format DDG'!$C:$C,$A$3,
'ETPT Format DDG'!$G:$G,"Magistrat")</f>
        <v>#N/A</v>
      </c>
      <c r="L6" s="19" t="e">
        <f>ROUND(SUMIFS(
INDEX('ETPT Format DDG'!$A:$FB,
,
IFERROR(MATCH(E6,'ETPT Format DDG'!$2:$2,0),MATCH(C6,'ETPT Format DDG'!$2:$2,0))
),
'ETPT Format DDG'!$C:$C,$A$3,
'ETPT Format DDG'!$G:$G,"Magistrat"),3)</f>
        <v>#N/A</v>
      </c>
      <c r="M6" s="295" t="str">
        <f>IF(AND(OR(LEFT(C6,3)="12.",LEFT(E6,3)="12.",LEFT(E6,5)="CET &gt;", IFERROR(L6/$L$6,"")=0),NOT(AND(LEFT(E6,5)="12.31",IFERROR(L6/$G$6,"")&lt;&gt;0)),NOT(AND(LEFT(E6,5)="12.32",IFERROR(L6/$G$6,"")&lt;&gt;0))),"", IFERROR(L6/$L$6,""))</f>
        <v/>
      </c>
      <c r="N6" s="18" t="e">
        <f>SUMIFS(INDEX('ETPT Format DDG'!$A:$FB,,IFERROR(MATCH(E6,'ETPT Format DDG'!$2:$2,0),MATCH(C6,'ETPT Format DDG'!$2:$2,0))),'ETPT Format DDG'!$FB:$FB,"F-TIT",'ETPT Format DDG'!$C:$C,$A$3)</f>
        <v>#N/A</v>
      </c>
      <c r="O6" s="294" t="str">
        <f>IF(AND(OR(LEFT(C6,3)="12.",LEFT(E6,3)="12.",LEFT(E6,5)="CET &gt;",IFERROR(N6/$N$6,"")=0),NOT(AND(LEFT(E6,5)="12.31",IFERROR(N6/$G$6,"")&lt;&gt;0)),NOT(AND(LEFT(E6,5)="12.32",IFERROR(N6/$G$6,"")&lt;&gt;0))),"",IFERROR(N6/$N$6,""))</f>
        <v/>
      </c>
      <c r="P6" s="18" t="e">
        <f>SUMIFS(INDEX('ETPT Format DDG'!$A:$FB,,IFERROR(MATCH(E6,'ETPT Format DDG'!$2:$2,0),MATCH(C6,'ETPT Format DDG'!$2:$2,0))),'ETPT Format DDG'!$FB:$FB,"F-PLAC-ADD",'ETPT Format DDG'!$C:$C,$A$3)</f>
        <v>#N/A</v>
      </c>
      <c r="Q6" s="18" t="e">
        <f>SUMIFS(INDEX('ETPT Format DDG'!$A:$FB,,IFERROR(MATCH(E6,'ETPT Format DDG'!$2:$2,0),MATCH(C6,'ETPT Format DDG'!$2:$2,0))),'ETPT Format DDG'!$FB:$FB,"F-PLAC-SUB",'ETPT Format DDG'!$C:$C,$A$3)</f>
        <v>#N/A</v>
      </c>
      <c r="R6" s="18" t="e">
        <f>SUMIFS(INDEX('ETPT Format DDG'!$A:$FB,,IFERROR(MATCH(E6,'ETPT Format DDG'!$2:$2,0),MATCH(C6,'ETPT Format DDG'!$2:$2,0))),'ETPT Format DDG'!$FB:$FB,"C",'ETPT Format DDG'!$C:$C,$A$3,'ETPT Format DDG'!$G:$G,"Greffe")</f>
        <v>#N/A</v>
      </c>
      <c r="S6" s="19" t="e">
        <f>ROUND(SUMIFS(
INDEX('ETPT Format DDG'!$A:$FB,
,
IFERROR(MATCH(E6,'ETPT Format DDG'!$2:$2,0),MATCH(C6,'ETPT Format DDG'!$2:$2,0))
),
'ETPT Format DDG'!$C:$C,$A$3,
'ETPT Format DDG'!$G:$G,"Greffe"),3)</f>
        <v>#N/A</v>
      </c>
      <c r="T6" s="294" t="str">
        <f>IF(AND(OR(LEFT(C6,3)="12.",LEFT(E6,3)="12.",LEFT(E6,5)="CET &gt;",IFERROR(S6/$S$6,"")=0),NOT(AND(LEFT(E6,5)="12.31",IFERROR(S6/$G$6,"")&lt;&gt;0)),NOT(AND(LEFT(E6,5)="12.32",IFERROR(S6/$G$6,"")&lt;&gt;0))),"", IFERROR(S6/$S$6,""))</f>
        <v/>
      </c>
      <c r="U6" s="19" t="e">
        <f>ROUND(SUMIFS(
INDEX('ETPT Format DDG'!$A:$FB,
,
IFERROR(MATCH(E6,'ETPT Format DDG'!$2:$2,0),MATCH(C6,'ETPT Format DDG'!$2:$2,0))
),'ETPT Format DDG'!$FB:$FB,"C",
'ETPT Format DDG'!$C:$C,$A$3,
'ETPT Format DDG'!$G:$G,"Autour du magistrat"),3)</f>
        <v>#N/A</v>
      </c>
      <c r="V6" s="295" t="str">
        <f>IF(AND(OR(LEFT(C6,3)="12.",LEFT(E6,3)="12.",LEFT(E6,5)="CET &gt;",IFERROR(U6/$U$6,"")=0),NOT(AND(LEFT(E6,5)="12.31",IFERROR(U6/$G$6,"")&lt;&gt;0)),NOT(AND(LEFT(E6,5)="12.32",IFERROR(U6/$G$6,"")&lt;&gt;0))),"", IFERROR(U6/$U$6,""))</f>
        <v/>
      </c>
      <c r="W6" t="s">
        <v>21</v>
      </c>
    </row>
    <row r="7" spans="1:24" x14ac:dyDescent="0.2">
      <c r="G7" s="298"/>
      <c r="H7" s="298"/>
      <c r="I7" s="298"/>
      <c r="J7" s="298"/>
      <c r="K7" s="298"/>
      <c r="L7" s="298"/>
      <c r="M7" s="298"/>
      <c r="N7" s="298"/>
      <c r="O7" s="298"/>
      <c r="P7" s="298"/>
      <c r="Q7" s="298"/>
      <c r="R7" s="298"/>
      <c r="S7" s="298"/>
      <c r="T7" s="298"/>
      <c r="U7" s="298"/>
      <c r="V7" s="298"/>
      <c r="W7" t="s">
        <v>7</v>
      </c>
    </row>
  </sheetData>
  <mergeCells count="3">
    <mergeCell ref="G4:M4"/>
    <mergeCell ref="N4:T4"/>
    <mergeCell ref="U4:V4"/>
  </mergeCells>
  <conditionalFormatting sqref="B4:F4">
    <cfRule type="expression" dxfId="15" priority="16">
      <formula>IF(LEFT($A$3,2)&lt;&gt;"TJ",TRUE,FALSE)</formula>
    </cfRule>
  </conditionalFormatting>
  <conditionalFormatting sqref="C6:V151">
    <cfRule type="expression" dxfId="14" priority="18">
      <formula>AND(ISBLANK($C6)=FALSE,ISBLANK($E6)=TRUE)</formula>
    </cfRule>
  </conditionalFormatting>
  <conditionalFormatting sqref="D1:F1048576">
    <cfRule type="expression" dxfId="13" priority="1" stopIfTrue="1">
      <formula>AND($D1="8. TOTAL JUGES D'INSTRUCTION",_xlfn.NUMBERVALUE($U1)-(_xlfn.NUMBERVALUE($U2)+_xlfn.NUMBERVALUE($U3)+_xlfn.NUMBERVALUE($U4)+_xlfn.NUMBERVALUE($U5)+_xlfn.NUMBERVALUE($U6))&lt;&gt;0)</formula>
    </cfRule>
    <cfRule type="expression" dxfId="12" priority="2" stopIfTrue="1">
      <formula>AND($D1="8. TOTAL JUGES D'INSTRUCTION",_xlfn.NUMBERVALUE($S1)-(_xlfn.NUMBERVALUE($S2)+_xlfn.NUMBERVALUE($S3)+_xlfn.NUMBERVALUE($S4)+_xlfn.NUMBERVALUE($S5)+_xlfn.NUMBERVALUE($S6))&lt;&gt;0)</formula>
    </cfRule>
    <cfRule type="expression" dxfId="11" priority="7" stopIfTrue="1">
      <formula>AND($D1="8. TOTAL JUGES D'INSTRUCTION",_xlfn.NUMBERVALUE($L1)-(_xlfn.NUMBERVALUE($L2)+_xlfn.NUMBERVALUE($L3)+_xlfn.NUMBERVALUE($L4)-_xlfn.NUMBERVALUE($L5)+_xlfn.NUMBERVALUE($L6))&lt;&gt;0)</formula>
    </cfRule>
    <cfRule type="expression" dxfId="10" priority="12" stopIfTrue="1">
      <formula>AND($D1="6. TOTAL JUGES DES ENFANTS",OR(_xlfn.NUMBERVALUE($L1)-(_xlfn.NUMBERVALUE($L2)+_xlfn.NUMBERVALUE($L3))&lt;&gt;0,_xlfn.NUMBERVALUE($S1)-(_xlfn.NUMBERVALUE($S2)+_xlfn.NUMBERVALUE($S3))&lt;&gt;0,_xlfn.NUMBERVALUE($U1)-(_xlfn.NUMBERVALUE($U2)+_xlfn.NUMBERVALUE($U3))&lt;&gt;0))</formula>
    </cfRule>
  </conditionalFormatting>
  <conditionalFormatting sqref="D7:F7">
    <cfRule type="expression" dxfId="9" priority="6" stopIfTrue="1">
      <formula>OR(_xlfn.NUMBERVALUE($L7)&lt;&gt;_xlfn.NUMBERVALUE($L6),_xlfn.NUMBERVALUE($S7)&lt;&gt;_xlfn.NUMBERVALUE($S6),_xlfn.NUMBERVALUE($U7)&lt;&gt;_xlfn.NUMBERVALUE($U6))</formula>
    </cfRule>
  </conditionalFormatting>
  <conditionalFormatting sqref="G1:M1048576">
    <cfRule type="expression" dxfId="8" priority="11" stopIfTrue="1">
      <formula>AND($D1="8. TOTAL JUGES D'INSTRUCTION",_xlfn.NUMBERVALUE($L1)-(_xlfn.NUMBERVALUE($L2)+_xlfn.NUMBERVALUE($L3)+_xlfn.NUMBERVALUE($L4)+_xlfn.NUMBERVALUE($L5)+_xlfn.NUMBERVALUE($L6))&lt;&gt;0)</formula>
    </cfRule>
    <cfRule type="expression" dxfId="7" priority="15">
      <formula>AND($D1="6. TOTAL JUGES DES ENFANTS",_xlfn.NUMBERVALUE($L1)-(_xlfn.NUMBERVALUE($L2)+_xlfn.NUMBERVALUE($L3))&lt;&gt;0)</formula>
    </cfRule>
  </conditionalFormatting>
  <conditionalFormatting sqref="G7:M7">
    <cfRule type="expression" dxfId="6" priority="5">
      <formula>_xlfn.NUMBERVALUE($L7)&lt;&gt;_xlfn.NUMBERVALUE($L6)</formula>
    </cfRule>
  </conditionalFormatting>
  <conditionalFormatting sqref="N1:T1048576">
    <cfRule type="expression" dxfId="5" priority="10" stopIfTrue="1">
      <formula>AND($D1="8. TOTAL JUGES D'INSTRUCTION",_xlfn.NUMBERVALUE($S1)-(_xlfn.NUMBERVALUE($S2)+_xlfn.NUMBERVALUE($S3)+_xlfn.NUMBERVALUE($S4)+_xlfn.NUMBERVALUE($S5)+_xlfn.NUMBERVALUE($S6))&lt;&gt;0)</formula>
    </cfRule>
    <cfRule type="expression" dxfId="4" priority="14">
      <formula>AND($D1="6. TOTAL JUGES DES ENFANTS",_xlfn.NUMBERVALUE($S1)-(_xlfn.NUMBERVALUE($S2)+_xlfn.NUMBERVALUE($S3))&lt;&gt;0)</formula>
    </cfRule>
  </conditionalFormatting>
  <conditionalFormatting sqref="N7:T7">
    <cfRule type="expression" dxfId="3" priority="4">
      <formula>_xlfn.NUMBERVALUE($S7)&lt;&gt;_xlfn.NUMBERVALUE($S6)</formula>
    </cfRule>
  </conditionalFormatting>
  <conditionalFormatting sqref="U1:V1048576">
    <cfRule type="expression" dxfId="2" priority="9">
      <formula>AND($D1="8. TOTAL JUGES D'INSTRUCTION",_xlfn.NUMBERVALUE($U1)-(_xlfn.NUMBERVALUE($U2)+_xlfn.NUMBERVALUE($U3)+_xlfn.NUMBERVALUE($U4)+_xlfn.NUMBERVALUE($U5)+_xlfn.NUMBERVALUE($U6))&lt;&gt;0)</formula>
    </cfRule>
    <cfRule type="expression" dxfId="1" priority="13">
      <formula>AND($D1="6. TOTAL JUGES DES ENFANTS",_xlfn.NUMBERVALUE($U1)-(_xlfn.NUMBERVALUE($U2)+_xlfn.NUMBERVALUE($U3))&lt;&gt;0)</formula>
    </cfRule>
  </conditionalFormatting>
  <conditionalFormatting sqref="U7:V7">
    <cfRule type="expression" dxfId="0" priority="3">
      <formula>_xlfn.NUMBERVALUE($U7)&lt;&gt;_xlfn.NUMBERVALUE($U6)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F7A98-8726-2B45-9E0D-08F39416C73F}">
  <sheetPr codeName="Feuil19"/>
  <dimension ref="M1:M17"/>
  <sheetViews>
    <sheetView workbookViewId="0">
      <selection activeCell="M18" sqref="M1:M18"/>
    </sheetView>
  </sheetViews>
  <sheetFormatPr baseColWidth="10" defaultRowHeight="15" x14ac:dyDescent="0.2"/>
  <sheetData>
    <row r="1" spans="13:13" ht="16" x14ac:dyDescent="0.2">
      <c r="M1" s="26" t="s">
        <v>0</v>
      </c>
    </row>
    <row r="2" spans="13:13" ht="16" x14ac:dyDescent="0.2">
      <c r="M2" s="26" t="s">
        <v>0</v>
      </c>
    </row>
    <row r="3" spans="13:13" ht="16" x14ac:dyDescent="0.2">
      <c r="M3" s="26" t="s">
        <v>0</v>
      </c>
    </row>
    <row r="4" spans="13:13" ht="16" x14ac:dyDescent="0.2">
      <c r="M4" s="26" t="s">
        <v>0</v>
      </c>
    </row>
    <row r="5" spans="13:13" ht="16" x14ac:dyDescent="0.2">
      <c r="M5" s="26" t="s">
        <v>0</v>
      </c>
    </row>
    <row r="6" spans="13:13" ht="16" x14ac:dyDescent="0.2">
      <c r="M6" s="26" t="s">
        <v>0</v>
      </c>
    </row>
    <row r="7" spans="13:13" ht="16" x14ac:dyDescent="0.2">
      <c r="M7" s="26" t="s">
        <v>0</v>
      </c>
    </row>
    <row r="8" spans="13:13" ht="16" x14ac:dyDescent="0.2">
      <c r="M8" s="26" t="s">
        <v>0</v>
      </c>
    </row>
    <row r="9" spans="13:13" ht="16" x14ac:dyDescent="0.2">
      <c r="M9" s="26" t="s">
        <v>0</v>
      </c>
    </row>
    <row r="10" spans="13:13" ht="16" x14ac:dyDescent="0.2">
      <c r="M10" s="26" t="s">
        <v>0</v>
      </c>
    </row>
    <row r="11" spans="13:13" ht="16" x14ac:dyDescent="0.2">
      <c r="M11" s="26" t="s">
        <v>0</v>
      </c>
    </row>
    <row r="12" spans="13:13" ht="16" x14ac:dyDescent="0.2">
      <c r="M12" s="26" t="s">
        <v>0</v>
      </c>
    </row>
    <row r="13" spans="13:13" ht="16" x14ac:dyDescent="0.2">
      <c r="M13" s="26" t="s">
        <v>0</v>
      </c>
    </row>
    <row r="14" spans="13:13" ht="16" x14ac:dyDescent="0.2">
      <c r="M14" s="26" t="s">
        <v>0</v>
      </c>
    </row>
    <row r="15" spans="13:13" ht="16" x14ac:dyDescent="0.2">
      <c r="M15" s="26" t="s">
        <v>0</v>
      </c>
    </row>
    <row r="16" spans="13:13" ht="16" x14ac:dyDescent="0.2">
      <c r="M16" s="26" t="s">
        <v>0</v>
      </c>
    </row>
    <row r="17" spans="13:13" ht="16" x14ac:dyDescent="0.2">
      <c r="M17" s="21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B0A74-92BE-614C-B933-4270BECA0D39}">
  <sheetPr codeName="Feuil12"/>
  <dimension ref="A1:L18"/>
  <sheetViews>
    <sheetView workbookViewId="0">
      <selection activeCell="L1" sqref="L1:L18"/>
    </sheetView>
  </sheetViews>
  <sheetFormatPr baseColWidth="10" defaultColWidth="11" defaultRowHeight="13" x14ac:dyDescent="0.15"/>
  <cols>
    <col min="1" max="1" width="8.33203125" style="29" customWidth="1"/>
    <col min="2" max="2" width="25.5" style="30" bestFit="1" customWidth="1"/>
    <col min="3" max="3" width="11" style="29"/>
    <col min="4" max="4" width="11" style="29" customWidth="1"/>
    <col min="5" max="5" width="19" style="30" bestFit="1" customWidth="1"/>
    <col min="6" max="6" width="11" style="29"/>
    <col min="7" max="7" width="12" style="29" customWidth="1"/>
    <col min="8" max="8" width="27.33203125" style="30" bestFit="1" customWidth="1"/>
    <col min="9" max="9" width="12.1640625" style="29" customWidth="1"/>
    <col min="10" max="10" width="22.33203125" style="29" customWidth="1"/>
    <col min="11" max="16384" width="11" style="29"/>
  </cols>
  <sheetData>
    <row r="1" spans="1:12" s="33" customFormat="1" ht="16" x14ac:dyDescent="0.2">
      <c r="A1" s="34" t="s">
        <v>33</v>
      </c>
      <c r="B1"/>
      <c r="D1" s="34" t="s">
        <v>37</v>
      </c>
      <c r="E1"/>
      <c r="G1" s="34" t="s">
        <v>36</v>
      </c>
      <c r="H1"/>
      <c r="I1" s="123" t="s">
        <v>226</v>
      </c>
      <c r="L1" s="26" t="s">
        <v>0</v>
      </c>
    </row>
    <row r="2" spans="1:12" ht="16" x14ac:dyDescent="0.2">
      <c r="B2"/>
      <c r="E2"/>
      <c r="H2"/>
      <c r="I2"/>
      <c r="L2" s="26" t="s">
        <v>0</v>
      </c>
    </row>
    <row r="3" spans="1:12" ht="16" x14ac:dyDescent="0.2">
      <c r="B3" s="32"/>
      <c r="E3" s="32"/>
      <c r="H3" s="31"/>
      <c r="I3"/>
      <c r="L3" s="26" t="s">
        <v>0</v>
      </c>
    </row>
    <row r="4" spans="1:12" ht="16" x14ac:dyDescent="0.15">
      <c r="B4" s="32"/>
      <c r="E4" s="32"/>
      <c r="H4" s="31"/>
      <c r="L4" s="26" t="s">
        <v>0</v>
      </c>
    </row>
    <row r="5" spans="1:12" ht="16" x14ac:dyDescent="0.15">
      <c r="B5" s="32"/>
      <c r="E5" s="32"/>
      <c r="H5" s="31"/>
      <c r="L5" s="26" t="s">
        <v>0</v>
      </c>
    </row>
    <row r="6" spans="1:12" ht="16" x14ac:dyDescent="0.15">
      <c r="H6" s="31"/>
      <c r="L6" s="26" t="s">
        <v>0</v>
      </c>
    </row>
    <row r="7" spans="1:12" ht="16" x14ac:dyDescent="0.15">
      <c r="H7" s="31"/>
      <c r="L7" s="26" t="s">
        <v>0</v>
      </c>
    </row>
    <row r="8" spans="1:12" ht="16" x14ac:dyDescent="0.15">
      <c r="H8" s="31"/>
      <c r="L8" s="26" t="s">
        <v>0</v>
      </c>
    </row>
    <row r="9" spans="1:12" ht="16" x14ac:dyDescent="0.15">
      <c r="L9" s="26" t="s">
        <v>0</v>
      </c>
    </row>
    <row r="10" spans="1:12" ht="16" x14ac:dyDescent="0.15">
      <c r="L10" s="26" t="s">
        <v>0</v>
      </c>
    </row>
    <row r="11" spans="1:12" ht="16" x14ac:dyDescent="0.15">
      <c r="L11" s="26" t="s">
        <v>0</v>
      </c>
    </row>
    <row r="12" spans="1:12" ht="16" x14ac:dyDescent="0.15">
      <c r="L12" s="26" t="s">
        <v>0</v>
      </c>
    </row>
    <row r="13" spans="1:12" ht="16" x14ac:dyDescent="0.15">
      <c r="L13" s="26" t="s">
        <v>0</v>
      </c>
    </row>
    <row r="14" spans="1:12" ht="16" x14ac:dyDescent="0.15">
      <c r="L14" s="26" t="s">
        <v>0</v>
      </c>
    </row>
    <row r="15" spans="1:12" ht="16" x14ac:dyDescent="0.15">
      <c r="L15" s="26" t="s">
        <v>0</v>
      </c>
    </row>
    <row r="16" spans="1:12" ht="16" x14ac:dyDescent="0.15">
      <c r="L16" s="26" t="s">
        <v>0</v>
      </c>
    </row>
    <row r="17" spans="12:12" ht="16" x14ac:dyDescent="0.2">
      <c r="L17" s="21" t="s">
        <v>7</v>
      </c>
    </row>
    <row r="18" spans="12:12" ht="15" x14ac:dyDescent="0.2">
      <c r="L1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75DB0-40DB-6046-B965-F2F52476B1A1}">
  <sheetPr codeName="Feuil14">
    <pageSetUpPr fitToPage="1"/>
  </sheetPr>
  <dimension ref="A1:H67"/>
  <sheetViews>
    <sheetView zoomScale="150" zoomScaleNormal="80" workbookViewId="0">
      <selection activeCell="C5" sqref="C5"/>
    </sheetView>
  </sheetViews>
  <sheetFormatPr baseColWidth="10" defaultColWidth="11" defaultRowHeight="15" x14ac:dyDescent="0.2"/>
  <cols>
    <col min="1" max="1" width="11" style="35"/>
    <col min="2" max="2" width="28.5" style="35" customWidth="1"/>
    <col min="3" max="3" width="86.1640625" style="35" customWidth="1"/>
    <col min="4" max="4" width="11.6640625" style="35" customWidth="1"/>
    <col min="5" max="5" width="19" style="35" customWidth="1"/>
    <col min="6" max="6" width="17.1640625" style="35" customWidth="1"/>
    <col min="7" max="7" width="17" style="35" customWidth="1"/>
    <col min="8" max="8" width="62.33203125" style="35" customWidth="1"/>
    <col min="9" max="16384" width="11" style="35"/>
  </cols>
  <sheetData>
    <row r="1" spans="1:8" ht="44" customHeight="1" x14ac:dyDescent="0.2">
      <c r="A1" s="319" t="s">
        <v>425</v>
      </c>
      <c r="B1" s="320" t="s">
        <v>426</v>
      </c>
      <c r="C1" s="320" t="s">
        <v>427</v>
      </c>
      <c r="D1" s="320" t="s">
        <v>428</v>
      </c>
      <c r="E1" s="320" t="s">
        <v>19</v>
      </c>
      <c r="F1" s="320" t="s">
        <v>429</v>
      </c>
      <c r="G1" s="320" t="s">
        <v>430</v>
      </c>
      <c r="H1" t="s">
        <v>415</v>
      </c>
    </row>
    <row r="2" spans="1:8" ht="32" x14ac:dyDescent="0.2">
      <c r="A2" s="35" t="s">
        <v>424</v>
      </c>
      <c r="B2" s="35" t="s">
        <v>422</v>
      </c>
      <c r="C2" s="35" t="s">
        <v>421</v>
      </c>
      <c r="D2" s="314" t="s">
        <v>419</v>
      </c>
      <c r="E2" s="35" t="s">
        <v>420</v>
      </c>
      <c r="F2" s="314" t="s">
        <v>417</v>
      </c>
      <c r="G2" s="314" t="s">
        <v>418</v>
      </c>
      <c r="H2" t="s">
        <v>416</v>
      </c>
    </row>
    <row r="3" spans="1:8" x14ac:dyDescent="0.2">
      <c r="H3" t="s">
        <v>7</v>
      </c>
    </row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56" spans="2:8" ht="15.75" customHeight="1" x14ac:dyDescent="0.2"/>
    <row r="57" spans="2:8" ht="15.75" customHeight="1" x14ac:dyDescent="0.2"/>
    <row r="58" spans="2:8" s="36" customFormat="1" ht="15.75" customHeight="1" x14ac:dyDescent="0.2">
      <c r="B58" s="35"/>
      <c r="C58" s="35"/>
      <c r="D58" s="35"/>
      <c r="E58" s="35"/>
      <c r="F58" s="35"/>
      <c r="G58" s="35"/>
      <c r="H58" s="35"/>
    </row>
    <row r="59" spans="2:8" ht="15.75" customHeight="1" x14ac:dyDescent="0.2"/>
    <row r="60" spans="2:8" ht="15.75" customHeight="1" x14ac:dyDescent="0.2"/>
    <row r="61" spans="2:8" ht="15.75" customHeight="1" x14ac:dyDescent="0.2"/>
    <row r="62" spans="2:8" ht="15.75" customHeight="1" x14ac:dyDescent="0.2"/>
    <row r="63" spans="2:8" ht="15.75" customHeight="1" x14ac:dyDescent="0.2"/>
    <row r="64" spans="2:8" ht="15.75" customHeight="1" x14ac:dyDescent="0.2"/>
    <row r="65" ht="15.75" customHeight="1" x14ac:dyDescent="0.2"/>
    <row r="66" ht="15.75" customHeight="1" x14ac:dyDescent="0.2"/>
    <row r="67" ht="15.75" customHeight="1" x14ac:dyDescent="0.2"/>
  </sheetData>
  <autoFilter ref="A1:G1" xr:uid="{40175DB0-40DB-6046-B965-F2F52476B1A1}"/>
  <pageMargins left="0.70866141732283472" right="0.70866141732283472" top="0.74803149606299213" bottom="0.74803149606299213" header="0.31496062992125984" footer="0.31496062992125984"/>
  <pageSetup paperSize="8" scale="7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921C7-025B-4F4F-A5C7-6D94075AC520}">
  <sheetPr codeName="Feuil8">
    <tabColor rgb="FFC00000"/>
  </sheetPr>
  <dimension ref="A1:BJ24"/>
  <sheetViews>
    <sheetView topLeftCell="D1" zoomScale="125" zoomScaleNormal="100" workbookViewId="0">
      <pane xSplit="3" ySplit="1" topLeftCell="AE2" activePane="bottomRight" state="frozen"/>
      <selection activeCell="D1" sqref="D1"/>
      <selection pane="topRight" activeCell="G1" sqref="G1"/>
      <selection pane="bottomLeft" activeCell="D2" sqref="D2"/>
      <selection pane="bottomRight" activeCell="AM6" sqref="AM6"/>
    </sheetView>
  </sheetViews>
  <sheetFormatPr baseColWidth="10" defaultColWidth="11" defaultRowHeight="16" x14ac:dyDescent="0.2"/>
  <cols>
    <col min="1" max="1" width="6" style="37" hidden="1" customWidth="1"/>
    <col min="2" max="2" width="17.1640625" style="37" hidden="1" customWidth="1"/>
    <col min="3" max="3" width="6.33203125" style="37" bestFit="1" customWidth="1"/>
    <col min="4" max="4" width="14.6640625" style="37" customWidth="1"/>
    <col min="5" max="5" width="6.5" style="37" customWidth="1"/>
    <col min="6" max="6" width="45" style="37" customWidth="1"/>
    <col min="7" max="8" width="9.33203125" style="37" customWidth="1"/>
    <col min="9" max="9" width="9.5" style="37" customWidth="1"/>
    <col min="10" max="10" width="9" style="37" customWidth="1"/>
    <col min="11" max="38" width="9.33203125" style="37" customWidth="1"/>
    <col min="39" max="39" width="8.5" style="37" bestFit="1" customWidth="1"/>
    <col min="40" max="40" width="7.33203125" style="37" bestFit="1" customWidth="1"/>
    <col min="41" max="62" width="9.33203125" style="37" customWidth="1"/>
    <col min="63" max="63" width="4" style="37" customWidth="1"/>
    <col min="64" max="16384" width="11" style="37"/>
  </cols>
  <sheetData>
    <row r="1" spans="1:62" s="41" customFormat="1" ht="23.5" customHeight="1" x14ac:dyDescent="0.15">
      <c r="B1" s="347" t="s">
        <v>173</v>
      </c>
      <c r="C1" s="347"/>
      <c r="D1" s="347"/>
      <c r="E1" s="347"/>
      <c r="F1" s="347"/>
      <c r="G1" s="347"/>
      <c r="H1" s="347"/>
      <c r="I1" s="347"/>
    </row>
    <row r="2" spans="1:62" s="41" customFormat="1" ht="12.75" customHeight="1" x14ac:dyDescent="0.15">
      <c r="A2" s="87"/>
      <c r="B2" s="87"/>
      <c r="C2" s="87"/>
      <c r="D2" s="87"/>
      <c r="E2" s="87"/>
      <c r="F2" s="87"/>
      <c r="G2" s="84" t="s">
        <v>172</v>
      </c>
      <c r="H2" s="346" t="s">
        <v>171</v>
      </c>
      <c r="I2" s="83" t="s">
        <v>170</v>
      </c>
      <c r="J2" s="83" t="s">
        <v>170</v>
      </c>
      <c r="K2" s="83" t="s">
        <v>170</v>
      </c>
      <c r="L2" s="83" t="s">
        <v>170</v>
      </c>
      <c r="M2" s="83" t="s">
        <v>170</v>
      </c>
      <c r="N2" s="83" t="s">
        <v>170</v>
      </c>
      <c r="O2" s="83" t="s">
        <v>170</v>
      </c>
      <c r="P2" s="83" t="s">
        <v>170</v>
      </c>
      <c r="Q2" s="83" t="s">
        <v>170</v>
      </c>
      <c r="R2" s="83" t="s">
        <v>170</v>
      </c>
      <c r="S2" s="83" t="s">
        <v>170</v>
      </c>
      <c r="T2" s="83" t="s">
        <v>170</v>
      </c>
      <c r="U2" s="83" t="s">
        <v>170</v>
      </c>
      <c r="V2" s="83" t="s">
        <v>170</v>
      </c>
      <c r="W2" s="346" t="s">
        <v>169</v>
      </c>
      <c r="X2" s="84" t="s">
        <v>38</v>
      </c>
      <c r="Y2" s="84" t="s">
        <v>38</v>
      </c>
      <c r="Z2" s="84" t="s">
        <v>38</v>
      </c>
      <c r="AA2" s="84" t="s">
        <v>38</v>
      </c>
      <c r="AB2" s="346" t="s">
        <v>168</v>
      </c>
      <c r="AC2" s="81" t="s">
        <v>167</v>
      </c>
      <c r="AD2" s="81" t="s">
        <v>167</v>
      </c>
      <c r="AE2" s="81" t="s">
        <v>167</v>
      </c>
      <c r="AF2" s="81" t="s">
        <v>167</v>
      </c>
      <c r="AG2" s="81" t="s">
        <v>167</v>
      </c>
      <c r="AH2" s="81" t="s">
        <v>167</v>
      </c>
      <c r="AI2" s="81" t="s">
        <v>167</v>
      </c>
      <c r="AJ2" s="81" t="s">
        <v>167</v>
      </c>
      <c r="AK2" s="81" t="s">
        <v>167</v>
      </c>
      <c r="AL2" s="346" t="s">
        <v>166</v>
      </c>
      <c r="AM2" s="81" t="s">
        <v>165</v>
      </c>
      <c r="AN2" s="81" t="s">
        <v>165</v>
      </c>
      <c r="AO2" s="81" t="s">
        <v>165</v>
      </c>
      <c r="AP2" s="81" t="s">
        <v>165</v>
      </c>
      <c r="AQ2" s="81" t="s">
        <v>165</v>
      </c>
      <c r="AR2" s="81" t="s">
        <v>165</v>
      </c>
      <c r="AS2" s="81" t="s">
        <v>165</v>
      </c>
      <c r="AT2" s="81" t="s">
        <v>165</v>
      </c>
      <c r="AU2" s="81" t="s">
        <v>165</v>
      </c>
      <c r="AV2" s="81" t="s">
        <v>165</v>
      </c>
      <c r="AW2" s="81" t="s">
        <v>165</v>
      </c>
      <c r="AX2" s="81" t="s">
        <v>165</v>
      </c>
      <c r="AY2" s="81" t="s">
        <v>165</v>
      </c>
      <c r="AZ2" s="346" t="s">
        <v>164</v>
      </c>
      <c r="BA2" s="80" t="s">
        <v>163</v>
      </c>
      <c r="BB2" s="80" t="s">
        <v>163</v>
      </c>
      <c r="BC2" s="80" t="s">
        <v>163</v>
      </c>
      <c r="BD2" s="80" t="s">
        <v>163</v>
      </c>
      <c r="BE2" s="80" t="s">
        <v>163</v>
      </c>
      <c r="BF2" s="80" t="s">
        <v>163</v>
      </c>
      <c r="BG2" s="80" t="s">
        <v>163</v>
      </c>
      <c r="BH2" s="80" t="s">
        <v>163</v>
      </c>
      <c r="BI2" s="80" t="s">
        <v>163</v>
      </c>
      <c r="BJ2" s="346" t="s">
        <v>162</v>
      </c>
    </row>
    <row r="3" spans="1:62" s="41" customFormat="1" ht="26" hidden="1" customHeight="1" x14ac:dyDescent="0.15">
      <c r="A3" s="87"/>
      <c r="B3" s="87"/>
      <c r="C3" s="87"/>
      <c r="D3" s="87"/>
      <c r="E3" s="87"/>
      <c r="F3" s="87"/>
      <c r="G3" s="84" t="s">
        <v>161</v>
      </c>
      <c r="H3" s="346"/>
      <c r="I3" s="83" t="s">
        <v>160</v>
      </c>
      <c r="J3" s="83" t="s">
        <v>159</v>
      </c>
      <c r="K3" s="83" t="s">
        <v>158</v>
      </c>
      <c r="L3" s="83" t="s">
        <v>157</v>
      </c>
      <c r="M3" s="83" t="s">
        <v>156</v>
      </c>
      <c r="N3" s="83" t="s">
        <v>155</v>
      </c>
      <c r="O3" s="83" t="s">
        <v>154</v>
      </c>
      <c r="P3" s="83" t="s">
        <v>153</v>
      </c>
      <c r="Q3" s="83" t="s">
        <v>152</v>
      </c>
      <c r="R3" s="83"/>
      <c r="S3" s="83" t="s">
        <v>151</v>
      </c>
      <c r="T3" s="83" t="s">
        <v>150</v>
      </c>
      <c r="U3" s="83" t="s">
        <v>149</v>
      </c>
      <c r="V3" s="83" t="s">
        <v>148</v>
      </c>
      <c r="W3" s="346"/>
      <c r="X3" s="79"/>
      <c r="Y3" s="84" t="s">
        <v>147</v>
      </c>
      <c r="Z3" s="84" t="s">
        <v>146</v>
      </c>
      <c r="AA3" s="84" t="s">
        <v>145</v>
      </c>
      <c r="AB3" s="346"/>
      <c r="AC3" s="81" t="s">
        <v>144</v>
      </c>
      <c r="AD3" s="81" t="s">
        <v>143</v>
      </c>
      <c r="AE3" s="81" t="s">
        <v>142</v>
      </c>
      <c r="AF3" s="81" t="s">
        <v>141</v>
      </c>
      <c r="AG3" s="81" t="s">
        <v>140</v>
      </c>
      <c r="AH3" s="81" t="s">
        <v>139</v>
      </c>
      <c r="AI3" s="81" t="s">
        <v>35</v>
      </c>
      <c r="AJ3" s="81" t="s">
        <v>34</v>
      </c>
      <c r="AK3" s="81" t="s">
        <v>138</v>
      </c>
      <c r="AL3" s="346"/>
      <c r="AM3" s="81" t="s">
        <v>137</v>
      </c>
      <c r="AN3" s="81" t="s">
        <v>136</v>
      </c>
      <c r="AO3" s="81" t="s">
        <v>135</v>
      </c>
      <c r="AP3" s="81" t="s">
        <v>134</v>
      </c>
      <c r="AQ3" s="81" t="s">
        <v>133</v>
      </c>
      <c r="AR3" s="81" t="s">
        <v>132</v>
      </c>
      <c r="AS3" s="81" t="s">
        <v>131</v>
      </c>
      <c r="AT3" s="81" t="s">
        <v>130</v>
      </c>
      <c r="AU3" s="81" t="s">
        <v>129</v>
      </c>
      <c r="AV3" s="81" t="s">
        <v>128</v>
      </c>
      <c r="AW3" s="81" t="s">
        <v>127</v>
      </c>
      <c r="AX3" s="81" t="s">
        <v>126</v>
      </c>
      <c r="AY3" s="81" t="s">
        <v>125</v>
      </c>
      <c r="AZ3" s="346"/>
      <c r="BA3" s="80" t="s">
        <v>124</v>
      </c>
      <c r="BB3" s="80" t="s">
        <v>123</v>
      </c>
      <c r="BC3" s="80" t="s">
        <v>122</v>
      </c>
      <c r="BD3" s="80" t="s">
        <v>121</v>
      </c>
      <c r="BE3" s="80" t="s">
        <v>120</v>
      </c>
      <c r="BF3" s="80" t="s">
        <v>119</v>
      </c>
      <c r="BG3" s="80" t="s">
        <v>118</v>
      </c>
      <c r="BH3" s="80" t="s">
        <v>117</v>
      </c>
      <c r="BI3" s="80" t="s">
        <v>116</v>
      </c>
      <c r="BJ3" s="346"/>
    </row>
    <row r="4" spans="1:62" s="41" customFormat="1" ht="60" x14ac:dyDescent="0.15">
      <c r="A4" s="86"/>
      <c r="B4" s="85" t="s">
        <v>115</v>
      </c>
      <c r="C4" s="85" t="s">
        <v>114</v>
      </c>
      <c r="D4" s="85" t="s">
        <v>32</v>
      </c>
      <c r="E4" s="85" t="s">
        <v>113</v>
      </c>
      <c r="F4" s="85" t="s">
        <v>112</v>
      </c>
      <c r="G4" s="84" t="s">
        <v>111</v>
      </c>
      <c r="H4" s="346"/>
      <c r="I4" s="83" t="s">
        <v>110</v>
      </c>
      <c r="J4" s="83" t="s">
        <v>109</v>
      </c>
      <c r="K4" s="83" t="s">
        <v>108</v>
      </c>
      <c r="L4" s="83" t="s">
        <v>107</v>
      </c>
      <c r="M4" s="83" t="s">
        <v>106</v>
      </c>
      <c r="N4" s="83" t="s">
        <v>105</v>
      </c>
      <c r="O4" s="83" t="s">
        <v>104</v>
      </c>
      <c r="P4" s="83" t="s">
        <v>103</v>
      </c>
      <c r="Q4" s="83" t="s">
        <v>102</v>
      </c>
      <c r="R4" s="83" t="s">
        <v>101</v>
      </c>
      <c r="S4" s="83" t="s">
        <v>100</v>
      </c>
      <c r="T4" s="83" t="s">
        <v>99</v>
      </c>
      <c r="U4" s="83" t="s">
        <v>98</v>
      </c>
      <c r="V4" s="83" t="s">
        <v>97</v>
      </c>
      <c r="W4" s="346"/>
      <c r="X4" s="82" t="s">
        <v>96</v>
      </c>
      <c r="Y4" s="82" t="s">
        <v>95</v>
      </c>
      <c r="Z4" s="82" t="s">
        <v>94</v>
      </c>
      <c r="AA4" s="82" t="s">
        <v>93</v>
      </c>
      <c r="AB4" s="346"/>
      <c r="AC4" s="81" t="s">
        <v>92</v>
      </c>
      <c r="AD4" s="81" t="s">
        <v>91</v>
      </c>
      <c r="AE4" s="81" t="s">
        <v>90</v>
      </c>
      <c r="AF4" s="81" t="s">
        <v>89</v>
      </c>
      <c r="AG4" s="81" t="s">
        <v>88</v>
      </c>
      <c r="AH4" s="81" t="s">
        <v>87</v>
      </c>
      <c r="AI4" s="81" t="s">
        <v>35</v>
      </c>
      <c r="AJ4" s="81" t="s">
        <v>86</v>
      </c>
      <c r="AK4" s="81" t="s">
        <v>85</v>
      </c>
      <c r="AL4" s="346"/>
      <c r="AM4" s="81" t="s">
        <v>84</v>
      </c>
      <c r="AN4" s="81" t="s">
        <v>83</v>
      </c>
      <c r="AO4" s="81" t="s">
        <v>82</v>
      </c>
      <c r="AP4" s="81" t="s">
        <v>81</v>
      </c>
      <c r="AQ4" s="81" t="s">
        <v>80</v>
      </c>
      <c r="AR4" s="81" t="s">
        <v>79</v>
      </c>
      <c r="AS4" s="81" t="s">
        <v>78</v>
      </c>
      <c r="AT4" s="81" t="s">
        <v>77</v>
      </c>
      <c r="AU4" s="81" t="s">
        <v>76</v>
      </c>
      <c r="AV4" s="81" t="s">
        <v>75</v>
      </c>
      <c r="AW4" s="81" t="s">
        <v>74</v>
      </c>
      <c r="AX4" s="81" t="s">
        <v>73</v>
      </c>
      <c r="AY4" s="81" t="s">
        <v>72</v>
      </c>
      <c r="AZ4" s="346"/>
      <c r="BA4" s="80" t="s">
        <v>71</v>
      </c>
      <c r="BB4" s="80" t="s">
        <v>70</v>
      </c>
      <c r="BC4" s="80" t="s">
        <v>69</v>
      </c>
      <c r="BD4" s="80" t="s">
        <v>68</v>
      </c>
      <c r="BE4" s="80" t="s">
        <v>67</v>
      </c>
      <c r="BF4" s="80" t="s">
        <v>66</v>
      </c>
      <c r="BG4" s="80" t="s">
        <v>65</v>
      </c>
      <c r="BH4" s="80" t="s">
        <v>64</v>
      </c>
      <c r="BI4" s="80" t="s">
        <v>63</v>
      </c>
      <c r="BJ4" s="346"/>
    </row>
    <row r="5" spans="1:62" s="41" customFormat="1" ht="11" customHeight="1" x14ac:dyDescent="0.15">
      <c r="A5" s="51" t="s">
        <v>42</v>
      </c>
      <c r="B5" s="61"/>
      <c r="C5" s="61"/>
      <c r="D5" s="78" t="str">
        <f>IF(ETPT_TJ_DDG!$D$5="","",ETPT_TJ_DDG!$D$5)</f>
        <v/>
      </c>
      <c r="E5" s="61" t="s">
        <v>62</v>
      </c>
      <c r="F5" s="61" t="s">
        <v>61</v>
      </c>
      <c r="G5" s="110" t="e">
        <f>SUMIFS( INDEX( 'ETPT Format DDG'!$A:$FA,,MATCH("Temps ventilés sur la période (contentieux civils et sociaux)",'ETPT Format DDG'!2:2,0)),'ETPT Format DDG'!$C:$C,$D$5,'ETPT Format DDG'!$FA:$FA,"Fonctionnaire CTECH")</f>
        <v>#N/A</v>
      </c>
      <c r="H5" s="59" t="e">
        <f t="shared" ref="H5:H15" si="0">SUM(G5)</f>
        <v>#N/A</v>
      </c>
      <c r="I5" s="58" t="e">
        <f>SUMIFS( INDEX( 'ETPT Format DDG'!$A:$FA,,MATCH("11.8. FONCTIONNAIRES AFFECTÉS AUX ACTIVITÉS CIVILES ET COMMERCIALES DU PARQUET",'ETPT Format DDG'!2:2,0)),'ETPT Format DDG'!$C:$C,$D$5,'ETPT Format DDG'!$FA:$FA,"Fonctionnaire A-B-CBUR")</f>
        <v>#N/A</v>
      </c>
      <c r="J5" s="75"/>
      <c r="K5" s="75"/>
      <c r="L5" s="75"/>
      <c r="M5" s="75"/>
      <c r="N5" s="75"/>
      <c r="O5" s="75"/>
      <c r="P5" s="58" t="e">
        <f>SUMIFS( INDEX( 'ETPT Format DDG'!$A:$FA,,MATCH("3.2. PROTECTION DES MAJEURS",'ETPT Format DDG'!2:2,0)),'ETPT Format DDG'!$C:$C,$D$5,'ETPT Format DDG'!$FA:$FA,"Fonctionnaire A-B-CBUR")</f>
        <v>#N/A</v>
      </c>
      <c r="Q5" s="58" t="e">
        <f>SUMIFS( INDEX( 'ETPT Format DDG'!$A:$FA,,MATCH("3. TOTAL CONTENTIEUX DE LA PROTECTION",'ETPT Format DDG'!2:2,0)),'ETPT Format DDG'!$C:$C,$D$5,'ETPT Format DDG'!$FA:$FA,"Fonctionnaire A-B-CBUR")-
SUMIFS( INDEX( 'ETPT Format DDG'!$A:$FA,,MATCH("3.2. PROTECTION DES MAJEURS",'ETPT Format DDG'!2:2,0)),'ETPT Format DDG'!$C:$C,$D$5,'ETPT Format DDG'!$FA:$FA,"Fonctionnaire A-B-CBUR")-
SUMIFS( INDEX( 'ETPT Format DDG'!$A:$FA,,MATCH("3.43. INJONCTIONS DE PAYER",'ETPT Format DDG'!2:2,0)),'ETPT Format DDG'!$C:$C,$D$5,'ETPT Format DDG'!$FA:$FA,"Fonctionnaire A-B-CBUR")-
SUMIFS( INDEX( 'ETPT Format DDG'!$A:$FA,,MATCH("3.44. SAISIE DES RÉMUNÉRATIONS",'ETPT Format DDG'!2:2,0)),'ETPT Format DDG'!$C:$C,$D$5,'ETPT Format DDG'!$FA:$FA,"Fonctionnaire A-B-CBUR")</f>
        <v>#N/A</v>
      </c>
      <c r="R5" s="58" t="e">
        <f>SUMIFS( INDEX( 'ETPT Format DDG'!$A:$FA,,MATCH("5. TOTAL JLD CIVIL",'ETPT Format DDG'!2:2,0)),'ETPT Format DDG'!$C:$C,$D$5,'ETPT Format DDG'!$FA:$FA,"Fonctionnaire A-B-CBUR")
+SUMIFS( INDEX( 'ETPT Format DDG'!$A:$FA,,MATCH("6.1. ACTIVITÉ CIVILE",'ETPT Format DDG'!2:2,0)),'ETPT Format DDG'!$C:$C,$D$5,'ETPT Format DDG'!$FA:$FA,"Fonctionnaire A-B-CBUR")</f>
        <v>#N/A</v>
      </c>
      <c r="S5" s="58" t="e">
        <f>SUMIFS( INDEX( 'ETPT Format DDG'!$A:$FA,,MATCH("3.43. INJONCTIONS DE PAYER",'ETPT Format DDG'!2:2,0)),'ETPT Format DDG'!$C:$C,$D$5,'ETPT Format DDG'!$FA:$FA,"Fonctionnaire A-B-CBUR")+
SUMIFS( INDEX( 'ETPT Format DDG'!$A:$FA,,MATCH("3.44. SAISIE DES RÉMUNÉRATIONS",'ETPT Format DDG'!2:2,0)),'ETPT Format DDG'!$C:$C,$D$5,'ETPT Format DDG'!$FA:$FA,"Fonctionnaire A-B-CBUR")</f>
        <v>#N/A</v>
      </c>
      <c r="T5" s="58" t="e">
        <f>SUMIFS( INDEX( 'ETPT Format DDG'!$A:$FA,,MATCH("4.0. CONTENTIEUX GÉNÉRAL &lt;10.000€",'ETPT Format DDG'!2:2,0)),'ETPT Format DDG'!$C:$C,$D$5,'ETPT Format DDG'!$FA:$FA,"Fonctionnaire A-B-CBUR")</f>
        <v>#N/A</v>
      </c>
      <c r="U5" s="58" t="e">
        <f>SUMIFS( INDEX( 'ETPT Format DDG'!$A:$FA,,MATCH("1. TOTAL CONTENTIEUX SOCIAL",'ETPT Format DDG'!2:2,0)),'ETPT Format DDG'!$C:$C,$D$5,'ETPT Format DDG'!$FA:$FA,"Fonctionnaire A-B-CBUR")</f>
        <v>#N/A</v>
      </c>
      <c r="V5" s="58" t="e">
        <f>SUMIFS( INDEX( 'ETPT Format DDG'!$A:$FA,,MATCH("Temps ventilés sur la période (contentieux civils et sociaux)",'ETPT Format DDG'!2:2,0)),'ETPT Format DDG'!$C:$C,$D$5,'ETPT Format DDG'!$FA:$FA,"Fonctionnaire A-B-CBUR")-SUM(K5:U5)</f>
        <v>#N/A</v>
      </c>
      <c r="W5" s="46" t="e">
        <f>SUM(I5:V5)</f>
        <v>#N/A</v>
      </c>
      <c r="X5" s="64" t="e">
        <f>SUMIFS( INDEX( 'ETPT Format DDG'!$A:$FA,,MATCH("Temps ventilés sur la période (contentieux civils et sociaux)",'ETPT Format DDG'!2:2,0)),'ETPT Format DDG'!$C:$C,$D$5,'ETPT Format DDG'!$FA:$FA,"CONT A JP Autour du Juge")</f>
        <v>#N/A</v>
      </c>
      <c r="Y5" s="77" t="e">
        <f>SUMIFS( INDEX( 'ETPT Format DDG'!$A:$FA,,MATCH("Temps ventilés sur la période (contentieux civils et sociaux)",'ETPT Format DDG'!2:2,0)),'ETPT Format DDG'!$C:$C,$D$5,'ETPT Format DDG'!$FA:$FA,"JURISTE AS Parquet")</f>
        <v>#N/A</v>
      </c>
      <c r="Z5" s="77" t="e">
        <f>SUMIFS( INDEX( 'ETPT Format DDG'!$A:$FA,,MATCH("Temps ventilés sur la période (contentieux civils et sociaux)",'ETPT Format DDG'!2:2,0)),'ETPT Format DDG'!$C:$C,$D$5,'ETPT Format DDG'!$FA:$FA,"JURISTE AS Pôle social")</f>
        <v>#N/A</v>
      </c>
      <c r="AA5" s="76" t="e">
        <f>SUMIFS( INDEX( 'ETPT Format DDG'!$A:$FA,,MATCH("Temps ventilés sur la période (contentieux civils et sociaux)",'ETPT Format DDG'!2:2,0)),'ETPT Format DDG'!$C:$C,$D$5,'ETPT Format DDG'!$FA:$FA,"JURISTE AS siège Autres")</f>
        <v>#N/A</v>
      </c>
      <c r="AB5" s="46" t="e">
        <f t="shared" ref="AB5:AB15" si="1">SUM(X5:AA5)</f>
        <v>#N/A</v>
      </c>
      <c r="AC5" s="55" t="e">
        <f>SUMIFS( INDEX( 'ETPT Format DDG'!$A:$FA,,MATCH("3.2. PROTECTION DES MAJEURS",'ETPT Format DDG'!2:2,0)),'ETPT Format DDG'!$C:$C,$D$5,'ETPT Format DDG'!$FA:$FA,"Magistrat SIEGE NS")+
SUMIFS( INDEX( 'ETPT Format DDG'!$A:$FA,,MATCH("3.2. PROTECTION DES MAJEURS",'ETPT Format DDG'!2:2,0)),'ETPT Format DDG'!$C:$C,$D$5,'ETPT Format DDG'!$FA:$FA,"Magistrat SIEGE S")</f>
        <v>#N/A</v>
      </c>
      <c r="AD5" s="53" t="e">
        <f>SUMIFS( INDEX( 'ETPT Format DDG'!$A:$FA,,MATCH("3. TOTAL CONTENTIEUX DE LA PROTECTION",'ETPT Format DDG'!2:2,0)),'ETPT Format DDG'!$C:$C,$D$5,'ETPT Format DDG'!$FA:$FA,"Magistrat SIEGE NS")+
SUMIFS( INDEX( 'ETPT Format DDG'!$A:$FA,,MATCH("3. TOTAL CONTENTIEUX DE LA PROTECTION",'ETPT Format DDG'!2:2,0)),'ETPT Format DDG'!$C:$C,$D$5,'ETPT Format DDG'!$FA:$FA,"Magistrat SIEGE S")-
SUMIFS( INDEX( 'ETPT Format DDG'!$A:$FA,,MATCH("3.2. PROTECTION DES MAJEURS",'ETPT Format DDG'!2:2,0)),'ETPT Format DDG'!$C:$C,$D$5,'ETPT Format DDG'!$FA:$FA,"Magistrat SIEGE NS")-
SUMIFS( INDEX( 'ETPT Format DDG'!$A:$FA,,MATCH("3.2. PROTECTION DES MAJEURS",'ETPT Format DDG'!2:2,0)),'ETPT Format DDG'!$C:$C,$D$5,'ETPT Format DDG'!$FA:$FA,"Magistrat SIEGE S")-
SUMIFS( INDEX( 'ETPT Format DDG'!$A:$FA,,MATCH("3.43. INJONCTIONS DE PAYER",'ETPT Format DDG'!2:2,0)),'ETPT Format DDG'!$C:$C,$D$5,'ETPT Format DDG'!$FA:$FA,"Magistrat SIEGE NS")-
SUMIFS( INDEX( 'ETPT Format DDG'!$A:$FA,,MATCH("3.43. INJONCTIONS DE PAYER",'ETPT Format DDG'!2:2,0)),'ETPT Format DDG'!$C:$C,$D$5,'ETPT Format DDG'!$FA:$FA,"Magistrat SIEGE S")-
SUMIFS( INDEX( 'ETPT Format DDG'!$A:$FA,,MATCH("3.44. SAISIE DES RÉMUNÉRATIONS",'ETPT Format DDG'!2:2,0)),'ETPT Format DDG'!$C:$C,$D$5,'ETPT Format DDG'!$FA:$FA,"Magistrat SIEGE NS")-
SUMIFS( INDEX( 'ETPT Format DDG'!$A:$FA,,MATCH("3.44. SAISIE DES RÉMUNÉRATIONS",'ETPT Format DDG'!2:2,0)),'ETPT Format DDG'!$C:$C,$D$5,'ETPT Format DDG'!$FA:$FA,"Magistrat SIEGE S")</f>
        <v>#N/A</v>
      </c>
      <c r="AE5" s="72"/>
      <c r="AF5" s="72"/>
      <c r="AG5" s="72"/>
      <c r="AH5" s="72"/>
      <c r="AI5" s="72"/>
      <c r="AJ5" s="53" t="e">
        <f>SUMIFS( INDEX( 'ETPT Format DDG'!$A:$FA,,MATCH("6.1. ACTIVITÉ CIVILE",'ETPT Format DDG'!2:2,0)),'ETPT Format DDG'!$FA:$FA,"Magistrat SIEGE NS")+
SUMIFS( INDEX( 'ETPT Format DDG'!$A:$FA,,MATCH("6.1. ACTIVITÉ CIVILE",'ETPT Format DDG'!2:2,0)),'ETPT Format DDG'!$FA:$FA,"Magistrat SIEGE S")</f>
        <v>#N/A</v>
      </c>
      <c r="AK5" s="53" t="e">
        <f>SUMIFS( INDEX( 'ETPT Format DDG'!$A:$FA,,MATCH("5. TOTAL JLD CIVIL",'ETPT Format DDG'!2:2,0)),'ETPT Format DDG'!$FA:$FA,"Magistrat SIEGE NS")+
SUMIFS( INDEX( 'ETPT Format DDG'!$A:$FA,,MATCH("5. TOTAL JLD CIVIL",'ETPT Format DDG'!2:2,0)),'ETPT Format DDG'!$FA:$FA,"Magistrat SIEGE S")</f>
        <v>#N/A</v>
      </c>
      <c r="AL5" s="46" t="e">
        <f t="shared" ref="AL5:AL15" si="2">SUM(AC5:AK5)</f>
        <v>#N/A</v>
      </c>
      <c r="AM5" s="72"/>
      <c r="AN5" s="72"/>
      <c r="AO5" s="72"/>
      <c r="AP5" s="72"/>
      <c r="AQ5" s="72"/>
      <c r="AR5" s="72"/>
      <c r="AS5" s="55" t="e">
        <f>SUMIFS( INDEX( 'ETPT Format DDG'!$A:$FA,,MATCH("1.1. DÉPARTAGE PRUD'HOMAL",'ETPT Format DDG'!2:2,0)),'ETPT Format DDG'!$C:$C,$D$5,'ETPT Format DDG'!$FA:$FA,"Magistrat SIEGE NS")+
SUMIFS( INDEX( 'ETPT Format DDG'!$A:$FA,,MATCH("1.1. DÉPARTAGE PRUD'HOMAL",'ETPT Format DDG'!2:2,0)),'ETPT Format DDG'!$C:$C,$D$5,'ETPT Format DDG'!$FA:$FA,"Magistrat SIEGE S")</f>
        <v>#N/A</v>
      </c>
      <c r="AT5" s="53" t="e">
        <f>SUMIFS( INDEX( 'ETPT Format DDG'!$A:$FA,,MATCH("4.0. CONTENTIEUX GÉNÉRAL &lt;10.000€",'ETPT Format DDG'!2:2,0)),'ETPT Format DDG'!$C:$C,$D$5,'ETPT Format DDG'!$FA:$FA,"Magistrat SIEGE NS")+
SUMIFS( INDEX( 'ETPT Format DDG'!$A:$FA,,MATCH("4.0. CONTENTIEUX GÉNÉRAL &lt;10.000€",'ETPT Format DDG'!2:2,0)),'ETPT Format DDG'!$C:$C,$D$5,'ETPT Format DDG'!$FA:$FA,"Magistrat SIEGE S")</f>
        <v>#N/A</v>
      </c>
      <c r="AU5" s="53" t="e">
        <f>SUMIFS( INDEX( 'ETPT Format DDG'!$A:$FA,,MATCH("3.43. INJONCTIONS DE PAYER",'ETPT Format DDG'!2:2,0)),'ETPT Format DDG'!$C:$C,$D$5,'ETPT Format DDG'!$FA:$FA,"Magistrat SIEGE NS")+
SUMIFS( INDEX( 'ETPT Format DDG'!$A:$FA,,MATCH("3.43. INJONCTIONS DE PAYER",'ETPT Format DDG'!2:2,0)),'ETPT Format DDG'!$C:$C,$D$5,'ETPT Format DDG'!$FA:$FA,"Magistrat SIEGE S")+
SUMIFS( INDEX( 'ETPT Format DDG'!$A:$FA,,MATCH("3.44. SAISIE DES RÉMUNÉRATIONS",'ETPT Format DDG'!2:2,0)),'ETPT Format DDG'!$C:$C,$D$5,'ETPT Format DDG'!$FA:$FA,"Magistrat SIEGE NS")+
SUMIFS( INDEX( 'ETPT Format DDG'!$A:$FA,,MATCH("3.44. SAISIE DES RÉMUNÉRATIONS",'ETPT Format DDG'!2:2,0)),'ETPT Format DDG'!$C:$C,$D$5,'ETPT Format DDG'!$FA:$FA,"Magistrat SIEGE S")</f>
        <v>#N/A</v>
      </c>
      <c r="AV5" s="53" t="e">
        <f>SUMIFS( INDEX( 'ETPT Format DDG'!$A:$FA,,MATCH("1. TOTAL CONTENTIEUX SOCIAL",'ETPT Format DDG'!2:2,0)),'ETPT Format DDG'!$C:$C,$D$5,'ETPT Format DDG'!$FA:$FA,"Magistrat SIEGE NS")+
SUMIFS( INDEX( 'ETPT Format DDG'!$A:$FA,,MATCH("1. TOTAL CONTENTIEUX SOCIAL",'ETPT Format DDG'!2:2,0)),'ETPT Format DDG'!$C:$C,$D$5,'ETPT Format DDG'!$FA:$FA,"Magistrat SIEGE S")-
SUMIFS( INDEX( 'ETPT Format DDG'!$A:$FA,,MATCH("1.1. DÉPARTAGE PRUD'HOMAL",'ETPT Format DDG'!2:2,0)),'ETPT Format DDG'!$C:$C,$D$5,'ETPT Format DDG'!$FA:$FA,"Magistrat SIEGE NS")-
SUMIFS( INDEX( 'ETPT Format DDG'!$A:$FA,,MATCH("1.1. DÉPARTAGE PRUD'HOMAL",'ETPT Format DDG'!2:2,0)),'ETPT Format DDG'!$C:$C,$D$5,'ETPT Format DDG'!$FA:$FA,"Magistrat SIEGE S")</f>
        <v>#N/A</v>
      </c>
      <c r="AW5" s="161" t="e">
        <f>SUMIFS( INDEX( 'ETPT Format DDG'!$A:$FA,,MATCH("2. TOTAL CONTENTIEUX JAF",'ETPT Format DDG'!2:2,0)),'ETPT Format DDG'!$FA:$FA,"Magistrat SIEGE NS")+
SUMIFS( INDEX( 'ETPT Format DDG'!$A:$FA,,MATCH("2. TOTAL CONTENTIEUX JAF",'ETPT Format DDG'!2:2,0)),'ETPT Format DDG'!$FA:$FA,"Magistrat SIEGE S")</f>
        <v>#N/A</v>
      </c>
      <c r="AX5" s="55" t="e">
        <f>SUMIFS( INDEX( 'ETPT Format DDG'!$A:$FA,,MATCH("4. TOTAL CIVIL NON SPÉCIALISÉ",'ETPT Format DDG'!2:2,0)),'ETPT Format DDG'!$C:$C,$D$5,'ETPT Format DDG'!$FA:$FA,"Magistrat SIEGE S")-
SUMIFS( INDEX( 'ETPT Format DDG'!$A:$FA,,MATCH("4.0. CONTENTIEUX GÉNÉRAL &lt;10.000€",'ETPT Format DDG'!2:2,0)),'ETPT Format DDG'!$C:$C,$D$5,'ETPT Format DDG'!$FA:$FA,"Magistrat SIEGE S")</f>
        <v>#N/A</v>
      </c>
      <c r="AY5" s="55" t="e">
        <f>SUMIFS( INDEX( 'ETPT Format DDG'!$A:$FA,,MATCH("4. TOTAL CIVIL NON SPÉCIALISÉ",'ETPT Format DDG'!2:2,0)),'ETPT Format DDG'!$C:$C,$D$5,'ETPT Format DDG'!$FA:$FA,"Magistrat SIEGE NS")-
SUMIFS( INDEX( 'ETPT Format DDG'!$A:$FA,,MATCH("4.0. CONTENTIEUX GÉNÉRAL &lt;10.000€",'ETPT Format DDG'!2:2,0)),'ETPT Format DDG'!$C:$C,$D$5,'ETPT Format DDG'!$FA:$FA,"Magistrat SIEGE NS")</f>
        <v>#N/A</v>
      </c>
      <c r="AZ5" s="46" t="e">
        <f t="shared" ref="AZ5:AZ15" si="3">SUM(AM5:AY5)</f>
        <v>#N/A</v>
      </c>
      <c r="BA5" s="52"/>
      <c r="BB5" s="52"/>
      <c r="BC5" s="70"/>
      <c r="BD5" s="70"/>
      <c r="BE5" s="70"/>
      <c r="BF5" s="70"/>
      <c r="BG5" s="70"/>
      <c r="BH5" s="70"/>
      <c r="BI5" s="52"/>
      <c r="BJ5" s="46">
        <f t="shared" ref="BJ5:BJ15" si="4">SUM(BA5:BI5)</f>
        <v>0</v>
      </c>
    </row>
    <row r="6" spans="1:62" s="41" customFormat="1" ht="12" x14ac:dyDescent="0.15">
      <c r="A6" s="51" t="s">
        <v>42</v>
      </c>
      <c r="B6" s="61"/>
      <c r="C6" s="61"/>
      <c r="D6" s="62" t="str">
        <f t="shared" ref="D6:D15" si="5">$D$5</f>
        <v/>
      </c>
      <c r="E6" s="61" t="s">
        <v>60</v>
      </c>
      <c r="F6" s="61" t="s">
        <v>59</v>
      </c>
      <c r="G6" s="66" t="e">
        <f>SUMIFS( INDEX( 'ETPT Format DDG'!$A:$FA,,MATCH("Temps ventilés sur la période (affaires pénales)",'ETPT Format DDG'!2:2,0)),'ETPT Format DDG'!$FA:$FA,"Fonctionnaire CTECH")</f>
        <v>#N/A</v>
      </c>
      <c r="H6" s="59" t="e">
        <f t="shared" si="0"/>
        <v>#N/A</v>
      </c>
      <c r="I6" s="75"/>
      <c r="J6" s="58" t="e">
        <f>SUMIFS( INDEX( 'ETPT Format DDG'!$A:$FA,,MATCH("11.9. FONCTIONNAIRES AFFECTÉS À L'EXÉCUTION DES PEINES",'ETPT Format DDG'!2:2,0)),'ETPT Format DDG'!$FA:$FA,"Fonctionnaire A-B-CBUR")</f>
        <v>#N/A</v>
      </c>
      <c r="K6" s="58" t="e">
        <f>SUMIFS( INDEX( 'ETPT Format DDG'!$A:$FA,,MATCH("7.5. COUR D'ASSISES HORS JIRS",'ETPT Format DDG'!2:2,0)),'ETPT Format DDG'!$FA:$FA,"Fonctionnaire A-B-CBUR")+
SUMIFS( INDEX( 'ETPT Format DDG'!$A:$FA,,MATCH("7.51. COUR D'ASSISES JIRS",'ETPT Format DDG'!2:2,0)),'ETPT Format DDG'!$FA:$FA,"Fonctionnaire A-B-CBUR")</f>
        <v>#N/A</v>
      </c>
      <c r="L6" s="58" t="e">
        <f>SUMIFS( INDEX( 'ETPT Format DDG'!$A:$FA,,MATCH("7.52. COUR CRIMINELLE",'ETPT Format DDG'!2:2,0)),'ETPT Format DDG'!$FA:$FA,"Fonctionnaire A-B-CBUR")</f>
        <v>#N/A</v>
      </c>
      <c r="M6" s="58" t="e">
        <f>SUMIFS( INDEX( 'ETPT Format DDG'!$A:$FA,,MATCH("8.2. JIRS ÉCO-FI",'ETPT Format DDG'!2:2,0)),'ETPT Format DDG'!$FA:$FA,"Fonctionnaire A-B-CBUR")</f>
        <v>#N/A</v>
      </c>
      <c r="N6" s="58" t="e">
        <f>SUMIFS( INDEX( 'ETPT Format DDG'!$A:$FA,,MATCH("8.3. JIRS CRIM-ORG",'ETPT Format DDG'!2:2,0)),'ETPT Format DDG'!$FA:$FA,"Fonctionnaire A-B-CBUR")</f>
        <v>#N/A</v>
      </c>
      <c r="O6" s="58" t="e">
        <f>SUMIFS( INDEX( 'ETPT Format DDG'!$A:$FA,,MATCH("8.4. AUTRES SECTIONS SPÉCIALISÉES",'ETPT Format DDG'!2:2,0)),'ETPT Format DDG'!$FA:$FA,"Fonctionnaire A-B-CBUR")</f>
        <v>#N/A</v>
      </c>
      <c r="P6" s="75"/>
      <c r="Q6" s="75"/>
      <c r="R6" s="74" t="e">
        <f>SUMIFS( INDEX( 'ETPT Format DDG'!$A:$FA,,MATCH("6.2. ACTIVITÉ PÉNALE",'ETPT Format DDG'!2:2,0)),'ETPT Format DDG'!$FA:$FA,"Fonctionnaire A-B-CBUR")+
(SUMIFS( INDEX( 'ETPT Format DDG'!$A:$FA,,MATCH("8. TOTAL JUGES D'INSTRUCTION",'ETPT Format DDG'!2:2,0)),'ETPT Format DDG'!$FA:$FA,"Fonctionnaire A-B-CBUR")-
SUMIFS( INDEX( 'ETPT Format DDG'!$A:$FA,,MATCH("8.2. JIRS ÉCO-FI",'ETPT Format DDG'!2:2,0)),'ETPT Format DDG'!$FA:$FA,"Fonctionnaire A-B-CBUR")-
SUMIFS( INDEX( 'ETPT Format DDG'!$A:$FA,,MATCH("8.3. JIRS CRIM-ORG",'ETPT Format DDG'!2:2,0)),'ETPT Format DDG'!$FA:$FA,"Fonctionnaire A-B-CBUR")-
SUMIFS( INDEX( 'ETPT Format DDG'!$A:$FA,,MATCH("8.4. AUTRES SECTIONS SPÉCIALISÉES",'ETPT Format DDG'!2:2,0)),'ETPT Format DDG'!$FA:$FA,"Fonctionnaire A-B-CBUR"))+
SUMIFS( INDEX( 'ETPT Format DDG'!$A:$FA,,MATCH("9. TOTAL JAP",'ETPT Format DDG'!2:2,0)),'ETPT Format DDG'!$FA:$FA,"Fonctionnaire A-B-CBUR")+
SUMIFS( INDEX( 'ETPT Format DDG'!$A:$FA,,MATCH("10. TOTAL JLD PÉNAL",'ETPT Format DDG'!2:2,0)),'ETPT Format DDG'!$FA:$FA,"Fonctionnaire A-B-CBUR")</f>
        <v>#N/A</v>
      </c>
      <c r="S6" s="73"/>
      <c r="T6" s="73"/>
      <c r="U6" s="73"/>
      <c r="V6" s="58" t="e">
        <f>SUMIFS( INDEX( 'ETPT Format DDG'!$A:$FA,,MATCH("Temps ventilés sur la période (affaires pénales)",'ETPT Format DDG'!2:2,0)),'ETPT Format DDG'!$FA:$FA,"Fonctionnaire A-B-CBUR")+
SUMIFS( INDEX( 'ETPT Format DDG'!$A:$FA,,MATCH("11.10. AUTRES FONCTIONNAIRES AFFECTÉS AU PARQUET",'ETPT Format DDG'!2:2,0)),'ETPT Format DDG'!$FA:$FA,"Fonctionnaire A-B-CBUR")-
SUM(K6:U6)</f>
        <v>#N/A</v>
      </c>
      <c r="W6" s="46" t="e">
        <f t="shared" ref="W6:W15" si="6">SUM(I6:V6)</f>
        <v>#N/A</v>
      </c>
      <c r="X6" s="64" t="e">
        <f>SUMIFS( INDEX( 'ETPT Format DDG'!$A:$FA,,MATCH("Temps ventilés sur la période (affaires pénales)",'ETPT Format DDG'!2:2,0)),'ETPT Format DDG'!$FA:$FA,"CONT A JP Autour du Juge")+
SUMIFS( INDEX( 'ETPT Format DDG'!$A:$FA,,MATCH("11.10. AUTRES FONCTIONNAIRES AFFECTÉS AU PARQUET",'ETPT Format DDG'!2:2,0)),'ETPT Format DDG'!$FA:$FA,"CONT A JP Autour du Juge")</f>
        <v>#N/A</v>
      </c>
      <c r="Y6" s="64" t="e">
        <f>SUMIFS( INDEX( 'ETPT Format DDG'!$A:$FA,,MATCH("Temps ventilés sur la période (affaires pénales)",'ETPT Format DDG'!2:2,0)),'ETPT Format DDG'!$FA:$FA,"JURISTE AS Parquet")+
SUMIFS( INDEX( 'ETPT Format DDG'!$A:$FA,,MATCH("11.10. AUTRES FONCTIONNAIRES AFFECTÉS AU PARQUET",'ETPT Format DDG'!2:2,0)),'ETPT Format DDG'!$FA:$FA,"JURISTE AS Parquet")</f>
        <v>#N/A</v>
      </c>
      <c r="Z6" s="64" t="e">
        <f>SUMIFS( INDEX( 'ETPT Format DDG'!$A:$FA,,MATCH("Temps ventilés sur la période (affaires pénales)",'ETPT Format DDG'!2:2,0)),'ETPT Format DDG'!$FA:$FA,"JURISTE AS Pôle social")+
SUMIFS( INDEX( 'ETPT Format DDG'!$A:$FA,,MATCH("11.10. AUTRES FONCTIONNAIRES AFFECTÉS AU PARQUET",'ETPT Format DDG'!2:2,0)),'ETPT Format DDG'!$FA:$FA,"JURISTE AS Pôle social")</f>
        <v>#N/A</v>
      </c>
      <c r="AA6" s="64" t="e">
        <f>SUMIFS( INDEX( 'ETPT Format DDG'!$A:$FA,,MATCH("Temps ventilés sur la période (affaires pénales)",'ETPT Format DDG'!2:2,0)),'ETPT Format DDG'!$FA:$FA,"JURISTE AS siège Autres")+
SUMIFS( INDEX( 'ETPT Format DDG'!$A:$FA,,MATCH("11.10. AUTRES FONCTIONNAIRES AFFECTÉS AU PARQUET",'ETPT Format DDG'!2:2,0)),'ETPT Format DDG'!$FA:$FA,"JURISTE AS siège Autres")</f>
        <v>#N/A</v>
      </c>
      <c r="AB6" s="46" t="e">
        <f t="shared" si="1"/>
        <v>#N/A</v>
      </c>
      <c r="AC6" s="72"/>
      <c r="AD6" s="72"/>
      <c r="AE6" s="53" t="e">
        <f>SUMIFS( INDEX( 'ETPT Format DDG'!$A:$FA,,MATCH("8.1. SERVICE GÉNÉRAL",'ETPT Format DDG'!2:2,0)),'ETPT Format DDG'!$FA:$FA,"Magistrat SIEGE NS")+
SUMIFS( INDEX( 'ETPT Format DDG'!$A:$FA,,MATCH("8.1. SERVICE GÉNÉRAL",'ETPT Format DDG'!2:2,0)),'ETPT Format DDG'!$FA:$FA,"Magistrat SIEGE S")</f>
        <v>#N/A</v>
      </c>
      <c r="AF6" s="53" t="e">
        <f>SUMIFS( INDEX( 'ETPT Format DDG'!$A:$FA,,MATCH("8.2. JIRS ÉCO-FI",'ETPT Format DDG'!2:2,0)),'ETPT Format DDG'!$FA:$FA,"Magistrat SIEGE NS")+
SUMIFS( INDEX( 'ETPT Format DDG'!$A:$FA,,MATCH("8.2. JIRS ÉCO-FI",'ETPT Format DDG'!2:2,0)),'ETPT Format DDG'!$FA:$FA,"Magistrat SIEGE S")</f>
        <v>#N/A</v>
      </c>
      <c r="AG6" s="53" t="e">
        <f>SUMIFS( INDEX( 'ETPT Format DDG'!$A:$FA,,MATCH("8.3. JIRS CRIM-ORG",'ETPT Format DDG'!2:2,0)),'ETPT Format DDG'!$FA:$FA,"Magistrat SIEGE NS")+
SUMIFS( INDEX( 'ETPT Format DDG'!$A:$FA,,MATCH("8.3. JIRS CRIM-ORG",'ETPT Format DDG'!2:2,0)),'ETPT Format DDG'!$FA:$FA,"Magistrat SIEGE S")</f>
        <v>#N/A</v>
      </c>
      <c r="AH6" s="53" t="e">
        <f>SUMIFS( INDEX( 'ETPT Format DDG'!$A:$FA,,MATCH("8.4. AUTRES SECTIONS SPÉCIALISÉES",'ETPT Format DDG'!2:2,0)),'ETPT Format DDG'!$FA:$FA,"Magistrat SIEGE NS")+
SUMIFS( INDEX( 'ETPT Format DDG'!$A:$FA,,MATCH("8.4. AUTRES SECTIONS SPÉCIALISÉES",'ETPT Format DDG'!2:2,0)),'ETPT Format DDG'!$FA:$FA,"Magistrat SIEGE S")</f>
        <v>#N/A</v>
      </c>
      <c r="AI6" s="53" t="e">
        <f>SUMIFS( INDEX( 'ETPT Format DDG'!$A:$FA,,MATCH("9. TOTAL JAP",'ETPT Format DDG'!2:2,0)),'ETPT Format DDG'!$FA:$FA,"Magistrat SIEGE NS")+
SUMIFS( INDEX( 'ETPT Format DDG'!$A:$FA,,MATCH("9. TOTAL JAP",'ETPT Format DDG'!2:2,0)),'ETPT Format DDG'!$FA:$FA,"Magistrat SIEGE S")</f>
        <v>#N/A</v>
      </c>
      <c r="AJ6" s="53" t="e">
        <f>SUMIFS( INDEX( 'ETPT Format DDG'!$A:$FA,,MATCH("6.2. ACTIVITÉ PÉNALE",'ETPT Format DDG'!2:2,0)),'ETPT Format DDG'!$FA:$FA,"Magistrat SIEGE NS")+
SUMIFS( INDEX( 'ETPT Format DDG'!$A:$FA,,MATCH("6.2. ACTIVITÉ PÉNALE",'ETPT Format DDG'!2:2,0)),'ETPT Format DDG'!$FA:$FA,"Magistrat SIEGE S")</f>
        <v>#N/A</v>
      </c>
      <c r="AK6" s="53" t="e">
        <f>SUMIFS( INDEX( 'ETPT Format DDG'!$A:$FA,,MATCH("10. TOTAL JLD PÉNAL",'ETPT Format DDG'!2:2,0)),'ETPT Format DDG'!$FA:$FA,"Magistrat SIEGE NS")+
SUMIFS( INDEX( 'ETPT Format DDG'!$A:$FA,,MATCH("10. TOTAL JLD PÉNAL",'ETPT Format DDG'!2:2,0)),'ETPT Format DDG'!$FA:$FA,"Magistrat SIEGE S")</f>
        <v>#N/A</v>
      </c>
      <c r="AL6" s="46" t="e">
        <f t="shared" si="2"/>
        <v>#N/A</v>
      </c>
      <c r="AM6" s="53" t="e">
        <f>SUMIFS( INDEX( 'ETPT Format DDG'!$A:$FA,,MATCH("7.5. COUR D'ASSISES HORS JIRS",'ETPT Format DDG'!2:2,0)),'ETPT Format DDG'!$FA:$FA,"Magistrat SIEGE NS")+
SUMIFS( INDEX( 'ETPT Format DDG'!$A:$FA,,MATCH("7.51. COUR D'ASSISES JIRS",'ETPT Format DDG'!2:2,0)),'ETPT Format DDG'!$FA:$FA,"Magistrat SIEGE NS")</f>
        <v>#N/A</v>
      </c>
      <c r="AN6" s="53" t="e">
        <f>SUMIFS( INDEX( 'ETPT Format DDG'!$A:$FA,,MATCH("7.52. COUR CRIMINELLE",'ETPT Format DDG'!2:2,0)),'ETPT Format DDG'!$FA:$FA,"Magistrat SIEGE NS")</f>
        <v>#N/A</v>
      </c>
      <c r="AO6" s="53" t="e">
        <f>SUMIFS( INDEX( 'ETPT Format DDG'!$A:$FA,,MATCH("7.121. COLLÉGIALES JIRS ECO-FI",'ETPT Format DDG'!2:2,0)),'ETPT Format DDG'!$FA:$FA,"Magistrat SIEGE NS")</f>
        <v>#N/A</v>
      </c>
      <c r="AP6" s="53" t="e">
        <f>SUMIFS( INDEX( 'ETPT Format DDG'!$A:$FA,,MATCH("7.12. COLLÉGIALES JIRS CRIM-ORG",'ETPT Format DDG'!2:2,0)),'ETPT Format DDG'!$FA:$FA,"Magistrat SIEGE NS")</f>
        <v>#N/A</v>
      </c>
      <c r="AQ6" s="53" t="e">
        <f>SUMIFS( INDEX( 'ETPT Format DDG'!$A:$FA,,MATCH("7.122. COLLÉGIALES AUTRES SECTIONS SPÉCIALISÉES",'ETPT Format DDG'!2:2,0)),'ETPT Format DDG'!$FA:$FA,"Magistrat SIEGE NS")</f>
        <v>#N/A</v>
      </c>
      <c r="AR6" s="55" t="e">
        <f>SUMIFS( INDEX( 'ETPT Format DDG'!$A:$FA,,MATCH("7.6. TRIBUNAL DE POLICE",'ETPT Format DDG'!2:2,0)),'ETPT Format DDG'!$FA:$FA,"Magistrat SIEGE NS")+
SUMIFS( INDEX( 'ETPT Format DDG'!$A:$FA,,MATCH("7.7. OP CONTRAVENTIONNELLES",'ETPT Format DDG'!2:2,0)),'ETPT Format DDG'!$FA:$FA,"Magistrat SIEGE NS")</f>
        <v>#N/A</v>
      </c>
      <c r="AS6" s="72"/>
      <c r="AT6" s="72"/>
      <c r="AU6" s="72"/>
      <c r="AV6" s="72"/>
      <c r="AW6" s="72"/>
      <c r="AX6" s="55" t="e">
        <f>SUMIFS( INDEX( 'ETPT Format DDG'!$A:$FA,,MATCH("Temps ventilés sur la période (affaires pénales)",'ETPT Format DDG'!2:2,0)),'ETPT Format DDG'!$FA:$FA,"Magistrat SIEGE S")-
SUMIFS( INDEX( 'ETPT Format DDG'!$A:$FA,,MATCH("8.1. SERVICE GÉNÉRAL",'ETPT Format DDG'!2:2,0)),'ETPT Format DDG'!$FA:$FA,"Magistrat SIEGE S")-
SUMIFS( INDEX( 'ETPT Format DDG'!$A:$FA,,MATCH("8.2. JIRS ÉCO-FI",'ETPT Format DDG'!2:2,0)),'ETPT Format DDG'!$FA:$FA,"Magistrat SIEGE S")-
SUMIFS( INDEX( 'ETPT Format DDG'!$A:$FA,,MATCH("8.3. JIRS CRIM-ORG",'ETPT Format DDG'!2:2,0)),'ETPT Format DDG'!$FA:$FA,"Magistrat SIEGE S")-
SUMIFS( INDEX( 'ETPT Format DDG'!$A:$FA,,MATCH("8.4. AUTRES SECTIONS SPÉCIALISÉES",'ETPT Format DDG'!2:2,0)),'ETPT Format DDG'!$FA:$FA,"Magistrat SIEGE S")-
SUMIFS( INDEX( 'ETPT Format DDG'!$A:$FA,,MATCH("9. TOTAL JAP",'ETPT Format DDG'!2:2,0)),'ETPT Format DDG'!$FA:$FA,"Magistrat SIEGE S")-
SUMIFS( INDEX( 'ETPT Format DDG'!$A:$FA,,MATCH("6.2. ACTIVITÉ PÉNALE",'ETPT Format DDG'!2:2,0)),'ETPT Format DDG'!$FA:$FA,"Magistrat SIEGE S")-
SUMIFS( INDEX( 'ETPT Format DDG'!$A:$FA,,MATCH("10. TOTAL JLD PÉNAL",'ETPT Format DDG'!2:2,0)),'ETPT Format DDG'!$FA:$FA,"Magistrat SIEGE S")-
SUMIFS( INDEX( 'ETPT Format DDG'!$A:$FA,,MATCH("7.5. COUR D'ASSISES HORS JIRS",'ETPT Format DDG'!2:2,0)),'ETPT Format DDG'!$FA:$FA,"Magistrat SIEGE S")-
SUMIFS( INDEX( 'ETPT Format DDG'!$A:$FA,,MATCH("7.51. COUR D'ASSISES JIRS",'ETPT Format DDG'!2:2,0)),'ETPT Format DDG'!$FA:$FA,"Magistrat SIEGE S")-
SUMIFS( INDEX( 'ETPT Format DDG'!$A:$FA,,MATCH("7.52. COUR CRIMINELLE",'ETPT Format DDG'!2:2,0)),'ETPT Format DDG'!$FA:$FA,"Magistrat SIEGE S")-
SUMIFS( INDEX( 'ETPT Format DDG'!$A:$FA,,MATCH("7.121. COLLÉGIALES JIRS ECO-FI",'ETPT Format DDG'!2:2,0)),'ETPT Format DDG'!$FA:$FA,"Magistrat SIEGE S")-
SUMIFS( INDEX( 'ETPT Format DDG'!$A:$FA,,MATCH("7.12. COLLÉGIALES JIRS CRIM-ORG",'ETPT Format DDG'!2:2,0)),'ETPT Format DDG'!$FA:$FA,"Magistrat SIEGE S")-
SUMIFS( INDEX( 'ETPT Format DDG'!$A:$FA,,MATCH("7.122. COLLÉGIALES AUTRES SECTIONS SPÉCIALISÉES",'ETPT Format DDG'!2:2,0)),'ETPT Format DDG'!$FA:$FA,"Magistrat SIEGE S")-
SUMIFS( INDEX( 'ETPT Format DDG'!$A:$FA,,MATCH("7.6. TRIBUNAL DE POLICE",'ETPT Format DDG'!2:2,0)),'ETPT Format DDG'!$FA:$FA,"Magistrat SIEGE S")-
SUMIFS( INDEX( 'ETPT Format DDG'!$A:$FA,,MATCH("7.7. OP CONTRAVENTIONNELLES",'ETPT Format DDG'!2:2,0)),'ETPT Format DDG'!$FA:$FA,"Magistrat SIEGE S")</f>
        <v>#N/A</v>
      </c>
      <c r="AY6" s="71" t="e">
        <f>SUMIFS( INDEX( 'ETPT Format DDG'!$A:$FA,,MATCH("Temps ventilés sur la période (affaires pénales)",'ETPT Format DDG'!2:2,0)),'ETPT Format DDG'!$FA:$FA,"Magistrat SIEGE NS")-
SUMIFS( INDEX( 'ETPT Format DDG'!$A:$FA,,MATCH("8.1. SERVICE GÉNÉRAL",'ETPT Format DDG'!2:2,0)),'ETPT Format DDG'!$FA:$FA,"Magistrat SIEGE NS")-
SUMIFS( INDEX( 'ETPT Format DDG'!$A:$FA,,MATCH("8.2. JIRS ÉCO-FI",'ETPT Format DDG'!2:2,0)),'ETPT Format DDG'!$FA:$FA,"Magistrat SIEGE NS")-
SUMIFS( INDEX( 'ETPT Format DDG'!$A:$FA,,MATCH("8.3. JIRS CRIM-ORG",'ETPT Format DDG'!2:2,0)),'ETPT Format DDG'!$FA:$FA,"Magistrat SIEGE NS")-
SUMIFS( INDEX( 'ETPT Format DDG'!$A:$FA,,MATCH("8.4. AUTRES SECTIONS SPÉCIALISÉES",'ETPT Format DDG'!2:2,0)),'ETPT Format DDG'!$FA:$FA,"Magistrat SIEGE NS")-
SUMIFS( INDEX( 'ETPT Format DDG'!$A:$FA,,MATCH("9. TOTAL JAP",'ETPT Format DDG'!2:2,0)),'ETPT Format DDG'!$FA:$FA,"Magistrat SIEGE NS")-
SUMIFS( INDEX( 'ETPT Format DDG'!$A:$FA,,MATCH("6.2. ACTIVITÉ PÉNALE",'ETPT Format DDG'!2:2,0)),'ETPT Format DDG'!$FA:$FA,"Magistrat SIEGE NS")-
SUMIFS( INDEX( 'ETPT Format DDG'!$A:$FA,,MATCH("10. TOTAL JLD PÉNAL",'ETPT Format DDG'!2:2,0)),'ETPT Format DDG'!$FA:$FA,"Magistrat SIEGE NS")-
SUMIFS( INDEX( 'ETPT Format DDG'!$A:$FA,,MATCH("7.5. COUR D'ASSISES HORS JIRS",'ETPT Format DDG'!2:2,0)),'ETPT Format DDG'!$FA:$FA,"Magistrat SIEGE NS")-
SUMIFS( INDEX( 'ETPT Format DDG'!$A:$FA,,MATCH("7.51. COUR D'ASSISES JIRS",'ETPT Format DDG'!2:2,0)),'ETPT Format DDG'!$FA:$FA,"Magistrat SIEGE NS")-
SUMIFS( INDEX( 'ETPT Format DDG'!$A:$FA,,MATCH("7.52. COUR CRIMINELLE",'ETPT Format DDG'!2:2,0)),'ETPT Format DDG'!$FA:$FA,"Magistrat SIEGE NS")-
SUMIFS( INDEX( 'ETPT Format DDG'!$A:$FA,,MATCH("7.121. COLLÉGIALES JIRS ECO-FI",'ETPT Format DDG'!2:2,0)),'ETPT Format DDG'!$FA:$FA,"Magistrat SIEGE NS")-
SUMIFS( INDEX( 'ETPT Format DDG'!$A:$FA,,MATCH("7.12. COLLÉGIALES JIRS CRIM-ORG",'ETPT Format DDG'!2:2,0)),'ETPT Format DDG'!$FA:$FA,"Magistrat SIEGE NS")-
SUMIFS( INDEX( 'ETPT Format DDG'!$A:$FA,,MATCH("7.122. COLLÉGIALES AUTRES SECTIONS SPÉCIALISÉES",'ETPT Format DDG'!2:2,0)),'ETPT Format DDG'!$FA:$FA,"Magistrat SIEGE NS")-
SUMIFS( INDEX( 'ETPT Format DDG'!$A:$FA,,MATCH("7.6. TRIBUNAL DE POLICE",'ETPT Format DDG'!2:2,0)),'ETPT Format DDG'!$FA:$FA,"Magistrat SIEGE NS")-
SUMIFS( INDEX( 'ETPT Format DDG'!$A:$FA,,MATCH("7.7. OP CONTRAVENTIONNELLES",'ETPT Format DDG'!2:2,0)),'ETPT Format DDG'!$FA:$FA,"Magistrat SIEGE NS")</f>
        <v>#N/A</v>
      </c>
      <c r="AZ6" s="46" t="e">
        <f t="shared" si="3"/>
        <v>#N/A</v>
      </c>
      <c r="BA6" s="52"/>
      <c r="BB6" s="52"/>
      <c r="BC6" s="52"/>
      <c r="BD6" s="52"/>
      <c r="BE6" s="52"/>
      <c r="BF6" s="52"/>
      <c r="BG6" s="52"/>
      <c r="BH6" s="70"/>
      <c r="BI6" s="52"/>
      <c r="BJ6" s="46">
        <f>SUM(BA6:BI6)</f>
        <v>0</v>
      </c>
    </row>
    <row r="7" spans="1:62" s="41" customFormat="1" ht="14.25" customHeight="1" x14ac:dyDescent="0.15">
      <c r="A7" s="51" t="s">
        <v>42</v>
      </c>
      <c r="B7" s="61"/>
      <c r="C7" s="61"/>
      <c r="D7" s="62" t="str">
        <f t="shared" si="5"/>
        <v/>
      </c>
      <c r="E7" s="61" t="s">
        <v>58</v>
      </c>
      <c r="F7" s="61" t="s">
        <v>57</v>
      </c>
      <c r="G7" s="69"/>
      <c r="H7" s="59">
        <f t="shared" si="0"/>
        <v>0</v>
      </c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46">
        <f t="shared" si="6"/>
        <v>0</v>
      </c>
      <c r="X7" s="68"/>
      <c r="Y7" s="56"/>
      <c r="Z7" s="56"/>
      <c r="AA7" s="56"/>
      <c r="AB7" s="46">
        <f t="shared" si="1"/>
        <v>0</v>
      </c>
      <c r="AC7" s="63"/>
      <c r="AD7" s="53" t="e">
        <f>SUMIFS( INDEX( 'ETPT Format DDG'!$A:$FA,,MATCH("11.5. CSM",'ETPT Format DDG'!2:2,0)),'ETPT Format DDG'!$C:$C,$D$5,'ETPT Format DDG'!H:H,"JCP")+
SUMIFS( INDEX( 'ETPT Format DDG'!$A:$FA,,MATCH("11.5. CSM",'ETPT Format DDG'!2:2,0)),'ETPT Format DDG'!$C:$C,$D$5,'ETPT Format DDG'!H:H,"VPCP")+
SUMIFS( INDEX( 'ETPT Format DDG'!$A:$FA,,MATCH("11.5. CSM",'ETPT Format DDG'!2:2,0)),'ETPT Format DDG'!$C:$C,$D$5,'ETPT Format DDG'!H:H,"1VPCP")</f>
        <v>#N/A</v>
      </c>
      <c r="AE7" s="53" t="e">
        <f>SUMIFS( INDEX( 'ETPT Format DDG'!$A:$FA,,MATCH("11.5. CSM",'ETPT Format DDG'!2:2,0)),'ETPT Format DDG'!$C:$C,$D$5,'ETPT Format DDG'!H:H,"JI")+
SUMIFS( INDEX( 'ETPT Format DDG'!$A:$FA,,MATCH("11.5. CSM",'ETPT Format DDG'!2:2,0)),'ETPT Format DDG'!$C:$C,$D$5,'ETPT Format DDG'!H:H,"VPI")+
SUMIFS( INDEX( 'ETPT Format DDG'!$A:$FA,,MATCH("11.5. CSM",'ETPT Format DDG'!2:2,0)),'ETPT Format DDG'!$C:$C,$D$5,'ETPT Format DDG'!H:H,"1VPI")</f>
        <v>#N/A</v>
      </c>
      <c r="AF7" s="63"/>
      <c r="AG7" s="63"/>
      <c r="AH7" s="63"/>
      <c r="AI7" s="53" t="e">
        <f>SUMIFS( INDEX( 'ETPT Format DDG'!$A:$FA,,MATCH("11.5. CSM",'ETPT Format DDG'!2:2,0)),'ETPT Format DDG'!$C:$C,$D$5,'ETPT Format DDG'!H:H,"JAP")+
SUMIFS( INDEX( 'ETPT Format DDG'!$A:$FA,,MATCH("11.5. CSM",'ETPT Format DDG'!2:2,0)),'ETPT Format DDG'!$C:$C,$D$5,'ETPT Format DDG'!H:H,"VPAP")+
SUMIFS( INDEX( 'ETPT Format DDG'!$A:$FA,,MATCH("11.5. CSM",'ETPT Format DDG'!2:2,0)),'ETPT Format DDG'!$C:$C,$D$5,'ETPT Format DDG'!H:H,"1VPAP")</f>
        <v>#N/A</v>
      </c>
      <c r="AJ7" s="53" t="e">
        <f>SUMIFS( INDEX( 'ETPT Format DDG'!$A:$FA,,MATCH("11.5. CSM",'ETPT Format DDG'!2:2,0)),'ETPT Format DDG'!$C:$C,$D$5,'ETPT Format DDG'!H:H,"JE")+
SUMIFS( INDEX( 'ETPT Format DDG'!$A:$FA,,MATCH("11.5. CSM",'ETPT Format DDG'!2:2,0)),'ETPT Format DDG'!$C:$C,$D$5,'ETPT Format DDG'!H:H,"VPE")+
SUMIFS( INDEX( 'ETPT Format DDG'!$A:$FA,,MATCH("11.5. CSM",'ETPT Format DDG'!2:2,0)),'ETPT Format DDG'!$C:$C,$D$5,'ETPT Format DDG'!H:H,"1VPE")</f>
        <v>#N/A</v>
      </c>
      <c r="AK7" s="53" t="e">
        <f>SUMIFS( INDEX( 'ETPT Format DDG'!$A:$FA,,MATCH("11.5. CSM",'ETPT Format DDG'!2:2,0)),'ETPT Format DDG'!$C:$C,$D$5,'ETPT Format DDG'!H:H,"VPLD")+
SUMIFS( INDEX( 'ETPT Format DDG'!$A:$FA,,MATCH("11.5. CSM",'ETPT Format DDG'!2:2,0)),'ETPT Format DDG'!$C:$C,$D$5,'ETPT Format DDG'!H:H,"1VPLD")</f>
        <v>#N/A</v>
      </c>
      <c r="AL7" s="46" t="e">
        <f t="shared" si="2"/>
        <v>#N/A</v>
      </c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53" t="e">
        <f>SUMIFS( INDEX( 'ETPT Format DDG'!$A:$FA,,MATCH("11.5. CSM",'ETPT Format DDG'!2:2,0)),'ETPT Format DDG'!$C:$C,$D$5,'ETPT Format DDG'!$FA:$FA,"Magistrat SIEGE NS")</f>
        <v>#N/A</v>
      </c>
      <c r="AZ7" s="46" t="e">
        <f t="shared" si="3"/>
        <v>#N/A</v>
      </c>
      <c r="BA7" s="52"/>
      <c r="BB7" s="52"/>
      <c r="BC7" s="52"/>
      <c r="BD7" s="52"/>
      <c r="BE7" s="52"/>
      <c r="BF7" s="52"/>
      <c r="BG7" s="52"/>
      <c r="BH7" s="52"/>
      <c r="BI7" s="52"/>
      <c r="BJ7" s="46">
        <f t="shared" si="4"/>
        <v>0</v>
      </c>
    </row>
    <row r="8" spans="1:62" s="41" customFormat="1" ht="14.25" customHeight="1" x14ac:dyDescent="0.15">
      <c r="A8" s="51" t="s">
        <v>42</v>
      </c>
      <c r="B8" s="61"/>
      <c r="C8" s="61"/>
      <c r="D8" s="62" t="str">
        <f t="shared" si="5"/>
        <v/>
      </c>
      <c r="E8" s="61" t="s">
        <v>56</v>
      </c>
      <c r="F8" s="61" t="s">
        <v>55</v>
      </c>
      <c r="G8" s="66" t="e">
        <f>SUMIFS( INDEX( 'ETPT Format DDG'!$A:$FA,,MATCH("11.51. ACCUEIL DU JUSTICIABLE (DONT SAUJ)",'ETPT Format DDG'!2:2,0)),'ETPT Format DDG'!$C:$C,$D$5,'ETPT Format DDG'!$FA:$FA,"Fonctionnaire CTECH")</f>
        <v>#N/A</v>
      </c>
      <c r="H8" s="59" t="e">
        <f t="shared" si="0"/>
        <v>#N/A</v>
      </c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58" t="e">
        <f>SUMIFS( INDEX( 'ETPT Format DDG'!$A:$FA,,MATCH("11.51. ACCUEIL DU JUSTICIABLE (DONT SAUJ)",'ETPT Format DDG'!2:2,0)),'ETPT Format DDG'!$C:$C,$D$5,'ETPT Format DDG'!$FA:$FA,"Fonctionnaire A-B-CBUR")</f>
        <v>#N/A</v>
      </c>
      <c r="W8" s="46" t="e">
        <f t="shared" si="6"/>
        <v>#N/A</v>
      </c>
      <c r="X8" s="65" t="e">
        <f>SUMIFS( INDEX( 'ETPT Format DDG'!$A:$FA,,MATCH("11.51. ACCUEIL DU JUSTICIABLE (DONT SAUJ)",'ETPT Format DDG'!2:2,0)),'ETPT Format DDG'!$C:$C,$D$5,'ETPT Format DDG'!$FA:$FA,"CONT A JP Autour du Juge")</f>
        <v>#N/A</v>
      </c>
      <c r="Y8" s="65" t="e">
        <f>SUMIFS( INDEX( 'ETPT Format DDG'!$A:$FA,,MATCH("11.51. ACCUEIL DU JUSTICIABLE (DONT SAUJ)",'ETPT Format DDG'!2:2,0)),'ETPT Format DDG'!$C:$C,$D$5,'ETPT Format DDG'!$FA:$FA,"JURISTE AS Parquet")</f>
        <v>#N/A</v>
      </c>
      <c r="Z8" s="65" t="e">
        <f>SUMIFS( INDEX( 'ETPT Format DDG'!$A:$FA,,MATCH("11.51. ACCUEIL DU JUSTICIABLE (DONT SAUJ)",'ETPT Format DDG'!2:2,0)),'ETPT Format DDG'!$C:$C,$D$5,'ETPT Format DDG'!$FA:$FA,"JURISTE AS Pôle social")</f>
        <v>#N/A</v>
      </c>
      <c r="AA8" s="65" t="e">
        <f>SUMIFS( INDEX( 'ETPT Format DDG'!$A:$FA,,MATCH("11.51. ACCUEIL DU JUSTICIABLE (DONT SAUJ)",'ETPT Format DDG'!2:2,0)),'ETPT Format DDG'!$C:$C,$D$5,'ETPT Format DDG'!$FA:$FA,"JURISTE AS siège Autres")</f>
        <v>#N/A</v>
      </c>
      <c r="AB8" s="46" t="e">
        <f t="shared" si="1"/>
        <v>#N/A</v>
      </c>
      <c r="AC8" s="63"/>
      <c r="AD8" s="63"/>
      <c r="AE8" s="63"/>
      <c r="AF8" s="63"/>
      <c r="AG8" s="63"/>
      <c r="AH8" s="63"/>
      <c r="AI8" s="63"/>
      <c r="AJ8" s="63"/>
      <c r="AK8" s="63"/>
      <c r="AL8" s="46">
        <f t="shared" si="2"/>
        <v>0</v>
      </c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46">
        <f t="shared" si="3"/>
        <v>0</v>
      </c>
      <c r="BA8" s="52"/>
      <c r="BB8" s="52"/>
      <c r="BC8" s="52"/>
      <c r="BD8" s="52"/>
      <c r="BE8" s="52"/>
      <c r="BF8" s="52"/>
      <c r="BG8" s="52"/>
      <c r="BH8" s="52"/>
      <c r="BI8" s="52"/>
      <c r="BJ8" s="46">
        <f t="shared" si="4"/>
        <v>0</v>
      </c>
    </row>
    <row r="9" spans="1:62" s="41" customFormat="1" ht="14.25" customHeight="1" x14ac:dyDescent="0.15">
      <c r="A9" s="51" t="s">
        <v>42</v>
      </c>
      <c r="B9" s="61"/>
      <c r="C9" s="61"/>
      <c r="D9" s="62" t="str">
        <f t="shared" si="5"/>
        <v/>
      </c>
      <c r="E9" s="61" t="s">
        <v>54</v>
      </c>
      <c r="F9" s="61" t="s">
        <v>53</v>
      </c>
      <c r="G9" s="66" t="e">
        <f>SUMIFS( INDEX( 'ETPT Format DDG'!$A:$FA,,MATCH("11.1. SOUTIEN (HORS FORMATIONS SUIVIES)",'ETPT Format DDG'!2:2,0)),'ETPT Format DDG'!$C:$C,$D$5,'ETPT Format DDG'!$FA:$FA,"Fonctionnaire CTECH")+
SUMIFS( INDEX( 'ETPT Format DDG'!$A:$FA,,MATCH("11.2. FORMATIONS SUIVIES",'ETPT Format DDG'!2:2,0)),'ETPT Format DDG'!$C:$C,$D$5,'ETPT Format DDG'!$FA:$FA,"Fonctionnaire CTECH")+
SUMIFS( INDEX( 'ETPT Format DDG'!$A:$FA,,MATCH("11.6. AUTRES ACTIVITÉS NON JURIDICTIONNELLES",'ETPT Format DDG'!2:2,0)),'ETPT Format DDG'!$C:$C,$D$5,'ETPT Format DDG'!$FA:$FA,"Fonctionnaire CTECH")</f>
        <v>#N/A</v>
      </c>
      <c r="H9" s="59" t="e">
        <f t="shared" si="0"/>
        <v>#N/A</v>
      </c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58" t="e">
        <f>SUMIFS( INDEX( 'ETPT Format DDG'!$A:$FA,,MATCH("11.1. SOUTIEN (HORS FORMATIONS SUIVIES)",'ETPT Format DDG'!2:2,0)),'ETPT Format DDG'!$C:$C,$D$5,'ETPT Format DDG'!$FA:$FA,"Fonctionnaire A-B-CBUR")+
SUMIFS( INDEX( 'ETPT Format DDG'!$A:$FA,,MATCH("11.2. FORMATIONS SUIVIES",'ETPT Format DDG'!2:2,0)),'ETPT Format DDG'!$C:$C,$D$5,'ETPT Format DDG'!$FA:$FA,"Fonctionnaire A-B-CBUR")+
SUMIFS( INDEX( 'ETPT Format DDG'!$A:$FA,,MATCH("11.6. AUTRES ACTIVITÉS NON JURIDICTIONNELLES",'ETPT Format DDG'!2:2,0)),'ETPT Format DDG'!$C:$C,$D$5,'ETPT Format DDG'!$FA:$FA,"Fonctionnaire A-B-CBUR")+
SUMIFS( INDEX( 'ETPT Format DDG'!$A:$FA,,MATCH("Temps ventilé sur la période (y.c. indisponibilité)",'ETPT Format DDG'!2:2,0)),'ETPT Format DDG'!$C:$C,$D$5,'ETPT Format DDG'!$FA:$FA,"CONT A JP Greffe")</f>
        <v>#N/A</v>
      </c>
      <c r="W9" s="46" t="e">
        <f t="shared" si="6"/>
        <v>#N/A</v>
      </c>
      <c r="X9" s="65" t="e">
        <f>SUMIFS( INDEX( 'ETPT Format DDG'!$A:$FA,,MATCH("11.1. SOUTIEN (HORS FORMATIONS SUIVIES)",'ETPT Format DDG'!2:2,0)),'ETPT Format DDG'!$C:$C,$D$5,'ETPT Format DDG'!$FA:$FA,"CONT A JP Autour du Juge")+
SUMIFS( INDEX( 'ETPT Format DDG'!$A:$FA,,MATCH("11.2. FORMATIONS SUIVIES",'ETPT Format DDG'!2:2,0)),'ETPT Format DDG'!$C:$C,$D$5,'ETPT Format DDG'!$FA:$FA,"CONT A JP Autour du Juge")+
SUMIFS( INDEX( 'ETPT Format DDG'!$A:$FA,,MATCH("11.6. AUTRES ACTIVITÉS NON JURIDICTIONNELLES",'ETPT Format DDG'!2:2,0)),'ETPT Format DDG'!$C:$C,$D$5,'ETPT Format DDG'!$FA:$FA,"CONT A JP Autour du Juge")</f>
        <v>#N/A</v>
      </c>
      <c r="Y9" s="65" t="e">
        <f>SUMIFS( INDEX( 'ETPT Format DDG'!$A:$FA,,MATCH("11.1. SOUTIEN (HORS FORMATIONS SUIVIES)",'ETPT Format DDG'!2:2,0)),'ETPT Format DDG'!$C:$C,$D$5,'ETPT Format DDG'!$FA:$FA,"JURISTE AS Parquet")+
SUMIFS( INDEX( 'ETPT Format DDG'!$A:$FA,,MATCH("11.2. FORMATIONS SUIVIES",'ETPT Format DDG'!2:2,0)),'ETPT Format DDG'!$C:$C,$D$5,'ETPT Format DDG'!$FA:$FA,"JURISTE AS Parquet")+
SUMIFS( INDEX( 'ETPT Format DDG'!$A:$FA,,MATCH("11.6. AUTRES ACTIVITÉS NON JURIDICTIONNELLES",'ETPT Format DDG'!2:2,0)),'ETPT Format DDG'!$C:$C,$D$5,'ETPT Format DDG'!$FA:$FA,"JURISTE AS Parquet")</f>
        <v>#N/A</v>
      </c>
      <c r="Z9" s="65" t="e">
        <f>SUMIFS( INDEX( 'ETPT Format DDG'!$A:$FA,,MATCH("11.1. SOUTIEN (HORS FORMATIONS SUIVIES)",'ETPT Format DDG'!2:2,0)),'ETPT Format DDG'!$C:$C,$D$5,'ETPT Format DDG'!$FA:$FA,"JURISTE AS Pôle social")+
SUMIFS( INDEX( 'ETPT Format DDG'!$A:$FA,,MATCH("11.2. FORMATIONS SUIVIES",'ETPT Format DDG'!2:2,0)),'ETPT Format DDG'!$C:$C,$D$5,'ETPT Format DDG'!$FA:$FA,"JURISTE AS Pôle social")+
SUMIFS( INDEX( 'ETPT Format DDG'!$A:$FA,,MATCH("11.6. AUTRES ACTIVITÉS NON JURIDICTIONNELLES",'ETPT Format DDG'!2:2,0)),'ETPT Format DDG'!$C:$C,$D$5,'ETPT Format DDG'!$FA:$FA,"JURISTE AS Pôle social")</f>
        <v>#N/A</v>
      </c>
      <c r="AA9" s="65" t="e">
        <f>SUMIFS( INDEX( 'ETPT Format DDG'!$A:$FA,,MATCH("11.1. SOUTIEN (HORS FORMATIONS SUIVIES)",'ETPT Format DDG'!2:2,0)),'ETPT Format DDG'!$C:$C,$D$5,'ETPT Format DDG'!$FA:$FA,"JURISTE AS siège Autres")+
SUMIFS( INDEX( 'ETPT Format DDG'!$A:$FA,,MATCH("11.2. FORMATIONS SUIVIES",'ETPT Format DDG'!2:2,0)),'ETPT Format DDG'!$C:$C,$D$5,'ETPT Format DDG'!$FA:$FA,"JURISTE AS siège Autres")+
SUMIFS( INDEX( 'ETPT Format DDG'!$A:$FA,,MATCH("11.6. AUTRES ACTIVITÉS NON JURIDICTIONNELLES",'ETPT Format DDG'!2:2,0)),'ETPT Format DDG'!$C:$C,$D$5,'ETPT Format DDG'!$FA:$FA,"JURISTE AS siège Autres")</f>
        <v>#N/A</v>
      </c>
      <c r="AB9" s="46" t="e">
        <f t="shared" si="1"/>
        <v>#N/A</v>
      </c>
      <c r="AC9" s="63"/>
      <c r="AD9" s="53" t="e">
        <f>SUMIFS( INDEX( 'ETPT Format DDG'!$A:$FA,,MATCH("11.1. SOUTIEN (HORS FORMATIONS SUIVIES)",'ETPT Format DDG'!2:2,0)),'ETPT Format DDG'!$C:$C,$D$5,'ETPT Format DDG'!$H:$H,"JCP")+
SUMIFS( INDEX( 'ETPT Format DDG'!$A:$FA,,MATCH("11.1. SOUTIEN (HORS FORMATIONS SUIVIES)",'ETPT Format DDG'!2:2,0)),'ETPT Format DDG'!$C:$C,$D$5,'ETPT Format DDG'!$H:$H,"VPCP")+
SUMIFS( INDEX( 'ETPT Format DDG'!$A:$FA,,MATCH("11.1. SOUTIEN (HORS FORMATIONS SUIVIES)",'ETPT Format DDG'!2:2,0)),'ETPT Format DDG'!$C:$C,$D$5,'ETPT Format DDG'!$H:$H,"1VPCP")+
SUMIFS( INDEX( 'ETPT Format DDG'!$A:$FA,,MATCH("11.2. FORMATIONS SUIVIES",'ETPT Format DDG'!2:2,0)),'ETPT Format DDG'!$C:$C,$D$5,'ETPT Format DDG'!$H:$H,"JCP")+
SUMIFS( INDEX( 'ETPT Format DDG'!$A:$FA,,MATCH("11.2. FORMATIONS SUIVIES",'ETPT Format DDG'!2:2,0)),'ETPT Format DDG'!$C:$C,$D$5,'ETPT Format DDG'!$H:$H,"VPCP")+
SUMIFS( INDEX( 'ETPT Format DDG'!$A:$FA,,MATCH("11.2. FORMATIONS SUIVIES",'ETPT Format DDG'!2:2,0)),'ETPT Format DDG'!$C:$C,$D$5,'ETPT Format DDG'!$H:$H,"1VPCP")+
SUMIFS( INDEX( 'ETPT Format DDG'!$A:$FA,,MATCH("11.6. AUTRES ACTIVITÉS NON JURIDICTIONNELLES",'ETPT Format DDG'!2:2,0)),'ETPT Format DDG'!$C:$C,$D$5,'ETPT Format DDG'!$H:$H,"JCP")+
SUMIFS( INDEX( 'ETPT Format DDG'!$A:$FA,,MATCH("11.6. AUTRES ACTIVITÉS NON JURIDICTIONNELLES",'ETPT Format DDG'!2:2,0)),'ETPT Format DDG'!$C:$C,$D$5,'ETPT Format DDG'!$H:$H,"VPCP")+
SUMIFS( INDEX( 'ETPT Format DDG'!$A:$FA,,MATCH("11.6. AUTRES ACTIVITÉS NON JURIDICTIONNELLES",'ETPT Format DDG'!2:2,0)),'ETPT Format DDG'!$C:$C,$D$5,'ETPT Format DDG'!$H:$H,"1VPCP")</f>
        <v>#N/A</v>
      </c>
      <c r="AE9" s="53" t="e">
        <f>SUMIFS( INDEX( 'ETPT Format DDG'!$A:$FA,,MATCH("11.1. SOUTIEN (HORS FORMATIONS SUIVIES)",'ETPT Format DDG'!2:2,0)),'ETPT Format DDG'!$C:$C,$D$5,'ETPT Format DDG'!$H:$H,"JI")+
SUMIFS( INDEX( 'ETPT Format DDG'!$A:$FA,,MATCH("11.1. SOUTIEN (HORS FORMATIONS SUIVIES)",'ETPT Format DDG'!2:2,0)),'ETPT Format DDG'!$C:$C,$D$5,'ETPT Format DDG'!$H:$H,"VPI")+
SUMIFS( INDEX( 'ETPT Format DDG'!$A:$FA,,MATCH("11.1. SOUTIEN (HORS FORMATIONS SUIVIES)",'ETPT Format DDG'!2:2,0)),'ETPT Format DDG'!$C:$C,$D$5,'ETPT Format DDG'!$H:$H,"1VPI")+
SUMIFS( INDEX( 'ETPT Format DDG'!$A:$FA,,MATCH("11.2. FORMATIONS SUIVIES",'ETPT Format DDG'!2:2,0)),'ETPT Format DDG'!$C:$C,$D$5,'ETPT Format DDG'!$H:$H,"JI")+
SUMIFS( INDEX( 'ETPT Format DDG'!$A:$FA,,MATCH("11.2. FORMATIONS SUIVIES",'ETPT Format DDG'!2:2,0)),'ETPT Format DDG'!$C:$C,$D$5,'ETPT Format DDG'!$H:$H,"VPI")+
SUMIFS( INDEX( 'ETPT Format DDG'!$A:$FA,,MATCH("11.2. FORMATIONS SUIVIES",'ETPT Format DDG'!2:2,0)),'ETPT Format DDG'!$C:$C,$D$5,'ETPT Format DDG'!$H:$H,"1VPI")+
SUMIFS( INDEX( 'ETPT Format DDG'!$A:$FA,,MATCH("11.6. AUTRES ACTIVITÉS NON JURIDICTIONNELLES",'ETPT Format DDG'!2:2,0)),'ETPT Format DDG'!$C:$C,$D$5,'ETPT Format DDG'!$H:$H,"JI")+
SUMIFS( INDEX( 'ETPT Format DDG'!$A:$FA,,MATCH("11.6. AUTRES ACTIVITÉS NON JURIDICTIONNELLES",'ETPT Format DDG'!2:2,0)),'ETPT Format DDG'!$C:$C,$D$5,'ETPT Format DDG'!$H:$H,"VPI")+
SUMIFS( INDEX( 'ETPT Format DDG'!$A:$FA,,MATCH("11.6. AUTRES ACTIVITÉS NON JURIDICTIONNELLES",'ETPT Format DDG'!2:2,0)),'ETPT Format DDG'!$C:$C,$D$5,'ETPT Format DDG'!$H:$H,"1VPI")</f>
        <v>#N/A</v>
      </c>
      <c r="AF9" s="63"/>
      <c r="AG9" s="63"/>
      <c r="AH9" s="63"/>
      <c r="AI9" s="53" t="e">
        <f>SUMIFS( INDEX( 'ETPT Format DDG'!$A:$FA,,MATCH("11.1. SOUTIEN (HORS FORMATIONS SUIVIES)",'ETPT Format DDG'!2:2,0)),'ETPT Format DDG'!$C:$C,$D$5,'ETPT Format DDG'!H:H,"JAP")+
SUMIFS( INDEX( 'ETPT Format DDG'!$A:$FA,,MATCH("11.1. SOUTIEN (HORS FORMATIONS SUIVIES)",'ETPT Format DDG'!2:2,0)),'ETPT Format DDG'!$C:$C,$D$5,'ETPT Format DDG'!H:H,"VPAP")+
SUMIFS( INDEX( 'ETPT Format DDG'!$A:$FA,,MATCH("11.1. SOUTIEN (HORS FORMATIONS SUIVIES)",'ETPT Format DDG'!2:2,0)),'ETPT Format DDG'!$C:$C,$D$5,'ETPT Format DDG'!H:H,"1VPAP")+
SUMIFS( INDEX( 'ETPT Format DDG'!$A:$FA,,MATCH("11.2. FORMATIONS SUIVIES",'ETPT Format DDG'!2:2,0)),'ETPT Format DDG'!$C:$C,$D$5,'ETPT Format DDG'!H:H,"JAP")+
SUMIFS( INDEX( 'ETPT Format DDG'!$A:$FA,,MATCH("11.2. FORMATIONS SUIVIES",'ETPT Format DDG'!2:2,0)),'ETPT Format DDG'!$C:$C,$D$5,'ETPT Format DDG'!H:H,"VPAP")+
SUMIFS( INDEX( 'ETPT Format DDG'!$A:$FA,,MATCH("11.2. FORMATIONS SUIVIES",'ETPT Format DDG'!2:2,0)),'ETPT Format DDG'!$C:$C,$D$5,'ETPT Format DDG'!H:H,"1VPAP")+
SUMIFS( INDEX( 'ETPT Format DDG'!$A:$FA,,MATCH("11.6. AUTRES ACTIVITÉS NON JURIDICTIONNELLES",'ETPT Format DDG'!2:2,0)),'ETPT Format DDG'!$C:$C,$D$5,'ETPT Format DDG'!H:H,"JAP")+
SUMIFS( INDEX( 'ETPT Format DDG'!$A:$FA,,MATCH("11.6. AUTRES ACTIVITÉS NON JURIDICTIONNELLES",'ETPT Format DDG'!2:2,0)),'ETPT Format DDG'!$C:$C,$D$5,'ETPT Format DDG'!H:H,"VPAP")+
SUMIFS( INDEX( 'ETPT Format DDG'!$A:$FA,,MATCH("11.6. AUTRES ACTIVITÉS NON JURIDICTIONNELLES",'ETPT Format DDG'!2:2,0)),'ETPT Format DDG'!$C:$C,$D$5,'ETPT Format DDG'!H:H,"1VPAP")</f>
        <v>#N/A</v>
      </c>
      <c r="AJ9" s="53" t="e">
        <f>SUMIFS( INDEX( 'ETPT Format DDG'!$A:$FA,,MATCH("11.1. SOUTIEN (HORS FORMATIONS SUIVIES)",'ETPT Format DDG'!2:2,0)),'ETPT Format DDG'!$C:$C,$D$5,'ETPT Format DDG'!H:H,"JE")+
SUMIFS( INDEX( 'ETPT Format DDG'!$A:$FA,,MATCH("11.1. SOUTIEN (HORS FORMATIONS SUIVIES)",'ETPT Format DDG'!2:2,0)),'ETPT Format DDG'!$C:$C,$D$5,'ETPT Format DDG'!H:H,"VPE")+
SUMIFS( INDEX( 'ETPT Format DDG'!$A:$FA,,MATCH("11.1. SOUTIEN (HORS FORMATIONS SUIVIES)",'ETPT Format DDG'!2:2,0)),'ETPT Format DDG'!$C:$C,$D$5,'ETPT Format DDG'!H:H,"1VPE")+
SUMIFS( INDEX( 'ETPT Format DDG'!$A:$FA,,MATCH("11.2. FORMATIONS SUIVIES",'ETPT Format DDG'!2:2,0)),'ETPT Format DDG'!$C:$C,$D$5,'ETPT Format DDG'!H:H,"JE")+
SUMIFS( INDEX( 'ETPT Format DDG'!$A:$FA,,MATCH("11.2. FORMATIONS SUIVIES",'ETPT Format DDG'!2:2,0)),'ETPT Format DDG'!$C:$C,$D$5,'ETPT Format DDG'!H:H,"VPE")+
SUMIFS( INDEX( 'ETPT Format DDG'!$A:$FA,,MATCH("11.2. FORMATIONS SUIVIES",'ETPT Format DDG'!2:2,0)),'ETPT Format DDG'!$C:$C,$D$5,'ETPT Format DDG'!H:H,"1VPE")+
SUMIFS( INDEX( 'ETPT Format DDG'!$A:$FA,,MATCH("11.6. AUTRES ACTIVITÉS NON JURIDICTIONNELLES",'ETPT Format DDG'!2:2,0)),'ETPT Format DDG'!$C:$C,$D$5,'ETPT Format DDG'!H:H,"JE")+
SUMIFS( INDEX( 'ETPT Format DDG'!$A:$FA,,MATCH("11.6. AUTRES ACTIVITÉS NON JURIDICTIONNELLES",'ETPT Format DDG'!2:2,0)),'ETPT Format DDG'!$C:$C,$D$5,'ETPT Format DDG'!H:H,"VPE")+
SUMIFS( INDEX( 'ETPT Format DDG'!$A:$FA,,MATCH("11.6. AUTRES ACTIVITÉS NON JURIDICTIONNELLES",'ETPT Format DDG'!2:2,0)),'ETPT Format DDG'!$C:$C,$D$5,'ETPT Format DDG'!H:H,"1VPE")</f>
        <v>#N/A</v>
      </c>
      <c r="AK9" s="53" t="e">
        <f>SUMIFS( INDEX( 'ETPT Format DDG'!$A:$FA,,MATCH("11.1. SOUTIEN (HORS FORMATIONS SUIVIES)",'ETPT Format DDG'!2:2,0)),'ETPT Format DDG'!$C:$C,$D$5,'ETPT Format DDG'!H:H,"VPLD")+
SUMIFS( INDEX( 'ETPT Format DDG'!$A:$FA,,MATCH("11.1. SOUTIEN (HORS FORMATIONS SUIVIES)",'ETPT Format DDG'!2:2,0)),'ETPT Format DDG'!$C:$C,$D$5,'ETPT Format DDG'!H:H,"1VPLD")+
SUMIFS( INDEX( 'ETPT Format DDG'!$A:$FA,,MATCH("11.2. FORMATIONS SUIVIES",'ETPT Format DDG'!2:2,0)),'ETPT Format DDG'!$C:$C,$D$5,'ETPT Format DDG'!H:H,"VPLD")+
SUMIFS( INDEX( 'ETPT Format DDG'!$A:$FA,,MATCH("11.2. FORMATIONS SUIVIES",'ETPT Format DDG'!2:2,0)),'ETPT Format DDG'!$C:$C,$D$5,'ETPT Format DDG'!H:H,"1VPLD")+
SUMIFS( INDEX( 'ETPT Format DDG'!$A:$FA,,MATCH("11.6. AUTRES ACTIVITÉS NON JURIDICTIONNELLES",'ETPT Format DDG'!2:2,0)),'ETPT Format DDG'!$C:$C,$D$5,'ETPT Format DDG'!H:H,"VPLD")+
SUMIFS( INDEX( 'ETPT Format DDG'!$A:$FA,,MATCH("11.6. AUTRES ACTIVITÉS NON JURIDICTIONNELLES",'ETPT Format DDG'!2:2,0)),'ETPT Format DDG'!$C:$C,$D$5,'ETPT Format DDG'!H:H,"1VPLD")</f>
        <v>#N/A</v>
      </c>
      <c r="AL9" s="46" t="e">
        <f t="shared" si="2"/>
        <v>#N/A</v>
      </c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53" t="e">
        <f>SUMIFS( INDEX( 'ETPT Format DDG'!$A:$FA,,MATCH("11.1. SOUTIEN (HORS FORMATIONS SUIVIES)",'ETPT Format DDG'!2:2,0)),'ETPT Format DDG'!$C:$C,$D$5,'ETPT Format DDG'!$FA:$FA,"Magistrat SIEGE NS")+
SUMIFS( INDEX( 'ETPT Format DDG'!$A:$FA,,MATCH("11.2. FORMATIONS SUIVIES",'ETPT Format DDG'!2:2,0)),'ETPT Format DDG'!$C:$C,$D$5,'ETPT Format DDG'!$FA:$FA,"Magistrat SIEGE NS")+
SUMIFS( INDEX( 'ETPT Format DDG'!$A:$FA,,MATCH("11.6. AUTRES ACTIVITÉS NON JURIDICTIONNELLES",'ETPT Format DDG'!2:2,0)),'ETPT Format DDG'!$C:$C,$D$5,'ETPT Format DDG'!$FA:$FA,"Magistrat SIEGE NS")</f>
        <v>#N/A</v>
      </c>
      <c r="AZ9" s="46" t="e">
        <f t="shared" si="3"/>
        <v>#N/A</v>
      </c>
      <c r="BA9" s="52"/>
      <c r="BB9" s="52"/>
      <c r="BC9" s="52"/>
      <c r="BD9" s="52"/>
      <c r="BE9" s="52"/>
      <c r="BF9" s="52"/>
      <c r="BG9" s="52"/>
      <c r="BH9" s="52"/>
      <c r="BI9" s="52"/>
      <c r="BJ9" s="46">
        <f t="shared" si="4"/>
        <v>0</v>
      </c>
    </row>
    <row r="10" spans="1:62" s="41" customFormat="1" ht="14.25" customHeight="1" x14ac:dyDescent="0.15">
      <c r="A10" s="51" t="s">
        <v>42</v>
      </c>
      <c r="B10" s="61"/>
      <c r="C10" s="61"/>
      <c r="D10" s="62" t="str">
        <f t="shared" si="5"/>
        <v/>
      </c>
      <c r="E10" s="61" t="s">
        <v>52</v>
      </c>
      <c r="F10" s="61" t="s">
        <v>51</v>
      </c>
      <c r="G10" s="66" t="e">
        <f>SUMIFS( INDEX( 'ETPT Format DDG'!$A:$FA,,MATCH("11.3. FORMATIONS DISPENSÉES",'ETPT Format DDG'!2:2,0)),'ETPT Format DDG'!$C:$C,$D$5,'ETPT Format DDG'!$FA:$FA,"Fonctionnaire CTECH")</f>
        <v>#N/A</v>
      </c>
      <c r="H10" s="59" t="e">
        <f t="shared" si="0"/>
        <v>#N/A</v>
      </c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58" t="e">
        <f>SUMIFS( INDEX( 'ETPT Format DDG'!$A:$FA,,MATCH("11.3. FORMATIONS DISPENSÉES",'ETPT Format DDG'!2:2,0)),'ETPT Format DDG'!$C:$C,$D$5,'ETPT Format DDG'!$FA:$FA,"Fonctionnaire A-B-CBUR")</f>
        <v>#N/A</v>
      </c>
      <c r="W10" s="46" t="e">
        <f t="shared" si="6"/>
        <v>#N/A</v>
      </c>
      <c r="X10" s="65" t="e">
        <f>SUMIFS( INDEX( 'ETPT Format DDG'!$A:$FA,,MATCH("11.3. FORMATIONS DISPENSÉES",'ETPT Format DDG'!2:2,0)),'ETPT Format DDG'!$C:$C,$D$5,'ETPT Format DDG'!$FA:$FA,"CONT A JP Autour du Juge")</f>
        <v>#N/A</v>
      </c>
      <c r="Y10" s="65" t="e">
        <f>SUMIFS( INDEX( 'ETPT Format DDG'!$A:$FA,,MATCH("11.3. FORMATIONS DISPENSÉES",'ETPT Format DDG'!2:2,0)),'ETPT Format DDG'!$C:$C,$D$5,'ETPT Format DDG'!$FA:$FA,"JURISTE AS Parquet")</f>
        <v>#N/A</v>
      </c>
      <c r="Z10" s="65" t="e">
        <f>SUMIFS( INDEX( 'ETPT Format DDG'!$A:$FA,,MATCH("11.3. FORMATIONS DISPENSÉES",'ETPT Format DDG'!2:2,0)),'ETPT Format DDG'!$C:$C,$D$5,'ETPT Format DDG'!$FA:$FA,"JURISTE AS Pôle social")</f>
        <v>#N/A</v>
      </c>
      <c r="AA10" s="65" t="e">
        <f>SUMIFS( INDEX( 'ETPT Format DDG'!$A:$FA,,MATCH("11.3. FORMATIONS DISPENSÉES",'ETPT Format DDG'!2:2,0)),'ETPT Format DDG'!$C:$C,$D$5,'ETPT Format DDG'!$FA:$FA,"JURISTE AS siège Autres")</f>
        <v>#N/A</v>
      </c>
      <c r="AB10" s="46" t="e">
        <f t="shared" si="1"/>
        <v>#N/A</v>
      </c>
      <c r="AC10" s="63"/>
      <c r="AD10" s="53" t="e">
        <f>SUMIFS( INDEX( 'ETPT Format DDG'!$A:$FA,,MATCH("11.3. FORMATIONS DISPENSÉES",'ETPT Format DDG'!2:2,0)),'ETPT Format DDG'!$C:$C,$D$5,'ETPT Format DDG'!$H:$H,"JCP")+
SUMIFS( INDEX( 'ETPT Format DDG'!$A:$FA,,MATCH("11.3. FORMATIONS DISPENSÉES",'ETPT Format DDG'!2:2,0)),'ETPT Format DDG'!$C:$C,$D$5,'ETPT Format DDG'!$H:$H,"VPCP")+
SUMIFS( INDEX( 'ETPT Format DDG'!$A:$FA,,MATCH("11.3. FORMATIONS DISPENSÉES",'ETPT Format DDG'!2:2,0)),'ETPT Format DDG'!$C:$C,$D$5,'ETPT Format DDG'!$H:$H,"1VPCP")</f>
        <v>#N/A</v>
      </c>
      <c r="AE10" s="53" t="e">
        <f>SUMIFS( INDEX( 'ETPT Format DDG'!$A:$FA,,MATCH("11.3. FORMATIONS DISPENSÉES",'ETPT Format DDG'!2:2,0)),'ETPT Format DDG'!$C:$C,$D$5,'ETPT Format DDG'!$H:$H,"JI")+
SUMIFS( INDEX( 'ETPT Format DDG'!$A:$FA,,MATCH("11.3. FORMATIONS DISPENSÉES",'ETPT Format DDG'!2:2,0)),'ETPT Format DDG'!$C:$C,$D$5,'ETPT Format DDG'!$H:$H,"VPI")+
SUMIFS( INDEX( 'ETPT Format DDG'!$A:$FA,,MATCH("11.3. FORMATIONS DISPENSÉES",'ETPT Format DDG'!2:2,0)),'ETPT Format DDG'!$C:$C,$D$5,'ETPT Format DDG'!$H:$H,"1VPI")</f>
        <v>#N/A</v>
      </c>
      <c r="AF10" s="63"/>
      <c r="AG10" s="63"/>
      <c r="AH10" s="63"/>
      <c r="AI10" s="53" t="e">
        <f>SUMIFS( INDEX( 'ETPT Format DDG'!$A:$FA,,MATCH("11.3. FORMATIONS DISPENSÉES",'ETPT Format DDG'!2:2,0)),'ETPT Format DDG'!$C:$C,$D$5,'ETPT Format DDG'!$H:$H,"JAP")+
SUMIFS( INDEX( 'ETPT Format DDG'!$A:$FA,,MATCH("11.3. FORMATIONS DISPENSÉES",'ETPT Format DDG'!2:2,0)),'ETPT Format DDG'!$C:$C,$D$5,'ETPT Format DDG'!$H:$H,"VPAP")+
SUMIFS( INDEX( 'ETPT Format DDG'!$A:$FA,,MATCH("11.3. FORMATIONS DISPENSÉES",'ETPT Format DDG'!2:2,0)),'ETPT Format DDG'!$C:$C,$D$5,'ETPT Format DDG'!$H:$H,"1VPAP")</f>
        <v>#N/A</v>
      </c>
      <c r="AJ10" s="53" t="e">
        <f>SUMIFS( INDEX( 'ETPT Format DDG'!$A:$FA,,MATCH("11.3. FORMATIONS DISPENSÉES",'ETPT Format DDG'!2:2,0)),'ETPT Format DDG'!$C:$C,$D$5,'ETPT Format DDG'!$H:$H,"JE")+
SUMIFS( INDEX( 'ETPT Format DDG'!$A:$FA,,MATCH("11.3. FORMATIONS DISPENSÉES",'ETPT Format DDG'!2:2,0)),'ETPT Format DDG'!$C:$C,$D$5,'ETPT Format DDG'!$H:$H,"VPE")+
SUMIFS( INDEX( 'ETPT Format DDG'!$A:$FA,,MATCH("11.3. FORMATIONS DISPENSÉES",'ETPT Format DDG'!2:2,0)),'ETPT Format DDG'!$C:$C,$D$5,'ETPT Format DDG'!$H:$H,"1VPE")</f>
        <v>#N/A</v>
      </c>
      <c r="AK10" s="53" t="e">
        <f>SUMIFS( INDEX( 'ETPT Format DDG'!$A:$FA,,MATCH("11.3. FORMATIONS DISPENSÉES",'ETPT Format DDG'!2:2,0)),'ETPT Format DDG'!$C:$C,$D$5,'ETPT Format DDG'!$H:$H,"VPLD")+
SUMIFS( INDEX( 'ETPT Format DDG'!$A:$FA,,MATCH("11.3. FORMATIONS DISPENSÉES",'ETPT Format DDG'!2:2,0)),'ETPT Format DDG'!$C:$C,$D$5,'ETPT Format DDG'!$H:$H,"1VPLD")</f>
        <v>#N/A</v>
      </c>
      <c r="AL10" s="46" t="e">
        <f t="shared" si="2"/>
        <v>#N/A</v>
      </c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53" t="e">
        <f>SUMIFS( INDEX( 'ETPT Format DDG'!$A:$FA,,MATCH("11.3. FORMATIONS DISPENSÉES",'ETPT Format DDG'!2:2,0)),'ETPT Format DDG'!$C:$C,$D$5,'ETPT Format DDG'!$FA:$FA,"Magistrat SIEGE NS")</f>
        <v>#N/A</v>
      </c>
      <c r="AZ10" s="46" t="e">
        <f t="shared" si="3"/>
        <v>#N/A</v>
      </c>
      <c r="BA10" s="52"/>
      <c r="BB10" s="52"/>
      <c r="BC10" s="52"/>
      <c r="BD10" s="52"/>
      <c r="BE10" s="52"/>
      <c r="BF10" s="52"/>
      <c r="BG10" s="52"/>
      <c r="BH10" s="52"/>
      <c r="BI10" s="52"/>
      <c r="BJ10" s="46">
        <f t="shared" si="4"/>
        <v>0</v>
      </c>
    </row>
    <row r="11" spans="1:62" s="41" customFormat="1" ht="14.25" customHeight="1" x14ac:dyDescent="0.15">
      <c r="A11" s="51" t="s">
        <v>42</v>
      </c>
      <c r="B11" s="61"/>
      <c r="C11" s="61"/>
      <c r="D11" s="62" t="str">
        <f t="shared" si="5"/>
        <v/>
      </c>
      <c r="E11" s="61" t="s">
        <v>50</v>
      </c>
      <c r="F11" s="61" t="s">
        <v>49</v>
      </c>
      <c r="G11" s="66" t="e">
        <f>SUMIFS( INDEX( 'ETPT Format DDG'!$A:$FA,,MATCH("11.4. ACCÈS AU DROIT ET À LA JUSTICE",'ETPT Format DDG'!2:2,0)),'ETPT Format DDG'!$C:$C,$D$5,'ETPT Format DDG'!$FA:$FA,"Fonctionnaire CTECH")</f>
        <v>#N/A</v>
      </c>
      <c r="H11" s="59" t="e">
        <f t="shared" si="0"/>
        <v>#N/A</v>
      </c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58" t="e">
        <f>SUMIFS( INDEX( 'ETPT Format DDG'!$A:$FA,,MATCH("11.4. ACCÈS AU DROIT ET À LA JUSTICE",'ETPT Format DDG'!2:2,0)),'ETPT Format DDG'!$C:$C,$D$5,'ETPT Format DDG'!$FA:$FA,"Fonctionnaire A-B-CBUR")</f>
        <v>#N/A</v>
      </c>
      <c r="W11" s="46" t="e">
        <f t="shared" si="6"/>
        <v>#N/A</v>
      </c>
      <c r="X11" s="65" t="e">
        <f>SUMIFS( INDEX( 'ETPT Format DDG'!$A:$FA,,MATCH("11.4. ACCÈS AU DROIT ET À LA JUSTICE",'ETPT Format DDG'!2:2,0)),'ETPT Format DDG'!$C:$C,$D$5,'ETPT Format DDG'!$FA:$FA,"CONT A JP Autour du Juge")</f>
        <v>#N/A</v>
      </c>
      <c r="Y11" s="65" t="e">
        <f>SUMIFS( INDEX( 'ETPT Format DDG'!$A:$FA,,MATCH("11.4. ACCÈS AU DROIT ET À LA JUSTICE",'ETPT Format DDG'!2:2,0)),'ETPT Format DDG'!$C:$C,$D$5,'ETPT Format DDG'!$FA:$FA,"JURISTE AS Parquet")</f>
        <v>#N/A</v>
      </c>
      <c r="Z11" s="65" t="e">
        <f>SUMIFS( INDEX( 'ETPT Format DDG'!$A:$FA,,MATCH("11.4. ACCÈS AU DROIT ET À LA JUSTICE",'ETPT Format DDG'!2:2,0)),'ETPT Format DDG'!$C:$C,$D$5,'ETPT Format DDG'!$FA:$FA,"JURISTE AS Pôle social")</f>
        <v>#N/A</v>
      </c>
      <c r="AA11" s="65" t="e">
        <f>SUMIFS( INDEX( 'ETPT Format DDG'!$A:$FA,,MATCH("11.4. ACCÈS AU DROIT ET À LA JUSTICE",'ETPT Format DDG'!2:2,0)),'ETPT Format DDG'!$C:$C,$D$5,'ETPT Format DDG'!$FA:$FA,"JURISTE AS siège Autres")</f>
        <v>#N/A</v>
      </c>
      <c r="AB11" s="46" t="e">
        <f t="shared" si="1"/>
        <v>#N/A</v>
      </c>
      <c r="AC11" s="63"/>
      <c r="AD11" s="53" t="e">
        <f>SUMIFS( INDEX( 'ETPT Format DDG'!$A:$FA,,MATCH("11.4. ACCÈS AU DROIT ET À LA JUSTICE",'ETPT Format DDG'!2:2,0)),'ETPT Format DDG'!$C:$C,$D$5,'ETPT Format DDG'!$H:$H,"JCP")+
SUMIFS( INDEX( 'ETPT Format DDG'!$A:$FA,,MATCH("11.4. ACCÈS AU DROIT ET À LA JUSTICE",'ETPT Format DDG'!2:2,0)),'ETPT Format DDG'!$C:$C,$D$5,'ETPT Format DDG'!$H:$H,"VPCP")+
SUMIFS( INDEX( 'ETPT Format DDG'!$A:$FA,,MATCH("11.4. ACCÈS AU DROIT ET À LA JUSTICE",'ETPT Format DDG'!2:2,0)),'ETPT Format DDG'!$C:$C,$D$5,'ETPT Format DDG'!$H:$H,"1VPCP")</f>
        <v>#N/A</v>
      </c>
      <c r="AE11" s="53" t="e">
        <f>SUMIFS( INDEX( 'ETPT Format DDG'!$A:$FA,,MATCH("11.4. ACCÈS AU DROIT ET À LA JUSTICE",'ETPT Format DDG'!2:2,0)),'ETPT Format DDG'!$C:$C,$D$5,'ETPT Format DDG'!$H:$H,"JI")+
SUMIFS( INDEX( 'ETPT Format DDG'!$A:$FA,,MATCH("11.4. ACCÈS AU DROIT ET À LA JUSTICE",'ETPT Format DDG'!2:2,0)),'ETPT Format DDG'!$C:$C,$D$5,'ETPT Format DDG'!$H:$H,"VPI")+
SUMIFS( INDEX( 'ETPT Format DDG'!$A:$FA,,MATCH("11.4. ACCÈS AU DROIT ET À LA JUSTICE",'ETPT Format DDG'!2:2,0)),'ETPT Format DDG'!$C:$C,$D$5,'ETPT Format DDG'!$H:$H,"1VPI")</f>
        <v>#N/A</v>
      </c>
      <c r="AF11" s="67"/>
      <c r="AG11" s="67"/>
      <c r="AH11" s="67"/>
      <c r="AI11" s="53" t="e">
        <f>SUMIFS( INDEX( 'ETPT Format DDG'!$A:$FA,,MATCH("11.4. ACCÈS AU DROIT ET À LA JUSTICE",'ETPT Format DDG'!2:2,0)),'ETPT Format DDG'!$C:$C,$D$5,'ETPT Format DDG'!$H:$H,"JAP")+
SUMIFS( INDEX( 'ETPT Format DDG'!$A:$FA,,MATCH("11.4. ACCÈS AU DROIT ET À LA JUSTICE",'ETPT Format DDG'!2:2,0)),'ETPT Format DDG'!$C:$C,$D$5,'ETPT Format DDG'!$H:$H,"VPAP")+
SUMIFS( INDEX( 'ETPT Format DDG'!$A:$FA,,MATCH("11.4. ACCÈS AU DROIT ET À LA JUSTICE",'ETPT Format DDG'!2:2,0)),'ETPT Format DDG'!$C:$C,$D$5,'ETPT Format DDG'!$H:$H,"1VPAP")</f>
        <v>#N/A</v>
      </c>
      <c r="AJ11" s="53" t="e">
        <f>SUMIFS( INDEX( 'ETPT Format DDG'!$A:$FA,,MATCH("11.4. ACCÈS AU DROIT ET À LA JUSTICE",'ETPT Format DDG'!2:2,0)),'ETPT Format DDG'!$C:$C,$D$5,'ETPT Format DDG'!$H:$H,"JE")+
SUMIFS( INDEX( 'ETPT Format DDG'!$A:$FA,,MATCH("11.4. ACCÈS AU DROIT ET À LA JUSTICE",'ETPT Format DDG'!2:2,0)),'ETPT Format DDG'!$C:$C,$D$5,'ETPT Format DDG'!$H:$H,"VPE")+
SUMIFS( INDEX( 'ETPT Format DDG'!$A:$FA,,MATCH("11.4. ACCÈS AU DROIT ET À LA JUSTICE",'ETPT Format DDG'!2:2,0)),'ETPT Format DDG'!$C:$C,$D$5,'ETPT Format DDG'!$H:$H,"1VPE")</f>
        <v>#N/A</v>
      </c>
      <c r="AK11" s="53" t="e">
        <f>SUMIFS( INDEX( 'ETPT Format DDG'!$A:$FA,,MATCH("11.4. ACCÈS AU DROIT ET À LA JUSTICE",'ETPT Format DDG'!2:2,0)),'ETPT Format DDG'!$C:$C,$D$5,'ETPT Format DDG'!$H:$H,"VPLD")+
SUMIFS( INDEX( 'ETPT Format DDG'!$A:$FA,,MATCH("11.4. ACCÈS AU DROIT ET À LA JUSTICE",'ETPT Format DDG'!2:2,0)),'ETPT Format DDG'!$C:$C,$D$5,'ETPT Format DDG'!$H:$H,"1VPLD")</f>
        <v>#N/A</v>
      </c>
      <c r="AL11" s="59" t="e">
        <f t="shared" si="2"/>
        <v>#N/A</v>
      </c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53" t="e">
        <f>SUMIFS( INDEX( 'ETPT Format DDG'!$A:$FA,,MATCH("11.4. ACCÈS AU DROIT ET À LA JUSTICE",'ETPT Format DDG'!2:2,0)),'ETPT Format DDG'!$C:$C,$D$5,'ETPT Format DDG'!$FA:$FA,"Magistrat SIEGE NS")</f>
        <v>#N/A</v>
      </c>
      <c r="AZ11" s="46" t="e">
        <f t="shared" si="3"/>
        <v>#N/A</v>
      </c>
      <c r="BA11" s="52"/>
      <c r="BB11" s="52"/>
      <c r="BC11" s="52"/>
      <c r="BD11" s="52"/>
      <c r="BE11" s="52"/>
      <c r="BF11" s="52"/>
      <c r="BG11" s="52"/>
      <c r="BH11" s="52"/>
      <c r="BI11" s="52"/>
      <c r="BJ11" s="46">
        <f t="shared" si="4"/>
        <v>0</v>
      </c>
    </row>
    <row r="12" spans="1:62" s="41" customFormat="1" ht="14.25" customHeight="1" x14ac:dyDescent="0.15">
      <c r="A12" s="51" t="s">
        <v>42</v>
      </c>
      <c r="B12" s="61"/>
      <c r="C12" s="61"/>
      <c r="D12" s="62" t="str">
        <f t="shared" si="5"/>
        <v/>
      </c>
      <c r="E12" s="61" t="s">
        <v>48</v>
      </c>
      <c r="F12" s="61" t="s">
        <v>47</v>
      </c>
      <c r="G12" s="66" t="e">
        <f>SUMIFS( INDEX( 'ETPT Format DDG'!$A:$FA,,MATCH("12. TOTAL des INDISPONIBILITÉS relevant de l'action 99",'ETPT Format DDG'!2:2,0)),'ETPT Format DDG'!$C:$C,$D$5,'ETPT Format DDG'!$FA:$FA,"Fonctionnaire CTECH")-
SUMIFS( INDEX( 'ETPT Format DDG'!$A:$FA,,MATCH("12.5. MISE À DISPOSITION",'ETPT Format DDG'!2:2,0)),'ETPT Format DDG'!$C:$C,$D$5,'ETPT Format DDG'!$FA:$FA,"Fonctionnaire CTECH")</f>
        <v>#N/A</v>
      </c>
      <c r="H12" s="59" t="e">
        <f t="shared" si="0"/>
        <v>#N/A</v>
      </c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58" t="e">
        <f>SUMIFS( INDEX( 'ETPT Format DDG'!$A:$FA,,MATCH("12. TOTAL des INDISPONIBILITÉS relevant de l'action 99",'ETPT Format DDG'!2:2,0)),'ETPT Format DDG'!$C:$C,$D$5,'ETPT Format DDG'!$FA:$FA,"Fonctionnaire A-B-CBUR")-
SUMIFS( INDEX( 'ETPT Format DDG'!$A:$FA,,MATCH("12.5. MISE À DISPOSITION",'ETPT Format DDG'!2:2,0)),'ETPT Format DDG'!$C:$C,$D$5,'ETPT Format DDG'!$FA:$FA,"Fonctionnaire A-B-CBUR")</f>
        <v>#N/A</v>
      </c>
      <c r="W12" s="46" t="e">
        <f t="shared" si="6"/>
        <v>#N/A</v>
      </c>
      <c r="X12" s="65" t="e">
        <f>SUMIFS( INDEX( 'ETPT Format DDG'!$A:$FA,,MATCH("12. TOTAL des INDISPONIBILITÉS relevant de l'action 99",'ETPT Format DDG'!2:2,0)),'ETPT Format DDG'!$C:$C,$D$5,'ETPT Format DDG'!$FA:$FA,"CONT A JP Autour du Juge")-
SUMIFS( INDEX( 'ETPT Format DDG'!$A:$FA,,MATCH("12.5. MISE À DISPOSITION",'ETPT Format DDG'!2:2,0)),'ETPT Format DDG'!$C:$C,$D$5,'ETPT Format DDG'!$FA:$FA,"CONT A JP Autour du Juge")</f>
        <v>#N/A</v>
      </c>
      <c r="Y12" s="65" t="e">
        <f>SUMIFS( INDEX( 'ETPT Format DDG'!$A:$FA,,MATCH("12. TOTAL des INDISPONIBILITÉS relevant de l'action 99",'ETPT Format DDG'!2:2,0)),'ETPT Format DDG'!$C:$C,$D$5,'ETPT Format DDG'!$FA:$FA,"JURISTE AS Parquet")-
SUMIFS( INDEX( 'ETPT Format DDG'!$A:$FA,,MATCH("12.5. MISE À DISPOSITION",'ETPT Format DDG'!2:2,0)),'ETPT Format DDG'!$C:$C,$D$5,'ETPT Format DDG'!$FA:$FA,"JURISTE AS Parquet")</f>
        <v>#N/A</v>
      </c>
      <c r="Z12" s="65" t="e">
        <f>SUMIFS( INDEX( 'ETPT Format DDG'!$A:$FA,,MATCH("12. TOTAL des INDISPONIBILITÉS relevant de l'action 99",'ETPT Format DDG'!2:2,0)),'ETPT Format DDG'!$C:$C,$D$5,'ETPT Format DDG'!$FA:$FA,"JURISTE AS Pôle social")-
SUMIFS( INDEX( 'ETPT Format DDG'!$A:$FA,,MATCH("12.5. MISE À DISPOSITION",'ETPT Format DDG'!2:2,0)),'ETPT Format DDG'!$C:$C,$D$5,'ETPT Format DDG'!$FA:$FA,"JURISTE AS Pôle social")</f>
        <v>#N/A</v>
      </c>
      <c r="AA12" s="65" t="e">
        <f>SUMIFS( INDEX( 'ETPT Format DDG'!$A:$FA,,MATCH("12. TOTAL des INDISPONIBILITÉS relevant de l'action 99",'ETPT Format DDG'!2:2,0)),'ETPT Format DDG'!$C:$C,$D$5,'ETPT Format DDG'!$FA:$FA,"JURISTE AS siège Autres")-
SUMIFS( INDEX( 'ETPT Format DDG'!$A:$FA,,MATCH("12.5. MISE À DISPOSITION",'ETPT Format DDG'!2:2,0)),'ETPT Format DDG'!$C:$C,$D$5,'ETPT Format DDG'!$FA:$FA,"JURISTE AS siège Autres")</f>
        <v>#N/A</v>
      </c>
      <c r="AB12" s="46" t="e">
        <f t="shared" si="1"/>
        <v>#N/A</v>
      </c>
      <c r="AC12" s="63"/>
      <c r="AD12" s="53" t="e">
        <f>SUMIFS( INDEX( 'ETPT Format DDG'!$A:$FA,,MATCH("12. TOTAL des INDISPONIBILITÉS relevant de l'action 99",'ETPT Format DDG'!2:2,0)),'ETPT Format DDG'!$C:$C,$D$5,'ETPT Format DDG'!$H:$H,"JCP")+
SUMIFS( INDEX( 'ETPT Format DDG'!$A:$FA,,MATCH("12. TOTAL des INDISPONIBILITÉS relevant de l'action 99",'ETPT Format DDG'!2:2,0)),'ETPT Format DDG'!$C:$C,$D$5,'ETPT Format DDG'!$H:$H,"VPCP")+
SUMIFS( INDEX( 'ETPT Format DDG'!$A:$FA,,MATCH("12. TOTAL des INDISPONIBILITÉS relevant de l'action 99",'ETPT Format DDG'!2:2,0)),'ETPT Format DDG'!$C:$C,$D$5,'ETPT Format DDG'!$H:$H,"1VPCP")-
(SUMIFS( INDEX( 'ETPT Format DDG'!$A:$FA,,MATCH("12.5. MISE À DISPOSITION",'ETPT Format DDG'!2:2,0)),'ETPT Format DDG'!$C:$C,$D$5,'ETPT Format DDG'!$H:$H,"JCP")+
SUMIFS( INDEX( 'ETPT Format DDG'!$A:$FA,,MATCH("12.5. MISE À DISPOSITION",'ETPT Format DDG'!2:2,0)),'ETPT Format DDG'!$C:$C,$D$5,'ETPT Format DDG'!$H:$H,"VPCP")+
SUMIFS( INDEX( 'ETPT Format DDG'!$A:$FA,,MATCH("12.5. MISE À DISPOSITION",'ETPT Format DDG'!2:2,0)),'ETPT Format DDG'!$C:$C,$D$5,'ETPT Format DDG'!$H:$H,"1VPCP"))</f>
        <v>#N/A</v>
      </c>
      <c r="AE12" s="53" t="e">
        <f>SUMIFS( INDEX( 'ETPT Format DDG'!$A:$FA,,MATCH("12. TOTAL des INDISPONIBILITÉS relevant de l'action 99",'ETPT Format DDG'!2:2,0)),'ETPT Format DDG'!$C:$C,$D$5,'ETPT Format DDG'!$H:$H,"JI")+
SUMIFS( INDEX( 'ETPT Format DDG'!$A:$FA,,MATCH("12. TOTAL des INDISPONIBILITÉS relevant de l'action 99",'ETPT Format DDG'!2:2,0)),'ETPT Format DDG'!$C:$C,$D$5,'ETPT Format DDG'!$H:$H,"VPI")+
SUMIFS( INDEX( 'ETPT Format DDG'!$A:$FA,,MATCH("12. TOTAL des INDISPONIBILITÉS relevant de l'action 99",'ETPT Format DDG'!2:2,0)),'ETPT Format DDG'!$C:$C,$D$5,'ETPT Format DDG'!$H:$H,"1VPI")-
(SUMIFS( INDEX( 'ETPT Format DDG'!$A:$FA,,MATCH("12.5. MISE À DISPOSITION",'ETPT Format DDG'!2:2,0)),'ETPT Format DDG'!$C:$C,$D$5,'ETPT Format DDG'!$H:$H,"JI")+
SUMIFS( INDEX( 'ETPT Format DDG'!$A:$FA,,MATCH("12.5. MISE À DISPOSITION",'ETPT Format DDG'!2:2,0)),'ETPT Format DDG'!$C:$C,$D$5,'ETPT Format DDG'!$H:$H,"VPI")+
SUMIFS( INDEX( 'ETPT Format DDG'!$A:$FA,,MATCH("12.5. MISE À DISPOSITION",'ETPT Format DDG'!2:2,0)),'ETPT Format DDG'!$C:$C,$D$5,'ETPT Format DDG'!$H:$H,"1VPI"))</f>
        <v>#N/A</v>
      </c>
      <c r="AF12" s="63"/>
      <c r="AG12" s="63"/>
      <c r="AH12" s="63"/>
      <c r="AI12" s="53" t="e">
        <f>SUMIFS( INDEX( 'ETPT Format DDG'!$A:$FA,,MATCH("12. TOTAL des INDISPONIBILITÉS relevant de l'action 99",'ETPT Format DDG'!2:2,0)),'ETPT Format DDG'!$C:$C,$D$5,'ETPT Format DDG'!$H:$H,"JAP")+
SUMIFS( INDEX( 'ETPT Format DDG'!$A:$FA,,MATCH("12. TOTAL des INDISPONIBILITÉS relevant de l'action 99",'ETPT Format DDG'!2:2,0)),'ETPT Format DDG'!$C:$C,$D$5,'ETPT Format DDG'!$H:$H,"VPAP")+
SUMIFS( INDEX( 'ETPT Format DDG'!$A:$FA,,MATCH("12. TOTAL des INDISPONIBILITÉS relevant de l'action 99",'ETPT Format DDG'!2:2,0)),'ETPT Format DDG'!$C:$C,$D$5,'ETPT Format DDG'!$H:$H,"1VPAP")-
(SUMIFS( INDEX( 'ETPT Format DDG'!$A:$FA,,MATCH("12.5. MISE À DISPOSITION",'ETPT Format DDG'!2:2,0)),'ETPT Format DDG'!$C:$C,$D$5,'ETPT Format DDG'!$H:$H,"JAP")+
SUMIFS( INDEX( 'ETPT Format DDG'!$A:$FA,,MATCH("12.5. MISE À DISPOSITION",'ETPT Format DDG'!2:2,0)),'ETPT Format DDG'!$C:$C,$D$5,'ETPT Format DDG'!$H:$H,"VPAP")+
SUMIFS( INDEX( 'ETPT Format DDG'!$A:$FA,,MATCH("12.5. MISE À DISPOSITION",'ETPT Format DDG'!2:2,0)),'ETPT Format DDG'!$C:$C,$D$5,'ETPT Format DDG'!$H:$H,"1VPAP"))</f>
        <v>#N/A</v>
      </c>
      <c r="AJ12" s="53" t="e">
        <f>SUMIFS( INDEX( 'ETPT Format DDG'!$A:$FA,,MATCH("12. TOTAL des INDISPONIBILITÉS relevant de l'action 99",'ETPT Format DDG'!2:2,0)),'ETPT Format DDG'!$C:$C,$D$5,'ETPT Format DDG'!$H:$H,"JE")+
SUMIFS( INDEX( 'ETPT Format DDG'!$A:$FA,,MATCH("12. TOTAL des INDISPONIBILITÉS relevant de l'action 99",'ETPT Format DDG'!2:2,0)),'ETPT Format DDG'!$C:$C,$D$5,'ETPT Format DDG'!$H:$H,"VPE")+
SUMIFS( INDEX( 'ETPT Format DDG'!$A:$FA,,MATCH("12. TOTAL des INDISPONIBILITÉS relevant de l'action 99",'ETPT Format DDG'!2:2,0)),'ETPT Format DDG'!$C:$C,$D$5,'ETPT Format DDG'!$H:$H,"1VPE")-
(SUMIFS( INDEX( 'ETPT Format DDG'!$A:$FA,,MATCH("12.5. MISE À DISPOSITION",'ETPT Format DDG'!2:2,0)),'ETPT Format DDG'!$C:$C,$D$5,'ETPT Format DDG'!$H:$H,"JE")+
SUMIFS( INDEX( 'ETPT Format DDG'!$A:$FA,,MATCH("12.5. MISE À DISPOSITION",'ETPT Format DDG'!2:2,0)),'ETPT Format DDG'!$C:$C,$D$5,'ETPT Format DDG'!$H:$H,"VPE")+
SUMIFS( INDEX( 'ETPT Format DDG'!$A:$FA,,MATCH("12.5. MISE À DISPOSITION",'ETPT Format DDG'!2:2,0)),'ETPT Format DDG'!$C:$C,$D$5,'ETPT Format DDG'!$H:$H,"1VPE"))</f>
        <v>#N/A</v>
      </c>
      <c r="AK12" s="53" t="e">
        <f>SUMIFS( INDEX( 'ETPT Format DDG'!$A:$FA,,MATCH("12. TOTAL des INDISPONIBILITÉS relevant de l'action 99",'ETPT Format DDG'!2:2,0)),'ETPT Format DDG'!$C:$C,$D$5,'ETPT Format DDG'!$H:$H,"VPLD")+
SUMIFS( INDEX( 'ETPT Format DDG'!$A:$FA,,MATCH("12. TOTAL des INDISPONIBILITÉS relevant de l'action 99",'ETPT Format DDG'!2:2,0)),'ETPT Format DDG'!$C:$C,$D$5,'ETPT Format DDG'!$H:$H,"1VPLD")-
(SUMIFS( INDEX( 'ETPT Format DDG'!$A:$FA,,MATCH("12.5. MISE À DISPOSITION",'ETPT Format DDG'!2:2,0)),'ETPT Format DDG'!$C:$C,$D$5,'ETPT Format DDG'!$H:$H,"VPLD")+
SUMIFS( INDEX( 'ETPT Format DDG'!$A:$FA,,MATCH("12.5. MISE À DISPOSITION",'ETPT Format DDG'!2:2,0)),'ETPT Format DDG'!$C:$C,$D$5,'ETPT Format DDG'!$H:$H,"1VPLD"))</f>
        <v>#N/A</v>
      </c>
      <c r="AL12" s="46" t="e">
        <f t="shared" si="2"/>
        <v>#N/A</v>
      </c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53" t="e">
        <f>SUMIFS( INDEX( 'ETPT Format DDG'!$A:$FA,,MATCH("12. TOTAL des INDISPONIBILITÉS relevant de l'action 99",'ETPT Format DDG'!2:2,0)),'ETPT Format DDG'!$C:$C,$D$5,'ETPT Format DDG'!$FA:$FA,"Magistrat SIEGE NS")-
SUMIFS( INDEX( 'ETPT Format DDG'!$A:$FA,,MATCH("12.5. MISE À DISPOSITION",'ETPT Format DDG'!2:2,0)),'ETPT Format DDG'!$C:$C,$D$5,'ETPT Format DDG'!$FA:$FA,"Magistrat SIEGE NS")</f>
        <v>#N/A</v>
      </c>
      <c r="AZ12" s="46" t="e">
        <f t="shared" si="3"/>
        <v>#N/A</v>
      </c>
      <c r="BA12" s="52"/>
      <c r="BB12" s="52"/>
      <c r="BC12" s="52"/>
      <c r="BD12" s="52"/>
      <c r="BE12" s="52"/>
      <c r="BF12" s="52"/>
      <c r="BG12" s="52"/>
      <c r="BH12" s="52"/>
      <c r="BI12" s="52"/>
      <c r="BJ12" s="46">
        <f t="shared" si="4"/>
        <v>0</v>
      </c>
    </row>
    <row r="13" spans="1:62" s="41" customFormat="1" ht="14.25" customHeight="1" x14ac:dyDescent="0.15">
      <c r="A13" s="51" t="s">
        <v>42</v>
      </c>
      <c r="B13" s="61"/>
      <c r="C13" s="61"/>
      <c r="D13" s="62" t="str">
        <f t="shared" si="5"/>
        <v/>
      </c>
      <c r="E13" s="61" t="s">
        <v>46</v>
      </c>
      <c r="F13" s="61" t="s">
        <v>45</v>
      </c>
      <c r="G13" s="60" t="e">
        <f>SUMIFS( INDEX( 'ETPT Format DDG'!$A:$FA,,MATCH("12.5. MISE À DISPOSITION",'ETPT Format DDG'!2:2,0)),'ETPT Format DDG'!$C:$C,$D$5,'ETPT Format DDG'!$FA:$FA,"Fonctionnaire CTECH")</f>
        <v>#N/A</v>
      </c>
      <c r="H13" s="59" t="e">
        <f t="shared" si="0"/>
        <v>#N/A</v>
      </c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53" t="e">
        <f>SUMIFS( INDEX( 'ETPT Format DDG'!$A:$FA,,MATCH("12.5. MISE À DISPOSITION",'ETPT Format DDG'!2:2,0)),'ETPT Format DDG'!$C:$C,$D$5,'ETPT Format DDG'!$FA:$FA,"Fonctionnaire A-B-CBUR")</f>
        <v>#N/A</v>
      </c>
      <c r="W13" s="46" t="e">
        <f t="shared" si="6"/>
        <v>#N/A</v>
      </c>
      <c r="X13" s="64" t="e">
        <f>SUMIFS( INDEX( 'ETPT Format DDG'!$A:$FA,,MATCH("12.5. MISE À DISPOSITION",'ETPT Format DDG'!2:2,0)),'ETPT Format DDG'!$C:$C,$D$5,'ETPT Format DDG'!$FA:$FA,"CONT A JP Autour du Juge")</f>
        <v>#N/A</v>
      </c>
      <c r="Y13" s="64" t="e">
        <f>SUMIFS( INDEX( 'ETPT Format DDG'!$A:$FA,,MATCH("12.5. MISE À DISPOSITION",'ETPT Format DDG'!2:2,0)),'ETPT Format DDG'!$C:$C,$D$5,'ETPT Format DDG'!$FA:$FA,"JURISTE AS Parquet")</f>
        <v>#N/A</v>
      </c>
      <c r="Z13" s="64" t="e">
        <f>SUMIFS( INDEX( 'ETPT Format DDG'!$A:$FA,,MATCH("12.5. MISE À DISPOSITION",'ETPT Format DDG'!2:2,0)),'ETPT Format DDG'!$C:$C,$D$5,'ETPT Format DDG'!$FA:$FA,"JURISTE AS Pôle social")</f>
        <v>#N/A</v>
      </c>
      <c r="AA13" s="64" t="e">
        <f>SUMIFS( INDEX( 'ETPT Format DDG'!$A:$FA,,MATCH("12.5. MISE À DISPOSITION",'ETPT Format DDG'!2:2,0)),'ETPT Format DDG'!$C:$C,$D$5,'ETPT Format DDG'!$FA:$FA,"JURISTE AS siège Autres")</f>
        <v>#N/A</v>
      </c>
      <c r="AB13" s="46" t="e">
        <f t="shared" si="1"/>
        <v>#N/A</v>
      </c>
      <c r="AC13" s="63"/>
      <c r="AD13" s="299" t="e">
        <f>SUMIFS( INDEX( 'ETPT Format DDG'!$A:$FA,,MATCH("12.5. MISE À DISPOSITION",'ETPT Format DDG'!2:2,0)),'ETPT Format DDG'!$C:$C,$D$5,'ETPT Format DDG'!$H:$H,"JCP")+
SUMIFS( INDEX( 'ETPT Format DDG'!$A:$FA,,MATCH("12.5. MISE À DISPOSITION",'ETPT Format DDG'!2:2,0)),'ETPT Format DDG'!$C:$C,$D$5,'ETPT Format DDG'!$H:$H,"VPCP")+
SUMIFS( INDEX( 'ETPT Format DDG'!$A:$FA,,MATCH("12.5. MISE À DISPOSITION",'ETPT Format DDG'!2:2,0)),'ETPT Format DDG'!$C:$C,$D$5,'ETPT Format DDG'!$H:$H,"1VPCP")</f>
        <v>#N/A</v>
      </c>
      <c r="AE13" s="299" t="e">
        <f>SUMIFS( INDEX( 'ETPT Format DDG'!$A:$FA,,MATCH("12.5. MISE À DISPOSITION",'ETPT Format DDG'!2:2,0)),'ETPT Format DDG'!$C:$C,$D$5,'ETPT Format DDG'!$H:$H,"JI")+
SUMIFS( INDEX( 'ETPT Format DDG'!$A:$FA,,MATCH("12.5. MISE À DISPOSITION",'ETPT Format DDG'!2:2,0)),'ETPT Format DDG'!$C:$C,$D$5,'ETPT Format DDG'!$H:$H,"VPI")+
SUMIFS( INDEX( 'ETPT Format DDG'!$A:$FA,,MATCH("12.5. MISE À DISPOSITION",'ETPT Format DDG'!2:2,0)),'ETPT Format DDG'!$C:$C,$D$5,'ETPT Format DDG'!$H:$H,"1VPI")</f>
        <v>#N/A</v>
      </c>
      <c r="AF13" s="63"/>
      <c r="AG13" s="63"/>
      <c r="AH13" s="63"/>
      <c r="AI13" s="299" t="e">
        <f>SUMIFS( INDEX( 'ETPT Format DDG'!$A:$FA,,MATCH("12.5. MISE À DISPOSITION",'ETPT Format DDG'!2:2,0)),'ETPT Format DDG'!$C:$C,$D$5,'ETPT Format DDG'!$H:$H,"JAP")+
SUMIFS( INDEX( 'ETPT Format DDG'!$A:$FA,,MATCH("12.5. MISE À DISPOSITION",'ETPT Format DDG'!2:2,0)),'ETPT Format DDG'!$C:$C,$D$5,'ETPT Format DDG'!$H:$H,"VPAP")+
SUMIFS( INDEX( 'ETPT Format DDG'!$A:$FA,,MATCH("12.5. MISE À DISPOSITION",'ETPT Format DDG'!2:2,0)),'ETPT Format DDG'!$C:$C,$D$5,'ETPT Format DDG'!$H:$H,"1VPAP")</f>
        <v>#N/A</v>
      </c>
      <c r="AJ13" s="299" t="e">
        <f>SUMIFS( INDEX( 'ETPT Format DDG'!$A:$FA,,MATCH("12.5. MISE À DISPOSITION",'ETPT Format DDG'!2:2,0)),'ETPT Format DDG'!$C:$C,$D$5,'ETPT Format DDG'!$H:$H,"JE")+
SUMIFS( INDEX( 'ETPT Format DDG'!$A:$FA,,MATCH("12.5. MISE À DISPOSITION",'ETPT Format DDG'!2:2,0)),'ETPT Format DDG'!$C:$C,$D$5,'ETPT Format DDG'!$H:$H,"VPE")+
SUMIFS( INDEX( 'ETPT Format DDG'!$A:$FA,,MATCH("12.5. MISE À DISPOSITION",'ETPT Format DDG'!2:2,0)),'ETPT Format DDG'!$C:$C,$D$5,'ETPT Format DDG'!$H:$H,"1VPE")</f>
        <v>#N/A</v>
      </c>
      <c r="AK13" s="299" t="e">
        <f>SUMIFS( INDEX( 'ETPT Format DDG'!$A:$FA,,MATCH("12.5. MISE À DISPOSITION",'ETPT Format DDG'!2:2,0)),'ETPT Format DDG'!$C:$C,$D$5,'ETPT Format DDG'!$H:$H,"VPLD")+
SUMIFS( INDEX( 'ETPT Format DDG'!$A:$FA,,MATCH("12.5. MISE À DISPOSITION",'ETPT Format DDG'!2:2,0)),'ETPT Format DDG'!$C:$C,$D$5,'ETPT Format DDG'!$H:$H,"1VPLD")</f>
        <v>#N/A</v>
      </c>
      <c r="AL13" s="46" t="e">
        <f t="shared" si="2"/>
        <v>#N/A</v>
      </c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299" t="e">
        <f>SUMIFS( INDEX( 'ETPT Format DDG'!$A:$FA,,MATCH("12.5. MISE À DISPOSITION",'ETPT Format DDG'!2:2,0)),'ETPT Format DDG'!$C:$C,$D$5,'ETPT Format DDG'!$FA:$FA,"Magistrat SIEGE NS")</f>
        <v>#N/A</v>
      </c>
      <c r="AZ13" s="46" t="e">
        <f t="shared" si="3"/>
        <v>#N/A</v>
      </c>
      <c r="BA13" s="52"/>
      <c r="BB13" s="52"/>
      <c r="BC13" s="52"/>
      <c r="BD13" s="52"/>
      <c r="BE13" s="52"/>
      <c r="BF13" s="52"/>
      <c r="BG13" s="52"/>
      <c r="BH13" s="52"/>
      <c r="BI13" s="52"/>
      <c r="BJ13" s="46">
        <f t="shared" si="4"/>
        <v>0</v>
      </c>
    </row>
    <row r="14" spans="1:62" s="41" customFormat="1" ht="14.25" customHeight="1" x14ac:dyDescent="0.15">
      <c r="A14" s="51" t="s">
        <v>42</v>
      </c>
      <c r="B14" s="61"/>
      <c r="C14" s="61"/>
      <c r="D14" s="62" t="str">
        <f t="shared" si="5"/>
        <v/>
      </c>
      <c r="E14" s="61" t="s">
        <v>44</v>
      </c>
      <c r="F14" s="61" t="s">
        <v>43</v>
      </c>
      <c r="G14" s="60" t="e">
        <f>SUMIFS( INDEX( 'ETPT Format DDG'!$A:$FA,,MATCH("ETPT sur la période hors indisponibilités",'ETPT Format DDG'!2:2,0)),'ETPT Format DDG'!$C:$C,$D$5,'ETPT Format DDG'!$FA:$FA,"Fonctionnaire CTECH placé ADD")</f>
        <v>#N/A</v>
      </c>
      <c r="H14" s="59" t="e">
        <f t="shared" si="0"/>
        <v>#N/A</v>
      </c>
      <c r="I14" s="58" t="e">
        <f>SUMIFS( INDEX( 'ETPT Format DDG'!$A:$FA,,MATCH("11.8. FONCTIONNAIRES AFFECTÉS AUX ACTIVITÉS CIVILES ET COMMERCIALES DU PARQUET",'ETPT Format DDG'!2:2,0)),'ETPT Format DDG'!$C:$C,$D$5,'ETPT Format DDG'!$FA:$FA,"Fonctionnaire A-B-CBUR placé ADD")</f>
        <v>#N/A</v>
      </c>
      <c r="J14" s="58" t="e">
        <f>SUMIFS( INDEX( 'ETPT Format DDG'!$A:$FA,,MATCH("11.9. FONCTIONNAIRES AFFECTÉS À L'EXÉCUTION DES PEINES",'ETPT Format DDG'!2:2,0)),'ETPT Format DDG'!$C:$C,$D$5,'ETPT Format DDG'!$FA:$FA,"Fonctionnaire A-B-CBUR placé ADD")</f>
        <v>#N/A</v>
      </c>
      <c r="K14" s="58" t="e">
        <f>SUMIFS( INDEX( 'ETPT Format DDG'!$A:$FA,,MATCH("7.5. COUR D'ASSISES HORS JIRS",'ETPT Format DDG'!2:2,0)),'ETPT Format DDG'!$C:$C,$D$5,'ETPT Format DDG'!$FA:$FA,"Fonctionnaire A-B-CBUR placé ADD")+
SUMIFS( INDEX( 'ETPT Format DDG'!$A:$FA,,MATCH("7.51. COUR D'ASSISES JIRS",'ETPT Format DDG'!2:2,0)),'ETPT Format DDG'!$C:$C,$D$5,'ETPT Format DDG'!$FA:$FA,"Fonctionnaire A-B-CBUR placé ADD")</f>
        <v>#N/A</v>
      </c>
      <c r="L14" s="58" t="e">
        <f>SUMIFS( INDEX( 'ETPT Format DDG'!$A:$FA,,MATCH("7.52. COUR CRIMINELLE",'ETPT Format DDG'!2:2,0)),'ETPT Format DDG'!$C:$C,$D$5,'ETPT Format DDG'!$FA:$FA,"Fonctionnaire A-B-CBUR placé ADD")</f>
        <v>#N/A</v>
      </c>
      <c r="M14" s="58" t="e">
        <f>SUMIFS( INDEX( 'ETPT Format DDG'!$A:$FA,,MATCH("8.2. JIRS ÉCO-FI",'ETPT Format DDG'!2:2,0)),'ETPT Format DDG'!$C:$C,$D$5,'ETPT Format DDG'!$FA:$FA,"Fonctionnaire A-B-CBUR placé ADD")</f>
        <v>#N/A</v>
      </c>
      <c r="N14" s="58" t="e">
        <f>SUMIFS( INDEX( 'ETPT Format DDG'!$A:$FA,,MATCH("8.3. JIRS CRIM-ORG",'ETPT Format DDG'!2:2,0)),'ETPT Format DDG'!$C:$C,$D$5,'ETPT Format DDG'!$FA:$FA,"Fonctionnaire A-B-CBUR placé ADD")</f>
        <v>#N/A</v>
      </c>
      <c r="O14" s="58" t="e">
        <f>SUMIFS( INDEX( 'ETPT Format DDG'!$A:$FA,,MATCH("8.4. AUTRES SECTIONS SPÉCIALISÉES",'ETPT Format DDG'!2:2,0)),'ETPT Format DDG'!$C:$C,$D$5,'ETPT Format DDG'!$FA:$FA,"Fonctionnaire A-B-CBUR placé ADD")</f>
        <v>#N/A</v>
      </c>
      <c r="P14" s="58" t="e">
        <f>SUMIFS( INDEX( 'ETPT Format DDG'!$A:$FA,,MATCH("3.2. PROTECTION DES MAJEURS",'ETPT Format DDG'!2:2,0)),'ETPT Format DDG'!$C:$C,$D$5,'ETPT Format DDG'!$FA:$FA,"Fonctionnaire A-B-CBUR placé ADD")</f>
        <v>#N/A</v>
      </c>
      <c r="Q14" s="58" t="e">
        <f>SUMIFS( INDEX( 'ETPT Format DDG'!$A:$FA,,MATCH("3. TOTAL CONTENTIEUX DE LA PROTECTION",'ETPT Format DDG'!2:2,0)),'ETPT Format DDG'!$C:$C,$D$5,'ETPT Format DDG'!$FA:$FA,"Fonctionnaire A-B-CBUR placé ADD")-
SUMIFS( INDEX( 'ETPT Format DDG'!$A:$FA,,MATCH("3.2. PROTECTION DES MAJEURS",'ETPT Format DDG'!2:2,0)),'ETPT Format DDG'!$C:$C,$D$5,'ETPT Format DDG'!$FA:$FA,"Fonctionnaire A-B-CBUR placé ADD")-
SUMIFS( INDEX( 'ETPT Format DDG'!$A:$FA,,MATCH("3.43. INJONCTIONS DE PAYER",'ETPT Format DDG'!2:2,0)),'ETPT Format DDG'!$C:$C,$D$5,'ETPT Format DDG'!$FA:$FA,"Fonctionnaire A-B-CBUR placé ADD")-
SUMIFS( INDEX( 'ETPT Format DDG'!$A:$FA,,MATCH("3.44. SAISIE DES RÉMUNÉRATIONS",'ETPT Format DDG'!2:2,0)),'ETPT Format DDG'!$C:$C,$D$5,'ETPT Format DDG'!$FA:$FA,"Fonctionnaire A-B-CBUR placé ADD")</f>
        <v>#N/A</v>
      </c>
      <c r="R14" s="58" t="e">
        <f>SUMIFS( INDEX( 'ETPT Format DDG'!$A:$FA,,MATCH("5. TOTAL JLD CIVIL",'ETPT Format DDG'!2:2,0)),'ETPT Format DDG'!$C:$C,$D$5,'ETPT Format DDG'!$FA:$FA,"Fonctionnaire A-B-CBUR placé ADD")+
SUMIFS( INDEX( 'ETPT Format DDG'!$A:$FA,,MATCH("6.1. ACTIVITÉ CIVILE",'ETPT Format DDG'!2:2,0)),'ETPT Format DDG'!$C:$C,$D$5,'ETPT Format DDG'!$FA:$FA,"Fonctionnaire A-B-CBUR placé ADD")+
SUMIFS( INDEX( 'ETPT Format DDG'!$A:$FA,,MATCH("6.2. ACTIVITÉ PÉNALE",'ETPT Format DDG'!2:2,0)),'ETPT Format DDG'!$C:$C,$D$5,'ETPT Format DDG'!$FA:$FA,"Fonctionnaire A-B-CBUR placé ADD")+
(SUMIFS( INDEX( 'ETPT Format DDG'!$A:$FA,,MATCH("8. TOTAL JUGES D'INSTRUCTION",'ETPT Format DDG'!2:2,0)),'ETPT Format DDG'!$C:$C,$D$5,'ETPT Format DDG'!$FA:$FA,"Fonctionnaire A-B-CBUR placé ADD")-
SUMIFS( INDEX( 'ETPT Format DDG'!$A:$FA,,MATCH("8.2. JIRS ÉCO-FI",'ETPT Format DDG'!2:2,0)),'ETPT Format DDG'!$C:$C,$D$5,'ETPT Format DDG'!$FA:$FA,"Fonctionnaire A-B-CBUR placé ADD")-
SUMIFS( INDEX( 'ETPT Format DDG'!$A:$FA,,MATCH("8.3. JIRS CRIM-ORG",'ETPT Format DDG'!2:2,0)),'ETPT Format DDG'!$C:$C,$D$5,'ETPT Format DDG'!$FA:$FA,"Fonctionnaire A-B-CBUR placé ADD")-
SUMIFS( INDEX( 'ETPT Format DDG'!$A:$FA,,MATCH("8.4. AUTRES SECTIONS SPÉCIALISÉES",'ETPT Format DDG'!2:2,0)),'ETPT Format DDG'!$C:$C,$D$5,'ETPT Format DDG'!$FA:$FA,"Fonctionnaire A-B-CBUR placé ADD"))+
SUMIFS( INDEX( 'ETPT Format DDG'!$A:$FA,,MATCH("9. TOTAL JAP",'ETPT Format DDG'!2:2,0)),'ETPT Format DDG'!$C:$C,$D$5,'ETPT Format DDG'!$FA:$FA,"Fonctionnaire A-B-CBUR placé ADD")+
SUMIFS( INDEX( 'ETPT Format DDG'!$A:$FA,,MATCH("10. TOTAL JLD PÉNAL",'ETPT Format DDG'!2:2,0)),'ETPT Format DDG'!$C:$C,$D$5,'ETPT Format DDG'!$FA:$FA,"Fonctionnaire A-B-CBUR placé ADD")</f>
        <v>#N/A</v>
      </c>
      <c r="S14" s="58" t="e">
        <f>SUMIFS( INDEX( 'ETPT Format DDG'!$A:$FA,,MATCH("3.43. INJONCTIONS DE PAYER",'ETPT Format DDG'!2:2,0)),'ETPT Format DDG'!$C:$C,$D$5,'ETPT Format DDG'!$FA:$FA,"Fonctionnaire A-B-CBUR placé ADD")+
SUMIFS( INDEX( 'ETPT Format DDG'!$A:$FA,,MATCH("3.44. SAISIE DES RÉMUNÉRATIONS",'ETPT Format DDG'!2:2,0)),'ETPT Format DDG'!$C:$C,$D$5,'ETPT Format DDG'!$FA:$FA,"Fonctionnaire A-B-CBUR placé ADD")</f>
        <v>#N/A</v>
      </c>
      <c r="T14" s="58" t="e">
        <f>SUMIFS( INDEX( 'ETPT Format DDG'!$A:$FA,,MATCH("4.0. CONTENTIEUX GÉNÉRAL &lt;10.000€",'ETPT Format DDG'!2:2,0)),'ETPT Format DDG'!$C:$C,$D$5,'ETPT Format DDG'!$FA:$FA,"Fonctionnaire A-B-CBUR placé ADD")</f>
        <v>#N/A</v>
      </c>
      <c r="U14" s="58" t="e">
        <f>SUMIFS( INDEX( 'ETPT Format DDG'!$A:$FA,,MATCH("1. TOTAL CONTENTIEUX SOCIAL",'ETPT Format DDG'!2:2,0)),'ETPT Format DDG'!$C:$C,$D$5,'ETPT Format DDG'!$FA:$FA,"Fonctionnaire A-B-CBUR placé ADD")</f>
        <v>#N/A</v>
      </c>
      <c r="V14" s="162" t="e">
        <f>SUMIFS( INDEX( 'ETPT Format DDG'!$A:$FA,,MATCH("ETPT sur la période hors indisponibilités",'ETPT Format DDG'!2:2,0)),'ETPT Format DDG'!$C:$C,$D$5,'ETPT Format DDG'!$FA:$FA,"Fonctionnaire A-B-CBUR placé ADD")-
SUM(I14:U14)-SUMIFS( INDEX( 'ETPT Format DDG'!$A:$FA,,MATCH("11.7. FONCTIONNAIRES AFFECTÉS AU CPH",'ETPT Format DDG'!2:2,0)),'ETPT Format DDG'!$C:$C,$D$5,'ETPT Format DDG'!$FA:$FA,"Fonctionnaire CTECH placé ADD")</f>
        <v>#N/A</v>
      </c>
      <c r="W14" s="46" t="e">
        <f t="shared" si="6"/>
        <v>#N/A</v>
      </c>
      <c r="X14" s="57"/>
      <c r="Y14" s="56"/>
      <c r="Z14" s="56"/>
      <c r="AA14" s="56"/>
      <c r="AB14" s="46">
        <f t="shared" si="1"/>
        <v>0</v>
      </c>
      <c r="AC14" s="55" t="e">
        <f>SUMIFS( INDEX( 'ETPT Format DDG'!$A:$FA,,MATCH("3.2. PROTECTION DES MAJEURS",'ETPT Format DDG'!2:2,0)),'ETPT Format DDG'!$C:$C,$D$5,'ETPT Format DDG'!$FA:$FA,"Magistrat placé ADD")</f>
        <v>#N/A</v>
      </c>
      <c r="AD14" s="53" t="e">
        <f>SUMIFS( INDEX( 'ETPT Format DDG'!$A:$FA,,MATCH("3. TOTAL CONTENTIEUX DE LA PROTECTION",'ETPT Format DDG'!2:2,0)),'ETPT Format DDG'!$C:$C,$D$5,'ETPT Format DDG'!$FA:$FA,"Magistrat placé ADD")-
SUMIFS( INDEX( 'ETPT Format DDG'!$A:$FA,,MATCH("3.2. PROTECTION DES MAJEURS",'ETPT Format DDG'!2:2,0)),'ETPT Format DDG'!$C:$C,$D$5,'ETPT Format DDG'!$FA:$FA,"Magistrat placé ADD")-
SUMIFS( INDEX( 'ETPT Format DDG'!$A:$FA,,MATCH("3.43. INJONCTIONS DE PAYER",'ETPT Format DDG'!2:2,0)),'ETPT Format DDG'!$C:$C,$D$5,'ETPT Format DDG'!$FA:$FA,"Magistrat placé ADD")-
SUMIFS( INDEX( 'ETPT Format DDG'!$A:$FA,,MATCH("3.44. SAISIE DES RÉMUNÉRATIONS",'ETPT Format DDG'!2:2,0)),'ETPT Format DDG'!$C:$C,$D$5,'ETPT Format DDG'!$FA:$FA,"Magistrat placé ADD")</f>
        <v>#N/A</v>
      </c>
      <c r="AE14" s="161" t="e">
        <f>SUMIFS( INDEX( 'ETPT Format DDG'!$A:$FA,,MATCH("8.1. SERVICE GÉNÉRAL",'ETPT Format DDG'!2:2,0)),'ETPT Format DDG'!$C:$C,$D$5,'ETPT Format DDG'!$FA:$FA,"Magistrat placé ADD")</f>
        <v>#N/A</v>
      </c>
      <c r="AF14" s="161" t="e">
        <f>SUMIFS( INDEX( 'ETPT Format DDG'!$A:$FA,,MATCH("8.2. JIRS ÉCO-FI",'ETPT Format DDG'!2:2,0)),'ETPT Format DDG'!$C:$C,$D$5,'ETPT Format DDG'!$FA:$FA,"Magistrat placé ADD")</f>
        <v>#N/A</v>
      </c>
      <c r="AG14" s="161" t="e">
        <f>SUMIFS( INDEX( 'ETPT Format DDG'!$A:$FA,,MATCH("8.3. JIRS CRIM-ORG",'ETPT Format DDG'!2:2,0)),'ETPT Format DDG'!$C:$C,$D$5,'ETPT Format DDG'!$FA:$FA,"Magistrat placé ADD")</f>
        <v>#N/A</v>
      </c>
      <c r="AH14" s="161" t="e">
        <f>SUMIFS( INDEX( 'ETPT Format DDG'!$A:$FA,,MATCH("8.4. AUTRES SECTIONS SPÉCIALISÉES",'ETPT Format DDG'!2:2,0)),'ETPT Format DDG'!$C:$C,$D$5,'ETPT Format DDG'!$FA:$FA,"Magistrat placé ADD")</f>
        <v>#N/A</v>
      </c>
      <c r="AI14" s="161" t="e">
        <f>SUMIFS( INDEX( 'ETPT Format DDG'!$A:$FA,,MATCH("9. TOTAL JAP",'ETPT Format DDG'!2:2,0)),'ETPT Format DDG'!$C:$C,$D$5,'ETPT Format DDG'!$FA:$FA,"Magistrat placé ADD")</f>
        <v>#N/A</v>
      </c>
      <c r="AJ14" s="161" t="e">
        <f>SUMIFS( INDEX( 'ETPT Format DDG'!$A:$FA,,MATCH("6.1. ACTIVITÉ CIVILE",'ETPT Format DDG'!2:2,0)),'ETPT Format DDG'!$C:$C,$D$5,'ETPT Format DDG'!$FA:$FA,"Magistrat placé ADD")+
SUMIFS( INDEX( 'ETPT Format DDG'!$A:$FA,,MATCH("6.2. ACTIVITÉ PÉNALE",'ETPT Format DDG'!2:2,0)),'ETPT Format DDG'!$C:$C,$D$5,'ETPT Format DDG'!$FA:$FA,"Magistrat placé ADD")</f>
        <v>#N/A</v>
      </c>
      <c r="AK14" s="161" t="e">
        <f>SUMIFS( INDEX( 'ETPT Format DDG'!$A:$FA,,MATCH("5. TOTAL JLD CIVIL",'ETPT Format DDG'!2:2,0)),'ETPT Format DDG'!$C:$C,$D$5,'ETPT Format DDG'!$FA:$FA,"Magistrat placé ADD")+
SUMIFS( INDEX( 'ETPT Format DDG'!$A:$FA,,MATCH("10. TOTAL JLD PÉNAL",'ETPT Format DDG'!2:2,0)),'ETPT Format DDG'!$C:$C,$D$5,'ETPT Format DDG'!$FA:$FA,"Magistrat placé ADD")</f>
        <v>#N/A</v>
      </c>
      <c r="AL14" s="46" t="e">
        <f t="shared" si="2"/>
        <v>#N/A</v>
      </c>
      <c r="AM14" s="161" t="e">
        <f>SUMIFS( INDEX( 'ETPT Format DDG'!$A:$FA,,MATCH("7.5. COUR D'ASSISES HORS JIRS",'ETPT Format DDG'!2:2,0)),'ETPT Format DDG'!$C:$C,$D$5,'ETPT Format DDG'!$FA:$FA,"Magistrat placé ADD")+
SUMIFS( INDEX( 'ETPT Format DDG'!$A:$FA,,MATCH("7.51. COUR D'ASSISES JIRS",'ETPT Format DDG'!2:2,0)),'ETPT Format DDG'!$C:$C,$D$5,'ETPT Format DDG'!$FA:$FA,"Magistrat placé ADD")</f>
        <v>#N/A</v>
      </c>
      <c r="AN14" s="161" t="e">
        <f>SUMIFS( INDEX( 'ETPT Format DDG'!$A:$FA,,MATCH("7.52. COUR CRIMINELLE",'ETPT Format DDG'!2:2,0)),'ETPT Format DDG'!$C:$C,$D$5,'ETPT Format DDG'!$FA:$FA,"Magistrat placé ADD")</f>
        <v>#N/A</v>
      </c>
      <c r="AO14" s="161" t="e">
        <f>SUMIFS( INDEX( 'ETPT Format DDG'!$A:$FA,,MATCH("7.121. COLLÉGIALES JIRS ECO-FI",'ETPT Format DDG'!2:2,0)),'ETPT Format DDG'!$C:$C,$D$5,'ETPT Format DDG'!$FA:$FA,"Magistrat placé ADD")</f>
        <v>#N/A</v>
      </c>
      <c r="AP14" s="161" t="e">
        <f>SUMIFS( INDEX( 'ETPT Format DDG'!$A:$FA,,MATCH("7.12. COLLÉGIALES JIRS CRIM-ORG",'ETPT Format DDG'!2:2,0)),'ETPT Format DDG'!$C:$C,$D$5,'ETPT Format DDG'!$FA:$FA,"Magistrat placé ADD")</f>
        <v>#N/A</v>
      </c>
      <c r="AQ14" s="161" t="e">
        <f>SUMIFS( INDEX( 'ETPT Format DDG'!$A:$FA,,MATCH("7.122. COLLÉGIALES AUTRES SECTIONS SPÉCIALISÉES",'ETPT Format DDG'!2:2,0)),'ETPT Format DDG'!$C:$C,$D$5,'ETPT Format DDG'!$FA:$FA,"Magistrat placé ADD")</f>
        <v>#N/A</v>
      </c>
      <c r="AR14" s="161" t="e">
        <f>SUMIFS( INDEX( 'ETPT Format DDG'!$A:$FA,,MATCH("7.6. TRIBUNAL DE POLICE",'ETPT Format DDG'!2:2,0)),'ETPT Format DDG'!$C:$C,$D$5,'ETPT Format DDG'!$FA:$FA,"Magistrat placé ADD")+
SUMIFS( INDEX( 'ETPT Format DDG'!$A:$FA,,MATCH("7.7. OP CONTRAVENTIONNELLES",'ETPT Format DDG'!2:2,0)),'ETPT Format DDG'!$C:$C,$D$5,'ETPT Format DDG'!$FA:$FA,"Magistrat placé ADD")</f>
        <v>#N/A</v>
      </c>
      <c r="AS14" s="53" t="e">
        <f>SUMIFS( INDEX( 'ETPT Format DDG'!$A:$FA,,MATCH("1.1. DÉPARTAGE PRUD'HOMAL",'ETPT Format DDG'!2:2,0)),'ETPT Format DDG'!$C:$C,$D$5,'ETPT Format DDG'!$FA:$FA,"Magistrat placé ADD")</f>
        <v>#N/A</v>
      </c>
      <c r="AT14" s="53" t="e">
        <f>SUMIFS( INDEX( 'ETPT Format DDG'!$A:$FA,,MATCH("4.0. CONTENTIEUX GÉNÉRAL &lt;10.000€",'ETPT Format DDG'!2:2,0)),'ETPT Format DDG'!$C:$C,$D$5,'ETPT Format DDG'!$FA:$FA,"Magistrat placé ADD")</f>
        <v>#N/A</v>
      </c>
      <c r="AU14" s="53" t="e">
        <f>SUMIFS( INDEX( 'ETPT Format DDG'!$A:$FA,,MATCH("3.43. INJONCTIONS DE PAYER",'ETPT Format DDG'!2:2,0)),'ETPT Format DDG'!$C:$C,$D$5,'ETPT Format DDG'!$FA:$FA,"Magistrat placé ADD")+
SUMIFS( INDEX( 'ETPT Format DDG'!$A:$FA,,MATCH("3.44. SAISIE DES RÉMUNÉRATIONS",'ETPT Format DDG'!2:2,0)),'ETPT Format DDG'!$C:$C,$D$5,'ETPT Format DDG'!$FA:$FA,"Magistrat placé ADD")</f>
        <v>#N/A</v>
      </c>
      <c r="AV14" s="53" t="e">
        <f>SUMIFS( INDEX( 'ETPT Format DDG'!$A:$FA,,MATCH("1. TOTAL CONTENTIEUX SOCIAL",'ETPT Format DDG'!2:2,0)),'ETPT Format DDG'!$C:$C,$D$5,'ETPT Format DDG'!$FA:$FA,"Magistrat placé ADD")-
SUMIFS( INDEX( 'ETPT Format DDG'!$A:$FA,,MATCH("1.1. DÉPARTAGE PRUD'HOMAL",'ETPT Format DDG'!2:2,0)),'ETPT Format DDG'!$C:$C,$D$5,'ETPT Format DDG'!$FA:$FA,"Magistrat placé ADD")</f>
        <v>#N/A</v>
      </c>
      <c r="AW14" s="161" t="e">
        <f>SUMIFS( INDEX( 'ETPT Format DDG'!$A:$FA,,MATCH("2. TOTAL CONTENTIEUX JAF",'ETPT Format DDG'!2:2,0)),'ETPT Format DDG'!$C:$C,$D$5,'ETPT Format DDG'!$FA:$FA,"Magistrat placé ADD")</f>
        <v>#N/A</v>
      </c>
      <c r="AX14" s="54"/>
      <c r="AY14" s="53" t="e">
        <f>SUMIFS( INDEX( 'ETPT Format DDG'!$A:$FA,,MATCH("ETPT sur la période hors indisponibilités",'ETPT Format DDG'!2:2,0)),'ETPT Format DDG'!$C:$C,$D$5,'ETPT Format DDG'!$FA:$FA,"Magistrat placé ADD")-SUM(AC14:AK14)-SUM(AM14:AX14)</f>
        <v>#N/A</v>
      </c>
      <c r="AZ14" s="46" t="e">
        <f t="shared" si="3"/>
        <v>#N/A</v>
      </c>
      <c r="BA14" s="52"/>
      <c r="BB14" s="52"/>
      <c r="BC14" s="52"/>
      <c r="BD14" s="52"/>
      <c r="BE14" s="52"/>
      <c r="BF14" s="52"/>
      <c r="BG14" s="52"/>
      <c r="BH14" s="52"/>
      <c r="BI14" s="52"/>
      <c r="BJ14" s="46">
        <f t="shared" si="4"/>
        <v>0</v>
      </c>
    </row>
    <row r="15" spans="1:62" s="41" customFormat="1" ht="14.25" customHeight="1" x14ac:dyDescent="0.15">
      <c r="A15" s="51" t="s">
        <v>42</v>
      </c>
      <c r="B15" s="61"/>
      <c r="C15" s="61"/>
      <c r="D15" s="62" t="str">
        <f t="shared" si="5"/>
        <v/>
      </c>
      <c r="E15" s="61" t="s">
        <v>41</v>
      </c>
      <c r="F15" s="61" t="s">
        <v>40</v>
      </c>
      <c r="G15" s="60" t="e">
        <f>SUMIFS( INDEX( 'ETPT Format DDG'!$A:$FA,,MATCH("ETPT sur la période hors indisponibilités",'ETPT Format DDG'!2:2,0)),'ETPT Format DDG'!$C:$C,$D$5,'ETPT Format DDG'!$FA:$FA,"Fonctionnaire CTECH placé SUB")</f>
        <v>#N/A</v>
      </c>
      <c r="H15" s="59" t="e">
        <f t="shared" si="0"/>
        <v>#N/A</v>
      </c>
      <c r="I15" s="58" t="e">
        <f>SUMIFS( INDEX( 'ETPT Format DDG'!$A:$FA,,MATCH("11.8. FONCTIONNAIRES AFFECTÉS AUX ACTIVITÉS CIVILES ET COMMERCIALES DU PARQUET",'ETPT Format DDG'!2:2,0)),'ETPT Format DDG'!$C:$C,$D$5,'ETPT Format DDG'!$FA:$FA,"Fonctionnaire A-B-CBUR placé SUB")</f>
        <v>#N/A</v>
      </c>
      <c r="J15" s="58" t="e">
        <f>SUMIFS( INDEX( 'ETPT Format DDG'!$A:$FA,,MATCH("11.9. FONCTIONNAIRES AFFECTÉS À L'EXÉCUTION DES PEINES",'ETPT Format DDG'!2:2,0)),'ETPT Format DDG'!$C:$C,$D$5,'ETPT Format DDG'!$FA:$FA,"Fonctionnaire A-B-CBUR placé SUB")</f>
        <v>#N/A</v>
      </c>
      <c r="K15" s="58" t="e">
        <f>SUMIFS( INDEX( 'ETPT Format DDG'!$A:$FA,,MATCH("7.5. COUR D'ASSISES HORS JIRS",'ETPT Format DDG'!2:2,0)),'ETPT Format DDG'!$C:$C,$D$5,'ETPT Format DDG'!$FA:$FA,"Fonctionnaire A-B-CBUR placé SUB")+
SUMIFS( INDEX( 'ETPT Format DDG'!$A:$FA,,MATCH("7.51. COUR D'ASSISES JIRS",'ETPT Format DDG'!2:2,0)),'ETPT Format DDG'!$C:$C,$D$5,'ETPT Format DDG'!$FA:$FA,"Fonctionnaire A-B-CBUR placé SUB")</f>
        <v>#N/A</v>
      </c>
      <c r="L15" s="58" t="e">
        <f>SUMIFS( INDEX( 'ETPT Format DDG'!$A:$FA,,MATCH("7.52. COUR CRIMINELLE",'ETPT Format DDG'!2:2,0)),'ETPT Format DDG'!$C:$C,$D$5,'ETPT Format DDG'!$FA:$FA,"Fonctionnaire A-B-CBUR placé SUB")</f>
        <v>#N/A</v>
      </c>
      <c r="M15" s="58" t="e">
        <f>SUMIFS( INDEX( 'ETPT Format DDG'!$A:$FA,,MATCH("8.2. JIRS ÉCO-FI",'ETPT Format DDG'!2:2,0)),'ETPT Format DDG'!$C:$C,$D$5,'ETPT Format DDG'!$FA:$FA,"Fonctionnaire A-B-CBUR placé SUB")</f>
        <v>#N/A</v>
      </c>
      <c r="N15" s="58" t="e">
        <f>SUMIFS( INDEX( 'ETPT Format DDG'!$A:$FA,,MATCH("8.3. JIRS CRIM-ORG",'ETPT Format DDG'!2:2,0)),'ETPT Format DDG'!$C:$C,$D$5,'ETPT Format DDG'!$FA:$FA,"Fonctionnaire A-B-CBUR placé SUB")</f>
        <v>#N/A</v>
      </c>
      <c r="O15" s="58" t="e">
        <f>SUMIFS( INDEX( 'ETPT Format DDG'!$A:$FA,,MATCH("8.4. AUTRES SECTIONS SPÉCIALISÉES",'ETPT Format DDG'!2:2,0)),'ETPT Format DDG'!$C:$C,$D$5,'ETPT Format DDG'!$FA:$FA,"Fonctionnaire A-B-CBUR placé SUB")</f>
        <v>#N/A</v>
      </c>
      <c r="P15" s="58" t="e">
        <f>SUMIFS( INDEX( 'ETPT Format DDG'!$A:$FA,,MATCH("3.2. PROTECTION DES MAJEURS",'ETPT Format DDG'!2:2,0)),'ETPT Format DDG'!$C:$C,$D$5,'ETPT Format DDG'!$FA:$FA,"Fonctionnaire A-B-CBUR placé SUB")</f>
        <v>#N/A</v>
      </c>
      <c r="Q15" s="58" t="e">
        <f>SUMIFS( INDEX( 'ETPT Format DDG'!$A:$FA,,MATCH("3. TOTAL CONTENTIEUX DE LA PROTECTION",'ETPT Format DDG'!2:2,0)),'ETPT Format DDG'!$C:$C,$D$5,'ETPT Format DDG'!$FA:$FA,"Fonctionnaire A-B-CBUR placé SUB")-
SUMIFS( INDEX( 'ETPT Format DDG'!$A:$FA,,MATCH("3.2. PROTECTION DES MAJEURS",'ETPT Format DDG'!2:2,0)),'ETPT Format DDG'!$C:$C,$D$5,'ETPT Format DDG'!$FA:$FA,"Fonctionnaire A-B-CBUR placé SUB")-
SUMIFS( INDEX( 'ETPT Format DDG'!$A:$FA,,MATCH("3.43. INJONCTIONS DE PAYER",'ETPT Format DDG'!2:2,0)),'ETPT Format DDG'!$C:$C,$D$5,'ETPT Format DDG'!$FA:$FA,"Fonctionnaire A-B-CBUR placé SUB")-
SUMIFS( INDEX( 'ETPT Format DDG'!$A:$FA,,MATCH("3.44. SAISIE DES RÉMUNÉRATIONS",'ETPT Format DDG'!2:2,0)),'ETPT Format DDG'!$C:$C,$D$5,'ETPT Format DDG'!$FA:$FA,"Fonctionnaire A-B-CBUR placé SUB")</f>
        <v>#N/A</v>
      </c>
      <c r="R15" s="58" t="e">
        <f>SUMIFS( INDEX( 'ETPT Format DDG'!$A:$FA,,MATCH("5. TOTAL JLD CIVIL",'ETPT Format DDG'!2:2,0)),'ETPT Format DDG'!$C:$C,$D$5,'ETPT Format DDG'!$FA:$FA,"Fonctionnaire A-B-CBUR placé SUB")+
SUMIFS( INDEX( 'ETPT Format DDG'!$A:$FA,,MATCH("6.1. ACTIVITÉ CIVILE",'ETPT Format DDG'!2:2,0)),'ETPT Format DDG'!$C:$C,$D$5,'ETPT Format DDG'!$FA:$FA,"Fonctionnaire A-B-CBUR placé SUB")+
SUMIFS( INDEX( 'ETPT Format DDG'!$A:$FA,,MATCH("6.2. ACTIVITÉ PÉNALE",'ETPT Format DDG'!2:2,0)),'ETPT Format DDG'!$C:$C,$D$5,'ETPT Format DDG'!$FA:$FA,"Fonctionnaire A-B-CBUR placé SUB")+
(SUMIFS( INDEX( 'ETPT Format DDG'!$A:$FA,,MATCH("8. TOTAL JUGES D'INSTRUCTION",'ETPT Format DDG'!2:2,0)),'ETPT Format DDG'!$C:$C,$D$5,'ETPT Format DDG'!$FA:$FA,"Fonctionnaire A-B-CBUR placé SUB")-
SUMIFS( INDEX( 'ETPT Format DDG'!$A:$FA,,MATCH("8.2. JIRS ÉCO-FI",'ETPT Format DDG'!2:2,0)),'ETPT Format DDG'!$C:$C,$D$5,'ETPT Format DDG'!$FA:$FA,"Fonctionnaire A-B-CBUR placé SUB")-
SUMIFS( INDEX( 'ETPT Format DDG'!$A:$FA,,MATCH("8.3. JIRS CRIM-ORG",'ETPT Format DDG'!2:2,0)),'ETPT Format DDG'!$C:$C,$D$5,'ETPT Format DDG'!$FA:$FA,"Fonctionnaire A-B-CBUR placé SUB")-
SUMIFS( INDEX( 'ETPT Format DDG'!$A:$FA,,MATCH("8.4. AUTRES SECTIONS SPÉCIALISÉES",'ETPT Format DDG'!2:2,0)),'ETPT Format DDG'!$C:$C,$D$5,'ETPT Format DDG'!$FA:$FA,"Fonctionnaire A-B-CBUR placé SUB"))+
SUMIFS( INDEX( 'ETPT Format DDG'!$A:$FA,,MATCH("9. TOTAL JAP",'ETPT Format DDG'!2:2,0)),'ETPT Format DDG'!$C:$C,$D$5,'ETPT Format DDG'!$FA:$FA,"Fonctionnaire A-B-CBUR placé SUB")+
SUMIFS( INDEX( 'ETPT Format DDG'!$A:$FA,,MATCH("10. TOTAL JLD PÉNAL",'ETPT Format DDG'!2:2,0)),'ETPT Format DDG'!$C:$C,$D$5,'ETPT Format DDG'!$FA:$FA,"Fonctionnaire A-B-CBUR placé SUB")</f>
        <v>#N/A</v>
      </c>
      <c r="S15" s="58" t="e">
        <f>SUMIFS( INDEX( 'ETPT Format DDG'!$A:$FA,,MATCH("3.43. INJONCTIONS DE PAYER",'ETPT Format DDG'!2:2,0)),'ETPT Format DDG'!$C:$C,$D$5,'ETPT Format DDG'!$FA:$FA,"Fonctionnaire A-B-CBUR placé SUB")+
SUMIFS( INDEX( 'ETPT Format DDG'!$A:$FA,,MATCH("3.44. SAISIE DES RÉMUNÉRATIONS",'ETPT Format DDG'!2:2,0)),'ETPT Format DDG'!$C:$C,$D$5,'ETPT Format DDG'!$FA:$FA,"Fonctionnaire A-B-CBUR placé SUB")</f>
        <v>#N/A</v>
      </c>
      <c r="T15" s="58" t="e">
        <f>SUMIFS( INDEX( 'ETPT Format DDG'!$A:$FA,,MATCH("4.0. CONTENTIEUX GÉNÉRAL &lt;10.000€",'ETPT Format DDG'!2:2,0)),'ETPT Format DDG'!$C:$C,$D$5,'ETPT Format DDG'!$FA:$FA,"Fonctionnaire A-B-CBUR placé SUB")</f>
        <v>#N/A</v>
      </c>
      <c r="U15" s="58" t="e">
        <f>SUMIFS( INDEX( 'ETPT Format DDG'!$A:$FA,,MATCH("1. TOTAL CONTENTIEUX SOCIAL",'ETPT Format DDG'!2:2,0)),'ETPT Format DDG'!$C:$C,$D$5,'ETPT Format DDG'!$FA:$FA,"Fonctionnaire A-B-CBUR placé SUB")</f>
        <v>#N/A</v>
      </c>
      <c r="V15" s="162" t="e">
        <f>SUMIFS( INDEX( 'ETPT Format DDG'!$A:$FA,,MATCH("ETPT sur la période hors indisponibilités",'ETPT Format DDG'!2:2,0)),'ETPT Format DDG'!$C:$C,$D$5,'ETPT Format DDG'!$FA:$FA,"Fonctionnaire A-B-CBUR placé SUB")-
SUM(I15:U15)-SUMIFS( INDEX( 'ETPT Format DDG'!$A:$FA,,MATCH("11.7. FONCTIONNAIRES AFFECTÉS AU CPH",'ETPT Format DDG'!2:2,0)),'ETPT Format DDG'!$C:$C,$D$5,'ETPT Format DDG'!$FA:$FA,"Fonctionnaire CTECH placé SUB")</f>
        <v>#N/A</v>
      </c>
      <c r="W15" s="46" t="e">
        <f t="shared" si="6"/>
        <v>#N/A</v>
      </c>
      <c r="X15" s="57"/>
      <c r="Y15" s="56"/>
      <c r="Z15" s="56"/>
      <c r="AA15" s="56"/>
      <c r="AB15" s="46">
        <f t="shared" si="1"/>
        <v>0</v>
      </c>
      <c r="AC15" s="55" t="e">
        <f>SUMIFS( INDEX( 'ETPT Format DDG'!$A:$FA,,MATCH("3.2. PROTECTION DES MAJEURS",'ETPT Format DDG'!2:2,0)),'ETPT Format DDG'!$C:$C,$D$5,'ETPT Format DDG'!$FA:$FA,"Magistrat placé SUB")</f>
        <v>#N/A</v>
      </c>
      <c r="AD15" s="53" t="e">
        <f>SUMIFS( INDEX( 'ETPT Format DDG'!$A:$FA,,MATCH("3. TOTAL CONTENTIEUX DE LA PROTECTION",'ETPT Format DDG'!2:2,0)),'ETPT Format DDG'!$C:$C,$D$5,'ETPT Format DDG'!$FA:$FA,"Magistrat placé SUB")-
SUMIFS( INDEX( 'ETPT Format DDG'!$A:$FA,,MATCH("3.2. PROTECTION DES MAJEURS",'ETPT Format DDG'!2:2,0)),'ETPT Format DDG'!$C:$C,$D$5,'ETPT Format DDG'!$FA:$FA,"Magistrat placé SUB")-
SUMIFS( INDEX( 'ETPT Format DDG'!$A:$FA,,MATCH("3.43. INJONCTIONS DE PAYER",'ETPT Format DDG'!2:2,0)),'ETPT Format DDG'!$C:$C,$D$5,'ETPT Format DDG'!$FA:$FA,"Magistrat placé SUB")-
SUMIFS( INDEX( 'ETPT Format DDG'!$A:$FA,,MATCH("3.44. SAISIE DES RÉMUNÉRATIONS",'ETPT Format DDG'!2:2,0)),'ETPT Format DDG'!$C:$C,$D$5,'ETPT Format DDG'!$FA:$FA,"Magistrat placé SUB")</f>
        <v>#N/A</v>
      </c>
      <c r="AE15" s="161" t="e">
        <f>SUMIFS( INDEX( 'ETPT Format DDG'!$A:$FA,,MATCH("8.1. SERVICE GÉNÉRAL",'ETPT Format DDG'!2:2,0)),'ETPT Format DDG'!$C:$C,$D$5,'ETPT Format DDG'!$FA:$FA,"Magistrat placé SUB")</f>
        <v>#N/A</v>
      </c>
      <c r="AF15" s="161" t="e">
        <f>SUMIFS( INDEX( 'ETPT Format DDG'!$A:$FA,,MATCH("8.2. JIRS ÉCO-FI",'ETPT Format DDG'!2:2,0)),'ETPT Format DDG'!$C:$C,$D$5,'ETPT Format DDG'!$FA:$FA,"Magistrat placé SUB")</f>
        <v>#N/A</v>
      </c>
      <c r="AG15" s="161" t="e">
        <f>SUMIFS( INDEX( 'ETPT Format DDG'!$A:$FA,,MATCH("8.3. JIRS CRIM-ORG",'ETPT Format DDG'!2:2,0)),'ETPT Format DDG'!$C:$C,$D$5,'ETPT Format DDG'!$FA:$FA,"Magistrat placé SUB")</f>
        <v>#N/A</v>
      </c>
      <c r="AH15" s="161" t="e">
        <f>SUMIFS( INDEX( 'ETPT Format DDG'!$A:$FA,,MATCH("8.4. AUTRES SECTIONS SPÉCIALISÉES",'ETPT Format DDG'!2:2,0)),'ETPT Format DDG'!$C:$C,$D$5,'ETPT Format DDG'!$FA:$FA,"Magistrat placé SUB")</f>
        <v>#N/A</v>
      </c>
      <c r="AI15" s="161" t="e">
        <f>SUMIFS( INDEX( 'ETPT Format DDG'!$A:$FA,,MATCH("9. TOTAL JAP",'ETPT Format DDG'!2:2,0)),'ETPT Format DDG'!$C:$C,$D$5,'ETPT Format DDG'!$FA:$FA,"Magistrat placé SUB")</f>
        <v>#N/A</v>
      </c>
      <c r="AJ15" s="161" t="e">
        <f>SUMIFS( INDEX( 'ETPT Format DDG'!$A:$FA,,MATCH("6.1. ACTIVITÉ CIVILE",'ETPT Format DDG'!2:2,0)),'ETPT Format DDG'!$C:$C,$D$5,'ETPT Format DDG'!$FA:$FA,"Magistrat placé SUB")+
SUMIFS( INDEX( 'ETPT Format DDG'!$A:$FA,,MATCH("6.2. ACTIVITÉ PÉNALE",'ETPT Format DDG'!2:2,0)),'ETPT Format DDG'!$C:$C,$D$5,'ETPT Format DDG'!$FA:$FA,"Magistrat placé SUB")</f>
        <v>#N/A</v>
      </c>
      <c r="AK15" s="161" t="e">
        <f>SUMIFS( INDEX( 'ETPT Format DDG'!$A:$FA,,MATCH("5. TOTAL JLD CIVIL",'ETPT Format DDG'!2:2,0)),'ETPT Format DDG'!$C:$C,$D$5,'ETPT Format DDG'!$FA:$FA,"Magistrat placé SUB")+
SUMIFS( INDEX( 'ETPT Format DDG'!$A:$FA,,MATCH("10. TOTAL JLD PÉNAL",'ETPT Format DDG'!2:2,0)),'ETPT Format DDG'!$C:$C,$D$5,'ETPT Format DDG'!$FA:$FA,"Magistrat placé SUB")</f>
        <v>#N/A</v>
      </c>
      <c r="AL15" s="46" t="e">
        <f t="shared" si="2"/>
        <v>#N/A</v>
      </c>
      <c r="AM15" s="161" t="e">
        <f>SUMIFS( INDEX( 'ETPT Format DDG'!$A:$FA,,MATCH("7.5. COUR D'ASSISES HORS JIRS",'ETPT Format DDG'!2:2,0)),'ETPT Format DDG'!$C:$C,$D$5,'ETPT Format DDG'!$FA:$FA,"Magistrat placé SUB")+
SUMIFS( INDEX( 'ETPT Format DDG'!$A:$FA,,MATCH("7.51. COUR D'ASSISES JIRS",'ETPT Format DDG'!2:2,0)),'ETPT Format DDG'!$C:$C,$D$5,'ETPT Format DDG'!$FA:$FA,"Magistrat placé SUB")</f>
        <v>#N/A</v>
      </c>
      <c r="AN15" s="161" t="e">
        <f>SUMIFS( INDEX( 'ETPT Format DDG'!$A:$FA,,MATCH("7.52. COUR CRIMINELLE",'ETPT Format DDG'!2:2,0)),'ETPT Format DDG'!$C:$C,$D$5,'ETPT Format DDG'!$FA:$FA,"Magistrat placé SUB")</f>
        <v>#N/A</v>
      </c>
      <c r="AO15" s="161" t="e">
        <f>SUMIFS( INDEX( 'ETPT Format DDG'!$A:$FA,,MATCH("7.121. COLLÉGIALES JIRS ECO-FI",'ETPT Format DDG'!2:2,0)),'ETPT Format DDG'!$C:$C,$D$5,'ETPT Format DDG'!$FA:$FA,"Magistrat placé SUB")</f>
        <v>#N/A</v>
      </c>
      <c r="AP15" s="161" t="e">
        <f>SUMIFS( INDEX( 'ETPT Format DDG'!$A:$FA,,MATCH("7.12. COLLÉGIALES JIRS CRIM-ORG",'ETPT Format DDG'!2:2,0)),'ETPT Format DDG'!$C:$C,$D$5,'ETPT Format DDG'!$FA:$FA,"Magistrat placé SUB")</f>
        <v>#N/A</v>
      </c>
      <c r="AQ15" s="161" t="e">
        <f>SUMIFS( INDEX( 'ETPT Format DDG'!$A:$FA,,MATCH("7.122. COLLÉGIALES AUTRES SECTIONS SPÉCIALISÉES",'ETPT Format DDG'!2:2,0)),'ETPT Format DDG'!$C:$C,$D$5,'ETPT Format DDG'!$FA:$FA,"Magistrat placé SUB")</f>
        <v>#N/A</v>
      </c>
      <c r="AR15" s="161" t="e">
        <f>SUMIFS( INDEX( 'ETPT Format DDG'!$A:$FA,,MATCH("7.6. TRIBUNAL DE POLICE",'ETPT Format DDG'!2:2,0)),'ETPT Format DDG'!$C:$C,$D$5,'ETPT Format DDG'!$FA:$FA,"Magistrat placé SUB")+
SUMIFS( INDEX( 'ETPT Format DDG'!$A:$FA,,MATCH("7.7. OP CONTRAVENTIONNELLES",'ETPT Format DDG'!2:2,0)),'ETPT Format DDG'!$C:$C,$D$5,'ETPT Format DDG'!$FA:$FA,"Magistrat placé SUB")</f>
        <v>#N/A</v>
      </c>
      <c r="AS15" s="53" t="e">
        <f>SUMIFS( INDEX( 'ETPT Format DDG'!$A:$FA,,MATCH("1.1. DÉPARTAGE PRUD'HOMAL",'ETPT Format DDG'!2:2,0)),'ETPT Format DDG'!$C:$C,$D$5,'ETPT Format DDG'!$FA:$FA,"Magistrat placé SUB")</f>
        <v>#N/A</v>
      </c>
      <c r="AT15" s="53" t="e">
        <f>SUMIFS( INDEX( 'ETPT Format DDG'!$A:$FA,,MATCH("4.0. CONTENTIEUX GÉNÉRAL &lt;10.000€",'ETPT Format DDG'!2:2,0)),'ETPT Format DDG'!$C:$C,$D$5,'ETPT Format DDG'!$FA:$FA,"Magistrat placé SUB")</f>
        <v>#N/A</v>
      </c>
      <c r="AU15" s="53" t="e">
        <f>SUMIFS( INDEX( 'ETPT Format DDG'!$A:$FA,,MATCH("3.43. INJONCTIONS DE PAYER",'ETPT Format DDG'!2:2,0)),'ETPT Format DDG'!$C:$C,$D$5,'ETPT Format DDG'!$FA:$FA,"Magistrat placé SUB")+
SUMIFS( INDEX( 'ETPT Format DDG'!$A:$FA,,MATCH("3.44. SAISIE DES RÉMUNÉRATIONS",'ETPT Format DDG'!2:2,0)),'ETPT Format DDG'!$C:$C,$D$5,'ETPT Format DDG'!$FA:$FA,"Magistrat placé SUB")</f>
        <v>#N/A</v>
      </c>
      <c r="AV15" s="53" t="e">
        <f>SUMIFS( INDEX( 'ETPT Format DDG'!$A:$FA,,MATCH("1. TOTAL CONTENTIEUX SOCIAL",'ETPT Format DDG'!2:2,0)),'ETPT Format DDG'!$C:$C,$D$5,'ETPT Format DDG'!$FA:$FA,"Magistrat placé SUB")-
SUMIFS( INDEX( 'ETPT Format DDG'!$A:$FA,,MATCH("1.1. DÉPARTAGE PRUD'HOMAL",'ETPT Format DDG'!2:2,0)),'ETPT Format DDG'!$C:$C,$D$5,'ETPT Format DDG'!$FA:$FA,"Magistrat placé SUB")</f>
        <v>#N/A</v>
      </c>
      <c r="AW15" s="161" t="e">
        <f>SUMIFS( INDEX( 'ETPT Format DDG'!$A:$FA,,MATCH("2. TOTAL CONTENTIEUX JAF",'ETPT Format DDG'!2:2,0)),'ETPT Format DDG'!$C:$C,$D$5,'ETPT Format DDG'!$FA:$FA,"Magistrat placé SUB")</f>
        <v>#N/A</v>
      </c>
      <c r="AX15" s="54"/>
      <c r="AY15" s="53" t="e">
        <f>SUMIFS( INDEX( 'ETPT Format DDG'!$A:$FA,,MATCH("ETPT sur la période hors indisponibilités",'ETPT Format DDG'!2:2,0)),'ETPT Format DDG'!$C:$C,$D$5,'ETPT Format DDG'!$FA:$FA,"Magistrat placé SUB")-SUM(AC15:AK15)-SUM(AM15:AX15)</f>
        <v>#N/A</v>
      </c>
      <c r="AZ15" s="46" t="e">
        <f t="shared" si="3"/>
        <v>#N/A</v>
      </c>
      <c r="BA15" s="52"/>
      <c r="BB15" s="52"/>
      <c r="BC15" s="52"/>
      <c r="BD15" s="52"/>
      <c r="BE15" s="52"/>
      <c r="BF15" s="52"/>
      <c r="BG15" s="52"/>
      <c r="BH15" s="52"/>
      <c r="BI15" s="52"/>
      <c r="BJ15" s="46">
        <f t="shared" si="4"/>
        <v>0</v>
      </c>
    </row>
    <row r="16" spans="1:62" s="41" customFormat="1" ht="14.25" customHeight="1" x14ac:dyDescent="0.15">
      <c r="A16" s="51"/>
      <c r="B16" s="50"/>
      <c r="C16" s="50"/>
      <c r="D16" s="50"/>
      <c r="E16" s="50"/>
      <c r="F16" s="49" t="s">
        <v>39</v>
      </c>
      <c r="G16" s="47" t="e">
        <f t="shared" ref="G16:AL16" si="7">SUM(G5:G15)</f>
        <v>#N/A</v>
      </c>
      <c r="H16" s="46" t="e">
        <f>SUM(H5:H15)</f>
        <v>#N/A</v>
      </c>
      <c r="I16" s="47" t="e">
        <f t="shared" si="7"/>
        <v>#N/A</v>
      </c>
      <c r="J16" s="47" t="e">
        <f t="shared" si="7"/>
        <v>#N/A</v>
      </c>
      <c r="K16" s="47" t="e">
        <f t="shared" si="7"/>
        <v>#N/A</v>
      </c>
      <c r="L16" s="48" t="e">
        <f t="shared" si="7"/>
        <v>#N/A</v>
      </c>
      <c r="M16" s="47" t="e">
        <f t="shared" si="7"/>
        <v>#N/A</v>
      </c>
      <c r="N16" s="47" t="e">
        <f t="shared" si="7"/>
        <v>#N/A</v>
      </c>
      <c r="O16" s="47" t="e">
        <f t="shared" si="7"/>
        <v>#N/A</v>
      </c>
      <c r="P16" s="47" t="e">
        <f t="shared" si="7"/>
        <v>#N/A</v>
      </c>
      <c r="Q16" s="47" t="e">
        <f t="shared" si="7"/>
        <v>#N/A</v>
      </c>
      <c r="R16" s="47" t="e">
        <f t="shared" si="7"/>
        <v>#N/A</v>
      </c>
      <c r="S16" s="47" t="e">
        <f t="shared" si="7"/>
        <v>#N/A</v>
      </c>
      <c r="T16" s="47" t="e">
        <f t="shared" si="7"/>
        <v>#N/A</v>
      </c>
      <c r="U16" s="47" t="e">
        <f t="shared" si="7"/>
        <v>#N/A</v>
      </c>
      <c r="V16" s="47" t="e">
        <f t="shared" si="7"/>
        <v>#N/A</v>
      </c>
      <c r="W16" s="46" t="e">
        <f t="shared" si="7"/>
        <v>#N/A</v>
      </c>
      <c r="X16" s="47" t="e">
        <f t="shared" si="7"/>
        <v>#N/A</v>
      </c>
      <c r="Y16" s="47" t="e">
        <f t="shared" si="7"/>
        <v>#N/A</v>
      </c>
      <c r="Z16" s="47" t="e">
        <f t="shared" si="7"/>
        <v>#N/A</v>
      </c>
      <c r="AA16" s="47" t="e">
        <f t="shared" si="7"/>
        <v>#N/A</v>
      </c>
      <c r="AB16" s="46" t="e">
        <f t="shared" si="7"/>
        <v>#N/A</v>
      </c>
      <c r="AC16" s="47" t="e">
        <f t="shared" si="7"/>
        <v>#N/A</v>
      </c>
      <c r="AD16" s="47" t="e">
        <f t="shared" si="7"/>
        <v>#N/A</v>
      </c>
      <c r="AE16" s="47" t="e">
        <f t="shared" si="7"/>
        <v>#N/A</v>
      </c>
      <c r="AF16" s="47" t="e">
        <f t="shared" si="7"/>
        <v>#N/A</v>
      </c>
      <c r="AG16" s="47" t="e">
        <f t="shared" si="7"/>
        <v>#N/A</v>
      </c>
      <c r="AH16" s="47" t="e">
        <f t="shared" si="7"/>
        <v>#N/A</v>
      </c>
      <c r="AI16" s="47" t="e">
        <f t="shared" si="7"/>
        <v>#N/A</v>
      </c>
      <c r="AJ16" s="47" t="e">
        <f t="shared" si="7"/>
        <v>#N/A</v>
      </c>
      <c r="AK16" s="47" t="e">
        <f t="shared" si="7"/>
        <v>#N/A</v>
      </c>
      <c r="AL16" s="46" t="e">
        <f t="shared" si="7"/>
        <v>#N/A</v>
      </c>
      <c r="AM16" s="47" t="e">
        <f t="shared" ref="AM16:BJ16" si="8">SUM(AM5:AM15)</f>
        <v>#N/A</v>
      </c>
      <c r="AN16" s="47" t="e">
        <f t="shared" si="8"/>
        <v>#N/A</v>
      </c>
      <c r="AO16" s="47" t="e">
        <f t="shared" si="8"/>
        <v>#N/A</v>
      </c>
      <c r="AP16" s="47" t="e">
        <f t="shared" si="8"/>
        <v>#N/A</v>
      </c>
      <c r="AQ16" s="47" t="e">
        <f t="shared" si="8"/>
        <v>#N/A</v>
      </c>
      <c r="AR16" s="47" t="e">
        <f t="shared" si="8"/>
        <v>#N/A</v>
      </c>
      <c r="AS16" s="47" t="e">
        <f t="shared" si="8"/>
        <v>#N/A</v>
      </c>
      <c r="AT16" s="47" t="e">
        <f t="shared" si="8"/>
        <v>#N/A</v>
      </c>
      <c r="AU16" s="47" t="e">
        <f t="shared" si="8"/>
        <v>#N/A</v>
      </c>
      <c r="AV16" s="47" t="e">
        <f t="shared" si="8"/>
        <v>#N/A</v>
      </c>
      <c r="AW16" s="47" t="e">
        <f t="shared" si="8"/>
        <v>#N/A</v>
      </c>
      <c r="AX16" s="47" t="e">
        <f t="shared" si="8"/>
        <v>#N/A</v>
      </c>
      <c r="AY16" s="47" t="e">
        <f t="shared" si="8"/>
        <v>#N/A</v>
      </c>
      <c r="AZ16" s="46" t="e">
        <f t="shared" si="8"/>
        <v>#N/A</v>
      </c>
      <c r="BA16" s="47">
        <f t="shared" si="8"/>
        <v>0</v>
      </c>
      <c r="BB16" s="47">
        <f t="shared" si="8"/>
        <v>0</v>
      </c>
      <c r="BC16" s="47">
        <f t="shared" si="8"/>
        <v>0</v>
      </c>
      <c r="BD16" s="47">
        <f t="shared" si="8"/>
        <v>0</v>
      </c>
      <c r="BE16" s="47">
        <f t="shared" si="8"/>
        <v>0</v>
      </c>
      <c r="BF16" s="47">
        <f t="shared" si="8"/>
        <v>0</v>
      </c>
      <c r="BG16" s="47">
        <f t="shared" si="8"/>
        <v>0</v>
      </c>
      <c r="BH16" s="47">
        <f t="shared" si="8"/>
        <v>0</v>
      </c>
      <c r="BI16" s="47">
        <f t="shared" si="8"/>
        <v>0</v>
      </c>
      <c r="BJ16" s="46">
        <f t="shared" si="8"/>
        <v>0</v>
      </c>
    </row>
    <row r="17" spans="1:62" s="41" customFormat="1" ht="9" customHeight="1" x14ac:dyDescent="0.15">
      <c r="A17" s="45"/>
      <c r="B17" s="44"/>
      <c r="C17" s="44"/>
      <c r="D17" s="44"/>
      <c r="E17" s="44"/>
      <c r="F17" s="43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</row>
    <row r="18" spans="1:62" x14ac:dyDescent="0.2">
      <c r="W18" s="40" t="e">
        <f>H16+W16-W14-H14-H15-W15+ETPT_CPH!G5</f>
        <v>#N/A</v>
      </c>
      <c r="AZ18" s="40" t="e">
        <f>AZ16+AL16-AZ14-AL14</f>
        <v>#N/A</v>
      </c>
    </row>
    <row r="19" spans="1:62" x14ac:dyDescent="0.2">
      <c r="D19" s="39" t="s">
        <v>174</v>
      </c>
      <c r="AZ19" s="38"/>
    </row>
    <row r="20" spans="1:62" ht="28" x14ac:dyDescent="0.2">
      <c r="F20" s="301" t="s">
        <v>390</v>
      </c>
      <c r="G20" s="232" t="e">
        <f>SUMIFS( INDEX( 'ETPT Format DDG'!$A:$FA,,MATCH("12. TOTAL des INDISPONIBILITÉS relevant de l'action 99",'ETPT Format DDG'!2:2,0)),'ETPT Format DDG'!$C:$C,$D$5,'ETPT Format DDG'!$FA:$FA,"Fonctionnaire CTECH placé ADD")+
SUMIFS( INDEX( 'ETPT Format DDG'!$A:$FA,,MATCH("12. TOTAL des INDISPONIBILITÉS relevant de l'action 99",'ETPT Format DDG'!2:2,0)),'ETPT Format DDG'!$C:$C,$D$5,'ETPT Format DDG'!$FA:$FA,"Fonctionnaire CTECH placé SUB")</f>
        <v>#N/A</v>
      </c>
      <c r="U20" s="302" t="s">
        <v>392</v>
      </c>
      <c r="V20" s="232" t="e">
        <f>SUMIFS( INDEX( 'ETPT Format DDG'!$A:$FA,,MATCH("12. TOTAL des INDISPONIBILITÉS relevant de l'action 99",'ETPT Format DDG'!2:2,0)),'ETPT Format DDG'!$C:$C,$D$5,'ETPT Format DDG'!$FA:$FA,"Fonctionnaire A-B-CBUR placé SUB")+
SUMIFS( INDEX( 'ETPT Format DDG'!$A:$FA,,MATCH("12. TOTAL des INDISPONIBILITÉS relevant de l'action 99",'ETPT Format DDG'!2:2,0)),'ETPT Format DDG'!$C:$C,$D$5,'ETPT Format DDG'!$FA:$FA,"Fonctionnaire A-B-CBUR placé ADD")</f>
        <v>#N/A</v>
      </c>
      <c r="W20" s="38"/>
      <c r="AX20" s="300" t="s">
        <v>388</v>
      </c>
      <c r="AY20" s="174" t="e">
        <f>SUMIFS( INDEX( 'ETPT Format DDG'!$A:$FA,,MATCH("12. TOTAL des INDISPONIBILITÉS relevant de l'action 99",'ETPT Format DDG'!2:2,0)),'ETPT Format DDG'!$C:$C,$D$5,'ETPT Format DDG'!$FA:$FA,"Magistrat placé ADD")+
SUMIFS( INDEX( 'ETPT Format DDG'!$A:$FA,,MATCH("12. TOTAL des INDISPONIBILITÉS relevant de l'action 99",'ETPT Format DDG'!2:2,0)),'ETPT Format DDG'!$C:$C,$D$5,'ETPT Format DDG'!$FA:$FA,"Magistrat placé SUB")</f>
        <v>#N/A</v>
      </c>
      <c r="AZ20" s="38"/>
    </row>
    <row r="21" spans="1:62" x14ac:dyDescent="0.2">
      <c r="W21" s="38"/>
      <c r="AY21" s="38"/>
    </row>
    <row r="22" spans="1:62" x14ac:dyDescent="0.2">
      <c r="AH22" s="38"/>
    </row>
    <row r="24" spans="1:62" x14ac:dyDescent="0.2">
      <c r="V24" s="38"/>
    </row>
  </sheetData>
  <mergeCells count="7">
    <mergeCell ref="BJ2:BJ4"/>
    <mergeCell ref="B1:I1"/>
    <mergeCell ref="H2:H4"/>
    <mergeCell ref="W2:W4"/>
    <mergeCell ref="AB2:AB4"/>
    <mergeCell ref="AL2:AL4"/>
    <mergeCell ref="AZ2:AZ4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DF550-3CE0-D840-A4B2-BC367E623A92}">
  <sheetPr codeName="Feuil10">
    <tabColor rgb="FFFFC000"/>
  </sheetPr>
  <dimension ref="A1:AI19"/>
  <sheetViews>
    <sheetView zoomScale="141" zoomScaleNormal="100" workbookViewId="0">
      <pane xSplit="6" ySplit="1" topLeftCell="AD2" activePane="bottomRight" state="frozen"/>
      <selection pane="topRight" activeCell="G1" sqref="G1"/>
      <selection pane="bottomLeft" activeCell="A2" sqref="A2"/>
      <selection pane="bottomRight" activeCell="AG10" sqref="AG10"/>
    </sheetView>
  </sheetViews>
  <sheetFormatPr baseColWidth="10" defaultColWidth="11" defaultRowHeight="16" x14ac:dyDescent="0.2"/>
  <cols>
    <col min="1" max="3" width="11" style="37" hidden="1" customWidth="1"/>
    <col min="4" max="5" width="11" style="37"/>
    <col min="6" max="6" width="46.33203125" style="37" bestFit="1" customWidth="1"/>
    <col min="7" max="16384" width="11" style="37"/>
  </cols>
  <sheetData>
    <row r="1" spans="1:35" x14ac:dyDescent="0.2">
      <c r="A1" s="348" t="s">
        <v>217</v>
      </c>
      <c r="B1" s="348"/>
      <c r="C1" s="348"/>
      <c r="D1" s="348"/>
      <c r="E1" s="348"/>
      <c r="F1" s="348"/>
      <c r="G1" s="348"/>
      <c r="H1" s="348"/>
      <c r="I1" s="41"/>
      <c r="J1" s="41"/>
      <c r="K1" s="41"/>
      <c r="L1" s="41"/>
      <c r="M1" s="41"/>
      <c r="N1" s="41"/>
      <c r="O1" s="119"/>
      <c r="P1" s="119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119"/>
      <c r="AC1" s="119"/>
      <c r="AD1" s="41"/>
      <c r="AE1" s="41"/>
      <c r="AF1" s="41"/>
      <c r="AG1" s="41"/>
      <c r="AH1" s="41"/>
      <c r="AI1" s="41"/>
    </row>
    <row r="2" spans="1:35" x14ac:dyDescent="0.2">
      <c r="A2" s="87"/>
      <c r="B2" s="87"/>
      <c r="C2" s="87"/>
      <c r="D2" s="87"/>
      <c r="E2" s="87"/>
      <c r="F2" s="87"/>
      <c r="G2" s="84" t="s">
        <v>172</v>
      </c>
      <c r="H2" s="346" t="s">
        <v>171</v>
      </c>
      <c r="I2" s="84" t="s">
        <v>170</v>
      </c>
      <c r="J2" s="84" t="s">
        <v>170</v>
      </c>
      <c r="K2" s="84" t="s">
        <v>170</v>
      </c>
      <c r="L2" s="84" t="s">
        <v>170</v>
      </c>
      <c r="M2" s="84" t="s">
        <v>170</v>
      </c>
      <c r="N2" s="84" t="s">
        <v>170</v>
      </c>
      <c r="O2" s="120" t="s">
        <v>170</v>
      </c>
      <c r="P2" s="120" t="s">
        <v>170</v>
      </c>
      <c r="Q2" s="84" t="s">
        <v>170</v>
      </c>
      <c r="R2" s="84" t="s">
        <v>170</v>
      </c>
      <c r="S2" s="346" t="s">
        <v>169</v>
      </c>
      <c r="T2" s="84" t="s">
        <v>38</v>
      </c>
      <c r="U2" s="346" t="s">
        <v>168</v>
      </c>
      <c r="V2" s="84" t="s">
        <v>167</v>
      </c>
      <c r="W2" s="84" t="s">
        <v>167</v>
      </c>
      <c r="X2" s="84" t="s">
        <v>167</v>
      </c>
      <c r="Y2" s="84" t="s">
        <v>167</v>
      </c>
      <c r="Z2" s="84" t="s">
        <v>167</v>
      </c>
      <c r="AA2" s="84" t="s">
        <v>167</v>
      </c>
      <c r="AB2" s="120" t="s">
        <v>167</v>
      </c>
      <c r="AC2" s="120" t="s">
        <v>167</v>
      </c>
      <c r="AD2" s="84" t="s">
        <v>167</v>
      </c>
      <c r="AE2" s="346" t="s">
        <v>216</v>
      </c>
      <c r="AF2" s="84" t="s">
        <v>215</v>
      </c>
      <c r="AG2" s="84" t="s">
        <v>215</v>
      </c>
      <c r="AH2" s="84" t="s">
        <v>215</v>
      </c>
      <c r="AI2" s="346" t="s">
        <v>214</v>
      </c>
    </row>
    <row r="3" spans="1:35" ht="36" x14ac:dyDescent="0.2">
      <c r="A3" s="87"/>
      <c r="B3" s="87"/>
      <c r="C3" s="87"/>
      <c r="D3" s="87"/>
      <c r="E3" s="87"/>
      <c r="F3" s="87"/>
      <c r="G3" s="84" t="s">
        <v>161</v>
      </c>
      <c r="H3" s="346"/>
      <c r="I3" s="84" t="s">
        <v>213</v>
      </c>
      <c r="J3" s="84" t="s">
        <v>212</v>
      </c>
      <c r="K3" s="84" t="s">
        <v>211</v>
      </c>
      <c r="L3" s="84" t="s">
        <v>210</v>
      </c>
      <c r="M3" s="84" t="s">
        <v>209</v>
      </c>
      <c r="N3" s="84" t="s">
        <v>208</v>
      </c>
      <c r="O3" s="120" t="s">
        <v>207</v>
      </c>
      <c r="P3" s="120" t="s">
        <v>206</v>
      </c>
      <c r="Q3" s="84" t="s">
        <v>205</v>
      </c>
      <c r="R3" s="84" t="s">
        <v>148</v>
      </c>
      <c r="S3" s="346"/>
      <c r="T3" s="84" t="s">
        <v>145</v>
      </c>
      <c r="U3" s="346"/>
      <c r="V3" s="84" t="s">
        <v>204</v>
      </c>
      <c r="W3" s="84" t="s">
        <v>203</v>
      </c>
      <c r="X3" s="84" t="s">
        <v>202</v>
      </c>
      <c r="Y3" s="84" t="s">
        <v>201</v>
      </c>
      <c r="Z3" s="84" t="s">
        <v>200</v>
      </c>
      <c r="AA3" s="84" t="s">
        <v>199</v>
      </c>
      <c r="AB3" s="120" t="s">
        <v>198</v>
      </c>
      <c r="AC3" s="120" t="s">
        <v>197</v>
      </c>
      <c r="AD3" s="84" t="s">
        <v>196</v>
      </c>
      <c r="AE3" s="346"/>
      <c r="AF3" s="84" t="s">
        <v>195</v>
      </c>
      <c r="AG3" s="84" t="s">
        <v>131</v>
      </c>
      <c r="AH3" s="84" t="s">
        <v>125</v>
      </c>
      <c r="AI3" s="346"/>
    </row>
    <row r="4" spans="1:35" ht="60" x14ac:dyDescent="0.2">
      <c r="A4" s="87"/>
      <c r="B4" s="85" t="s">
        <v>115</v>
      </c>
      <c r="C4" s="85" t="s">
        <v>114</v>
      </c>
      <c r="D4" s="85" t="s">
        <v>32</v>
      </c>
      <c r="E4" s="85" t="s">
        <v>113</v>
      </c>
      <c r="F4" s="85" t="s">
        <v>112</v>
      </c>
      <c r="G4" s="84" t="s">
        <v>111</v>
      </c>
      <c r="H4" s="346"/>
      <c r="I4" s="84" t="s">
        <v>194</v>
      </c>
      <c r="J4" s="84" t="s">
        <v>193</v>
      </c>
      <c r="K4" s="84" t="s">
        <v>192</v>
      </c>
      <c r="L4" s="84" t="s">
        <v>191</v>
      </c>
      <c r="M4" s="84" t="s">
        <v>190</v>
      </c>
      <c r="N4" s="84" t="s">
        <v>189</v>
      </c>
      <c r="O4" s="120" t="s">
        <v>188</v>
      </c>
      <c r="P4" s="120" t="s">
        <v>187</v>
      </c>
      <c r="Q4" s="84" t="s">
        <v>186</v>
      </c>
      <c r="R4" s="84" t="s">
        <v>97</v>
      </c>
      <c r="S4" s="346"/>
      <c r="T4" s="84" t="s">
        <v>93</v>
      </c>
      <c r="U4" s="346"/>
      <c r="V4" s="84" t="s">
        <v>185</v>
      </c>
      <c r="W4" s="84" t="s">
        <v>184</v>
      </c>
      <c r="X4" s="84" t="s">
        <v>183</v>
      </c>
      <c r="Y4" s="84" t="s">
        <v>182</v>
      </c>
      <c r="Z4" s="84" t="s">
        <v>181</v>
      </c>
      <c r="AA4" s="84" t="s">
        <v>180</v>
      </c>
      <c r="AB4" s="120" t="s">
        <v>179</v>
      </c>
      <c r="AC4" s="120" t="s">
        <v>178</v>
      </c>
      <c r="AD4" s="84" t="s">
        <v>177</v>
      </c>
      <c r="AE4" s="346"/>
      <c r="AF4" s="84" t="s">
        <v>176</v>
      </c>
      <c r="AG4" s="84" t="s">
        <v>78</v>
      </c>
      <c r="AH4" s="84" t="s">
        <v>72</v>
      </c>
      <c r="AI4" s="346"/>
    </row>
    <row r="5" spans="1:35" x14ac:dyDescent="0.2">
      <c r="A5" s="90" t="s">
        <v>175</v>
      </c>
      <c r="B5" s="62"/>
      <c r="C5" s="62"/>
      <c r="D5" s="78">
        <f>ETPT_TPRX_DDG!$D$5</f>
        <v>0</v>
      </c>
      <c r="E5" s="62" t="s">
        <v>62</v>
      </c>
      <c r="F5" s="62" t="s">
        <v>61</v>
      </c>
      <c r="G5" s="66" t="e">
        <f>SUMIFS( INDEX( 'ETPT Format DDG'!$A:$FA,,MATCH("Temps ventilés sur la période (contentieux civils et sociaux)",'ETPT Format DDG'!2:2,0)),'ETPT Format DDG'!$C:$C,$D$5,'ETPT Format DDG'!$FA:$FA,"Fonctionnaire CTECH")</f>
        <v>#N/A</v>
      </c>
      <c r="H5" s="91" t="e">
        <f t="shared" ref="H5:H15" si="0">SUM(G5)</f>
        <v>#N/A</v>
      </c>
      <c r="I5" s="92"/>
      <c r="J5" s="58" t="e">
        <f>SUMIFS( INDEX( 'ETPT Format DDG'!$A:$FA,,MATCH("3.43. INJONCTIONS DE PAYER",'ETPT Format DDG'!2:2,0)),'ETPT Format DDG'!$C:$C,$D$5,'ETPT Format DDG'!$FA:$FA,"Fonctionnaire A-B-CBUR")+
SUMIFS( INDEX( 'ETPT Format DDG'!$A:$FA,,MATCH("3.44. SAISIE DES RÉMUNÉRATIONS",'ETPT Format DDG'!2:2,0)),'ETPT Format DDG'!$C:$C,$D$5,'ETPT Format DDG'!$FA:$FA,"Fonctionnaire A-B-CBUR")</f>
        <v>#N/A</v>
      </c>
      <c r="K5" s="58" t="e">
        <f>SUMIFS( INDEX( 'ETPT Format DDG'!$A:$FA,,MATCH("3. TOTAL CONTENTIEUX DE LA PROTECTION",'ETPT Format DDG'!2:2,0)),'ETPT Format DDG'!$C:$C,$D$5,'ETPT Format DDG'!$FA:$FA,"Fonctionnaire A-B-CBUR")-
SUMIFS( INDEX( 'ETPT Format DDG'!$A:$FA,,MATCH("3.2. PROTECTION DES MAJEURS",'ETPT Format DDG'!2:2,0)),'ETPT Format DDG'!$C:$C,$D$5,'ETPT Format DDG'!$FA:$FA,"Fonctionnaire A-B-CBUR")-
SUMIFS( INDEX( 'ETPT Format DDG'!$A:$FA,,MATCH("3.43. INJONCTIONS DE PAYER",'ETPT Format DDG'!2:2,0)),'ETPT Format DDG'!$C:$C,$D$5,'ETPT Format DDG'!$FA:$FA,"Fonctionnaire A-B-CBUR")-
SUMIFS( INDEX( 'ETPT Format DDG'!$A:$FA,,MATCH("3.44. SAISIE DES RÉMUNÉRATIONS",'ETPT Format DDG'!2:2,0)),'ETPT Format DDG'!$C:$C,$D$5,'ETPT Format DDG'!$FA:$FA,"Fonctionnaire A-B-CBUR")</f>
        <v>#N/A</v>
      </c>
      <c r="L5" s="58" t="e">
        <f>SUMIFS( INDEX( 'ETPT Format DDG'!$A:$FA,,MATCH("3.2. PROTECTION DES MAJEURS",'ETPT Format DDG'!2:2,0)),'ETPT Format DDG'!$C:$C,$D$5,'ETPT Format DDG'!$FA:$FA,"Fonctionnaire A-B-CBUR")</f>
        <v>#N/A</v>
      </c>
      <c r="M5" s="160"/>
      <c r="N5" s="160"/>
      <c r="O5" s="54"/>
      <c r="P5" s="54"/>
      <c r="Q5" s="63"/>
      <c r="R5" s="53" t="e">
        <f>SUMIFS( INDEX( 'ETPT Format DDG'!$A:$FA,,MATCH("Temps ventilés sur la période (contentieux civils et sociaux)",'ETPT Format DDG'!2:2,0)),'ETPT Format DDG'!$C:$C,$D$5,'ETPT Format DDG'!$FA:$FA,"Fonctionnaire A-B-CBUR")-SUM(I5:Q5)</f>
        <v>#N/A</v>
      </c>
      <c r="S5" s="46" t="e">
        <f t="shared" ref="S5:S15" si="1">SUM(I5:R5)</f>
        <v>#N/A</v>
      </c>
      <c r="T5" s="76" t="e">
        <f>SUMIFS( INDEX( 'ETPT Format DDG'!$A:$FA,,MATCH("Temps ventilés sur la période (contentieux civils et sociaux)",'ETPT Format DDG'!2:2,0)),'ETPT Format DDG'!$C:$C,$D$5,'ETPT Format DDG'!$FA:$FA,"JURISTE AS siège Autres")</f>
        <v>#N/A</v>
      </c>
      <c r="U5" s="46" t="e">
        <f t="shared" ref="U5:U15" si="2">SUM(T5)</f>
        <v>#N/A</v>
      </c>
      <c r="V5" s="57"/>
      <c r="W5" s="58" t="e">
        <f>SUMIFS( INDEX( 'ETPT Format DDG'!$A:$FA,,MATCH("3.43. INJONCTIONS DE PAYER",'ETPT Format DDG'!2:2,0)),'ETPT Format DDG'!$C:$C,$D$5,'ETPT Format DDG'!$FA:$FA,"Magistrat SIEGE S")+
SUMIFS( INDEX( 'ETPT Format DDG'!$A:$FA,,MATCH("3.44. SAISIE DES RÉMUNÉRATIONS",'ETPT Format DDG'!2:2,0)),'ETPT Format DDG'!$C:$C,$D$5,'ETPT Format DDG'!$FA:$FA,"Magistrat SIEGE S")+
SUMIFS( INDEX( 'ETPT Format DDG'!$A:$FA,,MATCH("3.43. INJONCTIONS DE PAYER",'ETPT Format DDG'!2:2,0)),'ETPT Format DDG'!$C:$C,$D$5,'ETPT Format DDG'!$FA:$FA,"Magistrat SIEGE NS")+
SUMIFS( INDEX( 'ETPT Format DDG'!$A:$FA,,MATCH("3.44. SAISIE DES RÉMUNÉRATIONS",'ETPT Format DDG'!2:2,0)),'ETPT Format DDG'!$C:$C,$D$5,'ETPT Format DDG'!$FA:$FA,"Magistrat SIEGE NS")</f>
        <v>#N/A</v>
      </c>
      <c r="X5" s="58" t="e">
        <f>SUMIFS( INDEX( 'ETPT Format DDG'!$A:$FA,,MATCH("3. TOTAL CONTENTIEUX DE LA PROTECTION",'ETPT Format DDG'!2:2,0)),'ETPT Format DDG'!$C:$C,$D$5,'ETPT Format DDG'!$FA:$FA,"Magistrat SIEGE S")+
SUMIFS( INDEX( 'ETPT Format DDG'!$A:$FA,,MATCH("3. TOTAL CONTENTIEUX DE LA PROTECTION",'ETPT Format DDG'!2:2,0)),'ETPT Format DDG'!$C:$C,$D$5,'ETPT Format DDG'!$FA:$FA,"Magistrat SIEGE NS")-
SUMIFS( INDEX( 'ETPT Format DDG'!$A:$FA,,MATCH("3.2. PROTECTION DES MAJEURS",'ETPT Format DDG'!2:2,0)),'ETPT Format DDG'!$C:$C,$D$5,'ETPT Format DDG'!$FA:$FA,"Magistrat SIEGE S")-
SUMIFS( INDEX( 'ETPT Format DDG'!$A:$FA,,MATCH("3.2. PROTECTION DES MAJEURS",'ETPT Format DDG'!2:2,0)),'ETPT Format DDG'!$C:$C,$D$5,'ETPT Format DDG'!$FA:$FA,"Magistrat SIEGE NS")-
SUMIFS( INDEX( 'ETPT Format DDG'!$A:$FA,,MATCH("3.43. INJONCTIONS DE PAYER",'ETPT Format DDG'!2:2,0)),'ETPT Format DDG'!$C:$C,$D$5,'ETPT Format DDG'!$FA:$FA,"Magistrat SIEGE S")-
SUMIFS( INDEX( 'ETPT Format DDG'!$A:$FA,,MATCH("3.43. INJONCTIONS DE PAYER",'ETPT Format DDG'!2:2,0)),'ETPT Format DDG'!$C:$C,$D$5,'ETPT Format DDG'!$FA:$FA,"Magistrat SIEGE NS")-
SUMIFS( INDEX( 'ETPT Format DDG'!$A:$FA,,MATCH("3.44. SAISIE DES RÉMUNÉRATIONS",'ETPT Format DDG'!2:2,0)),'ETPT Format DDG'!$C:$C,$D$5,'ETPT Format DDG'!$FA:$FA,"Magistrat SIEGE NS")-
SUMIFS( INDEX( 'ETPT Format DDG'!$A:$FA,,MATCH("3.44. SAISIE DES RÉMUNÉRATIONS",'ETPT Format DDG'!2:2,0)),'ETPT Format DDG'!$C:$C,$D$5,'ETPT Format DDG'!$FA:$FA,"Magistrat SIEGE S")</f>
        <v>#N/A</v>
      </c>
      <c r="Y5" s="58" t="e">
        <f>SUMIFS( INDEX( 'ETPT Format DDG'!$A:$FA,,MATCH("3.2. PROTECTION DES MAJEURS",'ETPT Format DDG'!2:2,0)),'ETPT Format DDG'!$C:$C,$D$5,'ETPT Format DDG'!$FA:$FA,"Magistrat SIEGE S")+
SUMIFS( INDEX( 'ETPT Format DDG'!$A:$FA,,MATCH("3.2. PROTECTION DES MAJEURS",'ETPT Format DDG'!2:2,0)),'ETPT Format DDG'!$C:$C,$D$5,'ETPT Format DDG'!$FA:$FA,"Magistrat SIEGE NS")</f>
        <v>#N/A</v>
      </c>
      <c r="Z5" s="54"/>
      <c r="AA5" s="54"/>
      <c r="AB5" s="54"/>
      <c r="AC5" s="54"/>
      <c r="AD5" s="54"/>
      <c r="AE5" s="91" t="e">
        <f t="shared" ref="AE5:AE15" si="3">SUM(V5:AD5)</f>
        <v>#N/A</v>
      </c>
      <c r="AF5" s="54"/>
      <c r="AG5" s="53" t="e">
        <f>SUMIFS( INDEX( 'ETPT Format DDG'!$A:$FA,,MATCH("1.1. DÉPARTAGE PRUD'HOMAL",'ETPT Format DDG'!2:2,0)),'ETPT Format DDG'!$C:$C,$D$5,'ETPT Format DDG'!$FA:$FA,"Magistrat SIEGE S")</f>
        <v>#N/A</v>
      </c>
      <c r="AH5" s="53" t="e">
        <f>SUMIFS( INDEX( 'ETPT Format DDG'!$A:$FA,,MATCH("Temps ventilés sur la période (contentieux civils et sociaux)",'ETPT Format DDG'!2:2,0)),'ETPT Format DDG'!$C:$C,$D$5,'ETPT Format DDG'!$FA:$FA,"Magistrat SIEGE S")-SUMIFS( INDEX( 'ETPT Format DDG'!$A:$FA,,MATCH("3. TOTAL CONTENTIEUX DE LA PROTECTION",'ETPT Format DDG'!2:2,0)),'ETPT Format DDG'!$C:$C,$D$5,'ETPT Format DDG'!$FA:$FA,"Magistrat SIEGE S")-
SUMIFS( INDEX( 'ETPT Format DDG'!$A:$FA,,MATCH("1.1. DÉPARTAGE PRUD'HOMAL",'ETPT Format DDG'!2:2,0)),'ETPT Format DDG'!$C:$C,$D$5,'ETPT Format DDG'!$FA:$FA,"Magistrat SIEGE S")-
SUMIFS( INDEX( 'ETPT Format DDG'!$A:$FA,,MATCH("6.1. ACTIVITÉ CIVILE",'ETPT Format DDG'!2:2,0)),'ETPT Format DDG'!$C:$C,$D$5,'ETPT Format DDG'!$FA:$FA,"Magistrat SIEGE S")-
SUMIFS( INDEX( 'ETPT Format DDG'!$A:$FA,,MATCH("5. TOTAL JLD CIVIL",'ETPT Format DDG'!2:2,0)),'ETPT Format DDG'!$C:$C,$D$5,'ETPT Format DDG'!$FA:$FA,"Magistrat SIEGE S")-
SUMIFS( INDEX( 'ETPT Format DDG'!$A:$FA,,MATCH("2. TOTAL CONTENTIEUX JAF",'ETPT Format DDG'!2:2,0)),'ETPT Format DDG'!$C:$C,$D$5,'ETPT Format DDG'!$FA:$FA,"Magistrat SIEGE S")</f>
        <v>#N/A</v>
      </c>
      <c r="AI5" s="91" t="e">
        <f t="shared" ref="AI5:AI15" si="4">SUM(AF5:AH5)</f>
        <v>#N/A</v>
      </c>
    </row>
    <row r="6" spans="1:35" x14ac:dyDescent="0.2">
      <c r="A6" s="111" t="s">
        <v>175</v>
      </c>
      <c r="B6" s="112"/>
      <c r="C6" s="112"/>
      <c r="D6" s="112">
        <f t="shared" ref="D6:D15" si="5">$D$5</f>
        <v>0</v>
      </c>
      <c r="E6" s="112" t="s">
        <v>60</v>
      </c>
      <c r="F6" s="112" t="s">
        <v>59</v>
      </c>
      <c r="G6" s="69"/>
      <c r="H6" s="113">
        <f t="shared" si="0"/>
        <v>0</v>
      </c>
      <c r="I6" s="114"/>
      <c r="J6" s="54"/>
      <c r="K6" s="54"/>
      <c r="L6" s="54"/>
      <c r="M6" s="54"/>
      <c r="N6" s="115"/>
      <c r="O6" s="54"/>
      <c r="P6" s="54"/>
      <c r="Q6" s="54"/>
      <c r="R6" s="115"/>
      <c r="S6" s="116">
        <f t="shared" si="1"/>
        <v>0</v>
      </c>
      <c r="T6" s="117"/>
      <c r="U6" s="116">
        <f t="shared" si="2"/>
        <v>0</v>
      </c>
      <c r="V6" s="118"/>
      <c r="W6" s="54"/>
      <c r="X6" s="54"/>
      <c r="Y6" s="54"/>
      <c r="Z6" s="54"/>
      <c r="AA6" s="54"/>
      <c r="AB6" s="54"/>
      <c r="AC6" s="54"/>
      <c r="AD6" s="54"/>
      <c r="AE6" s="113">
        <f t="shared" si="3"/>
        <v>0</v>
      </c>
      <c r="AF6" s="54"/>
      <c r="AG6" s="54"/>
      <c r="AH6" s="54"/>
      <c r="AI6" s="113">
        <f t="shared" si="4"/>
        <v>0</v>
      </c>
    </row>
    <row r="7" spans="1:35" x14ac:dyDescent="0.2">
      <c r="A7" s="90" t="s">
        <v>175</v>
      </c>
      <c r="B7" s="62"/>
      <c r="C7" s="62"/>
      <c r="D7" s="62">
        <f t="shared" si="5"/>
        <v>0</v>
      </c>
      <c r="E7" s="62" t="s">
        <v>58</v>
      </c>
      <c r="F7" s="62" t="s">
        <v>57</v>
      </c>
      <c r="G7" s="69"/>
      <c r="H7" s="91">
        <f t="shared" si="0"/>
        <v>0</v>
      </c>
      <c r="I7" s="92"/>
      <c r="J7" s="63"/>
      <c r="K7" s="63"/>
      <c r="L7" s="63"/>
      <c r="M7" s="63"/>
      <c r="N7" s="67"/>
      <c r="O7" s="54"/>
      <c r="P7" s="54"/>
      <c r="Q7" s="63"/>
      <c r="R7" s="63"/>
      <c r="S7" s="46">
        <f t="shared" si="1"/>
        <v>0</v>
      </c>
      <c r="T7" s="56"/>
      <c r="U7" s="46">
        <f t="shared" si="2"/>
        <v>0</v>
      </c>
      <c r="V7" s="57"/>
      <c r="W7" s="63"/>
      <c r="X7" s="63"/>
      <c r="Y7" s="63"/>
      <c r="Z7" s="54"/>
      <c r="AA7" s="54"/>
      <c r="AB7" s="54"/>
      <c r="AC7" s="54"/>
      <c r="AD7" s="54"/>
      <c r="AE7" s="91">
        <f t="shared" si="3"/>
        <v>0</v>
      </c>
      <c r="AF7" s="63"/>
      <c r="AG7" s="63"/>
      <c r="AH7" s="63"/>
      <c r="AI7" s="91">
        <f t="shared" si="4"/>
        <v>0</v>
      </c>
    </row>
    <row r="8" spans="1:35" x14ac:dyDescent="0.2">
      <c r="A8" s="90" t="s">
        <v>175</v>
      </c>
      <c r="B8" s="62"/>
      <c r="C8" s="62"/>
      <c r="D8" s="62">
        <f t="shared" si="5"/>
        <v>0</v>
      </c>
      <c r="E8" s="62" t="s">
        <v>56</v>
      </c>
      <c r="F8" s="62" t="s">
        <v>55</v>
      </c>
      <c r="G8" s="66" t="e">
        <f>SUMIFS( INDEX( 'ETPT Format DDG'!$A:$FA,,MATCH("11.51. ACCUEIL DU JUSTICIABLE (DONT SAUJ)",'ETPT Format DDG'!2:2,0)),'ETPT Format DDG'!$C:$C,$D$5,'ETPT Format DDG'!$FA:$FA,"Fonctionnaire CTECH")</f>
        <v>#N/A</v>
      </c>
      <c r="H8" s="91" t="e">
        <f t="shared" si="0"/>
        <v>#N/A</v>
      </c>
      <c r="I8" s="92"/>
      <c r="J8" s="63"/>
      <c r="K8" s="63"/>
      <c r="L8" s="63"/>
      <c r="M8" s="63"/>
      <c r="N8" s="67"/>
      <c r="O8" s="54"/>
      <c r="P8" s="54"/>
      <c r="Q8" s="63"/>
      <c r="R8" s="58" t="e">
        <f>SUMIFS( INDEX( 'ETPT Format DDG'!$A:$FA,,MATCH("11.51. ACCUEIL DU JUSTICIABLE (DONT SAUJ)",'ETPT Format DDG'!2:2,0)),'ETPT Format DDG'!$C:$C,$D$5,'ETPT Format DDG'!$FA:$FA,"Fonctionnaire A-B-CBUR")</f>
        <v>#N/A</v>
      </c>
      <c r="S8" s="46" t="e">
        <f t="shared" si="1"/>
        <v>#N/A</v>
      </c>
      <c r="T8" s="65" t="e">
        <f>SUMIFS( INDEX( 'ETPT Format DDG'!$A:$FA,,MATCH("11.51. ACCUEIL DU JUSTICIABLE (DONT SAUJ)",'ETPT Format DDG'!2:2,0)),'ETPT Format DDG'!$C:$C,$D$5,'ETPT Format DDG'!$FA:$FA,"JURISTE AS siège Autres")</f>
        <v>#N/A</v>
      </c>
      <c r="U8" s="46" t="e">
        <f t="shared" si="2"/>
        <v>#N/A</v>
      </c>
      <c r="V8" s="57"/>
      <c r="W8" s="63"/>
      <c r="X8" s="63"/>
      <c r="Y8" s="63"/>
      <c r="Z8" s="54"/>
      <c r="AA8" s="54"/>
      <c r="AB8" s="54"/>
      <c r="AC8" s="54"/>
      <c r="AD8" s="54"/>
      <c r="AE8" s="91">
        <f t="shared" si="3"/>
        <v>0</v>
      </c>
      <c r="AF8" s="63"/>
      <c r="AG8" s="63"/>
      <c r="AH8" s="63"/>
      <c r="AI8" s="91">
        <f t="shared" si="4"/>
        <v>0</v>
      </c>
    </row>
    <row r="9" spans="1:35" x14ac:dyDescent="0.2">
      <c r="A9" s="90" t="s">
        <v>175</v>
      </c>
      <c r="B9" s="62"/>
      <c r="C9" s="62"/>
      <c r="D9" s="62">
        <f t="shared" si="5"/>
        <v>0</v>
      </c>
      <c r="E9" s="62" t="s">
        <v>54</v>
      </c>
      <c r="F9" s="62" t="s">
        <v>53</v>
      </c>
      <c r="G9" s="66" t="e">
        <f>SUMIFS( INDEX( 'ETPT Format DDG'!$A:$FA,,MATCH("11.1. SOUTIEN (HORS FORMATIONS SUIVIES)",'ETPT Format DDG'!2:2,0)),'ETPT Format DDG'!$C:$C,$D$5,'ETPT Format DDG'!$FA:$FA,"Fonctionnaire CTECH")+
SUMIFS( INDEX( 'ETPT Format DDG'!$A:$FA,,MATCH("11.2. FORMATIONS SUIVIES",'ETPT Format DDG'!2:2,0)),'ETPT Format DDG'!$C:$C,$D$5,'ETPT Format DDG'!$FA:$FA,"Fonctionnaire CTECH")+
SUMIFS( INDEX( 'ETPT Format DDG'!$A:$FA,,MATCH("11.6. AUTRES ACTIVITÉS NON JURIDICTIONNELLES",'ETPT Format DDG'!2:2,0)),'ETPT Format DDG'!$C:$C,$D$5,'ETPT Format DDG'!$FA:$FA,"Fonctionnaire CTECH")</f>
        <v>#N/A</v>
      </c>
      <c r="H9" s="91" t="e">
        <f t="shared" si="0"/>
        <v>#N/A</v>
      </c>
      <c r="I9" s="92"/>
      <c r="J9" s="63"/>
      <c r="K9" s="63"/>
      <c r="L9" s="63"/>
      <c r="M9" s="63"/>
      <c r="N9" s="67"/>
      <c r="O9" s="54"/>
      <c r="P9" s="54"/>
      <c r="Q9" s="63"/>
      <c r="R9" s="58" t="e">
        <f>SUMIFS( INDEX( 'ETPT Format DDG'!$A:$FA,,MATCH("11.1. SOUTIEN (HORS FORMATIONS SUIVIES)",'ETPT Format DDG'!2:2,0)),'ETPT Format DDG'!$C:$C,$D$5,'ETPT Format DDG'!$FA:$FA,"Fonctionnaire A-B-CBUR")+
SUMIFS( INDEX( 'ETPT Format DDG'!$A:$FA,,MATCH("11.2. FORMATIONS SUIVIES",'ETPT Format DDG'!2:2,0)),'ETPT Format DDG'!$C:$C,$D$5,'ETPT Format DDG'!$FA:$FA,"Fonctionnaire A-B-CBUR")+
SUMIFS( INDEX( 'ETPT Format DDG'!$A:$FA,,MATCH("11.6. AUTRES ACTIVITÉS NON JURIDICTIONNELLES",'ETPT Format DDG'!2:2,0)),'ETPT Format DDG'!$C:$C,$D$5,'ETPT Format DDG'!$FA:$FA,"Fonctionnaire A-B-CBUR")+
SUMIFS( INDEX( 'ETPT Format DDG'!$A:$FA,,MATCH("Temps ventilé sur la période (y.c. indisponibilité)",'ETPT Format DDG'!2:2,0)),'ETPT Format DDG'!$C:$C,$D$5,'ETPT Format DDG'!$FA:$FA,"CONT A JP Greffe")</f>
        <v>#N/A</v>
      </c>
      <c r="S9" s="46" t="e">
        <f t="shared" si="1"/>
        <v>#N/A</v>
      </c>
      <c r="T9" s="65" t="e">
        <f>SUMIFS( INDEX( 'ETPT Format DDG'!$A:$FA,,MATCH("11.1. SOUTIEN (HORS FORMATIONS SUIVIES)",'ETPT Format DDG'!2:2,0)),'ETPT Format DDG'!$C:$C,$D$5,'ETPT Format DDG'!$FA:$FA,"JURISTE AS siège Autres")+
SUMIFS( INDEX( 'ETPT Format DDG'!$A:$FA,,MATCH("11.2. FORMATIONS SUIVIES",'ETPT Format DDG'!2:2,0)),'ETPT Format DDG'!$C:$C,$D$5,'ETPT Format DDG'!$FA:$FA,"JURISTE AS siège Autres")+
SUMIFS( INDEX( 'ETPT Format DDG'!$A:$FA,,MATCH("11.6. AUTRES ACTIVITÉS NON JURIDICTIONNELLES",'ETPT Format DDG'!2:2,0)),'ETPT Format DDG'!$C:$C,$D$5,'ETPT Format DDG'!$FA:$FA,"JURISTE AS siège Autres")</f>
        <v>#N/A</v>
      </c>
      <c r="U9" s="46" t="e">
        <f t="shared" si="2"/>
        <v>#N/A</v>
      </c>
      <c r="V9" s="57"/>
      <c r="W9" s="63"/>
      <c r="X9" s="63"/>
      <c r="Y9" s="63"/>
      <c r="Z9" s="54"/>
      <c r="AA9" s="54"/>
      <c r="AB9" s="54"/>
      <c r="AC9" s="54"/>
      <c r="AD9" s="54"/>
      <c r="AE9" s="91">
        <f t="shared" si="3"/>
        <v>0</v>
      </c>
      <c r="AF9" s="63"/>
      <c r="AG9" s="63"/>
      <c r="AH9" s="58" t="e">
        <f>SUMIFS( INDEX( 'ETPT Format DDG'!$A:$FA,,MATCH("11.1. SOUTIEN (HORS FORMATIONS SUIVIES)",'ETPT Format DDG'!2:2,0)),'ETPT Format DDG'!$C:$C,$D$5,'ETPT Format DDG'!$FA:$FA,"Magistrat SIEGE S")+
SUMIFS( INDEX( 'ETPT Format DDG'!$A:$FA,,MATCH("11.2. FORMATIONS SUIVIES",'ETPT Format DDG'!2:2,0)),'ETPT Format DDG'!$C:$C,$D$5,'ETPT Format DDG'!$FA:$FA,"Magistrat SIEGE S")+
SUMIFS( INDEX( 'ETPT Format DDG'!$A:$FA,,MATCH("11.6. AUTRES ACTIVITÉS NON JURIDICTIONNELLES",'ETPT Format DDG'!2:2,0)),'ETPT Format DDG'!$C:$C,$D$5,'ETPT Format DDG'!$FA:$FA,"Magistrat SIEGE S")</f>
        <v>#N/A</v>
      </c>
      <c r="AI9" s="91" t="e">
        <f t="shared" si="4"/>
        <v>#N/A</v>
      </c>
    </row>
    <row r="10" spans="1:35" x14ac:dyDescent="0.2">
      <c r="A10" s="90" t="s">
        <v>175</v>
      </c>
      <c r="B10" s="62"/>
      <c r="C10" s="62"/>
      <c r="D10" s="62">
        <f t="shared" si="5"/>
        <v>0</v>
      </c>
      <c r="E10" s="62" t="s">
        <v>52</v>
      </c>
      <c r="F10" s="62" t="s">
        <v>51</v>
      </c>
      <c r="G10" s="66" t="e">
        <f>SUMIFS( INDEX( 'ETPT Format DDG'!$A:$FA,,MATCH("11.3. FORMATIONS DISPENSÉES",'ETPT Format DDG'!2:2,0)),'ETPT Format DDG'!$C:$C,$D$5,'ETPT Format DDG'!$FA:$FA,"Fonctionnaire CTECH")</f>
        <v>#N/A</v>
      </c>
      <c r="H10" s="91" t="e">
        <f t="shared" si="0"/>
        <v>#N/A</v>
      </c>
      <c r="I10" s="92"/>
      <c r="J10" s="63"/>
      <c r="K10" s="63"/>
      <c r="L10" s="63"/>
      <c r="M10" s="63"/>
      <c r="N10" s="67"/>
      <c r="O10" s="54"/>
      <c r="P10" s="54"/>
      <c r="Q10" s="63"/>
      <c r="R10" s="58" t="e">
        <f>SUMIFS( INDEX( 'ETPT Format DDG'!$A:$FA,,MATCH("11.3. FORMATIONS DISPENSÉES",'ETPT Format DDG'!2:2,0)),'ETPT Format DDG'!$C:$C,$D$5,'ETPT Format DDG'!$FA:$FA,"Fonctionnaire A-B-CBUR")</f>
        <v>#N/A</v>
      </c>
      <c r="S10" s="46" t="e">
        <f t="shared" si="1"/>
        <v>#N/A</v>
      </c>
      <c r="T10" s="65" t="e">
        <f>SUMIFS( INDEX( 'ETPT Format DDG'!$A:$FA,,MATCH("11.3. FORMATIONS DISPENSÉES",'ETPT Format DDG'!2:2,0)),'ETPT Format DDG'!$C:$C,$D$5,'ETPT Format DDG'!$FA:$FA,"JURISTE AS siège Autres")</f>
        <v>#N/A</v>
      </c>
      <c r="U10" s="46" t="e">
        <f t="shared" si="2"/>
        <v>#N/A</v>
      </c>
      <c r="V10" s="57"/>
      <c r="W10" s="63"/>
      <c r="X10" s="63"/>
      <c r="Y10" s="63"/>
      <c r="Z10" s="54"/>
      <c r="AA10" s="54"/>
      <c r="AB10" s="54"/>
      <c r="AC10" s="54"/>
      <c r="AD10" s="54"/>
      <c r="AE10" s="91">
        <f t="shared" si="3"/>
        <v>0</v>
      </c>
      <c r="AF10" s="63"/>
      <c r="AG10" s="63"/>
      <c r="AH10" s="58" t="e">
        <f>SUMIFS( INDEX( 'ETPT Format DDG'!$A:$FA,,MATCH("11.3. FORMATIONS DISPENSÉES",'ETPT Format DDG'!2:2,0)),'ETPT Format DDG'!$C:$C,$D$5,'ETPT Format DDG'!$FA:$FA,"Magistrat SIEGE S")</f>
        <v>#N/A</v>
      </c>
      <c r="AI10" s="91" t="e">
        <f t="shared" si="4"/>
        <v>#N/A</v>
      </c>
    </row>
    <row r="11" spans="1:35" x14ac:dyDescent="0.2">
      <c r="A11" s="90" t="s">
        <v>175</v>
      </c>
      <c r="B11" s="62"/>
      <c r="C11" s="62"/>
      <c r="D11" s="62">
        <f t="shared" si="5"/>
        <v>0</v>
      </c>
      <c r="E11" s="62" t="s">
        <v>50</v>
      </c>
      <c r="F11" s="62" t="s">
        <v>49</v>
      </c>
      <c r="G11" s="66" t="e">
        <f>SUMIFS( INDEX( 'ETPT Format DDG'!$A:$FA,,MATCH("11.4. ACCÈS AU DROIT ET À LA JUSTICE",'ETPT Format DDG'!2:2,0)),'ETPT Format DDG'!$C:$C,$D$5,'ETPT Format DDG'!$FA:$FA,"Fonctionnaire CTECH")</f>
        <v>#N/A</v>
      </c>
      <c r="H11" s="91" t="e">
        <f t="shared" si="0"/>
        <v>#N/A</v>
      </c>
      <c r="I11" s="92"/>
      <c r="J11" s="63"/>
      <c r="K11" s="63"/>
      <c r="L11" s="63"/>
      <c r="M11" s="63"/>
      <c r="N11" s="67"/>
      <c r="O11" s="54"/>
      <c r="P11" s="54"/>
      <c r="Q11" s="63"/>
      <c r="R11" s="58" t="e">
        <f>SUMIFS( INDEX( 'ETPT Format DDG'!$A:$FA,,MATCH("11.4. ACCÈS AU DROIT ET À LA JUSTICE",'ETPT Format DDG'!2:2,0)),'ETPT Format DDG'!$C:$C,$D$5,'ETPT Format DDG'!$FA:$FA,"Fonctionnaire A-B-CBUR")</f>
        <v>#N/A</v>
      </c>
      <c r="S11" s="46" t="e">
        <f t="shared" si="1"/>
        <v>#N/A</v>
      </c>
      <c r="T11" s="65" t="e">
        <f>SUMIFS( INDEX( 'ETPT Format DDG'!$A:$FA,,MATCH("11.4. ACCÈS AU DROIT ET À LA JUSTICE",'ETPT Format DDG'!2:2,0)),'ETPT Format DDG'!$C:$C,$D$5,'ETPT Format DDG'!$FA:$FA,"JURISTE AS siège Autres")</f>
        <v>#N/A</v>
      </c>
      <c r="U11" s="46" t="e">
        <f t="shared" si="2"/>
        <v>#N/A</v>
      </c>
      <c r="V11" s="57"/>
      <c r="W11" s="63"/>
      <c r="X11" s="63"/>
      <c r="Y11" s="63"/>
      <c r="Z11" s="54"/>
      <c r="AA11" s="54"/>
      <c r="AB11" s="54"/>
      <c r="AC11" s="54"/>
      <c r="AD11" s="54"/>
      <c r="AE11" s="91">
        <f t="shared" si="3"/>
        <v>0</v>
      </c>
      <c r="AF11" s="63"/>
      <c r="AG11" s="63"/>
      <c r="AH11" s="58" t="e">
        <f>SUMIFS( INDEX( 'ETPT Format DDG'!$A:$FA,,MATCH("11.4. ACCÈS AU DROIT ET À LA JUSTICE",'ETPT Format DDG'!2:2,0)),'ETPT Format DDG'!$C:$C,$D$5,'ETPT Format DDG'!$FA:$FA,"Magistrat SIEGE S")</f>
        <v>#N/A</v>
      </c>
      <c r="AI11" s="91" t="e">
        <f t="shared" si="4"/>
        <v>#N/A</v>
      </c>
    </row>
    <row r="12" spans="1:35" x14ac:dyDescent="0.2">
      <c r="A12" s="90" t="s">
        <v>175</v>
      </c>
      <c r="B12" s="62"/>
      <c r="C12" s="62"/>
      <c r="D12" s="62">
        <f t="shared" si="5"/>
        <v>0</v>
      </c>
      <c r="E12" s="62" t="s">
        <v>48</v>
      </c>
      <c r="F12" s="62" t="s">
        <v>47</v>
      </c>
      <c r="G12" s="66" t="e">
        <f>SUMIFS( INDEX( 'ETPT Format DDG'!$A:$FA,,MATCH("12. TOTAL des INDISPONIBILITÉS relevant de l'action 99",'ETPT Format DDG'!2:2,0)),'ETPT Format DDG'!$C:$C,$D$5,'ETPT Format DDG'!$FA:$FA,"Fonctionnaire CTECH")-
SUMIFS( INDEX( 'ETPT Format DDG'!$A:$FA,,MATCH("12.5. MISE À DISPOSITION",'ETPT Format DDG'!2:2,0)),'ETPT Format DDG'!$C:$C,$D$5,'ETPT Format DDG'!$FA:$FA,"Fonctionnaire CTECH")</f>
        <v>#N/A</v>
      </c>
      <c r="H12" s="91" t="e">
        <f t="shared" si="0"/>
        <v>#N/A</v>
      </c>
      <c r="I12" s="92"/>
      <c r="J12" s="63"/>
      <c r="K12" s="63"/>
      <c r="L12" s="63"/>
      <c r="M12" s="63"/>
      <c r="N12" s="67"/>
      <c r="O12" s="54"/>
      <c r="P12" s="54"/>
      <c r="Q12" s="63"/>
      <c r="R12" s="58" t="e">
        <f>SUMIFS( INDEX( 'ETPT Format DDG'!$A:$FA,,MATCH("12. TOTAL des INDISPONIBILITÉS relevant de l'action 99",'ETPT Format DDG'!2:2,0)),'ETPT Format DDG'!$C:$C,$D$5,'ETPT Format DDG'!$FA:$FA,"Fonctionnaire A-B-CBUR")-
SUMIFS( INDEX( 'ETPT Format DDG'!$A:$FA,,MATCH("12.5. MISE À DISPOSITION",'ETPT Format DDG'!2:2,0)),'ETPT Format DDG'!$C:$C,$D$5,'ETPT Format DDG'!$FA:$FA,"Fonctionnaire A-B-CBUR")</f>
        <v>#N/A</v>
      </c>
      <c r="S12" s="46" t="e">
        <f t="shared" si="1"/>
        <v>#N/A</v>
      </c>
      <c r="T12" s="65" t="e">
        <f>SUMIFS( INDEX( 'ETPT Format DDG'!$A:$FA,,MATCH("12. TOTAL des INDISPONIBILITÉS relevant de l'action 99",'ETPT Format DDG'!2:2,0)),'ETPT Format DDG'!$C:$C,$D$5,'ETPT Format DDG'!$FA:$FA,"JURISTE AS siège Autres")-
SUMIFS( INDEX( 'ETPT Format DDG'!$A:$FA,,MATCH("12.5. MISE À DISPOSITION",'ETPT Format DDG'!2:2,0)),'ETPT Format DDG'!$C:$C,$D$5,'ETPT Format DDG'!$FA:$FA,"JURISTE AS siège Autres")</f>
        <v>#N/A</v>
      </c>
      <c r="U12" s="46" t="e">
        <f t="shared" si="2"/>
        <v>#N/A</v>
      </c>
      <c r="V12" s="57"/>
      <c r="W12" s="63"/>
      <c r="X12" s="63"/>
      <c r="Y12" s="63"/>
      <c r="Z12" s="54"/>
      <c r="AA12" s="54"/>
      <c r="AB12" s="54"/>
      <c r="AC12" s="54"/>
      <c r="AD12" s="54"/>
      <c r="AE12" s="91">
        <f t="shared" si="3"/>
        <v>0</v>
      </c>
      <c r="AF12" s="63"/>
      <c r="AG12" s="63"/>
      <c r="AH12" s="53" t="e">
        <f>SUMIFS( INDEX( 'ETPT Format DDG'!$A:$FA,,MATCH("12. TOTAL des INDISPONIBILITÉS relevant de l'action 99",'ETPT Format DDG'!2:2,0)),'ETPT Format DDG'!$C:$C,$D$5,'ETPT Format DDG'!$FA:$FA,"Magistrat SIEGE S")-
SUMIFS( INDEX( 'ETPT Format DDG'!$A:$FA,,MATCH("12.5. MISE À DISPOSITION",'ETPT Format DDG'!2:2,0)),'ETPT Format DDG'!$C:$C,$D$5,'ETPT Format DDG'!$FA:$FA,"Magistrat SIEGE S")</f>
        <v>#N/A</v>
      </c>
      <c r="AI12" s="91" t="e">
        <f t="shared" si="4"/>
        <v>#N/A</v>
      </c>
    </row>
    <row r="13" spans="1:35" x14ac:dyDescent="0.2">
      <c r="A13" s="90" t="s">
        <v>175</v>
      </c>
      <c r="B13" s="62"/>
      <c r="C13" s="62"/>
      <c r="D13" s="62">
        <f t="shared" si="5"/>
        <v>0</v>
      </c>
      <c r="E13" s="62" t="s">
        <v>46</v>
      </c>
      <c r="F13" s="62" t="s">
        <v>45</v>
      </c>
      <c r="G13" s="60" t="e">
        <f>SUMIFS( INDEX( 'ETPT Format DDG'!$A:$FA,,MATCH("12.5. MISE À DISPOSITION",'ETPT Format DDG'!2:2,0)),'ETPT Format DDG'!$C:$C,$D$5,'ETPT Format DDG'!$FA:$FA,"Fonctionnaire CTECH")</f>
        <v>#N/A</v>
      </c>
      <c r="H13" s="91" t="e">
        <f t="shared" si="0"/>
        <v>#N/A</v>
      </c>
      <c r="I13" s="92"/>
      <c r="J13" s="63"/>
      <c r="K13" s="63"/>
      <c r="L13" s="63"/>
      <c r="M13" s="63"/>
      <c r="N13" s="67"/>
      <c r="O13" s="54"/>
      <c r="P13" s="54"/>
      <c r="Q13" s="63"/>
      <c r="R13" s="53" t="e">
        <f>SUMIFS( INDEX( 'ETPT Format DDG'!$A:$FA,,MATCH("12.5. MISE À DISPOSITION",'ETPT Format DDG'!2:2,0)),'ETPT Format DDG'!$C:$C,$D$5,'ETPT Format DDG'!$FA:$FA,"Fonctionnaire A-B-CBUR")</f>
        <v>#N/A</v>
      </c>
      <c r="S13" s="46" t="e">
        <f t="shared" si="1"/>
        <v>#N/A</v>
      </c>
      <c r="T13" s="64" t="e">
        <f>SUMIFS( INDEX( 'ETPT Format DDG'!$A:$FA,,MATCH("12.5. MISE À DISPOSITION",'ETPT Format DDG'!2:2,0)),'ETPT Format DDG'!$C:$C,$D$5,'ETPT Format DDG'!$FA:$FA,"JURISTE AS siège Autres")</f>
        <v>#N/A</v>
      </c>
      <c r="U13" s="46" t="e">
        <f t="shared" si="2"/>
        <v>#N/A</v>
      </c>
      <c r="V13" s="57"/>
      <c r="W13" s="63"/>
      <c r="X13" s="63"/>
      <c r="Y13" s="63"/>
      <c r="Z13" s="54"/>
      <c r="AA13" s="54"/>
      <c r="AB13" s="54"/>
      <c r="AC13" s="54"/>
      <c r="AD13" s="54"/>
      <c r="AE13" s="91">
        <f t="shared" si="3"/>
        <v>0</v>
      </c>
      <c r="AF13" s="63"/>
      <c r="AG13" s="63"/>
      <c r="AH13" s="317" t="e">
        <f>SUMIFS( INDEX( 'ETPT Format DDG'!$A:$FA,,MATCH("12.5. MISE À DISPOSITION",'ETPT Format DDG'!2:2,0)),'ETPT Format DDG'!$C:$C,$D$5,'ETPT Format DDG'!$FA:$FA,"Magistrat SIEGE S")</f>
        <v>#N/A</v>
      </c>
      <c r="AI13" s="91" t="e">
        <f t="shared" si="4"/>
        <v>#N/A</v>
      </c>
    </row>
    <row r="14" spans="1:35" x14ac:dyDescent="0.2">
      <c r="A14" s="90" t="s">
        <v>175</v>
      </c>
      <c r="B14" s="62"/>
      <c r="C14" s="62"/>
      <c r="D14" s="62">
        <f t="shared" si="5"/>
        <v>0</v>
      </c>
      <c r="E14" s="62" t="s">
        <v>44</v>
      </c>
      <c r="F14" s="62" t="s">
        <v>43</v>
      </c>
      <c r="G14" s="60" t="e">
        <f>SUMIFS( INDEX( 'ETPT Format DDG'!$A:$FA,,MATCH("ETPT sur la période hors indisponibilités",'ETPT Format DDG'!2:2,0)),'ETPT Format DDG'!$C:$C,$D$5,'ETPT Format DDG'!$FA:$FA,"Fonctionnaire CTECH placé ADD")</f>
        <v>#N/A</v>
      </c>
      <c r="H14" s="91" t="e">
        <f t="shared" si="0"/>
        <v>#N/A</v>
      </c>
      <c r="I14" s="92"/>
      <c r="J14" s="58" t="e">
        <f>SUMIFS( INDEX( 'ETPT Format DDG'!$A:$FA,,MATCH("3.43. INJONCTIONS DE PAYER",'ETPT Format DDG'!2:2,0)),'ETPT Format DDG'!$C:$C,$D$5,'ETPT Format DDG'!$FA:$FA,"Fonctionnaire A-B-CBUR placé ADD")+
SUMIFS( INDEX( 'ETPT Format DDG'!$A:$FA,,MATCH("3.44. SAISIE DES RÉMUNÉRATIONS",'ETPT Format DDG'!2:2,0)),'ETPT Format DDG'!$C:$C,$D$5,'ETPT Format DDG'!$FA:$FA,"Fonctionnaire A-B-CBUR placé ADD")</f>
        <v>#N/A</v>
      </c>
      <c r="K14" s="58" t="e">
        <f>SUMIFS( INDEX( 'ETPT Format DDG'!$A:$FA,,MATCH("3. TOTAL CONTENTIEUX DE LA PROTECTION",'ETPT Format DDG'!2:2,0)),'ETPT Format DDG'!$C:$C,$D$5,'ETPT Format DDG'!$FA:$FA,"Fonctionnaire A-B-CBUR placé ADD")-
SUMIFS( INDEX( 'ETPT Format DDG'!$A:$FA,,MATCH("3.2. PROTECTION DES MAJEURS",'ETPT Format DDG'!2:2,0)),'ETPT Format DDG'!$C:$C,$D$5,'ETPT Format DDG'!$FA:$FA,"Fonctionnaire A-B-CBUR placé ADD")-
SUMIFS( INDEX( 'ETPT Format DDG'!$A:$FA,,MATCH("3.43. INJONCTIONS DE PAYER",'ETPT Format DDG'!2:2,0)),'ETPT Format DDG'!$C:$C,$D$5,'ETPT Format DDG'!$FA:$FA,"Fonctionnaire A-B-CBUR placé ADD")-
SUMIFS( INDEX( 'ETPT Format DDG'!$A:$FA,,MATCH("3.44. SAISIE DES RÉMUNÉRATIONS",'ETPT Format DDG'!2:2,0)),'ETPT Format DDG'!$C:$C,$D$5,'ETPT Format DDG'!$FA:$FA,"Fonctionnaire A-B-CBUR placé ADD")</f>
        <v>#N/A</v>
      </c>
      <c r="L14" s="58" t="e">
        <f>SUMIFS( INDEX( 'ETPT Format DDG'!$A:$FA,,MATCH("3.2. PROTECTION DES MAJEURS",'ETPT Format DDG'!2:2,0)),'ETPT Format DDG'!$C:$C,$D$5,'ETPT Format DDG'!$FA:$FA,"Fonctionnaire A-B-CBUR placé ADD")</f>
        <v>#N/A</v>
      </c>
      <c r="M14" s="160"/>
      <c r="N14" s="160"/>
      <c r="O14" s="54"/>
      <c r="P14" s="54"/>
      <c r="Q14" s="63"/>
      <c r="R14" s="316" t="e">
        <f>SUMIFS( INDEX( 'ETPT Format DDG'!$A:$FA,,MATCH("ETPT sur la période hors indisponibilités",'ETPT Format DDG'!2:2,0)),'ETPT Format DDG'!$C:$C,$D$5,'ETPT Format DDG'!$FA:$FA,"Fonctionnaire A-B-CBUR placé ADD")-SUM(I14:Q14)-
SUMIFS( INDEX( 'ETPT Format DDG'!$A:$FA,,MATCH("11.7. FONCTIONNAIRES AFFECTÉS AU CPH",'ETPT Format DDG'!2:2,0)),'ETPT Format DDG'!$C:$C,$D$5,'ETPT Format DDG'!$FA:$FA,"Fonctionnaire CTECH placé ADD")</f>
        <v>#N/A</v>
      </c>
      <c r="S14" s="46" t="e">
        <f t="shared" si="1"/>
        <v>#N/A</v>
      </c>
      <c r="T14" s="56"/>
      <c r="U14" s="46">
        <f t="shared" si="2"/>
        <v>0</v>
      </c>
      <c r="V14" s="57"/>
      <c r="W14" s="58" t="e">
        <f>SUMIFS( INDEX( 'ETPT Format DDG'!$A:$FA,,MATCH("3.43. INJONCTIONS DE PAYER",'ETPT Format DDG'!2:2,0)),'ETPT Format DDG'!$C:$C,$D$5,'ETPT Format DDG'!$FA:$FA,"Magistrat placé ADD")+
SUMIFS( INDEX( 'ETPT Format DDG'!$A:$FA,,MATCH("3.44. SAISIE DES RÉMUNÉRATIONS",'ETPT Format DDG'!2:2,0)),'ETPT Format DDG'!$C:$C,$D$5,'ETPT Format DDG'!$FA:$FA,"Magistrat placé ADD")</f>
        <v>#N/A</v>
      </c>
      <c r="X14" s="58" t="e">
        <f>SUMIFS( INDEX( 'ETPT Format DDG'!$A:$FA,,MATCH("3. TOTAL CONTENTIEUX DE LA PROTECTION",'ETPT Format DDG'!2:2,0)),'ETPT Format DDG'!$C:$C,$D$5,'ETPT Format DDG'!$FA:$FA,"Magistrat placé ADD")-
SUMIFS( INDEX( 'ETPT Format DDG'!$A:$FA,,MATCH("3.2. PROTECTION DES MAJEURS",'ETPT Format DDG'!2:2,0)),'ETPT Format DDG'!$C:$C,$D$5,'ETPT Format DDG'!$FA:$FA,"Magistrat placé ADD")-
SUMIFS( INDEX( 'ETPT Format DDG'!$A:$FA,,MATCH("3.43. INJONCTIONS DE PAYER",'ETPT Format DDG'!2:2,0)),'ETPT Format DDG'!$C:$C,$D$5,'ETPT Format DDG'!$FA:$FA,"Magistrat placé ADD")-
SUMIFS( INDEX( 'ETPT Format DDG'!$A:$FA,,MATCH("3.44. SAISIE DES RÉMUNÉRATIONS",'ETPT Format DDG'!2:2,0)),'ETPT Format DDG'!$C:$C,$D$5,'ETPT Format DDG'!$FA:$FA,"Magistrat placé ADD")</f>
        <v>#N/A</v>
      </c>
      <c r="Y14" s="58" t="e">
        <f>SUMIFS( INDEX( 'ETPT Format DDG'!$A:$FA,,MATCH("3.2. PROTECTION DES MAJEURS",'ETPT Format DDG'!2:2,0)),'ETPT Format DDG'!$C:$C,$D$5,'ETPT Format DDG'!$FA:$FA,"Magistrat placé ADD")</f>
        <v>#N/A</v>
      </c>
      <c r="Z14" s="54"/>
      <c r="AA14" s="54"/>
      <c r="AB14" s="54"/>
      <c r="AC14" s="54"/>
      <c r="AD14" s="54"/>
      <c r="AE14" s="91" t="e">
        <f>SUM(V14:AD14)</f>
        <v>#N/A</v>
      </c>
      <c r="AF14" s="54"/>
      <c r="AG14" s="53" t="e">
        <f>SUMIFS( INDEX( 'ETPT Format DDG'!$A:$FA,,MATCH("1.1. DÉPARTAGE PRUD'HOMAL",'ETPT Format DDG'!2:2,0)),'ETPT Format DDG'!$C:$C,$D$5,'ETPT Format DDG'!$FA:$FA,"Magistrat placé ADD")</f>
        <v>#N/A</v>
      </c>
      <c r="AH14" s="53" t="e">
        <f>SUMIFS( INDEX( 'ETPT Format DDG'!$A:$FA,,MATCH("ETPT sur la période hors indisponibilités",'ETPT Format DDG'!2:2,0)),'ETPT Format DDG'!$C:$C,$D$5,'ETPT Format DDG'!$FA:$FA,"Magistrat placé ADD")-SUM(V14:AD14)-SUM(AF14:AG14)</f>
        <v>#N/A</v>
      </c>
      <c r="AI14" s="91" t="e">
        <f t="shared" si="4"/>
        <v>#N/A</v>
      </c>
    </row>
    <row r="15" spans="1:35" x14ac:dyDescent="0.2">
      <c r="A15" s="90" t="s">
        <v>175</v>
      </c>
      <c r="B15" s="62"/>
      <c r="C15" s="62"/>
      <c r="D15" s="62">
        <f t="shared" si="5"/>
        <v>0</v>
      </c>
      <c r="E15" s="62" t="s">
        <v>41</v>
      </c>
      <c r="F15" s="62" t="s">
        <v>40</v>
      </c>
      <c r="G15" s="60" t="e">
        <f>SUMIFS( INDEX( 'ETPT Format DDG'!$A:$FA,,MATCH("ETPT sur la période hors indisponibilités",'ETPT Format DDG'!2:2,0)),'ETPT Format DDG'!$C:$C,$D$5,'ETPT Format DDG'!$FA:$FA,"Fonctionnaire CTECH placé SUB")</f>
        <v>#N/A</v>
      </c>
      <c r="H15" s="91" t="e">
        <f t="shared" si="0"/>
        <v>#N/A</v>
      </c>
      <c r="I15" s="92"/>
      <c r="J15" s="58" t="e">
        <f>SUMIFS( INDEX( 'ETPT Format DDG'!$A:$FA,,MATCH("3.43. INJONCTIONS DE PAYER",'ETPT Format DDG'!2:2,0)),'ETPT Format DDG'!$C:$C,$D$5,'ETPT Format DDG'!$FA:$FA,"Fonctionnaire A-B-CBUR placé SUB")+
SUMIFS( INDEX( 'ETPT Format DDG'!$A:$FA,,MATCH("3.44. SAISIE DES RÉMUNÉRATIONS",'ETPT Format DDG'!2:2,0)),'ETPT Format DDG'!$C:$C,$D$5,'ETPT Format DDG'!$FA:$FA,"Fonctionnaire A-B-CBUR placé SUB")</f>
        <v>#N/A</v>
      </c>
      <c r="K15" s="58" t="e">
        <f>SUMIFS( INDEX( 'ETPT Format DDG'!$A:$FA,,MATCH("3. TOTAL CONTENTIEUX DE LA PROTECTION",'ETPT Format DDG'!2:2,0)),'ETPT Format DDG'!$C:$C,$D$5,'ETPT Format DDG'!$FA:$FA,"Fonctionnaire A-B-CBUR placé SUB")-
SUMIFS( INDEX( 'ETPT Format DDG'!$A:$FA,,MATCH("3.2. PROTECTION DES MAJEURS",'ETPT Format DDG'!2:2,0)),'ETPT Format DDG'!$C:$C,$D$5,'ETPT Format DDG'!$FA:$FA,"Fonctionnaire A-B-CBUR placé SUB")-
SUMIFS( INDEX( 'ETPT Format DDG'!$A:$FA,,MATCH("3.43. INJONCTIONS DE PAYER",'ETPT Format DDG'!2:2,0)),'ETPT Format DDG'!$C:$C,$D$5,'ETPT Format DDG'!$FA:$FA,"Fonctionnaire A-B-CBUR placé SUB")-
SUMIFS( INDEX( 'ETPT Format DDG'!$A:$FA,,MATCH("3.44. SAISIE DES RÉMUNÉRATIONS",'ETPT Format DDG'!2:2,0)),'ETPT Format DDG'!$C:$C,$D$5,'ETPT Format DDG'!$FA:$FA,"Fonctionnaire A-B-CBUR placé SUB")</f>
        <v>#N/A</v>
      </c>
      <c r="L15" s="58" t="e">
        <f>SUMIFS( INDEX( 'ETPT Format DDG'!$A:$FA,,MATCH("3.2. PROTECTION DES MAJEURS",'ETPT Format DDG'!2:2,0)),'ETPT Format DDG'!$C:$C,$D$5,'ETPT Format DDG'!$FA:$FA,"Fonctionnaire A-B-CBUR placé SUB")</f>
        <v>#N/A</v>
      </c>
      <c r="M15" s="160"/>
      <c r="N15" s="160"/>
      <c r="O15" s="54"/>
      <c r="P15" s="54"/>
      <c r="Q15" s="63"/>
      <c r="R15" s="316" t="e">
        <f>SUMIFS( INDEX( 'ETPT Format DDG'!$A:$FA,,MATCH("ETPT sur la période hors indisponibilités",'ETPT Format DDG'!2:2,0)),'ETPT Format DDG'!$C:$C,$D$5,'ETPT Format DDG'!$FA:$FA,"Fonctionnaire A-B-CBUR placé SUB")-SUM(I15:Q15)-
SUMIFS( INDEX( 'ETPT Format DDG'!$A:$FA,,MATCH("11.7. FONCTIONNAIRES AFFECTÉS AU CPH",'ETPT Format DDG'!2:2,0)),'ETPT Format DDG'!$C:$C,$D$5,'ETPT Format DDG'!$FA:$FA,"Fonctionnaire CTECH placé SUB")</f>
        <v>#N/A</v>
      </c>
      <c r="S15" s="46" t="e">
        <f t="shared" si="1"/>
        <v>#N/A</v>
      </c>
      <c r="T15" s="56"/>
      <c r="U15" s="46">
        <f t="shared" si="2"/>
        <v>0</v>
      </c>
      <c r="V15" s="57"/>
      <c r="W15" s="58" t="e">
        <f>SUMIFS( INDEX( 'ETPT Format DDG'!$A:$FA,,MATCH("3.43. INJONCTIONS DE PAYER",'ETPT Format DDG'!2:2,0)),'ETPT Format DDG'!$C:$C,$D$5,'ETPT Format DDG'!$FA:$FA,"Magistrat placé SUB")+
SUMIFS( INDEX( 'ETPT Format DDG'!$A:$FA,,MATCH("3.44. SAISIE DES RÉMUNÉRATIONS",'ETPT Format DDG'!2:2,0)),'ETPT Format DDG'!$C:$C,$D$5,'ETPT Format DDG'!$FA:$FA,"Magistrat placé SUB")</f>
        <v>#N/A</v>
      </c>
      <c r="X15" s="58" t="e">
        <f>SUMIFS( INDEX( 'ETPT Format DDG'!$A:$FA,,MATCH("3. TOTAL CONTENTIEUX DE LA PROTECTION",'ETPT Format DDG'!2:2,0)),'ETPT Format DDG'!$C:$C,$D$5,'ETPT Format DDG'!$FA:$FA,"Magistrat placé SUB")-
SUMIFS( INDEX( 'ETPT Format DDG'!$A:$FA,,MATCH("3.2. PROTECTION DES MAJEURS",'ETPT Format DDG'!2:2,0)),'ETPT Format DDG'!$C:$C,$D$5,'ETPT Format DDG'!$FA:$FA,"Magistrat placé SUB")-
SUMIFS( INDEX( 'ETPT Format DDG'!$A:$FA,,MATCH("3.43. INJONCTIONS DE PAYER",'ETPT Format DDG'!2:2,0)),'ETPT Format DDG'!$C:$C,$D$5,'ETPT Format DDG'!$FA:$FA,"Magistrat placé SUB")-
SUMIFS( INDEX( 'ETPT Format DDG'!$A:$FA,,MATCH("3.44. SAISIE DES RÉMUNÉRATIONS",'ETPT Format DDG'!2:2,0)),'ETPT Format DDG'!$C:$C,$D$5,'ETPT Format DDG'!$FA:$FA,"Magistrat placé SUB")</f>
        <v>#N/A</v>
      </c>
      <c r="Y15" s="58" t="e">
        <f>SUMIFS( INDEX( 'ETPT Format DDG'!$A:$FA,,MATCH("3.2. PROTECTION DES MAJEURS",'ETPT Format DDG'!2:2,0)),'ETPT Format DDG'!$C:$C,$D$5,'ETPT Format DDG'!$FA:$FA,"Magistrat placé SUB")</f>
        <v>#N/A</v>
      </c>
      <c r="Z15" s="54"/>
      <c r="AA15" s="54"/>
      <c r="AB15" s="54"/>
      <c r="AC15" s="54"/>
      <c r="AD15" s="54"/>
      <c r="AE15" s="91" t="e">
        <f t="shared" si="3"/>
        <v>#N/A</v>
      </c>
      <c r="AF15" s="63"/>
      <c r="AG15" s="53" t="e">
        <f>SUMIFS( INDEX( 'ETPT Format DDG'!$A:$FA,,MATCH("1.1. DÉPARTAGE PRUD'HOMAL",'ETPT Format DDG'!2:2,0)),'ETPT Format DDG'!$C:$C,$D$5,'ETPT Format DDG'!$FA:$FA,"Magistrat placé SUB")</f>
        <v>#N/A</v>
      </c>
      <c r="AH15" s="53" t="e">
        <f>SUMIFS( INDEX( 'ETPT Format DDG'!$A:$FA,,MATCH("ETPT sur la période hors indisponibilités",'ETPT Format DDG'!2:2,0)),'ETPT Format DDG'!$C:$C,$D$5,'ETPT Format DDG'!$FA:$FA,"Magistrat placé SUB")-SUM(V15:AD15)-SUM(AF15:AG15)</f>
        <v>#N/A</v>
      </c>
      <c r="AI15" s="91" t="e">
        <f t="shared" si="4"/>
        <v>#N/A</v>
      </c>
    </row>
    <row r="16" spans="1:35" x14ac:dyDescent="0.2">
      <c r="A16" s="90"/>
      <c r="B16" s="89"/>
      <c r="C16" s="89"/>
      <c r="D16" s="89"/>
      <c r="E16" s="89"/>
      <c r="F16" s="88" t="s">
        <v>39</v>
      </c>
      <c r="G16" s="46" t="e">
        <f t="shared" ref="G16:AI16" si="6">SUM(G5:G15)</f>
        <v>#N/A</v>
      </c>
      <c r="H16" s="46" t="e">
        <f t="shared" si="6"/>
        <v>#N/A</v>
      </c>
      <c r="I16" s="46">
        <f t="shared" si="6"/>
        <v>0</v>
      </c>
      <c r="J16" s="46" t="e">
        <f t="shared" si="6"/>
        <v>#N/A</v>
      </c>
      <c r="K16" s="46" t="e">
        <f t="shared" si="6"/>
        <v>#N/A</v>
      </c>
      <c r="L16" s="46" t="e">
        <f t="shared" si="6"/>
        <v>#N/A</v>
      </c>
      <c r="M16" s="46">
        <f t="shared" si="6"/>
        <v>0</v>
      </c>
      <c r="N16" s="46">
        <f t="shared" si="6"/>
        <v>0</v>
      </c>
      <c r="O16" s="116">
        <f t="shared" si="6"/>
        <v>0</v>
      </c>
      <c r="P16" s="116">
        <f t="shared" si="6"/>
        <v>0</v>
      </c>
      <c r="Q16" s="46">
        <f t="shared" si="6"/>
        <v>0</v>
      </c>
      <c r="R16" s="46" t="e">
        <f>SUM(R5:R15)</f>
        <v>#N/A</v>
      </c>
      <c r="S16" s="46" t="e">
        <f t="shared" si="6"/>
        <v>#N/A</v>
      </c>
      <c r="T16" s="46" t="e">
        <f t="shared" si="6"/>
        <v>#N/A</v>
      </c>
      <c r="U16" s="46" t="e">
        <f t="shared" si="6"/>
        <v>#N/A</v>
      </c>
      <c r="V16" s="46">
        <f t="shared" si="6"/>
        <v>0</v>
      </c>
      <c r="W16" s="46" t="e">
        <f t="shared" si="6"/>
        <v>#N/A</v>
      </c>
      <c r="X16" s="46" t="e">
        <f t="shared" si="6"/>
        <v>#N/A</v>
      </c>
      <c r="Y16" s="46" t="e">
        <f t="shared" si="6"/>
        <v>#N/A</v>
      </c>
      <c r="Z16" s="46">
        <f t="shared" si="6"/>
        <v>0</v>
      </c>
      <c r="AA16" s="46">
        <f t="shared" si="6"/>
        <v>0</v>
      </c>
      <c r="AB16" s="116">
        <f t="shared" si="6"/>
        <v>0</v>
      </c>
      <c r="AC16" s="116">
        <f t="shared" si="6"/>
        <v>0</v>
      </c>
      <c r="AD16" s="46">
        <f t="shared" si="6"/>
        <v>0</v>
      </c>
      <c r="AE16" s="46" t="e">
        <f t="shared" si="6"/>
        <v>#N/A</v>
      </c>
      <c r="AF16" s="46">
        <f t="shared" si="6"/>
        <v>0</v>
      </c>
      <c r="AG16" s="46" t="e">
        <f t="shared" si="6"/>
        <v>#N/A</v>
      </c>
      <c r="AH16" s="46" t="e">
        <f t="shared" si="6"/>
        <v>#N/A</v>
      </c>
      <c r="AI16" s="46" t="e">
        <f t="shared" si="6"/>
        <v>#N/A</v>
      </c>
    </row>
    <row r="17" spans="4:34" x14ac:dyDescent="0.2">
      <c r="S17" s="40" t="e">
        <f>S16+H16-S14-H14-H15-S15+ETPT_CPH!G5</f>
        <v>#N/A</v>
      </c>
    </row>
    <row r="18" spans="4:34" ht="28" x14ac:dyDescent="0.2">
      <c r="F18" s="301" t="s">
        <v>390</v>
      </c>
      <c r="G18" s="232" t="e">
        <f>SUMIFS( INDEX( 'ETPT Format DDG'!$A:$FA,,MATCH("12. TOTAL des INDISPONIBILITÉS relevant de l'action 99",'ETPT Format DDG'!2:2,0)),'ETPT Format DDG'!$C:$C,$D$5,'ETPT Format DDG'!$FA:$FA,"Fonctionnaire CTECH placé ADD")+
SUMIFS( INDEX( 'ETPT Format DDG'!$A:$FA,,MATCH("12. TOTAL des INDISPONIBILITÉS relevant de l'action 99",'ETPT Format DDG'!2:2,0)),'ETPT Format DDG'!$C:$C,$D$5,'ETPT Format DDG'!$FA:$FA,"Fonctionnaire CTECH placé SUB")</f>
        <v>#N/A</v>
      </c>
      <c r="Q18" s="302" t="s">
        <v>392</v>
      </c>
      <c r="R18" s="232" t="e">
        <f>SUMIFS( INDEX( 'ETPT Format DDG'!$A:$FA,,MATCH("12. TOTAL des INDISPONIBILITÉS relevant de l'action 99",'ETPT Format DDG'!2:2,0)),'ETPT Format DDG'!$C:$C,$D$5,'ETPT Format DDG'!$FA:$FA,"Fonctionnaire A-B-CBUR placé ADD")+
SUMIFS( INDEX( 'ETPT Format DDG'!$A:$FA,,MATCH("12. TOTAL des INDISPONIBILITÉS relevant de l'action 99",'ETPT Format DDG'!2:2,0)),'ETPT Format DDG'!$C:$C,$D$5,'ETPT Format DDG'!$FA:$FA,"Fonctionnaire A-B-CBUR placé SUB")</f>
        <v>#N/A</v>
      </c>
      <c r="S18" s="38"/>
      <c r="AF18" s="303"/>
      <c r="AG18" s="300" t="s">
        <v>388</v>
      </c>
      <c r="AH18" s="53" t="e">
        <f>SUMIFS( INDEX( 'ETPT Format DDG'!$A:$FA,,MATCH("12. TOTAL des INDISPONIBILITÉS relevant de l'action 99",'ETPT Format DDG'!2:2,0)),'ETPT Format DDG'!$C:$C,$D$5,'ETPT Format DDG'!$FA:$FA,"Magistrat placé ADD")+
SUMIFS( INDEX( 'ETPT Format DDG'!$A:$FA,,MATCH("12. TOTAL des INDISPONIBILITÉS relevant de l'action 99",'ETPT Format DDG'!2:2,0)),'ETPT Format DDG'!$C:$C,$D$5,'ETPT Format DDG'!$FA:$FA,"Magistrat placé SUB")</f>
        <v>#N/A</v>
      </c>
    </row>
    <row r="19" spans="4:34" x14ac:dyDescent="0.2">
      <c r="D19" s="39" t="s">
        <v>174</v>
      </c>
    </row>
  </sheetData>
  <mergeCells count="6">
    <mergeCell ref="AI2:AI4"/>
    <mergeCell ref="A1:H1"/>
    <mergeCell ref="H2:H4"/>
    <mergeCell ref="S2:S4"/>
    <mergeCell ref="U2:U4"/>
    <mergeCell ref="AE2:A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ACCUEIL</vt:lpstr>
      <vt:lpstr>ETPT A-JUST</vt:lpstr>
      <vt:lpstr>ETPT Format DDG</vt:lpstr>
      <vt:lpstr>Agrégats DDG</vt:lpstr>
      <vt:lpstr>codage tribunal</vt:lpstr>
      <vt:lpstr>Juridictions</vt:lpstr>
      <vt:lpstr>Table_Fonctions</vt:lpstr>
      <vt:lpstr>ETPT_TJ</vt:lpstr>
      <vt:lpstr>ETPT_TPRX</vt:lpstr>
      <vt:lpstr>ETPT_CPH</vt:lpstr>
      <vt:lpstr>ETPT_TJ_DDG</vt:lpstr>
      <vt:lpstr>ETPT_TPRX_DDG</vt:lpstr>
      <vt:lpstr>ETPT_CPH_DDG</vt:lpstr>
      <vt:lpstr>ETPT_TJ_corresp-SIEGE-TJ</vt:lpstr>
      <vt:lpstr>ETPT_TPROX_corresp-SIEGE-TPROX</vt:lpstr>
      <vt:lpstr>ETPT_TJ_corresp-GREFFE-TJ</vt:lpstr>
      <vt:lpstr>ETPT_TROX_corresp-GREFFE-TPROX</vt:lpstr>
      <vt:lpstr>ETPT_CPH_corresp-GREFFE-CPH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Extraction de données d'effectifs</dc:title>
  <dc:subject/>
  <dc:creator>A-JUST</dc:creator>
  <cp:keywords/>
  <dc:description>Ce fichier est généré sur la base des données saisies dans A-JUST</dc:description>
  <cp:lastModifiedBy>Jimmy CHEVALLIER</cp:lastModifiedBy>
  <dcterms:created xsi:type="dcterms:W3CDTF">2020-03-26T00:32:42Z</dcterms:created>
  <dcterms:modified xsi:type="dcterms:W3CDTF">2025-02-03T12:41:15Z</dcterms:modified>
  <cp:category/>
</cp:coreProperties>
</file>