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42A65A4A-4CED-EA40-9128-96FFD9BA91DC}" xr6:coauthVersionLast="47" xr6:coauthVersionMax="47" xr10:uidLastSave="{00000000-0000-0000-0000-000000000000}"/>
  <workbookProtection workbookAlgorithmName="SHA-512" workbookHashValue="dAFiNLtSQoZPzUqdToTXKs4qYdfbVNd/wXNYOIhJavkOrovrw5BoPQ0qeOxkvrIO42rTGOmJWYluvdRkpWME3g==" workbookSaltValue="cJrfxJd+x4HYx9OL+ePFng==" workbookSpinCount="100000" lockStructure="1"/>
  <bookViews>
    <workbookView xWindow="0" yWindow="760" windowWidth="30240" windowHeight="17780" tabRatio="723" xr2:uid="{F5E75FD0-8D4A-4F41-B6C7-77BCC38AF8C3}"/>
  </bookViews>
  <sheets>
    <sheet name="Feuille de temps" sheetId="8" r:id="rId1"/>
    <sheet name="Fonction" sheetId="10" state="hidden" r:id="rId2"/>
    <sheet name="Calculatrice magistrats" sheetId="3" r:id="rId3"/>
    <sheet name="Calculatrice fonctionnaires" sheetId="4" r:id="rId4"/>
    <sheet name="Reconvertir % d'ETPT" sheetId="5" r:id="rId5"/>
    <sheet name="Listes" sheetId="2" state="hidden" r:id="rId6"/>
  </sheets>
  <definedNames>
    <definedName name="AUTOUR_DU_MAGISTRAT">Fonction!$C$1:$C$100</definedName>
    <definedName name="GREFFE">Fonction!$B$1:$B$100</definedName>
    <definedName name="MAGISTRAT">Fonction!$A$1:$A$100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4" l="1"/>
  <c r="J9" i="4"/>
  <c r="H16" i="3"/>
  <c r="J9" i="3"/>
  <c r="D4" i="5" l="1"/>
  <c r="D16" i="5"/>
  <c r="G16" i="5" s="1"/>
  <c r="B5" i="2"/>
  <c r="D3" i="2"/>
  <c r="D4" i="2" s="1"/>
  <c r="D11" i="2"/>
  <c r="B10" i="2"/>
  <c r="B11" i="2" s="1"/>
  <c r="D12" i="2"/>
  <c r="D12" i="5" l="1"/>
  <c r="D14" i="5" s="1"/>
  <c r="G14" i="5" s="1"/>
  <c r="F3" i="2"/>
  <c r="F4" i="2" s="1"/>
  <c r="F5" i="2"/>
  <c r="D10" i="2"/>
  <c r="F10" i="2" l="1"/>
  <c r="F11" i="2" s="1"/>
  <c r="F12" i="2"/>
  <c r="G12" i="5"/>
</calcChain>
</file>

<file path=xl/sharedStrings.xml><?xml version="1.0" encoding="utf-8"?>
<sst xmlns="http://schemas.openxmlformats.org/spreadsheetml/2006/main" count="133" uniqueCount="86">
  <si>
    <t>Temps de travail d'un magistrat</t>
  </si>
  <si>
    <t>jours</t>
  </si>
  <si>
    <t>heures</t>
  </si>
  <si>
    <t>demi-journées</t>
  </si>
  <si>
    <t>par mois</t>
  </si>
  <si>
    <t>par an</t>
  </si>
  <si>
    <t>fréquence</t>
  </si>
  <si>
    <t>unités</t>
  </si>
  <si>
    <t>Sélectionner l'unité et la fréquence dans les menus déroulants</t>
  </si>
  <si>
    <t>Nombre d'audiences</t>
  </si>
  <si>
    <t>Saisir le temps passé dans la case jaune</t>
  </si>
  <si>
    <t xml:space="preserve">      OPTION 1. RAISONNEMENT AU TEMPS PASSE</t>
  </si>
  <si>
    <t xml:space="preserve">      OPTION 2. RAISONNEMENT EN AUDIENCES</t>
  </si>
  <si>
    <t>Temps de travail global consacré à une audience*</t>
  </si>
  <si>
    <t>* inclut le temps de préparation, le temps de l'audience et le temps éventuel de rédaction</t>
  </si>
  <si>
    <t xml:space="preserve"> (congés déduits)</t>
  </si>
  <si>
    <t>Temps consacré à une activité
juridictionnelle ou de soutien</t>
  </si>
  <si>
    <t>Etape 1. Veuillez saisir ici le temps de travail du magistrat</t>
  </si>
  <si>
    <t>en % d'un temps plein (temps plein=100%, mi-temps=50%, 4/5e=80%, etc.)</t>
  </si>
  <si>
    <r>
      <t xml:space="preserve">      PARAMETRES DE CALCUL</t>
    </r>
    <r>
      <rPr>
        <sz val="11"/>
        <color theme="1"/>
        <rFont val="Calibri"/>
        <family val="2"/>
        <scheme val="minor"/>
      </rPr>
      <t xml:space="preserve"> (pour information, ne pas modifier)</t>
    </r>
  </si>
  <si>
    <t>% de ventilation 
à reporter dans
A-JUST</t>
  </si>
  <si>
    <t>% de ventilation
à reporter dans
A-JUST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</si>
  <si>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Saisir dans les cases jaunes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</si>
  <si>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Sélectionner dans les menus déroulants </t>
    </r>
  </si>
  <si>
    <t>Etape 1. Veuillez saisir ici le temps de travail de l'agent</t>
  </si>
  <si>
    <t>Temps de travail</t>
  </si>
  <si>
    <t>d'un fonctionnaire</t>
  </si>
  <si>
    <t>par jour</t>
  </si>
  <si>
    <t>par semaine</t>
  </si>
  <si>
    <t>MAGISTRATS</t>
  </si>
  <si>
    <t>FONCTIONNAIRES</t>
  </si>
  <si>
    <t xml:space="preserve">      OPTION 2. RAISONNEMENT EN TACHES PERIODIQUES*</t>
  </si>
  <si>
    <t>* audiences, réunions, ou autres tâches qui se répètent à fréquence connue</t>
  </si>
  <si>
    <t>Temps de travail global consacré à la tâche</t>
  </si>
  <si>
    <t>Nombre d'occurrences de la tâche</t>
  </si>
  <si>
    <t>h/semaine*</t>
  </si>
  <si>
    <t>h/an</t>
  </si>
  <si>
    <r>
      <t xml:space="preserve"> PARAMETRES DE CALCUL</t>
    </r>
    <r>
      <rPr>
        <sz val="11"/>
        <color theme="1"/>
        <rFont val="Calibri"/>
        <family val="2"/>
        <scheme val="minor"/>
      </rPr>
      <t xml:space="preserve"> (seul le temps de travail hebdomadaire est modifiable)</t>
    </r>
  </si>
  <si>
    <t>* ce paramètre peut être modifié, au choix de l'utilisateur</t>
  </si>
  <si>
    <t>jours/an</t>
  </si>
  <si>
    <t>h/jour</t>
  </si>
  <si>
    <t>L'agent est</t>
  </si>
  <si>
    <t>d'un temps plein</t>
  </si>
  <si>
    <t xml:space="preserve">Une activité représentant </t>
  </si>
  <si>
    <t>de son temps</t>
  </si>
  <si>
    <t>Correspond à</t>
  </si>
  <si>
    <t>heures / an</t>
  </si>
  <si>
    <t>jours / an</t>
  </si>
  <si>
    <t>S'il travaille à</t>
  </si>
  <si>
    <t>soit</t>
  </si>
  <si>
    <t>MAGISTRAT</t>
  </si>
  <si>
    <t>FONCTIONNAIRE</t>
  </si>
  <si>
    <t>ce qui revient à</t>
  </si>
  <si>
    <t>ou encore à</t>
  </si>
  <si>
    <t>(renseigner 100% pour un temps plein, 80% pour un 4/5ème, 60% pour un 3/5ème, etc.)</t>
  </si>
  <si>
    <t>(renseigner ici le % d'ETPT que vous souhaitez convertir en temps)</t>
  </si>
  <si>
    <t>Si vous disposez du pourcentage d'ETPT que représente l'activité d'un agent et souhaitez savoir à quel temps annuel, mensuel ou hebdomadaire cela correspond, veuillez renseigner les champs indiqués en jaune.</t>
  </si>
  <si>
    <t>(sélectionner la catégorie dans le menu déroulant qui apparaît en cliquant sur la case jaune)</t>
  </si>
  <si>
    <t>La base de calcul d'un temps plein est :</t>
  </si>
  <si>
    <t>jours / mois*</t>
  </si>
  <si>
    <t>heures / mois*</t>
  </si>
  <si>
    <t>jours / semaine**</t>
  </si>
  <si>
    <t>heures / semaine**</t>
  </si>
  <si>
    <t>** étant considérée comme une semaine : une semaine pleine de 5 jours travaillés</t>
  </si>
  <si>
    <t>* étant considéré comme un mois : un douzième d'année, soit un mois moyen, congés payés déduits</t>
  </si>
  <si>
    <t>Catégorie</t>
  </si>
  <si>
    <t>Nom/prénom</t>
  </si>
  <si>
    <t>Fonction</t>
  </si>
  <si>
    <t>Temps administratif de travail</t>
  </si>
  <si>
    <t>Valeur en %</t>
  </si>
  <si>
    <r>
      <t xml:space="preserve">NE REMPLIR QUE LES CELLULES BLEU CLAIR
</t>
    </r>
    <r>
      <rPr>
        <b/>
        <sz val="12"/>
        <color theme="0"/>
        <rFont val="Arial"/>
        <family val="2"/>
      </rPr>
      <t>Pour évaluer le pourcentage que représente chaque catégorie, n'hésitez pas à utiliser la calculatrice accessible dans les onglets "Calculatrice".</t>
    </r>
  </si>
  <si>
    <t>RÉCAPITULATIF</t>
  </si>
  <si>
    <t>Même si vous êtes à temps partiel, l'ensemble de vos activités doit constituer 100% de votre temps de travail. Il est également essentiel que, même si vous êtes totalement indisponible (en cas de congé maladie ou maternité/paternité/adoption par exemple), vous indiquiez les activités que vous auriez eu à traiter si vous étiez présent.</t>
  </si>
  <si>
    <t>TOTAL</t>
  </si>
  <si>
    <t>ACTIVITES EXERCEES DEPUIS LE :</t>
  </si>
  <si>
    <t>En % sur base 100</t>
  </si>
  <si>
    <t>Temps plein</t>
  </si>
  <si>
    <t>Temps partiel</t>
  </si>
  <si>
    <t>#! FINISH</t>
  </si>
  <si>
    <t>#! END_ROW</t>
  </si>
  <si>
    <t>#! FOR_EACH c referentiel</t>
  </si>
  <si>
    <t>## c.label</t>
  </si>
  <si>
    <t>## c.parent</t>
  </si>
  <si>
    <t>## c.code</t>
  </si>
  <si>
    <t>#! END_LOOP 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</si>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</sst>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%"/>
    <numFmt numFmtId="166" formatCode="_-* #,##0.0_-;\-* #,##0.0_-;_-* &quot;-&quot;??_-;_-@_-"/>
    <numFmt numFmtId="167" formatCode="_-* #,##0_-;\-* #,##0_-;_-* &quot;-&quot;??_-;_-@_-"/>
    <numFmt numFmtId="168" formatCode="_-* #,##0.00\ _€_-;\-* #,##0.00\ _€_-;_-* &quot;-&quot;??\ _€_-;_-@_-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2"/>
      <name val="Arial"/>
      <family val="2"/>
    </font>
    <font>
      <b/>
      <sz val="11"/>
      <color theme="2"/>
      <name val="Calibri"/>
      <family val="2"/>
      <scheme val="minor"/>
    </font>
    <font>
      <b/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0" tint="-0.499984740745262"/>
      <name val="Arial"/>
      <family val="2"/>
    </font>
    <font>
      <b/>
      <sz val="11"/>
      <color rgb="FF002060"/>
      <name val="Arial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9FF78"/>
        <bgColor indexed="64"/>
      </patternFill>
    </fill>
    <fill>
      <patternFill patternType="solid">
        <fgColor rgb="FF002060"/>
        <bgColor rgb="FFC0C0C0"/>
      </patternFill>
    </fill>
    <fill>
      <patternFill patternType="solid">
        <fgColor theme="4" tint="0.39997558519241921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5" fontId="3" fillId="0" borderId="8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5" xfId="0" applyBorder="1"/>
    <xf numFmtId="165" fontId="3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2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 vertical="top" wrapText="1"/>
    </xf>
    <xf numFmtId="164" fontId="0" fillId="0" borderId="0" xfId="2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0" fillId="0" borderId="7" xfId="0" applyBorder="1" applyAlignment="1">
      <alignment horizontal="right" vertical="center"/>
    </xf>
    <xf numFmtId="0" fontId="7" fillId="0" borderId="0" xfId="0" applyFont="1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2" applyFont="1" applyAlignment="1" applyProtection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164" fontId="0" fillId="0" borderId="0" xfId="2" applyFont="1" applyFill="1" applyAlignment="1" applyProtection="1">
      <alignment horizontal="right" vertical="center"/>
    </xf>
    <xf numFmtId="0" fontId="1" fillId="0" borderId="0" xfId="0" applyFont="1" applyAlignment="1">
      <alignment vertical="center"/>
    </xf>
    <xf numFmtId="167" fontId="1" fillId="0" borderId="0" xfId="2" applyNumberFormat="1" applyFont="1" applyAlignment="1" applyProtection="1">
      <alignment horizontal="center" vertical="center"/>
    </xf>
    <xf numFmtId="164" fontId="1" fillId="0" borderId="0" xfId="2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1" applyFont="1" applyAlignment="1" applyProtection="1">
      <alignment horizontal="left"/>
    </xf>
    <xf numFmtId="168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right" vertical="top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165" fontId="8" fillId="0" borderId="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5" fontId="3" fillId="0" borderId="7" xfId="1" applyNumberFormat="1" applyFont="1" applyBorder="1" applyAlignment="1">
      <alignment horizontal="center" vertical="center"/>
    </xf>
    <xf numFmtId="165" fontId="3" fillId="3" borderId="0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5" fontId="3" fillId="3" borderId="0" xfId="1" applyNumberFormat="1" applyFont="1" applyFill="1" applyBorder="1" applyAlignment="1">
      <alignment horizontal="center" vertical="top"/>
    </xf>
    <xf numFmtId="9" fontId="4" fillId="0" borderId="0" xfId="1" applyFont="1" applyFill="1" applyBorder="1" applyAlignment="1" applyProtection="1">
      <alignment horizontal="left" vertical="top"/>
    </xf>
    <xf numFmtId="9" fontId="4" fillId="0" borderId="0" xfId="1" applyFont="1" applyFill="1" applyBorder="1" applyAlignment="1" applyProtection="1">
      <alignment horizontal="left" vertical="center"/>
    </xf>
    <xf numFmtId="166" fontId="2" fillId="0" borderId="0" xfId="2" applyNumberFormat="1" applyFont="1" applyBorder="1" applyAlignment="1" applyProtection="1">
      <alignment vertical="center"/>
    </xf>
    <xf numFmtId="0" fontId="0" fillId="0" borderId="1" xfId="0" applyBorder="1" applyAlignment="1">
      <alignment horizontal="right" vertical="center" inden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164" fontId="2" fillId="0" borderId="7" xfId="2" applyFont="1" applyBorder="1" applyAlignment="1" applyProtection="1">
      <alignment vertical="center"/>
    </xf>
    <xf numFmtId="164" fontId="2" fillId="0" borderId="7" xfId="2" applyFont="1" applyBorder="1" applyAlignment="1" applyProtection="1">
      <alignment horizontal="right" vertical="center"/>
    </xf>
    <xf numFmtId="0" fontId="0" fillId="0" borderId="8" xfId="0" applyBorder="1" applyAlignment="1">
      <alignment vertical="top"/>
    </xf>
    <xf numFmtId="166" fontId="2" fillId="3" borderId="0" xfId="2" applyNumberFormat="1" applyFont="1" applyFill="1" applyBorder="1" applyAlignment="1" applyProtection="1">
      <alignment vertical="center"/>
    </xf>
    <xf numFmtId="165" fontId="2" fillId="2" borderId="0" xfId="1" applyNumberFormat="1" applyFont="1" applyFill="1" applyBorder="1" applyAlignment="1" applyProtection="1">
      <alignment horizontal="center" vertical="center"/>
      <protection locked="0"/>
    </xf>
    <xf numFmtId="169" fontId="0" fillId="2" borderId="0" xfId="0" applyNumberFormat="1" applyFill="1" applyAlignment="1" applyProtection="1">
      <alignment horizontal="center" vertical="center"/>
      <protection locked="0"/>
    </xf>
    <xf numFmtId="169" fontId="0" fillId="0" borderId="7" xfId="0" applyNumberFormat="1" applyBorder="1"/>
    <xf numFmtId="169" fontId="0" fillId="0" borderId="0" xfId="0" applyNumberFormat="1"/>
    <xf numFmtId="169" fontId="0" fillId="0" borderId="2" xfId="0" applyNumberFormat="1" applyBorder="1" applyAlignment="1">
      <alignment horizontal="center" vertical="top" wrapText="1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right" vertical="center" wrapText="1"/>
    </xf>
    <xf numFmtId="0" fontId="9" fillId="5" borderId="0" xfId="0" applyFont="1" applyFill="1" applyAlignment="1" applyProtection="1">
      <alignment vertical="center" wrapText="1"/>
      <protection locked="0"/>
    </xf>
    <xf numFmtId="0" fontId="9" fillId="0" borderId="0" xfId="0" applyFont="1" applyAlignment="1">
      <alignment horizontal="left" vertical="center"/>
    </xf>
    <xf numFmtId="10" fontId="9" fillId="5" borderId="0" xfId="0" applyNumberFormat="1" applyFont="1" applyFill="1" applyAlignment="1" applyProtection="1">
      <alignment vertical="center" wrapText="1"/>
      <protection locked="0"/>
    </xf>
    <xf numFmtId="4" fontId="13" fillId="7" borderId="9" xfId="0" applyNumberFormat="1" applyFont="1" applyFill="1" applyBorder="1" applyAlignment="1">
      <alignment horizontal="center" vertical="center" wrapText="1"/>
    </xf>
    <xf numFmtId="4" fontId="13" fillId="7" borderId="9" xfId="0" applyNumberFormat="1" applyFont="1" applyFill="1" applyBorder="1" applyAlignment="1">
      <alignment horizontal="right" vertical="center" wrapText="1"/>
    </xf>
    <xf numFmtId="9" fontId="14" fillId="7" borderId="9" xfId="0" applyNumberFormat="1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4" fontId="9" fillId="10" borderId="0" xfId="0" applyNumberFormat="1" applyFont="1" applyFill="1" applyAlignment="1">
      <alignment horizontal="left" vertical="center" wrapText="1"/>
    </xf>
    <xf numFmtId="0" fontId="18" fillId="6" borderId="0" xfId="0" applyFont="1" applyFill="1" applyAlignment="1" applyProtection="1">
      <alignment horizontal="center" vertical="center"/>
      <protection locked="0"/>
    </xf>
    <xf numFmtId="9" fontId="3" fillId="0" borderId="5" xfId="1" applyFont="1" applyFill="1" applyBorder="1" applyAlignment="1">
      <alignment horizontal="left" vertical="center"/>
    </xf>
    <xf numFmtId="169" fontId="3" fillId="2" borderId="0" xfId="1" applyNumberFormat="1" applyFont="1" applyFill="1" applyBorder="1" applyAlignment="1" applyProtection="1">
      <alignment horizontal="right" vertical="center"/>
      <protection locked="0"/>
    </xf>
    <xf numFmtId="0" fontId="0" fillId="0" borderId="7" xfId="0" applyBorder="1" applyAlignment="1">
      <alignment horizontal="center" vertical="top"/>
    </xf>
    <xf numFmtId="169" fontId="3" fillId="2" borderId="0" xfId="1" applyNumberFormat="1" applyFont="1" applyFill="1" applyBorder="1" applyAlignment="1" applyProtection="1">
      <alignment horizontal="left" vertical="center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14" fontId="15" fillId="8" borderId="0" xfId="0" applyNumberFormat="1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2" borderId="0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 indent="1"/>
    </xf>
  </cellXfs>
  <cellStyles count="3">
    <cellStyle name="Milliers" xfId="2" builtinId="3"/>
    <cellStyle name="Normal" xfId="0" builtinId="0"/>
    <cellStyle name="Pourcentage" xfId="1" builtinId="5"/>
  </cellStyles>
  <dxfs count="5">
    <dxf>
      <font>
        <color theme="7" tint="0.79998168889431442"/>
      </font>
      <fill>
        <patternFill>
          <bgColor theme="7" tint="0.79998168889431442"/>
        </patternFill>
      </fill>
    </dxf>
    <dxf>
      <font>
        <color theme="7" tint="0.79998168889431442"/>
      </font>
    </dxf>
    <dxf>
      <font>
        <color theme="0"/>
      </font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09FF78"/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Fonctionnaires!C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Magistrats!C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678098</xdr:colOff>
      <xdr:row>8</xdr:row>
      <xdr:rowOff>7583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3C0AAB8D-6CA7-2F2E-18C2-88559A66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202655" y="2377453"/>
          <a:ext cx="421942" cy="402857"/>
        </a:xfrm>
        <a:prstGeom prst="rect">
          <a:avLst/>
        </a:prstGeom>
      </xdr:spPr>
    </xdr:pic>
    <xdr:clientData/>
  </xdr:twoCellAnchor>
  <xdr:twoCellAnchor editAs="oneCell">
    <xdr:from>
      <xdr:col>5</xdr:col>
      <xdr:colOff>710559</xdr:colOff>
      <xdr:row>6</xdr:row>
      <xdr:rowOff>798191</xdr:rowOff>
    </xdr:from>
    <xdr:to>
      <xdr:col>6</xdr:col>
      <xdr:colOff>220926</xdr:colOff>
      <xdr:row>8</xdr:row>
      <xdr:rowOff>9489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978D91A-AA51-4445-B52D-A5581919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700952" y="2372678"/>
          <a:ext cx="419086" cy="409551"/>
        </a:xfrm>
        <a:prstGeom prst="rect">
          <a:avLst/>
        </a:prstGeom>
      </xdr:spPr>
    </xdr:pic>
    <xdr:clientData/>
  </xdr:twoCellAnchor>
  <xdr:twoCellAnchor editAs="oneCell">
    <xdr:from>
      <xdr:col>7</xdr:col>
      <xdr:colOff>366706</xdr:colOff>
      <xdr:row>7</xdr:row>
      <xdr:rowOff>131441</xdr:rowOff>
    </xdr:from>
    <xdr:to>
      <xdr:col>7</xdr:col>
      <xdr:colOff>792414</xdr:colOff>
      <xdr:row>10</xdr:row>
      <xdr:rowOff>7588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B2DECB8B-4FE8-418F-A567-47FDC3F2F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4506" y="3293741"/>
          <a:ext cx="427616" cy="811505"/>
        </a:xfrm>
        <a:prstGeom prst="rect">
          <a:avLst/>
        </a:prstGeom>
      </xdr:spPr>
    </xdr:pic>
    <xdr:clientData/>
  </xdr:twoCellAnchor>
  <xdr:twoCellAnchor editAs="oneCell">
    <xdr:from>
      <xdr:col>2</xdr:col>
      <xdr:colOff>333708</xdr:colOff>
      <xdr:row>12</xdr:row>
      <xdr:rowOff>0</xdr:rowOff>
    </xdr:from>
    <xdr:to>
      <xdr:col>2</xdr:col>
      <xdr:colOff>748951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0EA71482-B28B-49CE-8241-3E579BA8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935780" y="5081928"/>
          <a:ext cx="419100" cy="41524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238124</xdr:colOff>
      <xdr:row>12</xdr:row>
      <xdr:rowOff>0</xdr:rowOff>
    </xdr:from>
    <xdr:to>
      <xdr:col>5</xdr:col>
      <xdr:colOff>657140</xdr:colOff>
      <xdr:row>12</xdr:row>
      <xdr:rowOff>419100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3BDBF0A5-45A1-4C79-9F21-32A3EE7D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83755" y="4359629"/>
          <a:ext cx="419100" cy="417122"/>
        </a:xfrm>
        <a:prstGeom prst="rect">
          <a:avLst/>
        </a:prstGeom>
      </xdr:spPr>
    </xdr:pic>
    <xdr:clientData/>
  </xdr:twoCellAnchor>
  <xdr:twoCellAnchor editAs="oneCell">
    <xdr:from>
      <xdr:col>6</xdr:col>
      <xdr:colOff>220027</xdr:colOff>
      <xdr:row>13</xdr:row>
      <xdr:rowOff>90488</xdr:rowOff>
    </xdr:from>
    <xdr:to>
      <xdr:col>6</xdr:col>
      <xdr:colOff>639080</xdr:colOff>
      <xdr:row>15</xdr:row>
      <xdr:rowOff>342847</xdr:rowOff>
    </xdr:to>
    <xdr:pic>
      <xdr:nvPicPr>
        <xdr:cNvPr id="9" name="Graphique 8" descr="Jouer avec un remplissage uni">
          <a:extLst>
            <a:ext uri="{FF2B5EF4-FFF2-40B4-BE49-F238E27FC236}">
              <a16:creationId xmlns:a16="http://schemas.microsoft.com/office/drawing/2014/main" id="{9819F798-86F8-4932-A8ED-71696AA5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21967" y="4982528"/>
          <a:ext cx="421930" cy="8467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12</xdr:col>
      <xdr:colOff>0</xdr:colOff>
      <xdr:row>22</xdr:row>
      <xdr:rowOff>20955</xdr:rowOff>
    </xdr:to>
    <xdr:sp macro="" textlink="">
      <xdr:nvSpPr>
        <xdr:cNvPr id="2" name="ZoneText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41C882-FFA2-7DFE-7B59-A190624C3C29}"/>
            </a:ext>
          </a:extLst>
        </xdr:cNvPr>
        <xdr:cNvSpPr txBox="1"/>
      </xdr:nvSpPr>
      <xdr:spPr>
        <a:xfrm>
          <a:off x="2383971" y="6139543"/>
          <a:ext cx="9350829" cy="57612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7</xdr:col>
      <xdr:colOff>236221</xdr:colOff>
      <xdr:row>0</xdr:row>
      <xdr:rowOff>190500</xdr:rowOff>
    </xdr:from>
    <xdr:to>
      <xdr:col>11</xdr:col>
      <xdr:colOff>1377301</xdr:colOff>
      <xdr:row>0</xdr:row>
      <xdr:rowOff>670541</xdr:rowOff>
    </xdr:to>
    <xdr:sp macro="" textlink="">
      <xdr:nvSpPr>
        <xdr:cNvPr id="8" name="Rectangle : coins arrondi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3947BE-37BF-B1F4-531E-63CF9D32EDCE}"/>
            </a:ext>
          </a:extLst>
        </xdr:cNvPr>
        <xdr:cNvSpPr/>
      </xdr:nvSpPr>
      <xdr:spPr>
        <a:xfrm>
          <a:off x="9334501" y="190500"/>
          <a:ext cx="309942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fonctionnaires</a:t>
          </a:r>
          <a:endParaRPr lang="fr-FR" sz="1100"/>
        </a:p>
      </xdr:txBody>
    </xdr:sp>
    <xdr:clientData/>
  </xdr:twoCellAnchor>
  <xdr:twoCellAnchor>
    <xdr:from>
      <xdr:col>0</xdr:col>
      <xdr:colOff>2377439</xdr:colOff>
      <xdr:row>0</xdr:row>
      <xdr:rowOff>190501</xdr:rowOff>
    </xdr:from>
    <xdr:to>
      <xdr:col>7</xdr:col>
      <xdr:colOff>17144</xdr:colOff>
      <xdr:row>0</xdr:row>
      <xdr:rowOff>671511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AAF64DE6-461B-4D4A-AFA6-4454D8FFB3E6}"/>
            </a:ext>
          </a:extLst>
        </xdr:cNvPr>
        <xdr:cNvSpPr/>
      </xdr:nvSpPr>
      <xdr:spPr>
        <a:xfrm>
          <a:off x="2377439" y="190501"/>
          <a:ext cx="673798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1852605</xdr:colOff>
      <xdr:row>4</xdr:row>
      <xdr:rowOff>161921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9BC9B72D-67C1-49FF-91A1-AE844FEC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47850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354553</xdr:colOff>
      <xdr:row>6</xdr:row>
      <xdr:rowOff>798191</xdr:rowOff>
    </xdr:from>
    <xdr:to>
      <xdr:col>2</xdr:col>
      <xdr:colOff>763065</xdr:colOff>
      <xdr:row>8</xdr:row>
      <xdr:rowOff>6616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5861BEBF-9446-4B30-8713-F6B2D7CD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943649" y="3219411"/>
          <a:ext cx="438320" cy="408512"/>
        </a:xfrm>
        <a:prstGeom prst="rect">
          <a:avLst/>
        </a:prstGeom>
      </xdr:spPr>
    </xdr:pic>
    <xdr:clientData/>
  </xdr:twoCellAnchor>
  <xdr:twoCellAnchor editAs="oneCell">
    <xdr:from>
      <xdr:col>5</xdr:col>
      <xdr:colOff>710559</xdr:colOff>
      <xdr:row>6</xdr:row>
      <xdr:rowOff>798191</xdr:rowOff>
    </xdr:from>
    <xdr:to>
      <xdr:col>6</xdr:col>
      <xdr:colOff>212317</xdr:colOff>
      <xdr:row>8</xdr:row>
      <xdr:rowOff>8522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8E18D116-210E-4250-A2C0-513A5CD6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5740" y="2374111"/>
          <a:ext cx="424793" cy="406679"/>
        </a:xfrm>
        <a:prstGeom prst="rect">
          <a:avLst/>
        </a:prstGeom>
      </xdr:spPr>
    </xdr:pic>
    <xdr:clientData/>
  </xdr:twoCellAnchor>
  <xdr:twoCellAnchor editAs="oneCell">
    <xdr:from>
      <xdr:col>7</xdr:col>
      <xdr:colOff>405761</xdr:colOff>
      <xdr:row>7</xdr:row>
      <xdr:rowOff>107630</xdr:rowOff>
    </xdr:from>
    <xdr:to>
      <xdr:col>7</xdr:col>
      <xdr:colOff>830483</xdr:colOff>
      <xdr:row>9</xdr:row>
      <xdr:rowOff>115224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51E9A83-917B-4F66-B48E-2EAA685E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73561" y="3422330"/>
          <a:ext cx="422821" cy="822934"/>
        </a:xfrm>
        <a:prstGeom prst="rect">
          <a:avLst/>
        </a:prstGeom>
      </xdr:spPr>
    </xdr:pic>
    <xdr:clientData/>
  </xdr:twoCellAnchor>
  <xdr:twoCellAnchor editAs="oneCell">
    <xdr:from>
      <xdr:col>2</xdr:col>
      <xdr:colOff>306969</xdr:colOff>
      <xdr:row>12</xdr:row>
      <xdr:rowOff>0</xdr:rowOff>
    </xdr:from>
    <xdr:to>
      <xdr:col>2</xdr:col>
      <xdr:colOff>726008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0B6DA928-9A22-47BD-95E3-A76000C4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910939" y="5213714"/>
          <a:ext cx="419100" cy="419039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238124</xdr:colOff>
      <xdr:row>12</xdr:row>
      <xdr:rowOff>0</xdr:rowOff>
    </xdr:from>
    <xdr:to>
      <xdr:col>5</xdr:col>
      <xdr:colOff>656174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FA9A8D2C-7799-4983-A0B8-C21AA7A7E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71849" y="4358201"/>
          <a:ext cx="419100" cy="418073"/>
        </a:xfrm>
        <a:prstGeom prst="rect">
          <a:avLst/>
        </a:prstGeom>
      </xdr:spPr>
    </xdr:pic>
    <xdr:clientData/>
  </xdr:twoCellAnchor>
  <xdr:twoCellAnchor editAs="oneCell">
    <xdr:from>
      <xdr:col>6</xdr:col>
      <xdr:colOff>220027</xdr:colOff>
      <xdr:row>13</xdr:row>
      <xdr:rowOff>90488</xdr:rowOff>
    </xdr:from>
    <xdr:to>
      <xdr:col>6</xdr:col>
      <xdr:colOff>640019</xdr:colOff>
      <xdr:row>15</xdr:row>
      <xdr:rowOff>364752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0325D3EA-73E8-4F6F-A13B-D5292EE0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9140" y="4886326"/>
          <a:ext cx="420015" cy="8476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12</xdr:col>
      <xdr:colOff>0</xdr:colOff>
      <xdr:row>22</xdr:row>
      <xdr:rowOff>20955</xdr:rowOff>
    </xdr:to>
    <xdr:sp macro="" textlink="">
      <xdr:nvSpPr>
        <xdr:cNvPr id="9" name="ZoneText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81D9D-7D12-4BF6-9C81-5240CE39FC34}"/>
            </a:ext>
          </a:extLst>
        </xdr:cNvPr>
        <xdr:cNvSpPr txBox="1"/>
      </xdr:nvSpPr>
      <xdr:spPr>
        <a:xfrm>
          <a:off x="2381250" y="6281738"/>
          <a:ext cx="10053638" cy="56388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7</xdr:col>
      <xdr:colOff>779124</xdr:colOff>
      <xdr:row>0</xdr:row>
      <xdr:rowOff>219053</xdr:rowOff>
    </xdr:from>
    <xdr:to>
      <xdr:col>11</xdr:col>
      <xdr:colOff>1363958</xdr:colOff>
      <xdr:row>0</xdr:row>
      <xdr:rowOff>694352</xdr:rowOff>
    </xdr:to>
    <xdr:sp macro="" textlink="">
      <xdr:nvSpPr>
        <xdr:cNvPr id="11" name="Rectangle : coins arrondi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219733-2996-437C-A61A-B91F666AC805}"/>
            </a:ext>
          </a:extLst>
        </xdr:cNvPr>
        <xdr:cNvSpPr/>
      </xdr:nvSpPr>
      <xdr:spPr>
        <a:xfrm>
          <a:off x="9877404" y="219053"/>
          <a:ext cx="287845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magistrats</a:t>
          </a:r>
          <a:endParaRPr lang="fr-FR" sz="1100"/>
        </a:p>
      </xdr:txBody>
    </xdr:sp>
    <xdr:clientData/>
  </xdr:twoCellAnchor>
  <xdr:twoCellAnchor>
    <xdr:from>
      <xdr:col>0</xdr:col>
      <xdr:colOff>2370786</xdr:colOff>
      <xdr:row>0</xdr:row>
      <xdr:rowOff>211461</xdr:rowOff>
    </xdr:from>
    <xdr:to>
      <xdr:col>7</xdr:col>
      <xdr:colOff>615315</xdr:colOff>
      <xdr:row>0</xdr:row>
      <xdr:rowOff>694378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E23D9B75-222E-4366-9BCD-867896D37FF9}"/>
            </a:ext>
          </a:extLst>
        </xdr:cNvPr>
        <xdr:cNvSpPr/>
      </xdr:nvSpPr>
      <xdr:spPr>
        <a:xfrm>
          <a:off x="2370786" y="211461"/>
          <a:ext cx="734280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1849734</xdr:colOff>
      <xdr:row>4</xdr:row>
      <xdr:rowOff>135234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2DEA0CA9-023E-4FFA-8027-FA82FCE97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1660" cy="186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9</xdr:row>
      <xdr:rowOff>23813</xdr:rowOff>
    </xdr:from>
    <xdr:to>
      <xdr:col>3</xdr:col>
      <xdr:colOff>517094</xdr:colOff>
      <xdr:row>9</xdr:row>
      <xdr:rowOff>451437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09A5BB5A-748B-4232-907C-3906C7E62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11327" y="2122673"/>
          <a:ext cx="417158" cy="410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1049632</xdr:colOff>
      <xdr:row>5</xdr:row>
      <xdr:rowOff>181916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9183CA7-7263-4512-A850-FEEFEAE8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DF7-F7D7-42C7-82AA-8FB5759BD1A1}">
  <dimension ref="A1:G11"/>
  <sheetViews>
    <sheetView showGridLines="0" tabSelected="1" topLeftCell="B2" zoomScale="110" zoomScaleNormal="95" workbookViewId="0">
      <selection activeCell="C2" sqref="C2"/>
    </sheetView>
  </sheetViews>
  <sheetFormatPr baseColWidth="10" defaultRowHeight="15"/>
  <cols>
    <col min="1" max="1" width="10.83203125" hidden="1" customWidth="1"/>
    <col min="2" max="2" width="40.5" customWidth="1"/>
    <col min="3" max="3" width="61.5" customWidth="1"/>
    <col min="4" max="4" width="20" customWidth="1"/>
    <col min="5" max="5" width="17.1640625" customWidth="1"/>
    <col min="6" max="6" width="65.1640625" style="13" customWidth="1"/>
  </cols>
  <sheetData>
    <row r="1" spans="1:7" ht="16" hidden="1">
      <c r="A1" s="43" t="s">
        <v>79</v>
      </c>
      <c r="F1" s="86"/>
      <c r="G1" s="13"/>
    </row>
    <row r="2" spans="1:7" ht="33" customHeight="1">
      <c r="A2" s="86"/>
      <c r="B2" s="87" t="s">
        <v>65</v>
      </c>
      <c r="C2" s="88"/>
      <c r="D2" s="43" t="s">
        <v>79</v>
      </c>
      <c r="E2" s="89"/>
      <c r="F2" s="40"/>
      <c r="G2" s="13"/>
    </row>
    <row r="3" spans="1:7" ht="33" customHeight="1">
      <c r="A3" s="86"/>
      <c r="B3" s="87" t="s">
        <v>66</v>
      </c>
      <c r="C3" s="88"/>
      <c r="D3" s="43" t="s">
        <v>79</v>
      </c>
      <c r="E3" s="13"/>
      <c r="F3" s="40"/>
      <c r="G3" s="13"/>
    </row>
    <row r="4" spans="1:7" ht="33" customHeight="1">
      <c r="A4" s="86"/>
      <c r="B4" s="87" t="s">
        <v>67</v>
      </c>
      <c r="C4" s="88"/>
      <c r="D4" s="43" t="s">
        <v>79</v>
      </c>
      <c r="E4" s="13"/>
      <c r="F4" s="40"/>
      <c r="G4" s="13"/>
    </row>
    <row r="5" spans="1:7" ht="31" customHeight="1" thickBot="1">
      <c r="A5" s="86"/>
      <c r="B5" s="87" t="s">
        <v>68</v>
      </c>
      <c r="C5" s="88"/>
      <c r="D5" s="87" t="s">
        <v>69</v>
      </c>
      <c r="E5" s="90"/>
      <c r="F5" s="43" t="s">
        <v>79</v>
      </c>
    </row>
    <row r="6" spans="1:7" ht="56" customHeight="1" thickTop="1" thickBot="1">
      <c r="A6" s="86"/>
      <c r="B6" s="102" t="s">
        <v>70</v>
      </c>
      <c r="C6" s="102"/>
      <c r="D6" s="102"/>
      <c r="E6" s="103"/>
      <c r="F6" s="43" t="s">
        <v>79</v>
      </c>
    </row>
    <row r="7" spans="1:7" ht="110" customHeight="1" thickTop="1">
      <c r="A7" s="10"/>
      <c r="B7" s="91" t="s">
        <v>71</v>
      </c>
      <c r="C7" s="91" t="s">
        <v>72</v>
      </c>
      <c r="D7" s="92" t="s">
        <v>73</v>
      </c>
      <c r="E7" s="93"/>
      <c r="F7" s="43" t="s">
        <v>79</v>
      </c>
    </row>
    <row r="8" spans="1:7" ht="42" customHeight="1">
      <c r="A8" s="10"/>
      <c r="B8" s="87" t="s">
        <v>74</v>
      </c>
      <c r="C8" s="104"/>
      <c r="D8" s="105"/>
      <c r="E8" s="94" t="s">
        <v>75</v>
      </c>
      <c r="F8" t="s">
        <v>80</v>
      </c>
    </row>
    <row r="9" spans="1:7">
      <c r="A9" s="10" t="s">
        <v>83</v>
      </c>
      <c r="B9" s="95" t="s">
        <v>82</v>
      </c>
      <c r="C9" s="96" t="s">
        <v>81</v>
      </c>
      <c r="D9" s="96"/>
      <c r="E9" s="97"/>
      <c r="F9" t="s">
        <v>84</v>
      </c>
    </row>
    <row r="10" spans="1:7">
      <c r="F10" t="s">
        <v>79</v>
      </c>
    </row>
    <row r="11" spans="1:7">
      <c r="F11" s="13" t="s">
        <v>78</v>
      </c>
    </row>
  </sheetData>
  <sheetProtection algorithmName="SHA-512" hashValue="PovsjZ3fs6fg8Fjg2GS3pw9Iq+QOC91oLp3ic3BMQIkQybreI0izcNbq15L5Gs3gNuEXQVrYIMG7Opm18YQJRA==" saltValue="vNwRWTFN4eLTX9JEiz4MQQ==" spinCount="100000" sheet="1" selectLockedCells="1"/>
  <dataConsolidate/>
  <mergeCells count="2">
    <mergeCell ref="B6:E6"/>
    <mergeCell ref="C8:D8"/>
  </mergeCells>
  <conditionalFormatting sqref="A9:E200">
    <cfRule type="expression" dxfId="4" priority="3" stopIfTrue="1">
      <formula>$A9=""</formula>
    </cfRule>
  </conditionalFormatting>
  <conditionalFormatting sqref="B7:E7">
    <cfRule type="expression" dxfId="3" priority="14" stopIfTrue="1">
      <formula>$E$7&lt;&gt;100%</formula>
    </cfRule>
  </conditionalFormatting>
  <conditionalFormatting sqref="B9:E200">
    <cfRule type="expression" dxfId="2" priority="4">
      <formula>$C9=""</formula>
    </cfRule>
  </conditionalFormatting>
  <conditionalFormatting sqref="C9:C200">
    <cfRule type="expression" dxfId="1" priority="2" stopIfTrue="1">
      <formula>AND($C$2="MAGISTRAT",OR($A9="11.7.",$A9="11.8.",$A9="11.9.",$A9="11.10."))</formula>
    </cfRule>
  </conditionalFormatting>
  <conditionalFormatting sqref="D9:D200">
    <cfRule type="expression" dxfId="0" priority="1">
      <formula>AND($C$2="MAGISTRAT",OR($A9="11.7.",$A9="11.8.",$A9="11.9.",$A9="11.10."))</formula>
    </cfRule>
  </conditionalFormatting>
  <dataValidations count="4">
    <dataValidation type="list" allowBlank="1" showErrorMessage="1" errorTitle="Erreur de saisie" error="Vous devez choisir une fonction dans la liste proposée !" sqref="C4" xr:uid="{4B86F8E2-A2C1-4AF0-8AD2-6F6FB121C7E1}">
      <formula1>INDIRECT(SUBSTITUTE($C$2," ","_"))</formula1>
    </dataValidation>
    <dataValidation type="date" operator="greaterThan" allowBlank="1" showInputMessage="1" showErrorMessage="1" errorTitle="Date non valide" error="Saisir une date au format JJ/MM/AAAA" sqref="C8" xr:uid="{A91592D5-FAF1-48BE-B5FE-60B612F0C2AB}">
      <formula1>1</formula1>
    </dataValidation>
    <dataValidation type="list" allowBlank="1" showInputMessage="1" showErrorMessage="1" sqref="C2" xr:uid="{36A38D39-CE0C-451A-AF08-7EA966C140A2}">
      <formula1>#REF!</formula1>
    </dataValidation>
    <dataValidation type="custom" allowBlank="1" showInputMessage="1" showErrorMessage="1" errorTitle="Alerte saisie !" error="Pour ce contentieux, il est nécessaire de détailler les sous contentieux figurant sur fond jaune. Cliquez sur &quot;Annuler&quot; et saisissez le détail indiqué précédement. Le total se calcule automatiquement." sqref="E9:E300" xr:uid="{E57D8FC0-574C-314A-A32B-42F38B89AA92}">
      <formula1>AND($B10&lt;&gt;"TOTAL Juges des Enfants",$B10&lt;&gt;"TOTAL Juges d'Instruction",$B10&lt;&gt;"TOTAL Contentieux des mineurs")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F1A6A5-2B5F-481A-A4A5-63A0C610A444}">
          <x14:formula1>
            <xm:f>Listes!$H$2:$H$3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0323-CD20-8B4C-80DF-5C6200E7CC3E}">
  <dimension ref="A1"/>
  <sheetViews>
    <sheetView workbookViewId="0">
      <selection activeCell="C100" sqref="C1:C10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B1C1-42FB-48AE-9FA7-0EC11F273BC4}">
  <sheetPr codeName="Feuil1"/>
  <dimension ref="B1:M19"/>
  <sheetViews>
    <sheetView showGridLines="0" zoomScale="95" zoomScaleNormal="95" workbookViewId="0">
      <selection activeCell="C3" sqref="C3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3.33203125" customWidth="1"/>
    <col min="5" max="5" width="2.83203125" customWidth="1"/>
    <col min="6" max="6" width="12.6640625" customWidth="1"/>
    <col min="7" max="7" width="13.1640625" customWidth="1"/>
    <col min="8" max="8" width="13.6640625" customWidth="1"/>
    <col min="9" max="9" width="1.33203125" customWidth="1"/>
    <col min="10" max="10" width="13.6640625" style="2" customWidth="1"/>
    <col min="11" max="11" width="1" customWidth="1"/>
    <col min="12" max="12" width="12.33203125" customWidth="1"/>
    <col min="13" max="13" width="19.33203125" style="2" customWidth="1"/>
  </cols>
  <sheetData>
    <row r="1" spans="2:13" ht="68" customHeight="1" thickBot="1">
      <c r="M1" s="13"/>
    </row>
    <row r="2" spans="2:13" ht="6" customHeight="1">
      <c r="B2" s="19"/>
      <c r="C2" s="4"/>
      <c r="D2" s="4"/>
      <c r="E2" s="11"/>
      <c r="G2" s="19"/>
      <c r="H2" s="4"/>
      <c r="I2" s="4"/>
      <c r="J2" s="61"/>
      <c r="K2" s="4"/>
      <c r="L2" s="5"/>
    </row>
    <row r="3" spans="2:13" ht="40.5" customHeight="1">
      <c r="B3" s="27" t="s">
        <v>17</v>
      </c>
      <c r="C3" s="99"/>
      <c r="D3" s="101" t="s">
        <v>85</v>
      </c>
      <c r="E3" s="98"/>
      <c r="G3" s="18" t="s">
        <v>19</v>
      </c>
      <c r="H3" s="20"/>
      <c r="I3" s="20"/>
      <c r="L3" s="21"/>
      <c r="M3"/>
    </row>
    <row r="4" spans="2:13" s="3" customFormat="1" ht="19.5" customHeight="1" thickBot="1">
      <c r="B4" s="28"/>
      <c r="C4" s="29" t="s">
        <v>18</v>
      </c>
      <c r="D4" s="29"/>
      <c r="E4" s="26"/>
      <c r="G4" s="111" t="s">
        <v>0</v>
      </c>
      <c r="H4" s="112"/>
      <c r="I4" s="54"/>
      <c r="J4" s="2">
        <v>208</v>
      </c>
      <c r="K4" s="1"/>
      <c r="L4" s="21" t="s">
        <v>39</v>
      </c>
    </row>
    <row r="5" spans="2:13" s="3" customFormat="1" ht="25" customHeight="1" thickBot="1">
      <c r="G5" s="113" t="s">
        <v>15</v>
      </c>
      <c r="H5" s="114"/>
      <c r="I5" s="55"/>
      <c r="J5" s="6">
        <v>8</v>
      </c>
      <c r="K5" s="35"/>
      <c r="L5" s="12" t="s">
        <v>40</v>
      </c>
    </row>
    <row r="6" spans="2:13" ht="20.75" customHeight="1" thickBot="1">
      <c r="G6" s="33"/>
      <c r="H6" s="33"/>
      <c r="I6" s="33"/>
    </row>
    <row r="7" spans="2:13" ht="70" customHeight="1">
      <c r="B7" s="109" t="s">
        <v>11</v>
      </c>
      <c r="C7" s="17" t="s">
        <v>10</v>
      </c>
      <c r="D7" s="17"/>
      <c r="E7" s="17"/>
      <c r="F7" s="108" t="s">
        <v>8</v>
      </c>
      <c r="G7" s="108"/>
      <c r="H7" s="4"/>
      <c r="I7" s="4"/>
      <c r="J7" s="106" t="s">
        <v>20</v>
      </c>
      <c r="K7" s="52"/>
      <c r="M7"/>
    </row>
    <row r="8" spans="2:13" ht="26" customHeight="1">
      <c r="B8" s="110"/>
      <c r="J8" s="107"/>
      <c r="K8" s="53"/>
      <c r="M8"/>
    </row>
    <row r="9" spans="2:13" ht="38.25" customHeight="1">
      <c r="B9" s="14" t="s">
        <v>16</v>
      </c>
      <c r="C9" s="80"/>
      <c r="D9" s="10"/>
      <c r="E9" s="10"/>
      <c r="F9" s="58" t="s">
        <v>7</v>
      </c>
      <c r="G9" s="58" t="s">
        <v>6</v>
      </c>
      <c r="H9" s="3"/>
      <c r="I9" s="3"/>
      <c r="J9" s="63" t="str">
        <f>IF($C$3="","",(C9*(VLOOKUP(F9,Listes!$A$2:$B$5,2,FALSE))*VLOOKUP(G9,Listes!$C$2:$D$6,2,FALSE))/($J$4*($C$3/100)))</f>
        <v/>
      </c>
      <c r="K9" s="59"/>
      <c r="M9"/>
    </row>
    <row r="10" spans="2:13" ht="9.75" customHeight="1" thickBot="1">
      <c r="B10" s="23"/>
      <c r="C10" s="24"/>
      <c r="D10" s="24"/>
      <c r="E10" s="24"/>
      <c r="F10" s="24"/>
      <c r="G10" s="24"/>
      <c r="H10" s="24"/>
      <c r="I10" s="24"/>
      <c r="J10" s="57"/>
      <c r="K10" s="25"/>
      <c r="M10"/>
    </row>
    <row r="11" spans="2:13" ht="7.25" customHeight="1" thickBot="1">
      <c r="K11" s="2"/>
      <c r="M11"/>
    </row>
    <row r="12" spans="2:13" ht="69" customHeight="1">
      <c r="B12" s="109" t="s">
        <v>12</v>
      </c>
      <c r="C12" s="31" t="s">
        <v>22</v>
      </c>
      <c r="D12" s="31"/>
      <c r="E12" s="17"/>
      <c r="F12" s="31" t="s">
        <v>23</v>
      </c>
      <c r="G12" s="4"/>
      <c r="H12" s="61"/>
      <c r="I12" s="5"/>
      <c r="M12"/>
    </row>
    <row r="13" spans="2:13" ht="34.5" customHeight="1">
      <c r="B13" s="110"/>
      <c r="C13" s="60"/>
      <c r="D13" s="60"/>
      <c r="E13" s="60"/>
      <c r="F13" s="56"/>
      <c r="H13" s="107" t="s">
        <v>21</v>
      </c>
      <c r="I13" s="53"/>
      <c r="M13"/>
    </row>
    <row r="14" spans="2:13" s="3" customFormat="1" ht="40.25" customHeight="1">
      <c r="B14" s="15" t="s">
        <v>13</v>
      </c>
      <c r="C14" s="80"/>
      <c r="D14" s="10"/>
      <c r="E14" s="10"/>
      <c r="F14" s="58" t="s">
        <v>7</v>
      </c>
      <c r="H14" s="107"/>
      <c r="I14" s="53"/>
      <c r="J14" s="10"/>
    </row>
    <row r="15" spans="2:13" s="3" customFormat="1" ht="6.75" customHeight="1">
      <c r="B15" s="15"/>
      <c r="C15" s="85"/>
      <c r="D15" s="85"/>
      <c r="E15" s="10"/>
      <c r="F15" s="10"/>
      <c r="H15" s="60"/>
      <c r="I15" s="9"/>
      <c r="J15" s="10"/>
    </row>
    <row r="16" spans="2:13" s="3" customFormat="1" ht="34.25" customHeight="1">
      <c r="B16" s="15" t="s">
        <v>9</v>
      </c>
      <c r="C16" s="80"/>
      <c r="D16" s="10"/>
      <c r="E16" s="10"/>
      <c r="F16" s="58" t="s">
        <v>6</v>
      </c>
      <c r="H16" s="63" t="str">
        <f>IF($C$3="","",(C14*VLOOKUP(F14,Listes!A2:B5,2,FALSE))*C16*VLOOKUP(F16,Listes!C2:D6,2,FALSE)/($J$4*($C$3/100)))</f>
        <v/>
      </c>
      <c r="I16" s="22"/>
      <c r="J16" s="10"/>
    </row>
    <row r="17" spans="2:10" s="3" customFormat="1" ht="8.75" customHeight="1" thickBot="1">
      <c r="B17" s="16"/>
      <c r="C17" s="6"/>
      <c r="D17" s="6"/>
      <c r="E17" s="6"/>
      <c r="F17" s="6"/>
      <c r="G17" s="7"/>
      <c r="H17" s="62"/>
      <c r="I17" s="8"/>
      <c r="J17" s="10"/>
    </row>
    <row r="18" spans="2:10" ht="18" customHeight="1">
      <c r="B18" s="30" t="s">
        <v>14</v>
      </c>
      <c r="C18" s="13"/>
      <c r="D18" s="13"/>
      <c r="E18" s="13"/>
    </row>
    <row r="19" spans="2:10" ht="9.5" customHeight="1">
      <c r="B19" s="1"/>
      <c r="C19" s="1"/>
      <c r="D19" s="1"/>
      <c r="E19" s="1"/>
    </row>
  </sheetData>
  <sheetProtection algorithmName="SHA-512" hashValue="hxoMk4L3/LisHNG4Z9lcj8iUHZ2STxCDjyVpxNe6RPK3zdUxEowuwfDm7OxF+TTAB49/4e+wdhEKauLCGTvdFQ==" saltValue="PRrS+nfR6sokcupA5WblZQ==" spinCount="100000" sheet="1" selectLockedCells="1"/>
  <mergeCells count="7">
    <mergeCell ref="J7:J8"/>
    <mergeCell ref="F7:G7"/>
    <mergeCell ref="B7:B8"/>
    <mergeCell ref="B12:B13"/>
    <mergeCell ref="G4:H4"/>
    <mergeCell ref="G5:H5"/>
    <mergeCell ref="H13:H1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529215-4820-4639-B8B7-FD3BDFB8C80C}">
          <x14:formula1>
            <xm:f>Listes!$A$2:$A$5</xm:f>
          </x14:formula1>
          <xm:sqref>F14:F15 F9</xm:sqref>
        </x14:dataValidation>
        <x14:dataValidation type="list" allowBlank="1" showInputMessage="1" showErrorMessage="1" xr:uid="{15544EA6-92DC-4247-B936-C858DBA7B129}">
          <x14:formula1>
            <xm:f>Listes!$C$2:$C$6</xm:f>
          </x14:formula1>
          <xm:sqref>G9 F16:F17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D38-7FA4-425B-A79C-21748CE3E727}">
  <sheetPr codeName="Feuil2"/>
  <dimension ref="B1:M19"/>
  <sheetViews>
    <sheetView showGridLines="0" zoomScale="95" zoomScaleNormal="95" workbookViewId="0">
      <selection activeCell="C3" sqref="C3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3.33203125" customWidth="1"/>
    <col min="5" max="5" width="2.83203125" customWidth="1"/>
    <col min="6" max="6" width="12.6640625" customWidth="1"/>
    <col min="7" max="7" width="13.1640625" customWidth="1"/>
    <col min="8" max="8" width="17.5" customWidth="1"/>
    <col min="9" max="9" width="1.33203125" customWidth="1"/>
    <col min="10" max="10" width="13.6640625" style="2" customWidth="1"/>
    <col min="11" max="11" width="1.33203125" customWidth="1"/>
    <col min="12" max="12" width="21.33203125" customWidth="1"/>
    <col min="13" max="13" width="19.33203125" style="2" customWidth="1"/>
  </cols>
  <sheetData>
    <row r="1" spans="2:13" ht="69.5" customHeight="1" thickBot="1"/>
    <row r="2" spans="2:13" ht="6" customHeight="1">
      <c r="B2" s="19"/>
      <c r="C2" s="4"/>
      <c r="D2" s="4"/>
      <c r="E2" s="11"/>
      <c r="G2" s="19"/>
      <c r="H2" s="4"/>
      <c r="I2" s="4"/>
      <c r="J2" s="61"/>
      <c r="K2" s="4"/>
      <c r="L2" s="5"/>
      <c r="M2"/>
    </row>
    <row r="3" spans="2:13" ht="40.5" customHeight="1">
      <c r="B3" s="27" t="s">
        <v>24</v>
      </c>
      <c r="C3" s="99"/>
      <c r="D3" s="101" t="s">
        <v>85</v>
      </c>
      <c r="E3" s="98"/>
      <c r="G3" s="115" t="s">
        <v>37</v>
      </c>
      <c r="H3" s="116"/>
      <c r="I3" s="116"/>
      <c r="J3" s="116"/>
      <c r="K3" s="116"/>
      <c r="L3" s="117"/>
      <c r="M3"/>
    </row>
    <row r="4" spans="2:13" s="3" customFormat="1" ht="19.5" customHeight="1" thickBot="1">
      <c r="B4" s="28"/>
      <c r="C4" s="29" t="s">
        <v>18</v>
      </c>
      <c r="D4" s="29"/>
      <c r="E4" s="26"/>
      <c r="G4" s="111" t="s">
        <v>25</v>
      </c>
      <c r="H4" s="112"/>
      <c r="I4" s="54"/>
      <c r="J4" s="10">
        <v>1607</v>
      </c>
      <c r="K4" s="1"/>
      <c r="L4" s="73" t="s">
        <v>36</v>
      </c>
    </row>
    <row r="5" spans="2:13" s="3" customFormat="1" ht="24.75" customHeight="1" thickBot="1">
      <c r="G5" s="113" t="s">
        <v>26</v>
      </c>
      <c r="H5" s="114"/>
      <c r="I5" s="55"/>
      <c r="J5" s="100">
        <v>35</v>
      </c>
      <c r="K5" s="35"/>
      <c r="L5" s="77" t="s">
        <v>35</v>
      </c>
    </row>
    <row r="6" spans="2:13" ht="30.5" customHeight="1" thickBot="1">
      <c r="G6" s="33"/>
      <c r="L6" s="34" t="s">
        <v>38</v>
      </c>
    </row>
    <row r="7" spans="2:13" ht="70" customHeight="1">
      <c r="B7" s="109" t="s">
        <v>11</v>
      </c>
      <c r="C7" s="17" t="s">
        <v>10</v>
      </c>
      <c r="D7" s="17"/>
      <c r="E7" s="17"/>
      <c r="F7" s="108" t="s">
        <v>8</v>
      </c>
      <c r="G7" s="108"/>
      <c r="H7" s="4"/>
      <c r="I7" s="4"/>
      <c r="J7" s="106" t="s">
        <v>20</v>
      </c>
      <c r="K7" s="52"/>
      <c r="M7"/>
    </row>
    <row r="8" spans="2:13" ht="26" customHeight="1">
      <c r="B8" s="110"/>
      <c r="J8" s="107"/>
      <c r="K8" s="53"/>
      <c r="M8"/>
    </row>
    <row r="9" spans="2:13" ht="38.25" customHeight="1">
      <c r="B9" s="14" t="s">
        <v>16</v>
      </c>
      <c r="C9" s="80"/>
      <c r="E9" s="10"/>
      <c r="F9" s="58" t="s">
        <v>7</v>
      </c>
      <c r="G9" s="58" t="s">
        <v>6</v>
      </c>
      <c r="H9" s="3"/>
      <c r="I9" s="3"/>
      <c r="J9" s="63" t="str">
        <f>IF($C$3="","",(C9*(VLOOKUP(F9,Listes!$A$9:$B$12,2,FALSE))*VLOOKUP(G9,Listes!$C$9:$D$13,2,FALSE))/(($J$4)*($C$3/100)))</f>
        <v/>
      </c>
      <c r="K9" s="22"/>
      <c r="M9"/>
    </row>
    <row r="10" spans="2:13" ht="9.75" customHeight="1" thickBot="1">
      <c r="B10" s="23"/>
      <c r="C10" s="81"/>
      <c r="D10" s="81"/>
      <c r="E10" s="24"/>
      <c r="F10" s="24"/>
      <c r="G10" s="24"/>
      <c r="H10" s="24"/>
      <c r="I10" s="24"/>
      <c r="J10" s="57"/>
      <c r="K10" s="25"/>
      <c r="M10"/>
    </row>
    <row r="11" spans="2:13" ht="7.25" customHeight="1" thickBot="1">
      <c r="C11" s="82"/>
      <c r="D11" s="82"/>
      <c r="K11" s="2"/>
      <c r="M11"/>
    </row>
    <row r="12" spans="2:13" ht="69" customHeight="1">
      <c r="B12" s="109" t="s">
        <v>31</v>
      </c>
      <c r="C12" s="83" t="s">
        <v>22</v>
      </c>
      <c r="D12" s="83"/>
      <c r="E12" s="17"/>
      <c r="F12" s="31" t="s">
        <v>23</v>
      </c>
      <c r="G12" s="4"/>
      <c r="H12" s="61"/>
      <c r="I12" s="5"/>
      <c r="M12"/>
    </row>
    <row r="13" spans="2:13" ht="34.5" customHeight="1">
      <c r="B13" s="110"/>
      <c r="C13" s="84"/>
      <c r="D13" s="84"/>
      <c r="E13" s="60"/>
      <c r="F13" s="56"/>
      <c r="H13" s="107" t="s">
        <v>21</v>
      </c>
      <c r="I13" s="53"/>
      <c r="M13"/>
    </row>
    <row r="14" spans="2:13" s="3" customFormat="1" ht="33" customHeight="1">
      <c r="B14" s="15" t="s">
        <v>33</v>
      </c>
      <c r="C14" s="80"/>
      <c r="D14"/>
      <c r="E14" s="10"/>
      <c r="F14" s="58" t="s">
        <v>7</v>
      </c>
      <c r="H14" s="107"/>
      <c r="I14" s="53"/>
      <c r="J14" s="10"/>
    </row>
    <row r="15" spans="2:13" s="3" customFormat="1" ht="12" customHeight="1">
      <c r="B15" s="15"/>
      <c r="C15" s="85"/>
      <c r="D15" s="85"/>
      <c r="E15" s="10"/>
      <c r="F15" s="10"/>
      <c r="H15" s="64"/>
      <c r="I15" s="9"/>
      <c r="J15" s="10"/>
    </row>
    <row r="16" spans="2:13" s="3" customFormat="1" ht="34.25" customHeight="1">
      <c r="B16" s="15" t="s">
        <v>34</v>
      </c>
      <c r="C16" s="80"/>
      <c r="D16"/>
      <c r="E16" s="10"/>
      <c r="F16" s="58" t="s">
        <v>6</v>
      </c>
      <c r="H16" s="65" t="str">
        <f>IF($C$3="","",(C14*VLOOKUP(F14,Listes!A9:B12,2,FALSE))*C16*VLOOKUP(F16,Listes!C9:D13,2,FALSE)/($J$4*($C$3/100)))</f>
        <v/>
      </c>
      <c r="I16" s="22"/>
      <c r="J16" s="10"/>
    </row>
    <row r="17" spans="2:10" s="3" customFormat="1" ht="8.75" customHeight="1" thickBot="1">
      <c r="B17" s="16"/>
      <c r="C17" s="6"/>
      <c r="D17" s="6"/>
      <c r="E17" s="6"/>
      <c r="F17" s="6"/>
      <c r="G17" s="7"/>
      <c r="H17" s="62"/>
      <c r="I17" s="8"/>
      <c r="J17" s="10"/>
    </row>
    <row r="18" spans="2:10" ht="18" customHeight="1">
      <c r="B18" s="30" t="s">
        <v>32</v>
      </c>
      <c r="C18" s="13"/>
      <c r="D18" s="13"/>
      <c r="E18" s="13"/>
    </row>
    <row r="19" spans="2:10" ht="9.5" customHeight="1">
      <c r="B19" s="1"/>
      <c r="C19" s="1"/>
      <c r="D19" s="1"/>
      <c r="E19" s="1"/>
    </row>
  </sheetData>
  <sheetProtection algorithmName="SHA-512" hashValue="xWFdRrgTdcspR77r2V/831NLY2XiqfR7d2rnxi1SD1tWSHANkAJ2nhdOg07QhkLzwhubkN+8zMuvTJHpWvzF3Q==" saltValue="hMWHATj0PBbB9G4tZEvn/A==" spinCount="100000" sheet="1" selectLockedCells="1"/>
  <mergeCells count="8">
    <mergeCell ref="G3:L3"/>
    <mergeCell ref="J7:J8"/>
    <mergeCell ref="B12:B13"/>
    <mergeCell ref="H13:H14"/>
    <mergeCell ref="G4:H4"/>
    <mergeCell ref="G5:H5"/>
    <mergeCell ref="B7:B8"/>
    <mergeCell ref="F7:G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E5DAE9-75CB-4105-B53B-A1171A60D13A}">
          <x14:formula1>
            <xm:f>Listes!$A$2:$A$5</xm:f>
          </x14:formula1>
          <xm:sqref>F14:F15 F9</xm:sqref>
        </x14:dataValidation>
        <x14:dataValidation type="list" allowBlank="1" showInputMessage="1" showErrorMessage="1" xr:uid="{C56303ED-7DD0-42D1-B841-363D196135D2}">
          <x14:formula1>
            <xm:f>Listes!$C$2:$C$6</xm:f>
          </x14:formula1>
          <xm:sqref>F16:F17 G9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2146-06E3-4AF5-B8DE-4E238C679E51}">
  <dimension ref="C1:I22"/>
  <sheetViews>
    <sheetView showGridLines="0" zoomScale="95" zoomScaleNormal="95" workbookViewId="0">
      <selection activeCell="D8" sqref="D8"/>
    </sheetView>
  </sheetViews>
  <sheetFormatPr baseColWidth="10" defaultColWidth="11.33203125" defaultRowHeight="24" customHeight="1"/>
  <cols>
    <col min="1" max="1" width="12" style="3" customWidth="1"/>
    <col min="2" max="2" width="18.6640625" style="3" customWidth="1"/>
    <col min="3" max="3" width="43.5" style="48" customWidth="1"/>
    <col min="4" max="4" width="9" style="3" customWidth="1"/>
    <col min="5" max="5" width="19.33203125" style="10" customWidth="1"/>
    <col min="6" max="6" width="6.33203125" style="41" customWidth="1"/>
    <col min="7" max="7" width="9.33203125" style="3" customWidth="1"/>
    <col min="8" max="8" width="11.33203125" style="3"/>
    <col min="9" max="9" width="22.33203125" style="3" customWidth="1"/>
    <col min="10" max="16384" width="11.33203125" style="3"/>
  </cols>
  <sheetData>
    <row r="1" spans="3:9" ht="18" customHeight="1">
      <c r="C1" s="3"/>
      <c r="E1" s="3"/>
      <c r="F1" s="3"/>
    </row>
    <row r="2" spans="3:9" ht="54.75" customHeight="1">
      <c r="C2" s="119" t="s">
        <v>56</v>
      </c>
      <c r="D2" s="119"/>
      <c r="E2" s="119"/>
      <c r="F2" s="119"/>
      <c r="G2" s="119"/>
      <c r="H2" s="119"/>
      <c r="I2" s="119"/>
    </row>
    <row r="3" spans="3:9" ht="27.75" customHeight="1">
      <c r="C3" s="37" t="s">
        <v>41</v>
      </c>
      <c r="D3" s="118" t="s">
        <v>50</v>
      </c>
      <c r="E3" s="118"/>
      <c r="F3" s="120" t="s">
        <v>57</v>
      </c>
      <c r="G3" s="120"/>
      <c r="H3" s="120"/>
      <c r="I3" s="120"/>
    </row>
    <row r="4" spans="3:9" ht="23.25" customHeight="1">
      <c r="C4" s="38" t="s">
        <v>58</v>
      </c>
      <c r="D4" s="39" t="str">
        <f>IF(D3="FONCTIONNAIRE","1607 h/an et 35h/semaine","208 jours/an et 8 h/jour")</f>
        <v>208 jours/an et 8 h/jour</v>
      </c>
      <c r="E4" s="3"/>
      <c r="F4" s="40"/>
      <c r="G4" s="41"/>
    </row>
    <row r="5" spans="3:9" ht="7.5" customHeight="1">
      <c r="C5" s="37"/>
      <c r="D5" s="39"/>
      <c r="E5" s="3"/>
      <c r="F5" s="10"/>
      <c r="G5" s="41"/>
    </row>
    <row r="6" spans="3:9" ht="23.25" customHeight="1">
      <c r="C6" s="37" t="s">
        <v>48</v>
      </c>
      <c r="D6" s="79"/>
      <c r="E6" s="42" t="s">
        <v>42</v>
      </c>
      <c r="F6" s="10"/>
      <c r="G6" s="41"/>
      <c r="H6" s="43"/>
      <c r="I6" s="43"/>
    </row>
    <row r="7" spans="3:9" ht="25.25" customHeight="1">
      <c r="C7" s="37"/>
      <c r="D7" s="66" t="s">
        <v>54</v>
      </c>
      <c r="E7" s="42"/>
      <c r="F7" s="10"/>
      <c r="G7" s="44"/>
      <c r="H7" s="43"/>
      <c r="I7" s="43"/>
    </row>
    <row r="8" spans="3:9" ht="24" customHeight="1">
      <c r="C8" s="37" t="s">
        <v>43</v>
      </c>
      <c r="D8" s="79"/>
      <c r="E8" s="42" t="s">
        <v>44</v>
      </c>
      <c r="F8" s="10"/>
      <c r="G8" s="41"/>
      <c r="H8" s="43"/>
      <c r="I8" s="43"/>
    </row>
    <row r="9" spans="3:9" ht="18" customHeight="1">
      <c r="C9" s="37"/>
      <c r="D9" s="67" t="s">
        <v>55</v>
      </c>
      <c r="E9" s="42"/>
      <c r="F9" s="10"/>
      <c r="G9" s="41"/>
      <c r="H9" s="43"/>
      <c r="I9" s="43"/>
    </row>
    <row r="10" spans="3:9" ht="36" customHeight="1" thickBot="1">
      <c r="C10" s="37"/>
      <c r="D10" s="45"/>
      <c r="E10" s="3"/>
      <c r="F10" s="3"/>
    </row>
    <row r="11" spans="3:9" ht="7.25" customHeight="1">
      <c r="C11" s="69"/>
      <c r="D11" s="70"/>
      <c r="E11" s="71"/>
      <c r="F11" s="71"/>
      <c r="G11" s="71"/>
      <c r="H11" s="71"/>
      <c r="I11" s="72"/>
    </row>
    <row r="12" spans="3:9" ht="24" customHeight="1">
      <c r="C12" s="15" t="s">
        <v>45</v>
      </c>
      <c r="D12" s="78">
        <f>IF(D3="MAGISTRAT",D6*D8*Listes!D3,D6*D8*'Calculatrice fonctionnaires'!J4/7)</f>
        <v>0</v>
      </c>
      <c r="E12" s="42" t="s">
        <v>47</v>
      </c>
      <c r="F12" s="10" t="s">
        <v>49</v>
      </c>
      <c r="G12" s="78">
        <f>IF(D3="FONCTIONNAIRE",D12*7,D12*8)</f>
        <v>0</v>
      </c>
      <c r="H12" s="42" t="s">
        <v>46</v>
      </c>
      <c r="I12" s="73"/>
    </row>
    <row r="13" spans="3:9" ht="8.25" customHeight="1">
      <c r="C13" s="15"/>
      <c r="D13" s="68"/>
      <c r="E13" s="42"/>
      <c r="F13" s="10"/>
      <c r="G13" s="68"/>
      <c r="H13" s="42"/>
      <c r="I13" s="73"/>
    </row>
    <row r="14" spans="3:9" ht="24" customHeight="1">
      <c r="C14" s="15" t="s">
        <v>52</v>
      </c>
      <c r="D14" s="78">
        <f>D12/12</f>
        <v>0</v>
      </c>
      <c r="E14" s="42" t="s">
        <v>59</v>
      </c>
      <c r="F14" s="10" t="s">
        <v>49</v>
      </c>
      <c r="G14" s="78">
        <f>IF(D4="FONCTIONNAIRE",D14*7,D14*8)</f>
        <v>0</v>
      </c>
      <c r="H14" s="42" t="s">
        <v>60</v>
      </c>
      <c r="I14" s="73"/>
    </row>
    <row r="15" spans="3:9" ht="6.75" customHeight="1">
      <c r="C15" s="15"/>
      <c r="D15" s="68"/>
      <c r="E15" s="42"/>
      <c r="F15" s="10"/>
      <c r="G15" s="68"/>
      <c r="H15" s="42"/>
      <c r="I15" s="73"/>
    </row>
    <row r="16" spans="3:9" ht="24" customHeight="1">
      <c r="C16" s="15" t="s">
        <v>53</v>
      </c>
      <c r="D16" s="78">
        <f>(D8*D6)*5</f>
        <v>0</v>
      </c>
      <c r="E16" s="42" t="s">
        <v>61</v>
      </c>
      <c r="F16" s="10" t="s">
        <v>49</v>
      </c>
      <c r="G16" s="78">
        <f>IF(D3="FONCTIONNAIRE",D16*7,D16*8)</f>
        <v>0</v>
      </c>
      <c r="H16" s="42" t="s">
        <v>62</v>
      </c>
      <c r="I16" s="73"/>
    </row>
    <row r="17" spans="3:9" ht="9" customHeight="1" thickBot="1">
      <c r="C17" s="74"/>
      <c r="D17" s="75"/>
      <c r="E17" s="7"/>
      <c r="F17" s="6"/>
      <c r="G17" s="76"/>
      <c r="H17" s="7"/>
      <c r="I17" s="12"/>
    </row>
    <row r="18" spans="3:9" ht="16.25" customHeight="1">
      <c r="C18" s="49" t="s">
        <v>64</v>
      </c>
    </row>
    <row r="19" spans="3:9" ht="16.25" customHeight="1">
      <c r="C19" s="49" t="s">
        <v>63</v>
      </c>
    </row>
    <row r="20" spans="3:9" ht="24" customHeight="1">
      <c r="C20" s="46"/>
    </row>
    <row r="21" spans="3:9" ht="24" customHeight="1">
      <c r="C21" s="47"/>
    </row>
    <row r="22" spans="3:9" ht="24" customHeight="1">
      <c r="C22" s="46"/>
    </row>
  </sheetData>
  <sheetProtection algorithmName="SHA-512" hashValue="oCjaO8guuJZW51bOq0YeyMWFkAyRqslg/2h+jl80NCowOGxnzokuhQ5KrhMRASTQCjl1FiL5zuJTOmlN6Zvoyg==" saltValue="xw0UIWyYJFPuZalQhkxaYQ==" spinCount="100000" sheet="1" selectLockedCells="1"/>
  <mergeCells count="3">
    <mergeCell ref="D3:E3"/>
    <mergeCell ref="C2:I2"/>
    <mergeCell ref="F3:I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994BA-1F2A-494D-8236-9C1E3E0FC873}">
          <x14:formula1>
            <xm:f>Listes!$A$15:$A$16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43E-2788-419C-9C92-95BD0D524763}">
  <sheetPr codeName="Feuil3"/>
  <dimension ref="A1:H16"/>
  <sheetViews>
    <sheetView workbookViewId="0">
      <selection activeCell="D11" sqref="D11"/>
    </sheetView>
  </sheetViews>
  <sheetFormatPr baseColWidth="10" defaultRowHeight="15"/>
  <sheetData>
    <row r="1" spans="1:8">
      <c r="A1" t="s">
        <v>29</v>
      </c>
    </row>
    <row r="2" spans="1:8">
      <c r="A2" t="s">
        <v>7</v>
      </c>
      <c r="C2" t="s">
        <v>6</v>
      </c>
      <c r="E2" t="s">
        <v>7</v>
      </c>
      <c r="H2" t="s">
        <v>76</v>
      </c>
    </row>
    <row r="3" spans="1:8">
      <c r="A3" t="s">
        <v>1</v>
      </c>
      <c r="B3">
        <v>1</v>
      </c>
      <c r="C3" t="s">
        <v>27</v>
      </c>
      <c r="D3">
        <f>'Calculatrice magistrats'!J4</f>
        <v>208</v>
      </c>
      <c r="E3" t="s">
        <v>1</v>
      </c>
      <c r="F3" s="51">
        <f>D3</f>
        <v>208</v>
      </c>
      <c r="H3" t="s">
        <v>77</v>
      </c>
    </row>
    <row r="4" spans="1:8">
      <c r="A4" t="s">
        <v>3</v>
      </c>
      <c r="B4">
        <v>0.5</v>
      </c>
      <c r="C4" t="s">
        <v>28</v>
      </c>
      <c r="D4">
        <f>D3/5</f>
        <v>41.6</v>
      </c>
      <c r="E4" t="s">
        <v>3</v>
      </c>
      <c r="F4" s="50">
        <f>F3*2</f>
        <v>416</v>
      </c>
    </row>
    <row r="5" spans="1:8">
      <c r="A5" t="s">
        <v>2</v>
      </c>
      <c r="B5">
        <f>1/'Calculatrice magistrats'!J5</f>
        <v>0.125</v>
      </c>
      <c r="C5" t="s">
        <v>4</v>
      </c>
      <c r="D5">
        <v>12</v>
      </c>
      <c r="E5" t="s">
        <v>2</v>
      </c>
      <c r="F5" s="50">
        <f>D3*8</f>
        <v>1664</v>
      </c>
    </row>
    <row r="6" spans="1:8">
      <c r="C6" t="s">
        <v>5</v>
      </c>
      <c r="D6">
        <v>1</v>
      </c>
    </row>
    <row r="8" spans="1:8">
      <c r="A8" t="s">
        <v>30</v>
      </c>
    </row>
    <row r="9" spans="1:8">
      <c r="A9" t="s">
        <v>7</v>
      </c>
      <c r="B9" s="32"/>
      <c r="C9" t="s">
        <v>6</v>
      </c>
      <c r="D9" s="32"/>
      <c r="E9" t="s">
        <v>7</v>
      </c>
    </row>
    <row r="10" spans="1:8">
      <c r="A10" t="s">
        <v>1</v>
      </c>
      <c r="B10" s="32">
        <f>'Calculatrice fonctionnaires'!J5/5</f>
        <v>7</v>
      </c>
      <c r="C10" t="s">
        <v>27</v>
      </c>
      <c r="D10" s="32">
        <f>'Calculatrice fonctionnaires'!J4/Listes!B10</f>
        <v>229.57142857142858</v>
      </c>
      <c r="E10" t="s">
        <v>1</v>
      </c>
      <c r="F10" s="51">
        <f>D10</f>
        <v>229.57142857142858</v>
      </c>
    </row>
    <row r="11" spans="1:8">
      <c r="A11" t="s">
        <v>3</v>
      </c>
      <c r="B11" s="32">
        <f>B10/2</f>
        <v>3.5</v>
      </c>
      <c r="C11" t="s">
        <v>28</v>
      </c>
      <c r="D11" s="32">
        <f>'Calculatrice fonctionnaires'!J4/'Calculatrice fonctionnaires'!J5</f>
        <v>45.914285714285711</v>
      </c>
      <c r="E11" t="s">
        <v>3</v>
      </c>
      <c r="F11" s="50">
        <f>F10*2</f>
        <v>459.14285714285717</v>
      </c>
    </row>
    <row r="12" spans="1:8">
      <c r="A12" t="s">
        <v>2</v>
      </c>
      <c r="B12" s="32">
        <v>1</v>
      </c>
      <c r="C12" t="s">
        <v>4</v>
      </c>
      <c r="D12" s="32">
        <f>12</f>
        <v>12</v>
      </c>
      <c r="E12" t="s">
        <v>2</v>
      </c>
      <c r="F12" s="50">
        <f>D10*7</f>
        <v>1607</v>
      </c>
    </row>
    <row r="13" spans="1:8">
      <c r="B13" s="32"/>
      <c r="C13" t="s">
        <v>5</v>
      </c>
      <c r="D13" s="32">
        <v>1</v>
      </c>
    </row>
    <row r="15" spans="1:8" ht="16">
      <c r="A15" s="36" t="s">
        <v>50</v>
      </c>
      <c r="C15" s="36" t="s">
        <v>29</v>
      </c>
    </row>
    <row r="16" spans="1:8" ht="16">
      <c r="A16" s="36" t="s">
        <v>51</v>
      </c>
      <c r="C16" s="36" t="s">
        <v>30</v>
      </c>
    </row>
  </sheetData>
  <sheetProtection algorithmName="SHA-512" hashValue="VeIioI6SlBkZ5/EVBGW5gIzAzZjJEESwBC3xZ2mQulXnUIOMYkx8KPo8luI2ZBKG4IhsjhN79dp2coSu48OBfA==" saltValue="N9TCOS47uVRAid0CA0wpm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Feuille de temps</vt:lpstr>
      <vt:lpstr>Fonction</vt:lpstr>
      <vt:lpstr>Calculatrice magistrats</vt:lpstr>
      <vt:lpstr>Calculatrice fonctionnaires</vt:lpstr>
      <vt:lpstr>Reconvertir % d'ETPT</vt:lpstr>
      <vt:lpstr>Listes</vt:lpstr>
      <vt:lpstr>AUTOUR_DU_MAGISTRAT</vt:lpstr>
      <vt:lpstr>GREFFE</vt:lpstr>
      <vt:lpstr>MAGISTRAT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Jimmy CHEVALLIER</cp:lastModifiedBy>
  <dcterms:created xsi:type="dcterms:W3CDTF">2022-06-21T12:15:44Z</dcterms:created>
  <dcterms:modified xsi:type="dcterms:W3CDTF">2025-02-26T08:47:02Z</dcterms:modified>
</cp:coreProperties>
</file>