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BB5B2AF5-26B4-324F-A558-6228C7F0A140}" xr6:coauthVersionLast="47" xr6:coauthVersionMax="47" xr10:uidLastSave="{00000000-0000-0000-0000-000000000000}"/>
  <workbookProtection workbookAlgorithmName="SHA-512" workbookHashValue="dAFiNLtSQoZPzUqdToTXKs4qYdfbVNd/wXNYOIhJavkOrovrw5BoPQ0qeOxkvrIO42rTGOmJWYluvdRkpWME3g==" workbookSaltValue="cJrfxJd+x4HYx9OL+ePFng==" workbookSpinCount="100000" lockStructure="1"/>
  <bookViews>
    <workbookView xWindow="0" yWindow="700" windowWidth="27040" windowHeight="15760" tabRatio="723" xr2:uid="{F5E75FD0-8D4A-4F41-B6C7-77BCC38AF8C3}"/>
  </bookViews>
  <sheets>
    <sheet name="Feuille de temps" sheetId="8" r:id="rId1"/>
    <sheet name="Fonction" sheetId="10" state="hidden" r:id="rId2"/>
    <sheet name="Calculatrice magistrats" sheetId="3" r:id="rId3"/>
    <sheet name="Calculatrice fonctionnaires" sheetId="4" r:id="rId4"/>
    <sheet name="Reconvertir % d'ETPT" sheetId="5" r:id="rId5"/>
    <sheet name="Listes" sheetId="2" state="hidden" r:id="rId6"/>
  </sheets>
  <definedNames>
    <definedName name="AUTOUR_DU_MAGISTRAT">Fonction!$C$1:$C$100</definedName>
    <definedName name="GREFFE">Fonction!$B$1:$B$100</definedName>
    <definedName name="MAGISTRAT">Fonction!$A$1:$A$100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J9" i="4"/>
  <c r="H16" i="3"/>
  <c r="J9" i="3"/>
  <c r="D4" i="5" l="1"/>
  <c r="D16" i="5"/>
  <c r="G16" i="5" s="1"/>
  <c r="B5" i="2"/>
  <c r="D3" i="2"/>
  <c r="D4" i="2" s="1"/>
  <c r="D11" i="2"/>
  <c r="B10" i="2"/>
  <c r="B11" i="2" s="1"/>
  <c r="D12" i="2"/>
  <c r="D12" i="5" l="1"/>
  <c r="D14" i="5" s="1"/>
  <c r="G14" i="5" s="1"/>
  <c r="F3" i="2"/>
  <c r="F4" i="2" s="1"/>
  <c r="F5" i="2"/>
  <c r="D10" i="2"/>
  <c r="F10" i="2" l="1"/>
  <c r="F11" i="2" s="1"/>
  <c r="F12" i="2"/>
  <c r="G12" i="5"/>
</calcChain>
</file>

<file path=xl/sharedStrings.xml><?xml version="1.0" encoding="utf-8"?>
<sst xmlns="http://schemas.openxmlformats.org/spreadsheetml/2006/main" count="133" uniqueCount="86">
  <si>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</si>
  <si>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</si>
  <si>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</si>
  <si>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</si>
  <si>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</si>
  <si>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</si>
  <si>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</si>
  <si>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</si>
  <si>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</si>
  <si>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</si>
  <si>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</si>
  <si>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</si>
  <si>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</si>
  <si>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</si>
  <si>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</si>
  <si>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</si>
  <si>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</si>
  <si>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</si>
  <si>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</si>
  <si>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</si>
  <si>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</si>
  <si>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</si>
  <si>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</si>
  <si>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</si>
  <si>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</si>
  <si>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</si>
  <si>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</si>
  <si>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</si>
  <si>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</si>
  <si>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</si>
  <si>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</si>
  <si>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</si>
  <si>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</si>
  <si>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</si>
  <si>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</si>
  <si>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</si>
  <si>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</si>
  <si>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</si>
  <si>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</si>
  <si>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</si>
  <si>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</si>
  <si>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</si>
  <si>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</si>
  <si>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</si>
  <si>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</si>
  <si>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</si>
  <si>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</si>
  <si>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</si>
  <si>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</si>
  <si>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</si>
  <si>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</si>
  <si>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</si>
  <si>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</si>
  <si>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</si>
  <si>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</si>
  <si>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</si>
  <si>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</si>
  <si>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</si>
  <si>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</si>
  <si>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</si>
  <si>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</si>
  <si>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</si>
  <si>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</si>
  <si>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</si>
  <si>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</si>
  <si>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</si>
  <si>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</si>
  <si>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</si>
  <si>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</si>
  <si>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</si>
  <si>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</si>
  <si>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</si>
  <si>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</si>
  <si>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</si>
  <si>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</si>
  <si>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</si>
  <si>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Temps plein</t>
  </si>
  <si>
    <t>Temps partiel</t>
  </si>
  <si>
    <t>#! FINISH</t>
  </si>
  <si>
    <t>#! END_ROW</t>
  </si>
  <si>
    <t>#! FOR_EACH c referentiel</t>
  </si>
  <si>
    <t>## c.label</t>
  </si>
  <si>
    <t>## c.parent</t>
  </si>
  <si>
    <t>## c.code</t>
  </si>
  <si>
    <t>#! END_LOOP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</si>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</sst>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0\ _€_-;\-* #,##0.00\ _€_-;_-* &quot;-&quot;??\ _€_-;_-@_-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color rgb="FF002060"/>
      <name val="Arial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FF78"/>
        <bgColor indexed="64"/>
      </patternFill>
    </fill>
    <fill>
      <patternFill patternType="solid">
        <fgColor rgb="FF002060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2" applyFont="1" applyFill="1" applyAlignment="1" applyProtection="1">
      <alignment horizontal="right" vertical="center"/>
    </xf>
    <xf numFmtId="0" fontId="1" fillId="0" borderId="0" xfId="0" applyFont="1" applyAlignment="1">
      <alignment vertical="center"/>
    </xf>
    <xf numFmtId="167" fontId="1" fillId="0" borderId="0" xfId="2" applyNumberFormat="1" applyFont="1" applyAlignment="1" applyProtection="1">
      <alignment horizontal="center" vertical="center"/>
    </xf>
    <xf numFmtId="164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168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5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3" fillId="0" borderId="7" xfId="1" applyNumberFormat="1" applyFont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top"/>
    </xf>
    <xf numFmtId="9" fontId="4" fillId="0" borderId="0" xfId="1" applyFont="1" applyFill="1" applyBorder="1" applyAlignment="1" applyProtection="1">
      <alignment horizontal="left" vertical="top"/>
    </xf>
    <xf numFmtId="9" fontId="4" fillId="0" borderId="0" xfId="1" applyFont="1" applyFill="1" applyBorder="1" applyAlignment="1" applyProtection="1">
      <alignment horizontal="left" vertical="center"/>
    </xf>
    <xf numFmtId="166" fontId="2" fillId="0" borderId="0" xfId="2" applyNumberFormat="1" applyFont="1" applyBorder="1" applyAlignment="1" applyProtection="1">
      <alignment vertical="center"/>
    </xf>
    <xf numFmtId="0" fontId="0" fillId="0" borderId="1" xfId="0" applyBorder="1" applyAlignment="1">
      <alignment horizontal="right" vertical="center" inden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2" fillId="0" borderId="7" xfId="2" applyFont="1" applyBorder="1" applyAlignment="1" applyProtection="1">
      <alignment vertical="center"/>
    </xf>
    <xf numFmtId="164" fontId="2" fillId="0" borderId="7" xfId="2" applyFont="1" applyBorder="1" applyAlignment="1" applyProtection="1">
      <alignment horizontal="right" vertical="center"/>
    </xf>
    <xf numFmtId="0" fontId="0" fillId="0" borderId="8" xfId="0" applyBorder="1" applyAlignment="1">
      <alignment vertical="top"/>
    </xf>
    <xf numFmtId="166" fontId="2" fillId="3" borderId="0" xfId="2" applyNumberFormat="1" applyFont="1" applyFill="1" applyBorder="1" applyAlignment="1" applyProtection="1">
      <alignment vertical="center"/>
    </xf>
    <xf numFmtId="165" fontId="2" fillId="2" borderId="0" xfId="1" applyNumberFormat="1" applyFont="1" applyFill="1" applyBorder="1" applyAlignment="1" applyProtection="1">
      <alignment horizontal="center" vertical="center"/>
      <protection locked="0"/>
    </xf>
    <xf numFmtId="169" fontId="0" fillId="2" borderId="0" xfId="0" applyNumberFormat="1" applyFill="1" applyAlignment="1" applyProtection="1">
      <alignment horizontal="center" vertical="center"/>
      <protection locked="0"/>
    </xf>
    <xf numFmtId="169" fontId="0" fillId="0" borderId="7" xfId="0" applyNumberFormat="1" applyBorder="1"/>
    <xf numFmtId="169" fontId="0" fillId="0" borderId="0" xfId="0" applyNumberFormat="1"/>
    <xf numFmtId="169" fontId="0" fillId="0" borderId="2" xfId="0" applyNumberForma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horizontal="right" vertical="center" wrapText="1"/>
    </xf>
    <xf numFmtId="0" fontId="9" fillId="5" borderId="0" xfId="0" applyFont="1" applyFill="1" applyAlignment="1" applyProtection="1">
      <alignment vertical="center" wrapText="1"/>
      <protection locked="0"/>
    </xf>
    <xf numFmtId="0" fontId="9" fillId="0" borderId="0" xfId="0" applyFont="1" applyAlignment="1">
      <alignment horizontal="left" vertical="center"/>
    </xf>
    <xf numFmtId="10" fontId="9" fillId="5" borderId="0" xfId="0" applyNumberFormat="1" applyFont="1" applyFill="1" applyAlignment="1" applyProtection="1">
      <alignment vertical="center" wrapText="1"/>
      <protection locked="0"/>
    </xf>
    <xf numFmtId="4" fontId="13" fillId="7" borderId="9" xfId="0" applyNumberFormat="1" applyFont="1" applyFill="1" applyBorder="1" applyAlignment="1">
      <alignment horizontal="center" vertical="center" wrapText="1"/>
    </xf>
    <xf numFmtId="4" fontId="13" fillId="7" borderId="9" xfId="0" applyNumberFormat="1" applyFont="1" applyFill="1" applyBorder="1" applyAlignment="1">
      <alignment horizontal="right" vertical="center" wrapText="1"/>
    </xf>
    <xf numFmtId="9" fontId="14" fillId="7" borderId="9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1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 applyProtection="1">
      <alignment horizontal="center" vertical="center"/>
      <protection locked="0"/>
    </xf>
    <xf numFmtId="9" fontId="3" fillId="0" borderId="5" xfId="1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>
      <alignment horizontal="center" vertical="top"/>
    </xf>
    <xf numFmtId="169" fontId="3" fillId="2" borderId="0" xfId="1" applyNumberFormat="1" applyFont="1" applyFill="1" applyBorder="1" applyAlignment="1" applyProtection="1">
      <alignment horizontal="left" vertical="center"/>
    </xf>
    <xf numFmtId="0" fontId="11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14" fontId="15" fillId="8" borderId="0" xfId="0" applyNumberFormat="1" applyFont="1" applyFill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 indent="1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79998168889431442"/>
      </font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9FF78"/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678098</xdr:colOff>
      <xdr:row>8</xdr:row>
      <xdr:rowOff>7583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220926</xdr:colOff>
      <xdr:row>8</xdr:row>
      <xdr:rowOff>9489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7</xdr:col>
      <xdr:colOff>366706</xdr:colOff>
      <xdr:row>7</xdr:row>
      <xdr:rowOff>131441</xdr:rowOff>
    </xdr:from>
    <xdr:to>
      <xdr:col>7</xdr:col>
      <xdr:colOff>792414</xdr:colOff>
      <xdr:row>10</xdr:row>
      <xdr:rowOff>7588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4506" y="3293741"/>
          <a:ext cx="427616" cy="811505"/>
        </a:xfrm>
        <a:prstGeom prst="rect">
          <a:avLst/>
        </a:prstGeom>
      </xdr:spPr>
    </xdr:pic>
    <xdr:clientData/>
  </xdr:twoCellAnchor>
  <xdr:twoCellAnchor editAs="oneCell">
    <xdr:from>
      <xdr:col>2</xdr:col>
      <xdr:colOff>333708</xdr:colOff>
      <xdr:row>12</xdr:row>
      <xdr:rowOff>0</xdr:rowOff>
    </xdr:from>
    <xdr:to>
      <xdr:col>2</xdr:col>
      <xdr:colOff>748951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35780" y="5081928"/>
          <a:ext cx="419100" cy="4152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657140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639080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236221</xdr:colOff>
      <xdr:row>0</xdr:row>
      <xdr:rowOff>190500</xdr:rowOff>
    </xdr:from>
    <xdr:to>
      <xdr:col>11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7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1852605</xdr:colOff>
      <xdr:row>4</xdr:row>
      <xdr:rowOff>161921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354553</xdr:colOff>
      <xdr:row>6</xdr:row>
      <xdr:rowOff>798191</xdr:rowOff>
    </xdr:from>
    <xdr:to>
      <xdr:col>2</xdr:col>
      <xdr:colOff>763065</xdr:colOff>
      <xdr:row>8</xdr:row>
      <xdr:rowOff>6616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43649" y="3219411"/>
          <a:ext cx="438320" cy="408512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212317</xdr:colOff>
      <xdr:row>8</xdr:row>
      <xdr:rowOff>8522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7</xdr:col>
      <xdr:colOff>405761</xdr:colOff>
      <xdr:row>7</xdr:row>
      <xdr:rowOff>107630</xdr:rowOff>
    </xdr:from>
    <xdr:to>
      <xdr:col>7</xdr:col>
      <xdr:colOff>830483</xdr:colOff>
      <xdr:row>9</xdr:row>
      <xdr:rowOff>115224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73561" y="3422330"/>
          <a:ext cx="422821" cy="822934"/>
        </a:xfrm>
        <a:prstGeom prst="rect">
          <a:avLst/>
        </a:prstGeom>
      </xdr:spPr>
    </xdr:pic>
    <xdr:clientData/>
  </xdr:twoCellAnchor>
  <xdr:twoCellAnchor editAs="oneCell">
    <xdr:from>
      <xdr:col>2</xdr:col>
      <xdr:colOff>306969</xdr:colOff>
      <xdr:row>12</xdr:row>
      <xdr:rowOff>0</xdr:rowOff>
    </xdr:from>
    <xdr:to>
      <xdr:col>2</xdr:col>
      <xdr:colOff>726008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10939" y="5213714"/>
          <a:ext cx="419100" cy="41903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656174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640019</xdr:colOff>
      <xdr:row>15</xdr:row>
      <xdr:rowOff>364752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779124</xdr:colOff>
      <xdr:row>0</xdr:row>
      <xdr:rowOff>219053</xdr:rowOff>
    </xdr:from>
    <xdr:to>
      <xdr:col>11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7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1849734</xdr:colOff>
      <xdr:row>4</xdr:row>
      <xdr:rowOff>135234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166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517094</xdr:colOff>
      <xdr:row>9</xdr:row>
      <xdr:rowOff>451437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1049632</xdr:colOff>
      <xdr:row>5</xdr:row>
      <xdr:rowOff>181916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DF7-F7D7-42C7-82AA-8FB5759BD1A1}">
  <dimension ref="A1:G11"/>
  <sheetViews>
    <sheetView showGridLines="0" tabSelected="1" topLeftCell="B2" zoomScale="110" zoomScaleNormal="95" workbookViewId="0">
      <selection activeCell="C2" sqref="C2"/>
    </sheetView>
  </sheetViews>
  <sheetFormatPr baseColWidth="10" defaultRowHeight="15"/>
  <cols>
    <col min="1" max="1" width="10.832031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3" customWidth="1"/>
  </cols>
  <sheetData>
    <row r="1" spans="1:7" ht="16" hidden="1">
      <c r="A1" s="43" t="s">
        <v>79</v>
      </c>
      <c r="F1" s="86"/>
      <c r="G1" s="13"/>
    </row>
    <row r="2" spans="1:7" ht="33" customHeight="1">
      <c r="A2" s="86"/>
      <c r="B2" s="87" t="s">
        <v>65</v>
      </c>
      <c r="C2" s="88"/>
      <c r="D2" s="43" t="s">
        <v>79</v>
      </c>
      <c r="E2" s="89"/>
      <c r="F2" s="40"/>
      <c r="G2" s="13"/>
    </row>
    <row r="3" spans="1:7" ht="33" customHeight="1">
      <c r="A3" s="86"/>
      <c r="B3" s="87" t="s">
        <v>66</v>
      </c>
      <c r="C3" s="88"/>
      <c r="D3" s="43" t="s">
        <v>79</v>
      </c>
      <c r="E3" s="13"/>
      <c r="F3" s="40"/>
      <c r="G3" s="13"/>
    </row>
    <row r="4" spans="1:7" ht="33" customHeight="1">
      <c r="A4" s="86"/>
      <c r="B4" s="87" t="s">
        <v>67</v>
      </c>
      <c r="C4" s="88"/>
      <c r="D4" s="43" t="s">
        <v>79</v>
      </c>
      <c r="E4" s="13"/>
      <c r="F4" s="40"/>
      <c r="G4" s="13"/>
    </row>
    <row r="5" spans="1:7" ht="31" customHeight="1" thickBot="1">
      <c r="A5" s="86"/>
      <c r="B5" s="87" t="s">
        <v>68</v>
      </c>
      <c r="C5" s="88"/>
      <c r="D5" s="87" t="s">
        <v>69</v>
      </c>
      <c r="E5" s="90"/>
      <c r="F5" s="43" t="s">
        <v>79</v>
      </c>
    </row>
    <row r="6" spans="1:7" ht="56" customHeight="1" thickTop="1" thickBot="1">
      <c r="A6" s="86"/>
      <c r="B6" s="102" t="s">
        <v>70</v>
      </c>
      <c r="C6" s="102"/>
      <c r="D6" s="102"/>
      <c r="E6" s="103"/>
      <c r="F6" s="43" t="s">
        <v>79</v>
      </c>
    </row>
    <row r="7" spans="1:7" ht="110" customHeight="1" thickTop="1">
      <c r="A7" s="10"/>
      <c r="B7" s="91" t="s">
        <v>71</v>
      </c>
      <c r="C7" s="91" t="s">
        <v>72</v>
      </c>
      <c r="D7" s="92" t="s">
        <v>73</v>
      </c>
      <c r="E7" s="93"/>
      <c r="F7" s="43" t="s">
        <v>79</v>
      </c>
    </row>
    <row r="8" spans="1:7" ht="42" customHeight="1">
      <c r="A8" s="10"/>
      <c r="B8" s="87" t="s">
        <v>74</v>
      </c>
      <c r="C8" s="104"/>
      <c r="D8" s="105"/>
      <c r="E8" s="94" t="s">
        <v>75</v>
      </c>
      <c r="F8" t="s">
        <v>80</v>
      </c>
    </row>
    <row r="9" spans="1:7">
      <c r="A9" s="10" t="s">
        <v>83</v>
      </c>
      <c r="B9" s="95" t="s">
        <v>82</v>
      </c>
      <c r="C9" s="96" t="s">
        <v>81</v>
      </c>
      <c r="D9" s="96"/>
      <c r="E9" s="97"/>
      <c r="F9" t="s">
        <v>84</v>
      </c>
    </row>
    <row r="10" spans="1:7">
      <c r="F10" t="s">
        <v>79</v>
      </c>
    </row>
    <row r="11" spans="1:7">
      <c r="F11" s="13" t="s">
        <v>78</v>
      </c>
    </row>
  </sheetData>
  <sheetProtection algorithmName="SHA-512" hashValue="F/1XwNDctTMjAe1UqFyOU3aCv+gnRaZPGHwcmL4SqknvWQaPI/7IkesRGUX30phf49q7Kf0kEmrHwu9T0bsgDA==" saltValue="xU3uwDSh22o4BWRy3BtdsA==" spinCount="100000" sheet="1" selectLockedCells="1"/>
  <dataConsolidate/>
  <mergeCells count="2">
    <mergeCell ref="B6:E6"/>
    <mergeCell ref="C8:D8"/>
  </mergeCells>
  <conditionalFormatting sqref="A9:E200">
    <cfRule type="expression" dxfId="4" priority="3" stopIfTrue="1">
      <formula>$A9=""</formula>
    </cfRule>
  </conditionalFormatting>
  <conditionalFormatting sqref="B7:E7">
    <cfRule type="expression" dxfId="3" priority="14" stopIfTrue="1">
      <formula>$E$7&lt;&gt;100%</formula>
    </cfRule>
  </conditionalFormatting>
  <conditionalFormatting sqref="B9:E200">
    <cfRule type="expression" dxfId="2" priority="4">
      <formula>$C9=""</formula>
    </cfRule>
  </conditionalFormatting>
  <conditionalFormatting sqref="C9:C200">
    <cfRule type="expression" dxfId="1" priority="2" stopIfTrue="1">
      <formula>AND($C$2="MAGISTRAT",OR($A9="11.7.",$A9="11.8.",$A9="11.9.",$A9="11.10."))</formula>
    </cfRule>
  </conditionalFormatting>
  <conditionalFormatting sqref="D9:D200">
    <cfRule type="expression" dxfId="0" priority="1">
      <formula>AND($C$2="MAGISTRAT",OR($A9="11.7.",$A9="11.8.",$A9="11.9.",$A9="11.10."))</formula>
    </cfRule>
  </conditionalFormatting>
  <dataValidations count="4">
    <dataValidation type="list" allowBlank="1" showErrorMessage="1" errorTitle="Erreur de saisie" error="Vous devez choisir une fonction dans la liste proposée !" sqref="C4" xr:uid="{4B86F8E2-A2C1-4AF0-8AD2-6F6FB121C7E1}">
      <formula1>INDIRECT(SUBSTITUTE($C$2," ","_"))</formula1>
    </dataValidation>
    <dataValidation type="list" allowBlank="1" showInputMessage="1" showErrorMessage="1" sqref="C2" xr:uid="{36A38D39-CE0C-451A-AF08-7EA966C140A2}">
      <formula1>#REF!</formula1>
    </dataValidation>
    <dataValidation type="custom" allowBlank="1" showInputMessage="1" showErrorMessage="1" errorTitle="Alerte saisie !" error="Pour ce contentieux, il est nécessaire de détailler les sous-contentieux. Cliquez sur “Annuler” et renseignez le pourcentage d’ETPT correspondant aux sous-contentieux figurant en jaune. Le total du contentieux se calculera automatiquement." sqref="E10:E300" xr:uid="{18B294E4-7153-4D4A-A339-C814EBC12311}">
      <formula1>AND($B10&lt;&gt;"TOTAL Juges des Enfants",$B10&lt;&gt;"TOTAL Juges d'Instruction",$B10&lt;&gt;"TOTAL Contentieux des mineurs",$B10&lt;&gt;"TOTAL Autres activités")</formula1>
    </dataValidation>
    <dataValidation allowBlank="1" showInputMessage="1" showErrorMessage="1" promptTitle="Saisir une date" prompt="Afin que la date soit validée, merci de la saisir au format JJ/MM/AAAA." sqref="C8:D8" xr:uid="{8ABA325E-5DD9-AE4F-8441-E40828C3610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F1A6A5-2B5F-481A-A4A5-63A0C610A444}">
          <x14:formula1>
            <xm:f>Listes!$H$2:$H$3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0323-CD20-8B4C-80DF-5C6200E7CC3E}">
  <dimension ref="A1"/>
  <sheetViews>
    <sheetView workbookViewId="0">
      <selection activeCell="C100" sqref="C1:C100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3.6640625" customWidth="1"/>
    <col min="9" max="9" width="1.33203125" customWidth="1"/>
    <col min="10" max="10" width="13.6640625" style="2" customWidth="1"/>
    <col min="11" max="11" width="1" customWidth="1"/>
    <col min="12" max="12" width="12.33203125" customWidth="1"/>
    <col min="13" max="13" width="19.33203125" style="2" customWidth="1"/>
  </cols>
  <sheetData>
    <row r="1" spans="2:13" ht="68" customHeight="1" thickBot="1">
      <c r="M1" s="13"/>
    </row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</row>
    <row r="3" spans="2:13" ht="40.5" customHeight="1">
      <c r="B3" s="27" t="s">
        <v>17</v>
      </c>
      <c r="C3" s="99"/>
      <c r="D3" s="101" t="s">
        <v>85</v>
      </c>
      <c r="E3" s="98"/>
      <c r="G3" s="18" t="s">
        <v>19</v>
      </c>
      <c r="H3" s="20"/>
      <c r="I3" s="20"/>
      <c r="L3" s="21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0</v>
      </c>
      <c r="H4" s="112"/>
      <c r="I4" s="54"/>
      <c r="J4" s="2">
        <v>208</v>
      </c>
      <c r="K4" s="1"/>
      <c r="L4" s="21" t="s">
        <v>39</v>
      </c>
    </row>
    <row r="5" spans="2:13" s="3" customFormat="1" ht="25" customHeight="1" thickBot="1">
      <c r="G5" s="113" t="s">
        <v>15</v>
      </c>
      <c r="H5" s="114"/>
      <c r="I5" s="55"/>
      <c r="J5" s="6">
        <v>8</v>
      </c>
      <c r="K5" s="35"/>
      <c r="L5" s="12" t="s">
        <v>40</v>
      </c>
    </row>
    <row r="6" spans="2:13" ht="20.75" customHeight="1" thickBot="1">
      <c r="G6" s="33"/>
      <c r="H6" s="33"/>
      <c r="I6" s="33"/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D9" s="10"/>
      <c r="E9" s="10"/>
      <c r="F9" s="58" t="s">
        <v>7</v>
      </c>
      <c r="G9" s="58" t="s">
        <v>6</v>
      </c>
      <c r="H9" s="3"/>
      <c r="I9" s="3"/>
      <c r="J9" s="63" t="str">
        <f>IF($C$3="","",(C9*(VLOOKUP(F9,Listes!$A$2:$B$5,2,FALSE))*VLOOKUP(G9,Listes!$C$2:$D$6,2,FALSE))/($J$4*($C$3/100)))</f>
        <v/>
      </c>
      <c r="K9" s="59"/>
      <c r="M9"/>
    </row>
    <row r="10" spans="2:13" ht="9.75" customHeight="1" thickBot="1">
      <c r="B10" s="23"/>
      <c r="C10" s="24"/>
      <c r="D10" s="24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K11" s="2"/>
      <c r="M11"/>
    </row>
    <row r="12" spans="2:13" ht="69" customHeight="1">
      <c r="B12" s="109" t="s">
        <v>12</v>
      </c>
      <c r="C12" s="31" t="s">
        <v>22</v>
      </c>
      <c r="D12" s="31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60"/>
      <c r="D13" s="60"/>
      <c r="E13" s="60"/>
      <c r="F13" s="56"/>
      <c r="H13" s="107" t="s">
        <v>21</v>
      </c>
      <c r="I13" s="53"/>
      <c r="M13"/>
    </row>
    <row r="14" spans="2:13" s="3" customFormat="1" ht="40.25" customHeight="1">
      <c r="B14" s="15" t="s">
        <v>13</v>
      </c>
      <c r="C14" s="80"/>
      <c r="D14" s="10"/>
      <c r="E14" s="10"/>
      <c r="F14" s="58" t="s">
        <v>7</v>
      </c>
      <c r="H14" s="107"/>
      <c r="I14" s="53"/>
      <c r="J14" s="10"/>
    </row>
    <row r="15" spans="2:13" s="3" customFormat="1" ht="6.75" customHeight="1">
      <c r="B15" s="15"/>
      <c r="C15" s="85"/>
      <c r="D15" s="85"/>
      <c r="E15" s="10"/>
      <c r="F15" s="10"/>
      <c r="H15" s="60"/>
      <c r="I15" s="9"/>
      <c r="J15" s="10"/>
    </row>
    <row r="16" spans="2:13" s="3" customFormat="1" ht="34.25" customHeight="1">
      <c r="B16" s="15" t="s">
        <v>9</v>
      </c>
      <c r="C16" s="80"/>
      <c r="D16" s="10"/>
      <c r="E16" s="10"/>
      <c r="F16" s="58" t="s">
        <v>6</v>
      </c>
      <c r="H16" s="63" t="str">
        <f>IF($C$3="","",(C14*VLOOKUP(F14,Listes!A2:B5,2,FALSE))*C16*VLOOKUP(F16,Listes!C2:D6,2,FALSE)/($J$4*($C$3/100)))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14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LVLIzFqr3WSYpyM6mAPeDH5PbVQuovQ7oA15kWks36OjNp987cHOlor2LHQ19fkTDK14zjYb75JwlwUNhRJeJQ==" saltValue="/5PvXz7PMWKVm++AO7LsOQ==" spinCount="100000" sheet="1" objects="1" scenarios="1" selectLockedCells="1"/>
  <mergeCells count="7">
    <mergeCell ref="J7:J8"/>
    <mergeCell ref="F7:G7"/>
    <mergeCell ref="B7:B8"/>
    <mergeCell ref="B12:B13"/>
    <mergeCell ref="G4:H4"/>
    <mergeCell ref="G5:H5"/>
    <mergeCell ref="H13:H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F14:F15 F9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G9 F16:F17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7.5" customWidth="1"/>
    <col min="9" max="9" width="1.33203125" customWidth="1"/>
    <col min="10" max="10" width="13.6640625" style="2" customWidth="1"/>
    <col min="11" max="11" width="1.33203125" customWidth="1"/>
    <col min="12" max="12" width="21.33203125" customWidth="1"/>
    <col min="13" max="13" width="19.33203125" style="2" customWidth="1"/>
  </cols>
  <sheetData>
    <row r="1" spans="2:13" ht="69.5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24</v>
      </c>
      <c r="C3" s="99"/>
      <c r="D3" s="101" t="s">
        <v>85</v>
      </c>
      <c r="E3" s="98"/>
      <c r="G3" s="115" t="s">
        <v>37</v>
      </c>
      <c r="H3" s="116"/>
      <c r="I3" s="116"/>
      <c r="J3" s="116"/>
      <c r="K3" s="116"/>
      <c r="L3" s="117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25</v>
      </c>
      <c r="H4" s="112"/>
      <c r="I4" s="54"/>
      <c r="J4" s="10">
        <v>1607</v>
      </c>
      <c r="K4" s="1"/>
      <c r="L4" s="73" t="s">
        <v>36</v>
      </c>
    </row>
    <row r="5" spans="2:13" s="3" customFormat="1" ht="24.75" customHeight="1" thickBot="1">
      <c r="G5" s="113" t="s">
        <v>26</v>
      </c>
      <c r="H5" s="114"/>
      <c r="I5" s="55"/>
      <c r="J5" s="100">
        <v>35</v>
      </c>
      <c r="K5" s="35"/>
      <c r="L5" s="77" t="s">
        <v>35</v>
      </c>
    </row>
    <row r="6" spans="2:13" ht="30.5" customHeight="1" thickBot="1">
      <c r="G6" s="33"/>
      <c r="L6" s="34" t="s">
        <v>38</v>
      </c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E9" s="10"/>
      <c r="F9" s="58" t="s">
        <v>7</v>
      </c>
      <c r="G9" s="58" t="s">
        <v>6</v>
      </c>
      <c r="H9" s="3"/>
      <c r="I9" s="3"/>
      <c r="J9" s="63" t="str">
        <f>IF($C$3="","",(C9*(VLOOKUP(F9,Listes!$A$9:$B$12,2,FALSE))*VLOOKUP(G9,Listes!$C$9:$D$13,2,FALSE))/(($J$4)*($C$3/100)))</f>
        <v/>
      </c>
      <c r="K9" s="22"/>
      <c r="M9"/>
    </row>
    <row r="10" spans="2:13" ht="9.75" customHeight="1" thickBot="1">
      <c r="B10" s="23"/>
      <c r="C10" s="81"/>
      <c r="D10" s="81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C11" s="82"/>
      <c r="D11" s="82"/>
      <c r="K11" s="2"/>
      <c r="M11"/>
    </row>
    <row r="12" spans="2:13" ht="69" customHeight="1">
      <c r="B12" s="109" t="s">
        <v>31</v>
      </c>
      <c r="C12" s="83" t="s">
        <v>22</v>
      </c>
      <c r="D12" s="83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84"/>
      <c r="D13" s="84"/>
      <c r="E13" s="60"/>
      <c r="F13" s="56"/>
      <c r="H13" s="107" t="s">
        <v>21</v>
      </c>
      <c r="I13" s="53"/>
      <c r="M13"/>
    </row>
    <row r="14" spans="2:13" s="3" customFormat="1" ht="33" customHeight="1">
      <c r="B14" s="15" t="s">
        <v>33</v>
      </c>
      <c r="C14" s="80"/>
      <c r="D14"/>
      <c r="E14" s="10"/>
      <c r="F14" s="58" t="s">
        <v>7</v>
      </c>
      <c r="H14" s="107"/>
      <c r="I14" s="53"/>
      <c r="J14" s="10"/>
    </row>
    <row r="15" spans="2:13" s="3" customFormat="1" ht="12" customHeight="1">
      <c r="B15" s="15"/>
      <c r="C15" s="85"/>
      <c r="D15" s="85"/>
      <c r="E15" s="10"/>
      <c r="F15" s="10"/>
      <c r="H15" s="64"/>
      <c r="I15" s="9"/>
      <c r="J15" s="10"/>
    </row>
    <row r="16" spans="2:13" s="3" customFormat="1" ht="34.25" customHeight="1">
      <c r="B16" s="15" t="s">
        <v>34</v>
      </c>
      <c r="C16" s="80"/>
      <c r="D16"/>
      <c r="E16" s="10"/>
      <c r="F16" s="58" t="s">
        <v>6</v>
      </c>
      <c r="H16" s="65" t="str">
        <f>IF($C$3="","",(C14*VLOOKUP(F14,Listes!A9:B12,2,FALSE))*C16*VLOOKUP(F16,Listes!C9:D13,2,FALSE)/($J$4*($C$3/100)))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32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dn+agQNcQuUzWosfk6ZoP5yOM4/cT7hdyshfoYx27S9S53RArsJ0n6jrwYrBotG5CqOH44ABLvMus47tKS5alQ==" saltValue="tk4y2jKIkmLaTRpQZwOJeQ==" spinCount="100000" sheet="1" objects="1" scenarios="1" selectLockedCells="1"/>
  <mergeCells count="8">
    <mergeCell ref="G3:L3"/>
    <mergeCell ref="J7:J8"/>
    <mergeCell ref="B12:B13"/>
    <mergeCell ref="H13:H14"/>
    <mergeCell ref="G4:H4"/>
    <mergeCell ref="G5:H5"/>
    <mergeCell ref="B7:B8"/>
    <mergeCell ref="F7:G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F14:F15 F9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F16:F17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22"/>
  <sheetViews>
    <sheetView showGridLines="0" zoomScale="95" zoomScaleNormal="95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8" customWidth="1"/>
    <col min="4" max="4" width="9" style="3" customWidth="1"/>
    <col min="5" max="5" width="19.33203125" style="10" customWidth="1"/>
    <col min="6" max="6" width="6.33203125" style="41" customWidth="1"/>
    <col min="7" max="7" width="9.332031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9" t="s">
        <v>56</v>
      </c>
      <c r="D2" s="119"/>
      <c r="E2" s="119"/>
      <c r="F2" s="119"/>
      <c r="G2" s="119"/>
      <c r="H2" s="119"/>
      <c r="I2" s="119"/>
    </row>
    <row r="3" spans="3:9" ht="27.75" customHeight="1">
      <c r="C3" s="37" t="s">
        <v>41</v>
      </c>
      <c r="D3" s="118" t="s">
        <v>50</v>
      </c>
      <c r="E3" s="118"/>
      <c r="F3" s="120" t="s">
        <v>57</v>
      </c>
      <c r="G3" s="120"/>
      <c r="H3" s="120"/>
      <c r="I3" s="120"/>
    </row>
    <row r="4" spans="3:9" ht="23.25" customHeight="1">
      <c r="C4" s="38" t="s">
        <v>58</v>
      </c>
      <c r="D4" s="39" t="str">
        <f>IF(D3="FONCTIONNAIRE","1607 h/an et 35h/semaine","208 jours/an et 8 h/jour")</f>
        <v>208 jours/an et 8 h/jour</v>
      </c>
      <c r="E4" s="3"/>
      <c r="F4" s="40"/>
      <c r="G4" s="41"/>
    </row>
    <row r="5" spans="3:9" ht="7.5" customHeight="1">
      <c r="C5" s="37"/>
      <c r="D5" s="39"/>
      <c r="E5" s="3"/>
      <c r="F5" s="10"/>
      <c r="G5" s="41"/>
    </row>
    <row r="6" spans="3:9" ht="23.25" customHeight="1">
      <c r="C6" s="37" t="s">
        <v>48</v>
      </c>
      <c r="D6" s="79"/>
      <c r="E6" s="42" t="s">
        <v>42</v>
      </c>
      <c r="F6" s="10"/>
      <c r="G6" s="41"/>
      <c r="H6" s="43"/>
      <c r="I6" s="43"/>
    </row>
    <row r="7" spans="3:9" ht="25.25" customHeight="1">
      <c r="C7" s="37"/>
      <c r="D7" s="66" t="s">
        <v>54</v>
      </c>
      <c r="E7" s="42"/>
      <c r="F7" s="10"/>
      <c r="G7" s="44"/>
      <c r="H7" s="43"/>
      <c r="I7" s="43"/>
    </row>
    <row r="8" spans="3:9" ht="24" customHeight="1">
      <c r="C8" s="37" t="s">
        <v>43</v>
      </c>
      <c r="D8" s="79"/>
      <c r="E8" s="42" t="s">
        <v>44</v>
      </c>
      <c r="F8" s="10"/>
      <c r="G8" s="41"/>
      <c r="H8" s="43"/>
      <c r="I8" s="43"/>
    </row>
    <row r="9" spans="3:9" ht="18" customHeight="1">
      <c r="C9" s="37"/>
      <c r="D9" s="67" t="s">
        <v>55</v>
      </c>
      <c r="E9" s="42"/>
      <c r="F9" s="10"/>
      <c r="G9" s="41"/>
      <c r="H9" s="43"/>
      <c r="I9" s="43"/>
    </row>
    <row r="10" spans="3:9" ht="36" customHeight="1" thickBot="1">
      <c r="C10" s="37"/>
      <c r="D10" s="45"/>
      <c r="E10" s="3"/>
      <c r="F10" s="3"/>
    </row>
    <row r="11" spans="3:9" ht="7.25" customHeight="1">
      <c r="C11" s="69"/>
      <c r="D11" s="70"/>
      <c r="E11" s="71"/>
      <c r="F11" s="71"/>
      <c r="G11" s="71"/>
      <c r="H11" s="71"/>
      <c r="I11" s="72"/>
    </row>
    <row r="12" spans="3:9" ht="24" customHeight="1">
      <c r="C12" s="15" t="s">
        <v>45</v>
      </c>
      <c r="D12" s="78">
        <f>IF(D3="MAGISTRAT",D6*D8*Listes!D3,D6*D8*'Calculatrice fonctionnaires'!J4/7)</f>
        <v>0</v>
      </c>
      <c r="E12" s="42" t="s">
        <v>47</v>
      </c>
      <c r="F12" s="10" t="s">
        <v>49</v>
      </c>
      <c r="G12" s="78">
        <f>IF(D3="FONCTIONNAIRE",D12*7,D12*8)</f>
        <v>0</v>
      </c>
      <c r="H12" s="42" t="s">
        <v>46</v>
      </c>
      <c r="I12" s="73"/>
    </row>
    <row r="13" spans="3:9" ht="8.25" customHeight="1">
      <c r="C13" s="15"/>
      <c r="D13" s="68"/>
      <c r="E13" s="42"/>
      <c r="F13" s="10"/>
      <c r="G13" s="68"/>
      <c r="H13" s="42"/>
      <c r="I13" s="73"/>
    </row>
    <row r="14" spans="3:9" ht="24" customHeight="1">
      <c r="C14" s="15" t="s">
        <v>52</v>
      </c>
      <c r="D14" s="78">
        <f>D12/12</f>
        <v>0</v>
      </c>
      <c r="E14" s="42" t="s">
        <v>59</v>
      </c>
      <c r="F14" s="10" t="s">
        <v>49</v>
      </c>
      <c r="G14" s="78">
        <f>IF(D4="FONCTIONNAIRE",D14*7,D14*8)</f>
        <v>0</v>
      </c>
      <c r="H14" s="42" t="s">
        <v>60</v>
      </c>
      <c r="I14" s="73"/>
    </row>
    <row r="15" spans="3:9" ht="6.75" customHeight="1">
      <c r="C15" s="15"/>
      <c r="D15" s="68"/>
      <c r="E15" s="42"/>
      <c r="F15" s="10"/>
      <c r="G15" s="68"/>
      <c r="H15" s="42"/>
      <c r="I15" s="73"/>
    </row>
    <row r="16" spans="3:9" ht="24" customHeight="1">
      <c r="C16" s="15" t="s">
        <v>53</v>
      </c>
      <c r="D16" s="78">
        <f>(D8*D6)*5</f>
        <v>0</v>
      </c>
      <c r="E16" s="42" t="s">
        <v>61</v>
      </c>
      <c r="F16" s="10" t="s">
        <v>49</v>
      </c>
      <c r="G16" s="78">
        <f>IF(D3="FONCTIONNAIRE",D16*7,D16*8)</f>
        <v>0</v>
      </c>
      <c r="H16" s="42" t="s">
        <v>62</v>
      </c>
      <c r="I16" s="73"/>
    </row>
    <row r="17" spans="3:9" ht="9" customHeight="1" thickBot="1">
      <c r="C17" s="74"/>
      <c r="D17" s="75"/>
      <c r="E17" s="7"/>
      <c r="F17" s="6"/>
      <c r="G17" s="76"/>
      <c r="H17" s="7"/>
      <c r="I17" s="12"/>
    </row>
    <row r="18" spans="3:9" ht="16.25" customHeight="1">
      <c r="C18" s="49" t="s">
        <v>64</v>
      </c>
    </row>
    <row r="19" spans="3:9" ht="16.25" customHeight="1">
      <c r="C19" s="49" t="s">
        <v>63</v>
      </c>
    </row>
    <row r="20" spans="3:9" ht="24" customHeight="1">
      <c r="C20" s="46"/>
    </row>
    <row r="21" spans="3:9" ht="24" customHeight="1">
      <c r="C21" s="47"/>
    </row>
    <row r="22" spans="3:9" ht="24" customHeight="1">
      <c r="C22" s="46"/>
    </row>
  </sheetData>
  <sheetProtection algorithmName="SHA-512" hashValue="KI4vR7Klc5xH7iX2QoRLOObctd3ZKPFiRO/8e0UNoF9mqgNtRePUVxluxdAHcvYmQcfcbcrdd9eHzJGAnMufWg==" saltValue="a3NE/kIgLRpRx1awKCySvw==" spinCount="100000" sheet="1" objects="1" scenarios="1" selectLockedCells="1"/>
  <mergeCells count="3">
    <mergeCell ref="D3:E3"/>
    <mergeCell ref="C2:I2"/>
    <mergeCell ref="F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H16"/>
  <sheetViews>
    <sheetView workbookViewId="0">
      <selection activeCell="D11" sqref="D11"/>
    </sheetView>
  </sheetViews>
  <sheetFormatPr baseColWidth="10" defaultRowHeight="15"/>
  <sheetData>
    <row r="1" spans="1:8">
      <c r="A1" t="s">
        <v>29</v>
      </c>
    </row>
    <row r="2" spans="1:8">
      <c r="A2" t="s">
        <v>7</v>
      </c>
      <c r="C2" t="s">
        <v>6</v>
      </c>
      <c r="E2" t="s">
        <v>7</v>
      </c>
      <c r="H2" t="s">
        <v>76</v>
      </c>
    </row>
    <row r="3" spans="1:8">
      <c r="A3" t="s">
        <v>1</v>
      </c>
      <c r="B3">
        <v>1</v>
      </c>
      <c r="C3" t="s">
        <v>27</v>
      </c>
      <c r="D3">
        <f>'Calculatrice magistrats'!J4</f>
        <v>208</v>
      </c>
      <c r="E3" t="s">
        <v>1</v>
      </c>
      <c r="F3" s="51">
        <f>D3</f>
        <v>208</v>
      </c>
      <c r="H3" t="s">
        <v>77</v>
      </c>
    </row>
    <row r="4" spans="1:8">
      <c r="A4" t="s">
        <v>3</v>
      </c>
      <c r="B4">
        <v>0.5</v>
      </c>
      <c r="C4" t="s">
        <v>28</v>
      </c>
      <c r="D4">
        <f>D3/5</f>
        <v>41.6</v>
      </c>
      <c r="E4" t="s">
        <v>3</v>
      </c>
      <c r="F4" s="50">
        <f>F3*2</f>
        <v>416</v>
      </c>
    </row>
    <row r="5" spans="1:8">
      <c r="A5" t="s">
        <v>2</v>
      </c>
      <c r="B5">
        <f>1/'Calculatrice magistrats'!J5</f>
        <v>0.125</v>
      </c>
      <c r="C5" t="s">
        <v>4</v>
      </c>
      <c r="D5">
        <v>12</v>
      </c>
      <c r="E5" t="s">
        <v>2</v>
      </c>
      <c r="F5" s="50">
        <f>D3*8</f>
        <v>1664</v>
      </c>
    </row>
    <row r="6" spans="1:8">
      <c r="C6" t="s">
        <v>5</v>
      </c>
      <c r="D6">
        <v>1</v>
      </c>
    </row>
    <row r="8" spans="1:8">
      <c r="A8" t="s">
        <v>30</v>
      </c>
    </row>
    <row r="9" spans="1:8">
      <c r="A9" t="s">
        <v>7</v>
      </c>
      <c r="B9" s="32"/>
      <c r="C9" t="s">
        <v>6</v>
      </c>
      <c r="D9" s="32"/>
      <c r="E9" t="s">
        <v>7</v>
      </c>
    </row>
    <row r="10" spans="1:8">
      <c r="A10" t="s">
        <v>1</v>
      </c>
      <c r="B10" s="32">
        <f>'Calculatrice fonctionnaires'!J5/5</f>
        <v>7</v>
      </c>
      <c r="C10" t="s">
        <v>27</v>
      </c>
      <c r="D10" s="32">
        <f>'Calculatrice fonctionnaires'!J4/Listes!B10</f>
        <v>229.57142857142858</v>
      </c>
      <c r="E10" t="s">
        <v>1</v>
      </c>
      <c r="F10" s="51">
        <f>D10</f>
        <v>229.57142857142858</v>
      </c>
    </row>
    <row r="11" spans="1:8">
      <c r="A11" t="s">
        <v>3</v>
      </c>
      <c r="B11" s="32">
        <f>B10/2</f>
        <v>3.5</v>
      </c>
      <c r="C11" t="s">
        <v>28</v>
      </c>
      <c r="D11" s="32">
        <f>'Calculatrice fonctionnaires'!J4/'Calculatrice fonctionnaires'!J5</f>
        <v>45.914285714285711</v>
      </c>
      <c r="E11" t="s">
        <v>3</v>
      </c>
      <c r="F11" s="50">
        <f>F10*2</f>
        <v>459.14285714285717</v>
      </c>
    </row>
    <row r="12" spans="1:8">
      <c r="A12" t="s">
        <v>2</v>
      </c>
      <c r="B12" s="32">
        <v>1</v>
      </c>
      <c r="C12" t="s">
        <v>4</v>
      </c>
      <c r="D12" s="32">
        <f>12</f>
        <v>12</v>
      </c>
      <c r="E12" t="s">
        <v>2</v>
      </c>
      <c r="F12" s="50">
        <f>D10*7</f>
        <v>1607</v>
      </c>
    </row>
    <row r="13" spans="1:8">
      <c r="B13" s="32"/>
      <c r="C13" t="s">
        <v>5</v>
      </c>
      <c r="D13" s="32">
        <v>1</v>
      </c>
    </row>
    <row r="15" spans="1:8" ht="16">
      <c r="A15" s="36" t="s">
        <v>50</v>
      </c>
      <c r="C15" s="36" t="s">
        <v>29</v>
      </c>
    </row>
    <row r="16" spans="1:8" ht="16">
      <c r="A16" s="36" t="s">
        <v>51</v>
      </c>
      <c r="C16" s="36" t="s">
        <v>30</v>
      </c>
    </row>
  </sheetData>
  <sheetProtection algorithmName="SHA-512" hashValue="VeIioI6SlBkZ5/EVBGW5gIzAzZjJEESwBC3xZ2mQulXnUIOMYkx8KPo8luI2ZBKG4IhsjhN79dp2coSu48OBfA==" saltValue="N9TCOS47uVRAid0CA0wpm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Feuille de temps</vt:lpstr>
      <vt:lpstr>Fonction</vt:lpstr>
      <vt:lpstr>Calculatrice magistrats</vt:lpstr>
      <vt:lpstr>Calculatrice fonctionnaires</vt:lpstr>
      <vt:lpstr>Reconvertir % d'ETPT</vt:lpstr>
      <vt:lpstr>Listes</vt:lpstr>
      <vt:lpstr>AUTOUR_DU_MAGISTRAT</vt:lpstr>
      <vt:lpstr>GREFFE</vt:lpstr>
      <vt:lpstr>MAGISTRAT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2025-10-03T09:24:44Z</dcterms:modified>
</cp:coreProperties>
</file>