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charts/chart2.xml" ContentType="application/vnd.openxmlformats-officedocument.drawingml.chart+xml"/>
  <Override PartName="/xl/charts/chart3.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20055" windowHeight="7440"/>
  </bookViews>
  <sheets>
    <sheet name="ResFinal" sheetId="2" r:id="rId1"/>
    <sheet name="nat" sheetId="4" r:id="rId2"/>
    <sheet name="Feuil1" sheetId="1" r:id="rId3"/>
    <sheet name="Feuil3" sheetId="3" r:id="rId4"/>
  </sheets>
  <definedNames>
    <definedName name="nat">nat!$C$6:$L$35</definedName>
    <definedName name="_xlnm.Print_Area" localSheetId="1">nat!$C$1:$L$37</definedName>
  </definedNames>
  <calcPr calcId="124519"/>
</workbook>
</file>

<file path=xl/calcChain.xml><?xml version="1.0" encoding="utf-8"?>
<calcChain xmlns="http://schemas.openxmlformats.org/spreadsheetml/2006/main">
  <c r="E1" i="2"/>
  <c r="D1"/>
  <c r="AN38" i="4"/>
  <c r="E32" i="2"/>
  <c r="E31"/>
  <c r="E30"/>
  <c r="E29"/>
  <c r="E28"/>
  <c r="E27"/>
  <c r="E26"/>
  <c r="E25"/>
  <c r="E24"/>
  <c r="E23"/>
  <c r="E22"/>
  <c r="E21"/>
  <c r="E20"/>
  <c r="E19"/>
  <c r="E18"/>
  <c r="E17"/>
  <c r="E16"/>
  <c r="E15"/>
  <c r="E14"/>
  <c r="E13"/>
  <c r="E12"/>
  <c r="E11"/>
  <c r="E10"/>
  <c r="E9"/>
  <c r="E8"/>
  <c r="E7"/>
  <c r="E6"/>
  <c r="E5"/>
  <c r="E4"/>
  <c r="E3"/>
  <c r="E2"/>
  <c r="C1"/>
  <c r="B1"/>
  <c r="A1"/>
  <c r="D32"/>
  <c r="B32"/>
  <c r="A32"/>
  <c r="D31"/>
  <c r="B31"/>
  <c r="A31"/>
  <c r="D30"/>
  <c r="B30"/>
  <c r="A30"/>
  <c r="D29"/>
  <c r="B29"/>
  <c r="A29"/>
  <c r="D28"/>
  <c r="B28"/>
  <c r="A28"/>
  <c r="D27"/>
  <c r="B27"/>
  <c r="A27"/>
  <c r="D26"/>
  <c r="B26"/>
  <c r="A26"/>
  <c r="D25"/>
  <c r="B25"/>
  <c r="A25"/>
  <c r="D24"/>
  <c r="B24"/>
  <c r="A24"/>
  <c r="D23"/>
  <c r="B23"/>
  <c r="A23"/>
  <c r="D22"/>
  <c r="B22"/>
  <c r="A22"/>
  <c r="D21"/>
  <c r="B21"/>
  <c r="A21"/>
  <c r="D20"/>
  <c r="B20"/>
  <c r="A20"/>
  <c r="D19"/>
  <c r="B19"/>
  <c r="A19"/>
  <c r="D18"/>
  <c r="B18"/>
  <c r="A18"/>
  <c r="D17"/>
  <c r="B17"/>
  <c r="A17"/>
  <c r="D16"/>
  <c r="B16"/>
  <c r="A16"/>
  <c r="D15"/>
  <c r="B15"/>
  <c r="A15"/>
  <c r="D14"/>
  <c r="B14"/>
  <c r="A14"/>
  <c r="B13"/>
  <c r="A13"/>
  <c r="B12"/>
  <c r="A12"/>
  <c r="B11"/>
  <c r="A11"/>
  <c r="B10"/>
  <c r="A10"/>
  <c r="B9"/>
  <c r="A9"/>
  <c r="B8"/>
  <c r="A8"/>
  <c r="B7"/>
  <c r="A7"/>
  <c r="D6"/>
  <c r="B6"/>
  <c r="A6"/>
  <c r="D5"/>
  <c r="B5"/>
  <c r="A5"/>
  <c r="B4"/>
  <c r="A4"/>
  <c r="D3"/>
  <c r="B3"/>
  <c r="A3"/>
  <c r="D2"/>
  <c r="B2"/>
  <c r="A2"/>
  <c r="AP38" i="4"/>
  <c r="AO38"/>
  <c r="AO37"/>
  <c r="AO36"/>
  <c r="AO35"/>
  <c r="AO34"/>
  <c r="AO33"/>
  <c r="AO32"/>
  <c r="AO31"/>
  <c r="AO30"/>
  <c r="AO29"/>
  <c r="AO28"/>
  <c r="AO27"/>
  <c r="AO26"/>
  <c r="AO25"/>
  <c r="AO24"/>
  <c r="AO23"/>
  <c r="AO22"/>
  <c r="AO21"/>
  <c r="AO20"/>
  <c r="AO18"/>
  <c r="AO19" s="1"/>
  <c r="D13" i="2" s="1"/>
  <c r="AO17" i="4"/>
  <c r="D11" i="2" s="1"/>
  <c r="AO15" i="4"/>
  <c r="D9" i="2" s="1"/>
  <c r="AO14" i="4"/>
  <c r="AO13" s="1"/>
  <c r="D7" i="2" s="1"/>
  <c r="AN8" i="4"/>
  <c r="C2" i="2" s="1"/>
  <c r="AN9" i="4"/>
  <c r="C3" i="2" s="1"/>
  <c r="AN10" i="4"/>
  <c r="C4" i="2" s="1"/>
  <c r="AN12" i="4"/>
  <c r="C6" i="2" s="1"/>
  <c r="AN13" i="4"/>
  <c r="C7" i="2" s="1"/>
  <c r="AN14" i="4"/>
  <c r="C8" i="2" s="1"/>
  <c r="AN15" i="4"/>
  <c r="C9" i="2" s="1"/>
  <c r="AN16" i="4"/>
  <c r="C10" i="2" s="1"/>
  <c r="AN17" i="4"/>
  <c r="C11" i="2" s="1"/>
  <c r="AN18" i="4"/>
  <c r="C12" i="2" s="1"/>
  <c r="AN19" i="4"/>
  <c r="C13" i="2" s="1"/>
  <c r="AN20" i="4"/>
  <c r="C14" i="2" s="1"/>
  <c r="AN21" i="4"/>
  <c r="C15" i="2" s="1"/>
  <c r="AN22" i="4"/>
  <c r="C16" i="2" s="1"/>
  <c r="AN23" i="4"/>
  <c r="C17" i="2" s="1"/>
  <c r="AN24" i="4"/>
  <c r="C18" i="2" s="1"/>
  <c r="AN25" i="4"/>
  <c r="C19" i="2" s="1"/>
  <c r="AN26" i="4"/>
  <c r="C20" i="2" s="1"/>
  <c r="AN27" i="4"/>
  <c r="C21" i="2" s="1"/>
  <c r="AN28" i="4"/>
  <c r="C22" i="2" s="1"/>
  <c r="AN29" i="4"/>
  <c r="C23" i="2" s="1"/>
  <c r="AN30" i="4"/>
  <c r="C24" i="2" s="1"/>
  <c r="AN31" i="4"/>
  <c r="AN32"/>
  <c r="C26" i="2" s="1"/>
  <c r="AN33" i="4"/>
  <c r="C27" i="2" s="1"/>
  <c r="AN34" i="4"/>
  <c r="C28" i="2" s="1"/>
  <c r="AN35" i="4"/>
  <c r="AN36"/>
  <c r="C30" i="2" s="1"/>
  <c r="AN37" i="4"/>
  <c r="C31" i="2" s="1"/>
  <c r="C32"/>
  <c r="AO12" i="4"/>
  <c r="AO11"/>
  <c r="AM38"/>
  <c r="AL38"/>
  <c r="AM37"/>
  <c r="AL37"/>
  <c r="AM36"/>
  <c r="AL36"/>
  <c r="AM35"/>
  <c r="AL35"/>
  <c r="AM34"/>
  <c r="AL34"/>
  <c r="AM33"/>
  <c r="AL33"/>
  <c r="AM32"/>
  <c r="AL32"/>
  <c r="AM31"/>
  <c r="AL31"/>
  <c r="AM30"/>
  <c r="AL30"/>
  <c r="AM29"/>
  <c r="AL29"/>
  <c r="AM28"/>
  <c r="AL28"/>
  <c r="AM27"/>
  <c r="AL27"/>
  <c r="AM26"/>
  <c r="AL26"/>
  <c r="AM25"/>
  <c r="AL25"/>
  <c r="AM24"/>
  <c r="AL24"/>
  <c r="AM23"/>
  <c r="AL23"/>
  <c r="AM22"/>
  <c r="AL22"/>
  <c r="AM21"/>
  <c r="AL21"/>
  <c r="AM20"/>
  <c r="AL20"/>
  <c r="AL19"/>
  <c r="AM18"/>
  <c r="AL18"/>
  <c r="AL17"/>
  <c r="AL16"/>
  <c r="AM15"/>
  <c r="AL15"/>
  <c r="AL14"/>
  <c r="AM13"/>
  <c r="AL13"/>
  <c r="AM12"/>
  <c r="AN11" s="1"/>
  <c r="C5" i="2" s="1"/>
  <c r="AL12" i="4"/>
  <c r="AL11"/>
  <c r="AM11"/>
  <c r="AL10"/>
  <c r="AH8"/>
  <c r="AH9"/>
  <c r="AH10"/>
  <c r="AH11"/>
  <c r="AH12"/>
  <c r="AH13"/>
  <c r="AH14"/>
  <c r="AH15"/>
  <c r="AH16"/>
  <c r="AH7"/>
  <c r="AL9"/>
  <c r="AM8"/>
  <c r="AF22"/>
  <c r="AE7"/>
  <c r="AF7"/>
  <c r="AG7"/>
  <c r="AE8"/>
  <c r="AF8"/>
  <c r="AG8"/>
  <c r="AE9"/>
  <c r="AF9"/>
  <c r="AG9"/>
  <c r="AE10"/>
  <c r="AF10"/>
  <c r="AG10"/>
  <c r="AE11"/>
  <c r="AF11"/>
  <c r="AG11"/>
  <c r="AE12"/>
  <c r="AF12"/>
  <c r="AG12"/>
  <c r="AE13"/>
  <c r="AF13"/>
  <c r="AG13"/>
  <c r="AE14"/>
  <c r="AF14"/>
  <c r="AG14"/>
  <c r="AE15"/>
  <c r="AF15"/>
  <c r="AG15"/>
  <c r="AE16"/>
  <c r="AF16"/>
  <c r="AG16"/>
  <c r="AC17"/>
  <c r="W27"/>
  <c r="W26" s="1"/>
  <c r="W25" s="1"/>
  <c r="W24" s="1"/>
  <c r="W23" s="1"/>
  <c r="W22" s="1"/>
  <c r="W21" s="1"/>
  <c r="W20" s="1"/>
  <c r="W19" s="1"/>
  <c r="W18" s="1"/>
  <c r="W17" s="1"/>
  <c r="W16" s="1"/>
  <c r="W15" s="1"/>
  <c r="W14" s="1"/>
  <c r="W13" s="1"/>
  <c r="W12" s="1"/>
  <c r="W11" s="1"/>
  <c r="W10" s="1"/>
  <c r="W9" s="1"/>
  <c r="W8" s="1"/>
  <c r="W7" s="1"/>
  <c r="W28"/>
  <c r="W29"/>
  <c r="W30"/>
  <c r="W31"/>
  <c r="U8"/>
  <c r="U9"/>
  <c r="U10"/>
  <c r="U11"/>
  <c r="U12"/>
  <c r="U13"/>
  <c r="U14"/>
  <c r="U15"/>
  <c r="U16"/>
  <c r="U17"/>
  <c r="U18"/>
  <c r="U19"/>
  <c r="U20"/>
  <c r="U21"/>
  <c r="U22"/>
  <c r="U23"/>
  <c r="U24"/>
  <c r="U25"/>
  <c r="U26"/>
  <c r="U27"/>
  <c r="U28"/>
  <c r="U29"/>
  <c r="U30"/>
  <c r="U31"/>
  <c r="U7"/>
  <c r="V15"/>
  <c r="V16"/>
  <c r="V17"/>
  <c r="V18"/>
  <c r="V19"/>
  <c r="V20"/>
  <c r="V21"/>
  <c r="V22"/>
  <c r="V23"/>
  <c r="V24"/>
  <c r="V25"/>
  <c r="V26"/>
  <c r="V27"/>
  <c r="V28"/>
  <c r="V29"/>
  <c r="V30"/>
  <c r="V31"/>
  <c r="V14"/>
  <c r="V13"/>
  <c r="V12"/>
  <c r="V11"/>
  <c r="V10"/>
  <c r="V9"/>
  <c r="V8"/>
  <c r="V7"/>
  <c r="T9"/>
  <c r="T10" s="1"/>
  <c r="T11" s="1"/>
  <c r="T12" s="1"/>
  <c r="T13" s="1"/>
  <c r="T14" s="1"/>
  <c r="T15" s="1"/>
  <c r="T8"/>
  <c r="S17"/>
  <c r="S18" s="1"/>
  <c r="S19" s="1"/>
  <c r="S20" s="1"/>
  <c r="S21" s="1"/>
  <c r="S22" s="1"/>
  <c r="S23" s="1"/>
  <c r="S25" s="1"/>
  <c r="S26" s="1"/>
  <c r="S27" s="1"/>
  <c r="S28" s="1"/>
  <c r="S29" s="1"/>
  <c r="S30" s="1"/>
  <c r="S31" s="1"/>
  <c r="A8"/>
  <c r="B8"/>
  <c r="A9"/>
  <c r="B9"/>
  <c r="A10"/>
  <c r="B10"/>
  <c r="A11"/>
  <c r="B11"/>
  <c r="A12"/>
  <c r="B12"/>
  <c r="A13"/>
  <c r="B13"/>
  <c r="A14"/>
  <c r="B14"/>
  <c r="A15"/>
  <c r="B15"/>
  <c r="A16"/>
  <c r="B16"/>
  <c r="A17"/>
  <c r="B17"/>
  <c r="A18"/>
  <c r="B18"/>
  <c r="A19"/>
  <c r="B19"/>
  <c r="A20"/>
  <c r="B20"/>
  <c r="A21"/>
  <c r="B21"/>
  <c r="A22"/>
  <c r="B22"/>
  <c r="A23"/>
  <c r="B23"/>
  <c r="A24"/>
  <c r="B24"/>
  <c r="A25"/>
  <c r="B25"/>
  <c r="A26"/>
  <c r="B26"/>
  <c r="A27"/>
  <c r="B27"/>
  <c r="A28"/>
  <c r="B28"/>
  <c r="A29"/>
  <c r="B29"/>
  <c r="A30"/>
  <c r="B30"/>
  <c r="A31"/>
  <c r="B31"/>
  <c r="A32"/>
  <c r="B32"/>
  <c r="A33"/>
  <c r="B33"/>
  <c r="A34"/>
  <c r="B34"/>
  <c r="A35"/>
  <c r="B35"/>
  <c r="A36"/>
  <c r="B36"/>
  <c r="A37"/>
  <c r="B37"/>
  <c r="M16"/>
  <c r="M17"/>
  <c r="M18"/>
  <c r="M19"/>
  <c r="M20"/>
  <c r="M21"/>
  <c r="M22"/>
  <c r="M23"/>
  <c r="M24"/>
  <c r="M25"/>
  <c r="M26"/>
  <c r="M27"/>
  <c r="M28"/>
  <c r="M29"/>
  <c r="M30"/>
  <c r="M31"/>
  <c r="M32"/>
  <c r="M33"/>
  <c r="M34"/>
  <c r="M35"/>
  <c r="N33"/>
  <c r="N32"/>
  <c r="N31"/>
  <c r="N30"/>
  <c r="N29"/>
  <c r="N28"/>
  <c r="N27"/>
  <c r="N26"/>
  <c r="N25"/>
  <c r="N24"/>
  <c r="N23"/>
  <c r="N22"/>
  <c r="N21"/>
  <c r="N20"/>
  <c r="N19"/>
  <c r="N18"/>
  <c r="N17"/>
  <c r="N16"/>
  <c r="N14"/>
  <c r="N13"/>
  <c r="N12"/>
  <c r="N11"/>
  <c r="N10"/>
  <c r="N9"/>
  <c r="N8"/>
  <c r="AA49" i="1"/>
  <c r="AA48"/>
  <c r="AA47"/>
  <c r="AA46"/>
  <c r="AA45"/>
  <c r="AA44"/>
  <c r="AA43"/>
  <c r="AA42"/>
  <c r="AA41"/>
  <c r="AA40"/>
  <c r="Z41"/>
  <c r="Z42"/>
  <c r="Z43"/>
  <c r="Z44"/>
  <c r="Z45"/>
  <c r="Z46"/>
  <c r="Z47"/>
  <c r="Z48"/>
  <c r="Z40"/>
  <c r="Q41"/>
  <c r="Q42"/>
  <c r="Q43"/>
  <c r="Q44"/>
  <c r="Q45"/>
  <c r="Q46"/>
  <c r="Q47"/>
  <c r="Q48"/>
  <c r="Q49"/>
  <c r="Q40"/>
  <c r="T41"/>
  <c r="T42"/>
  <c r="T43"/>
  <c r="T44"/>
  <c r="T45"/>
  <c r="T46"/>
  <c r="T47"/>
  <c r="T48"/>
  <c r="T49"/>
  <c r="T40"/>
  <c r="S2"/>
  <c r="AC34"/>
  <c r="AB34"/>
  <c r="AA34"/>
  <c r="Z34"/>
  <c r="Y34"/>
  <c r="X34"/>
  <c r="AD32"/>
  <c r="AC33"/>
  <c r="AB33"/>
  <c r="AA33"/>
  <c r="Z33"/>
  <c r="Y33"/>
  <c r="X33"/>
  <c r="V33"/>
  <c r="AD31"/>
  <c r="AC32"/>
  <c r="AB32"/>
  <c r="AA32"/>
  <c r="Z32"/>
  <c r="Y32"/>
  <c r="X32"/>
  <c r="AD30"/>
  <c r="AC31"/>
  <c r="AB31"/>
  <c r="AA31"/>
  <c r="Z31"/>
  <c r="Y31"/>
  <c r="X31"/>
  <c r="AD29"/>
  <c r="AC30"/>
  <c r="AB30"/>
  <c r="AA30"/>
  <c r="Z30"/>
  <c r="Y30"/>
  <c r="X30"/>
  <c r="AD28"/>
  <c r="AC29"/>
  <c r="AB29"/>
  <c r="AA29"/>
  <c r="Z29"/>
  <c r="Y29"/>
  <c r="X29"/>
  <c r="AD27"/>
  <c r="AC28"/>
  <c r="AB28"/>
  <c r="AA28"/>
  <c r="Z28"/>
  <c r="Y28"/>
  <c r="X28"/>
  <c r="AD26"/>
  <c r="AC27"/>
  <c r="AB27"/>
  <c r="AA27"/>
  <c r="Z27"/>
  <c r="Y27"/>
  <c r="X27"/>
  <c r="V22"/>
  <c r="V34" s="1"/>
  <c r="V21"/>
  <c r="V20"/>
  <c r="V32" s="1"/>
  <c r="V19"/>
  <c r="V31" s="1"/>
  <c r="V18"/>
  <c r="V30" s="1"/>
  <c r="V17"/>
  <c r="V16"/>
  <c r="V28" s="1"/>
  <c r="V15"/>
  <c r="V27" s="1"/>
  <c r="V14"/>
  <c r="V26" s="1"/>
  <c r="P5"/>
  <c r="M13"/>
  <c r="L14"/>
  <c r="L15" s="1"/>
  <c r="L16" s="1"/>
  <c r="L17" s="1"/>
  <c r="L18" s="1"/>
  <c r="L19" s="1"/>
  <c r="L20" s="1"/>
  <c r="L21" s="1"/>
  <c r="M21" s="1"/>
  <c r="E23"/>
  <c r="F23"/>
  <c r="I22"/>
  <c r="I21"/>
  <c r="I20"/>
  <c r="I19"/>
  <c r="I18"/>
  <c r="I17"/>
  <c r="I16"/>
  <c r="I15"/>
  <c r="I14"/>
  <c r="I13"/>
  <c r="G22"/>
  <c r="G21"/>
  <c r="G20"/>
  <c r="G19"/>
  <c r="G18"/>
  <c r="G17"/>
  <c r="G16"/>
  <c r="G15"/>
  <c r="G14"/>
  <c r="G13"/>
  <c r="G7" s="1"/>
  <c r="AP35" i="4" l="1"/>
  <c r="AP34" s="1"/>
  <c r="AP33" s="1"/>
  <c r="AP32" s="1"/>
  <c r="AP31" s="1"/>
  <c r="AP30" s="1"/>
  <c r="AP29" s="1"/>
  <c r="AP28" s="1"/>
  <c r="AP27" s="1"/>
  <c r="AP26" s="1"/>
  <c r="AP25" s="1"/>
  <c r="AP24" s="1"/>
  <c r="AP23" s="1"/>
  <c r="AP22" s="1"/>
  <c r="AP21" s="1"/>
  <c r="AP20" s="1"/>
  <c r="AP19" s="1"/>
  <c r="AP18" s="1"/>
  <c r="AP17" s="1"/>
  <c r="AP16" s="1"/>
  <c r="AP15" s="1"/>
  <c r="AP14" s="1"/>
  <c r="AP13" s="1"/>
  <c r="AP12" s="1"/>
  <c r="AP11" s="1"/>
  <c r="AP10" s="1"/>
  <c r="AP9" s="1"/>
  <c r="AP8" s="1"/>
  <c r="AP37"/>
  <c r="D8" i="2"/>
  <c r="D12"/>
  <c r="AP36" i="4"/>
  <c r="C25" i="2"/>
  <c r="C29"/>
  <c r="AO10" i="4"/>
  <c r="D4" i="2" s="1"/>
  <c r="AO16" i="4"/>
  <c r="D10" i="2" s="1"/>
  <c r="AE21" i="4"/>
  <c r="AG21" s="1"/>
  <c r="AE20"/>
  <c r="AG20" s="1"/>
  <c r="AE22"/>
  <c r="AG22" s="1"/>
  <c r="T16"/>
  <c r="T17" s="1"/>
  <c r="T18" s="1"/>
  <c r="T19" s="1"/>
  <c r="T20" s="1"/>
  <c r="T21" s="1"/>
  <c r="T22" s="1"/>
  <c r="T23" s="1"/>
  <c r="T24" s="1"/>
  <c r="T25" s="1"/>
  <c r="T26" s="1"/>
  <c r="T27" s="1"/>
  <c r="T28" s="1"/>
  <c r="T29" s="1"/>
  <c r="T30" s="1"/>
  <c r="T31" s="1"/>
  <c r="P6" i="1"/>
  <c r="J13"/>
  <c r="J17"/>
  <c r="J21"/>
  <c r="V29"/>
  <c r="G8"/>
  <c r="H8" s="1"/>
  <c r="J14"/>
  <c r="J18"/>
  <c r="J22"/>
  <c r="J16"/>
  <c r="J20"/>
  <c r="J15"/>
  <c r="J19"/>
  <c r="G23"/>
  <c r="L22"/>
  <c r="L23" s="1"/>
  <c r="L24" s="1"/>
  <c r="L25" s="1"/>
  <c r="L26" s="1"/>
  <c r="L27" s="1"/>
  <c r="L28" s="1"/>
  <c r="L29" s="1"/>
  <c r="L30" s="1"/>
  <c r="L31" s="1"/>
  <c r="S4"/>
  <c r="M19"/>
  <c r="M15"/>
  <c r="M20"/>
  <c r="P7"/>
  <c r="M17"/>
  <c r="M16"/>
  <c r="M18"/>
  <c r="M14"/>
  <c r="P25" l="1"/>
  <c r="M22"/>
  <c r="P15"/>
  <c r="P16"/>
  <c r="P21"/>
  <c r="P18"/>
  <c r="S6"/>
  <c r="S5"/>
  <c r="P23"/>
  <c r="P24"/>
  <c r="P26"/>
  <c r="P29"/>
  <c r="P31"/>
  <c r="P27"/>
  <c r="P28"/>
  <c r="P30"/>
  <c r="P14"/>
  <c r="P17"/>
  <c r="Q17" s="1"/>
  <c r="P19"/>
  <c r="Q19" s="1"/>
  <c r="P20"/>
  <c r="Q20" s="1"/>
  <c r="P22"/>
  <c r="Q16"/>
  <c r="Q21"/>
  <c r="Q15"/>
  <c r="Q18"/>
  <c r="S7" l="1"/>
  <c r="S9" s="1"/>
  <c r="S3" s="1"/>
  <c r="S13" s="1"/>
  <c r="Q14"/>
  <c r="S14" l="1"/>
  <c r="W15" s="1"/>
  <c r="W27" s="1"/>
  <c r="S15"/>
  <c r="W16" s="1"/>
  <c r="W28" s="1"/>
  <c r="W14"/>
  <c r="S29"/>
  <c r="S28"/>
  <c r="S24"/>
  <c r="S20"/>
  <c r="W21" s="1"/>
  <c r="W33" s="1"/>
  <c r="S31"/>
  <c r="S19"/>
  <c r="W20" s="1"/>
  <c r="W32" s="1"/>
  <c r="S26"/>
  <c r="S17"/>
  <c r="W18" s="1"/>
  <c r="W30" s="1"/>
  <c r="S30"/>
  <c r="S25"/>
  <c r="S23"/>
  <c r="S22"/>
  <c r="S18"/>
  <c r="W19" s="1"/>
  <c r="W31" s="1"/>
  <c r="S16"/>
  <c r="W17" s="1"/>
  <c r="W29" s="1"/>
  <c r="S27"/>
  <c r="S21"/>
  <c r="W22" s="1"/>
  <c r="W34" s="1"/>
</calcChain>
</file>

<file path=xl/comments1.xml><?xml version="1.0" encoding="utf-8"?>
<comments xmlns="http://schemas.openxmlformats.org/spreadsheetml/2006/main">
  <authors>
    <author>User</author>
  </authors>
  <commentList>
    <comment ref="AE4" authorId="0">
      <text>
        <r>
          <rPr>
            <b/>
            <sz val="9"/>
            <color indexed="81"/>
            <rFont val="Tahoma"/>
            <family val="2"/>
          </rPr>
          <t>User:</t>
        </r>
        <r>
          <rPr>
            <sz val="9"/>
            <color indexed="81"/>
            <rFont val="Tahoma"/>
            <family val="2"/>
          </rPr>
          <t xml:space="preserve">
Je choisis cet ajustement pour matcher mes données plus précises et récentes : le 10000 doit représenter environ </t>
        </r>
      </text>
    </comment>
    <comment ref="AO10" authorId="0">
      <text>
        <r>
          <rPr>
            <b/>
            <sz val="9"/>
            <color indexed="81"/>
            <rFont val="Tahoma"/>
            <family val="2"/>
          </rPr>
          <t>User:</t>
        </r>
        <r>
          <rPr>
            <sz val="9"/>
            <color indexed="81"/>
            <rFont val="Tahoma"/>
            <family val="2"/>
          </rPr>
          <t xml:space="preserve">
J'espère que ces cases sont pas utilisées
</t>
        </r>
      </text>
    </comment>
  </commentList>
</comments>
</file>

<file path=xl/sharedStrings.xml><?xml version="1.0" encoding="utf-8"?>
<sst xmlns="http://schemas.openxmlformats.org/spreadsheetml/2006/main" count="251" uniqueCount="150">
  <si>
    <t>Salaire moyen décile</t>
  </si>
  <si>
    <t>Impot tot</t>
  </si>
  <si>
    <t>Impot moy décile</t>
  </si>
  <si>
    <t>source https://www.senat.fr/rap/l14-108-2-1-1/l14-108-2-1-11.pdf</t>
  </si>
  <si>
    <t>xm</t>
  </si>
  <si>
    <t>k</t>
  </si>
  <si>
    <t>Actual</t>
  </si>
  <si>
    <t>Correct 9</t>
  </si>
  <si>
    <t>2e</t>
  </si>
  <si>
    <t>3e</t>
  </si>
  <si>
    <t>4e</t>
  </si>
  <si>
    <t>5e</t>
  </si>
  <si>
    <t>6e</t>
  </si>
  <si>
    <t>7e</t>
  </si>
  <si>
    <t>8e</t>
  </si>
  <si>
    <t>9e</t>
  </si>
  <si>
    <t>1e</t>
  </si>
  <si>
    <t>1 Decile lim : 422.97100830078125</t>
  </si>
  <si>
    <t>[3082221.863654822, 49953474.651452236] 16.21</t>
  </si>
  <si>
    <t>2 Decile lim : 7838.9990234375</t>
  </si>
  <si>
    <t>[3080734.391913105, 13605184535.69965] 4416.21</t>
  </si>
  <si>
    <t>3 Decile lim : 12347.9990234375</t>
  </si>
  <si>
    <t>[3081644.39357215, 31346144349.0262] 10171.89</t>
  </si>
  <si>
    <t>4 Decile lim : 16061.91796875</t>
  </si>
  <si>
    <t>[3080910.7663352042, 44351981235.679474] 14395.74</t>
  </si>
  <si>
    <t>5 Decile lim : 19468.2734375</t>
  </si>
  <si>
    <t>[3081291.5778224748, 54579500711.28847] 17713.19</t>
  </si>
  <si>
    <t>6 Decile lim : 24430.927734375</t>
  </si>
  <si>
    <t>[3081224.0535741635, 66823690296.05069] 21687.38</t>
  </si>
  <si>
    <t>7 Decile lim : 29444.302734375</t>
  </si>
  <si>
    <t>[3081811.637839768, 82622512680.32202] 26809.72</t>
  </si>
  <si>
    <t>8 Decile lim : 36590.19140625</t>
  </si>
  <si>
    <t>[3081179.226064518, 101043202465.25116] 32793.68</t>
  </si>
  <si>
    <t>9 Decile lim : 49067.4140625</t>
  </si>
  <si>
    <t>[3081389.237032898, 129518090891.98468] 42032.37</t>
  </si>
  <si>
    <t>10 Decile lim : 1955226.25</t>
  </si>
  <si>
    <t>[3080936.909904219, 229124278473.08734] 74368.38</t>
  </si>
  <si>
    <t>Decile</t>
  </si>
  <si>
    <t>lim</t>
  </si>
  <si>
    <t>:</t>
  </si>
  <si>
    <t>[3082221.863654822,</t>
  </si>
  <si>
    <t>49953474.651452236]</t>
  </si>
  <si>
    <t>[3080734.391913105,</t>
  </si>
  <si>
    <t>13605184535.69965]</t>
  </si>
  <si>
    <t>[3081644.39357215,</t>
  </si>
  <si>
    <t>31346144349.0262]</t>
  </si>
  <si>
    <t>[3080910.7663352042,</t>
  </si>
  <si>
    <t>44351981235.679474]</t>
  </si>
  <si>
    <t>[3081291.5778224748,</t>
  </si>
  <si>
    <t>54579500711.28847]</t>
  </si>
  <si>
    <t>[3081224.0535741635,</t>
  </si>
  <si>
    <t>66823690296.05069]</t>
  </si>
  <si>
    <t>[3081811.637839768,</t>
  </si>
  <si>
    <t>82622512680.32202]</t>
  </si>
  <si>
    <t>[3081179.226064518,</t>
  </si>
  <si>
    <t>101043202465.25116]</t>
  </si>
  <si>
    <t>[3081389.237032898,</t>
  </si>
  <si>
    <t>129518090891.98468]</t>
  </si>
  <si>
    <t>[3080936.909904219,</t>
  </si>
  <si>
    <t>229124278473.08734]</t>
  </si>
  <si>
    <t>Limites</t>
  </si>
  <si>
    <t>Moyennes</t>
  </si>
  <si>
    <t>Real Life 2012</t>
  </si>
  <si>
    <t>ERFS 2014</t>
  </si>
  <si>
    <t>[2970694.240843214,</t>
  </si>
  <si>
    <t>1651145300.8156888]</t>
  </si>
  <si>
    <t>[2970638.315215108,</t>
  </si>
  <si>
    <t>19584305734.807346]</t>
  </si>
  <si>
    <t>[2970110.9678680236,</t>
  </si>
  <si>
    <t>33827560877.286526]</t>
  </si>
  <si>
    <t>[2970448.568972336,</t>
  </si>
  <si>
    <t>45219921382.52623]</t>
  </si>
  <si>
    <t>[2970466.722727416,</t>
  </si>
  <si>
    <t>54646022137.099335]</t>
  </si>
  <si>
    <t>[2970929.5373364147,</t>
  </si>
  <si>
    <t>66839911060.91559]</t>
  </si>
  <si>
    <t>[2970190.3684728593,</t>
  </si>
  <si>
    <t>81519702745.54263]</t>
  </si>
  <si>
    <t>[2970081.8361734934,</t>
  </si>
  <si>
    <t>99314500615.03357]</t>
  </si>
  <si>
    <t>[2970921.0090438277,</t>
  </si>
  <si>
    <t>126841982723.98792]</t>
  </si>
  <si>
    <t>[2969563.210980203,</t>
  </si>
  <si>
    <t>223619486535.0208]</t>
  </si>
  <si>
    <t>step 1</t>
  </si>
  <si>
    <t>Limite</t>
  </si>
  <si>
    <t>Moyenne</t>
  </si>
  <si>
    <t>DGFiP - Bureau des études statistiques en matière fiscale</t>
  </si>
  <si>
    <t>IRCOM revenus 2015</t>
  </si>
  <si>
    <t>NATIONAL</t>
  </si>
  <si>
    <t>Montants en milliers d'euros (exceptés ceux des RFR par tranche)</t>
  </si>
  <si>
    <t>Revenu fiscal de référence par tranche (en euros)</t>
  </si>
  <si>
    <t>Nombre de foyers fiscaux</t>
  </si>
  <si>
    <t>Revenu fiscal de référence des foyers fiscaux</t>
  </si>
  <si>
    <t>Impôt net (total)*</t>
  </si>
  <si>
    <t>Nombre de foyers fiscaux imposés</t>
  </si>
  <si>
    <t>Revenu fiscal de référence des foyers fiscaux imposés</t>
  </si>
  <si>
    <t>Traitements et salaires</t>
  </si>
  <si>
    <t>Retraites et pensions</t>
  </si>
  <si>
    <t>Nombre de foyers concernés</t>
  </si>
  <si>
    <t>Montant</t>
  </si>
  <si>
    <t>0 à 10 000</t>
  </si>
  <si>
    <t>10 001 à 12 000</t>
  </si>
  <si>
    <t>12 001 à 15 000</t>
  </si>
  <si>
    <t>15 001 à 20 000</t>
  </si>
  <si>
    <t>20 001 à 30 000</t>
  </si>
  <si>
    <t>30 001 à 50 000</t>
  </si>
  <si>
    <t>50 001 à 100 000</t>
  </si>
  <si>
    <t>Plus de 100 000 dont:</t>
  </si>
  <si>
    <t>100 001 à 200 000</t>
  </si>
  <si>
    <t>200 001 à 300 000</t>
  </si>
  <si>
    <t>300 001 à 400 000</t>
  </si>
  <si>
    <t>400 001 à 500 000</t>
  </si>
  <si>
    <t>500 001 à 600 000</t>
  </si>
  <si>
    <t>600 001 à 700 000</t>
  </si>
  <si>
    <t>700 001 à 800 000</t>
  </si>
  <si>
    <t>800 001 à 900 000</t>
  </si>
  <si>
    <t>900 001 à 1 000 000</t>
  </si>
  <si>
    <t>n.c.</t>
  </si>
  <si>
    <t>1 000 001 à 2 000 000</t>
  </si>
  <si>
    <t>2 000 001 à 3 000 000</t>
  </si>
  <si>
    <t>3 000 001 à 4 000 000</t>
  </si>
  <si>
    <t>4 000 001 à 5 000 000</t>
  </si>
  <si>
    <t>5 000 001 à 6 000 000</t>
  </si>
  <si>
    <t>6 000 001 à 7 000 000</t>
  </si>
  <si>
    <t>7 000 001 à 8 000 000</t>
  </si>
  <si>
    <t>8 000 001 à 9 000 000</t>
  </si>
  <si>
    <t>Plus de 9 000 000</t>
  </si>
  <si>
    <t>Total</t>
  </si>
  <si>
    <t>Dont non-résidents (DRESG)</t>
  </si>
  <si>
    <t>* Impôt sur le revenu émis par voie de rôle, hors prélèvement forfaitaire obligatoire sur les revenus de capitaux mobiliers et crédit d'impôt correspondant, hors prélèvements libératoires (sur revenus de capitaux mobiliers, sur revenus des auto-entrepreneurs) et hors impôt sur les plus-values immobilières.</t>
  </si>
  <si>
    <t>n.c.: cellule couverte par le secret statistique</t>
  </si>
  <si>
    <t>Mais bon retrouver le lien ? Pas si facile</t>
  </si>
  <si>
    <t>Lim inf</t>
  </si>
  <si>
    <t>Nb foyers &gt;=</t>
  </si>
  <si>
    <t>Moyenne RFR DANS LA ZONE</t>
  </si>
  <si>
    <t>Moyenne RFR above</t>
  </si>
  <si>
    <t>Nb foyers Zone</t>
  </si>
  <si>
    <t>Autre source</t>
  </si>
  <si>
    <t>"Ajustement"</t>
  </si>
  <si>
    <t>doit valoir</t>
  </si>
  <si>
    <t>The real deal</t>
  </si>
  <si>
    <t>Limite basse du revenu (Rk)</t>
  </si>
  <si>
    <t>Nk : nb foyers supérieurs à colonne de gauche</t>
  </si>
  <si>
    <t>dNk</t>
  </si>
  <si>
    <t>Average RFR (only used for the last one to match expected value ??????? )</t>
  </si>
  <si>
    <t>Rk</t>
  </si>
  <si>
    <t>Nk</t>
  </si>
  <si>
    <t>Ark</t>
  </si>
  <si>
    <t>dArk</t>
  </si>
</sst>
</file>

<file path=xl/styles.xml><?xml version="1.0" encoding="utf-8"?>
<styleSheet xmlns="http://schemas.openxmlformats.org/spreadsheetml/2006/main">
  <numFmts count="3">
    <numFmt numFmtId="164" formatCode="0.0000"/>
    <numFmt numFmtId="165" formatCode="0.000000000000000%"/>
    <numFmt numFmtId="166" formatCode="0.0%"/>
  </numFmts>
  <fonts count="6">
    <font>
      <sz val="11"/>
      <color theme="1"/>
      <name val="Calibri"/>
      <family val="2"/>
      <scheme val="minor"/>
    </font>
    <font>
      <sz val="10"/>
      <color theme="1"/>
      <name val="Arial"/>
      <family val="2"/>
    </font>
    <font>
      <b/>
      <sz val="10"/>
      <color theme="1"/>
      <name val="Arial"/>
      <family val="2"/>
    </font>
    <font>
      <i/>
      <sz val="10"/>
      <color theme="1"/>
      <name val="Arial"/>
      <family val="2"/>
    </font>
    <font>
      <sz val="9"/>
      <color indexed="81"/>
      <name val="Tahoma"/>
      <family val="2"/>
    </font>
    <font>
      <b/>
      <sz val="9"/>
      <color indexed="81"/>
      <name val="Tahoma"/>
      <family val="2"/>
    </font>
  </fonts>
  <fills count="5">
    <fill>
      <patternFill patternType="none"/>
    </fill>
    <fill>
      <patternFill patternType="gray125"/>
    </fill>
    <fill>
      <patternFill patternType="solid">
        <fgColor rgb="FF92D050"/>
        <bgColor indexed="64"/>
      </patternFill>
    </fill>
    <fill>
      <patternFill patternType="solid">
        <fgColor theme="5" tint="0.39997558519241921"/>
        <bgColor indexed="64"/>
      </patternFill>
    </fill>
    <fill>
      <patternFill patternType="solid">
        <fgColor rgb="FFFFFF00"/>
        <bgColor indexed="64"/>
      </patternFill>
    </fill>
  </fills>
  <borders count="22">
    <border>
      <left/>
      <right/>
      <top/>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double">
        <color indexed="64"/>
      </right>
      <top style="thin">
        <color indexed="64"/>
      </top>
      <bottom style="hair">
        <color indexed="64"/>
      </bottom>
      <diagonal/>
    </border>
    <border>
      <left style="double">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double">
        <color indexed="64"/>
      </right>
      <top style="hair">
        <color indexed="64"/>
      </top>
      <bottom style="hair">
        <color indexed="64"/>
      </bottom>
      <diagonal/>
    </border>
    <border>
      <left style="double">
        <color indexed="64"/>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style="double">
        <color indexed="64"/>
      </right>
      <top style="hair">
        <color indexed="64"/>
      </top>
      <bottom/>
      <diagonal/>
    </border>
    <border>
      <left style="double">
        <color indexed="64"/>
      </left>
      <right style="thin">
        <color indexed="64"/>
      </right>
      <top/>
      <bottom/>
      <diagonal/>
    </border>
    <border>
      <left style="thin">
        <color indexed="64"/>
      </left>
      <right style="thin">
        <color indexed="64"/>
      </right>
      <top/>
      <bottom/>
      <diagonal/>
    </border>
    <border>
      <left style="thin">
        <color indexed="64"/>
      </left>
      <right style="double">
        <color indexed="64"/>
      </right>
      <top/>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s>
  <cellStyleXfs count="1">
    <xf numFmtId="0" fontId="0" fillId="0" borderId="0"/>
  </cellStyleXfs>
  <cellXfs count="44">
    <xf numFmtId="0" fontId="0" fillId="0" borderId="0" xfId="0"/>
    <xf numFmtId="9" fontId="0" fillId="0" borderId="0" xfId="0" applyNumberFormat="1"/>
    <xf numFmtId="164" fontId="0" fillId="0" borderId="0" xfId="0" applyNumberFormat="1"/>
    <xf numFmtId="0" fontId="1" fillId="0" borderId="0" xfId="0" applyFont="1"/>
    <xf numFmtId="0" fontId="1" fillId="0" borderId="0" xfId="0" applyFont="1" applyAlignment="1">
      <alignment horizontal="right"/>
    </xf>
    <xf numFmtId="0" fontId="2" fillId="0" borderId="0" xfId="0" applyFont="1"/>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xf>
    <xf numFmtId="3" fontId="1" fillId="0" borderId="8" xfId="0" applyNumberFormat="1" applyFont="1" applyBorder="1" applyAlignment="1">
      <alignment horizontal="right"/>
    </xf>
    <xf numFmtId="3" fontId="1" fillId="0" borderId="9" xfId="0" applyNumberFormat="1" applyFont="1" applyBorder="1" applyAlignment="1">
      <alignment horizontal="right"/>
    </xf>
    <xf numFmtId="0" fontId="1" fillId="0" borderId="10" xfId="0" applyFont="1" applyBorder="1" applyAlignment="1">
      <alignment horizontal="center"/>
    </xf>
    <xf numFmtId="3" fontId="1" fillId="0" borderId="11" xfId="0" applyNumberFormat="1" applyFont="1" applyBorder="1" applyAlignment="1">
      <alignment horizontal="right"/>
    </xf>
    <xf numFmtId="3" fontId="1" fillId="0" borderId="12" xfId="0" applyNumberFormat="1" applyFont="1" applyBorder="1" applyAlignment="1">
      <alignment horizontal="right"/>
    </xf>
    <xf numFmtId="0" fontId="1" fillId="0" borderId="13" xfId="0" applyFont="1" applyBorder="1" applyAlignment="1">
      <alignment horizontal="center"/>
    </xf>
    <xf numFmtId="3" fontId="1" fillId="0" borderId="14" xfId="0" applyNumberFormat="1" applyFont="1" applyBorder="1" applyAlignment="1">
      <alignment horizontal="right"/>
    </xf>
    <xf numFmtId="3" fontId="1" fillId="0" borderId="15" xfId="0" applyNumberFormat="1" applyFont="1" applyBorder="1" applyAlignment="1">
      <alignment horizontal="right"/>
    </xf>
    <xf numFmtId="0" fontId="3" fillId="0" borderId="13" xfId="0" applyFont="1" applyBorder="1" applyAlignment="1">
      <alignment horizontal="right"/>
    </xf>
    <xf numFmtId="3" fontId="3" fillId="0" borderId="14" xfId="0" applyNumberFormat="1" applyFont="1" applyBorder="1" applyAlignment="1">
      <alignment horizontal="right"/>
    </xf>
    <xf numFmtId="3" fontId="3" fillId="0" borderId="15" xfId="0" applyNumberFormat="1" applyFont="1" applyBorder="1" applyAlignment="1">
      <alignment horizontal="right"/>
    </xf>
    <xf numFmtId="0" fontId="3" fillId="0" borderId="16" xfId="0" applyFont="1" applyBorder="1" applyAlignment="1">
      <alignment horizontal="right"/>
    </xf>
    <xf numFmtId="3" fontId="3" fillId="0" borderId="17" xfId="0" applyNumberFormat="1" applyFont="1" applyBorder="1" applyAlignment="1">
      <alignment horizontal="right"/>
    </xf>
    <xf numFmtId="3" fontId="3" fillId="0" borderId="18" xfId="0" applyNumberFormat="1" applyFont="1" applyBorder="1" applyAlignment="1">
      <alignment horizontal="right"/>
    </xf>
    <xf numFmtId="0" fontId="2" fillId="0" borderId="13" xfId="0" applyFont="1" applyBorder="1" applyAlignment="1">
      <alignment horizontal="center"/>
    </xf>
    <xf numFmtId="3" fontId="2" fillId="0" borderId="14" xfId="0" applyNumberFormat="1" applyFont="1" applyBorder="1" applyAlignment="1">
      <alignment horizontal="right"/>
    </xf>
    <xf numFmtId="3" fontId="2" fillId="0" borderId="15" xfId="0" applyNumberFormat="1" applyFont="1" applyBorder="1" applyAlignment="1">
      <alignment horizontal="right"/>
    </xf>
    <xf numFmtId="0" fontId="2" fillId="0" borderId="19" xfId="0" applyFont="1" applyBorder="1" applyAlignment="1">
      <alignment horizontal="center"/>
    </xf>
    <xf numFmtId="3" fontId="2" fillId="0" borderId="20" xfId="0" applyNumberFormat="1" applyFont="1" applyBorder="1" applyAlignment="1">
      <alignment horizontal="right"/>
    </xf>
    <xf numFmtId="3" fontId="2" fillId="0" borderId="21" xfId="0" applyNumberFormat="1" applyFont="1" applyBorder="1" applyAlignment="1">
      <alignment horizontal="right"/>
    </xf>
    <xf numFmtId="0" fontId="1" fillId="0" borderId="0" xfId="0" applyFont="1" applyAlignment="1">
      <alignment vertical="center" wrapText="1"/>
    </xf>
    <xf numFmtId="0" fontId="0" fillId="0" borderId="0" xfId="0" applyAlignment="1">
      <alignment vertical="center" wrapText="1"/>
    </xf>
    <xf numFmtId="9" fontId="1" fillId="0" borderId="0" xfId="0" applyNumberFormat="1" applyFont="1"/>
    <xf numFmtId="165" fontId="1" fillId="0" borderId="0" xfId="0" applyNumberFormat="1" applyFont="1"/>
    <xf numFmtId="166" fontId="1" fillId="0" borderId="0" xfId="0" applyNumberFormat="1" applyFont="1"/>
    <xf numFmtId="0" fontId="1" fillId="2" borderId="0" xfId="0" applyFont="1" applyFill="1"/>
    <xf numFmtId="0" fontId="1" fillId="0" borderId="0" xfId="0" applyNumberFormat="1" applyFont="1"/>
    <xf numFmtId="0" fontId="1" fillId="3" borderId="0" xfId="0" applyNumberFormat="1" applyFont="1" applyFill="1"/>
    <xf numFmtId="0" fontId="1" fillId="3" borderId="0" xfId="0" applyFont="1" applyFill="1"/>
    <xf numFmtId="0" fontId="1" fillId="4"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c:lang val="fr-FR"/>
  <c:chart>
    <c:plotArea>
      <c:layout/>
      <c:barChart>
        <c:barDir val="bar"/>
        <c:grouping val="clustered"/>
        <c:ser>
          <c:idx val="0"/>
          <c:order val="0"/>
          <c:tx>
            <c:strRef>
              <c:f>Feuil1!$V$25</c:f>
              <c:strCache>
                <c:ptCount val="1"/>
                <c:pt idx="0">
                  <c:v>Actual</c:v>
                </c:pt>
              </c:strCache>
            </c:strRef>
          </c:tx>
          <c:cat>
            <c:strRef>
              <c:f>Feuil1!$U$26:$U$34</c:f>
              <c:strCache>
                <c:ptCount val="9"/>
                <c:pt idx="0">
                  <c:v>1e</c:v>
                </c:pt>
                <c:pt idx="1">
                  <c:v>2e</c:v>
                </c:pt>
                <c:pt idx="2">
                  <c:v>3e</c:v>
                </c:pt>
                <c:pt idx="3">
                  <c:v>4e</c:v>
                </c:pt>
                <c:pt idx="4">
                  <c:v>5e</c:v>
                </c:pt>
                <c:pt idx="5">
                  <c:v>6e</c:v>
                </c:pt>
                <c:pt idx="6">
                  <c:v>7e</c:v>
                </c:pt>
                <c:pt idx="7">
                  <c:v>8e</c:v>
                </c:pt>
                <c:pt idx="8">
                  <c:v>9e</c:v>
                </c:pt>
              </c:strCache>
            </c:strRef>
          </c:cat>
          <c:val>
            <c:numRef>
              <c:f>Feuil1!$V$26:$V$34</c:f>
              <c:numCache>
                <c:formatCode>General</c:formatCode>
                <c:ptCount val="9"/>
                <c:pt idx="0">
                  <c:v>3303</c:v>
                </c:pt>
                <c:pt idx="1">
                  <c:v>8153</c:v>
                </c:pt>
                <c:pt idx="2">
                  <c:v>11446</c:v>
                </c:pt>
                <c:pt idx="3">
                  <c:v>14303</c:v>
                </c:pt>
                <c:pt idx="4">
                  <c:v>17092</c:v>
                </c:pt>
                <c:pt idx="5">
                  <c:v>20732</c:v>
                </c:pt>
                <c:pt idx="6">
                  <c:v>26288</c:v>
                </c:pt>
                <c:pt idx="7">
                  <c:v>33632</c:v>
                </c:pt>
                <c:pt idx="8">
                  <c:v>47030</c:v>
                </c:pt>
              </c:numCache>
            </c:numRef>
          </c:val>
        </c:ser>
        <c:ser>
          <c:idx val="1"/>
          <c:order val="1"/>
          <c:tx>
            <c:strRef>
              <c:f>Feuil1!$W$25</c:f>
              <c:strCache>
                <c:ptCount val="1"/>
                <c:pt idx="0">
                  <c:v>2</c:v>
                </c:pt>
              </c:strCache>
            </c:strRef>
          </c:tx>
          <c:cat>
            <c:strRef>
              <c:f>Feuil1!$U$26:$U$34</c:f>
              <c:strCache>
                <c:ptCount val="9"/>
                <c:pt idx="0">
                  <c:v>1e</c:v>
                </c:pt>
                <c:pt idx="1">
                  <c:v>2e</c:v>
                </c:pt>
                <c:pt idx="2">
                  <c:v>3e</c:v>
                </c:pt>
                <c:pt idx="3">
                  <c:v>4e</c:v>
                </c:pt>
                <c:pt idx="4">
                  <c:v>5e</c:v>
                </c:pt>
                <c:pt idx="5">
                  <c:v>6e</c:v>
                </c:pt>
                <c:pt idx="6">
                  <c:v>7e</c:v>
                </c:pt>
                <c:pt idx="7">
                  <c:v>8e</c:v>
                </c:pt>
                <c:pt idx="8">
                  <c:v>9e</c:v>
                </c:pt>
              </c:strCache>
            </c:strRef>
          </c:cat>
          <c:val>
            <c:numRef>
              <c:f>Feuil1!$W$26:$W$34</c:f>
              <c:numCache>
                <c:formatCode>General</c:formatCode>
                <c:ptCount val="9"/>
                <c:pt idx="1">
                  <c:v>8153</c:v>
                </c:pt>
                <c:pt idx="2">
                  <c:v>9124.073430072136</c:v>
                </c:pt>
                <c:pt idx="3">
                  <c:v>10389.785493114128</c:v>
                </c:pt>
                <c:pt idx="4">
                  <c:v>12115.314345072138</c:v>
                </c:pt>
                <c:pt idx="5">
                  <c:v>14621.882438155413</c:v>
                </c:pt>
                <c:pt idx="6">
                  <c:v>18633.413717400628</c:v>
                </c:pt>
                <c:pt idx="7">
                  <c:v>26223.40807497087</c:v>
                </c:pt>
                <c:pt idx="8">
                  <c:v>47029.999999999956</c:v>
                </c:pt>
              </c:numCache>
            </c:numRef>
          </c:val>
        </c:ser>
        <c:ser>
          <c:idx val="2"/>
          <c:order val="2"/>
          <c:tx>
            <c:strRef>
              <c:f>Feuil1!$X$25</c:f>
              <c:strCache>
                <c:ptCount val="1"/>
                <c:pt idx="0">
                  <c:v>3</c:v>
                </c:pt>
              </c:strCache>
            </c:strRef>
          </c:tx>
          <c:cat>
            <c:strRef>
              <c:f>Feuil1!$U$26:$U$34</c:f>
              <c:strCache>
                <c:ptCount val="9"/>
                <c:pt idx="0">
                  <c:v>1e</c:v>
                </c:pt>
                <c:pt idx="1">
                  <c:v>2e</c:v>
                </c:pt>
                <c:pt idx="2">
                  <c:v>3e</c:v>
                </c:pt>
                <c:pt idx="3">
                  <c:v>4e</c:v>
                </c:pt>
                <c:pt idx="4">
                  <c:v>5e</c:v>
                </c:pt>
                <c:pt idx="5">
                  <c:v>6e</c:v>
                </c:pt>
                <c:pt idx="6">
                  <c:v>7e</c:v>
                </c:pt>
                <c:pt idx="7">
                  <c:v>8e</c:v>
                </c:pt>
                <c:pt idx="8">
                  <c:v>9e</c:v>
                </c:pt>
              </c:strCache>
            </c:strRef>
          </c:cat>
          <c:val>
            <c:numRef>
              <c:f>Feuil1!$X$26:$X$34</c:f>
              <c:numCache>
                <c:formatCode>General</c:formatCode>
                <c:ptCount val="9"/>
                <c:pt idx="1">
                  <c:v>0</c:v>
                </c:pt>
                <c:pt idx="2">
                  <c:v>11446</c:v>
                </c:pt>
                <c:pt idx="3">
                  <c:v>12801.809927688842</c:v>
                </c:pt>
                <c:pt idx="4">
                  <c:v>14614.159068220788</c:v>
                </c:pt>
                <c:pt idx="5">
                  <c:v>17185.063753148454</c:v>
                </c:pt>
                <c:pt idx="6">
                  <c:v>21177.919363775884</c:v>
                </c:pt>
                <c:pt idx="7">
                  <c:v>28429.096860621012</c:v>
                </c:pt>
                <c:pt idx="8">
                  <c:v>47029.999999999978</c:v>
                </c:pt>
              </c:numCache>
            </c:numRef>
          </c:val>
        </c:ser>
        <c:ser>
          <c:idx val="3"/>
          <c:order val="3"/>
          <c:tx>
            <c:strRef>
              <c:f>Feuil1!$Y$25</c:f>
              <c:strCache>
                <c:ptCount val="1"/>
                <c:pt idx="0">
                  <c:v>4</c:v>
                </c:pt>
              </c:strCache>
            </c:strRef>
          </c:tx>
          <c:cat>
            <c:strRef>
              <c:f>Feuil1!$U$26:$U$34</c:f>
              <c:strCache>
                <c:ptCount val="9"/>
                <c:pt idx="0">
                  <c:v>1e</c:v>
                </c:pt>
                <c:pt idx="1">
                  <c:v>2e</c:v>
                </c:pt>
                <c:pt idx="2">
                  <c:v>3e</c:v>
                </c:pt>
                <c:pt idx="3">
                  <c:v>4e</c:v>
                </c:pt>
                <c:pt idx="4">
                  <c:v>5e</c:v>
                </c:pt>
                <c:pt idx="5">
                  <c:v>6e</c:v>
                </c:pt>
                <c:pt idx="6">
                  <c:v>7e</c:v>
                </c:pt>
                <c:pt idx="7">
                  <c:v>8e</c:v>
                </c:pt>
                <c:pt idx="8">
                  <c:v>9e</c:v>
                </c:pt>
              </c:strCache>
            </c:strRef>
          </c:cat>
          <c:val>
            <c:numRef>
              <c:f>Feuil1!$Y$26:$Y$34</c:f>
              <c:numCache>
                <c:formatCode>General</c:formatCode>
                <c:ptCount val="9"/>
                <c:pt idx="1">
                  <c:v>0</c:v>
                </c:pt>
                <c:pt idx="2">
                  <c:v>0</c:v>
                </c:pt>
                <c:pt idx="3">
                  <c:v>14303</c:v>
                </c:pt>
                <c:pt idx="4">
                  <c:v>16144.681264324128</c:v>
                </c:pt>
                <c:pt idx="5">
                  <c:v>18724.469944724071</c:v>
                </c:pt>
                <c:pt idx="6">
                  <c:v>22667.825555030704</c:v>
                </c:pt>
                <c:pt idx="7">
                  <c:v>29675.104405888324</c:v>
                </c:pt>
                <c:pt idx="8">
                  <c:v>47029.999999999956</c:v>
                </c:pt>
              </c:numCache>
            </c:numRef>
          </c:val>
        </c:ser>
        <c:ser>
          <c:idx val="4"/>
          <c:order val="4"/>
          <c:tx>
            <c:strRef>
              <c:f>Feuil1!$Z$25</c:f>
              <c:strCache>
                <c:ptCount val="1"/>
                <c:pt idx="0">
                  <c:v>5</c:v>
                </c:pt>
              </c:strCache>
            </c:strRef>
          </c:tx>
          <c:cat>
            <c:strRef>
              <c:f>Feuil1!$U$26:$U$34</c:f>
              <c:strCache>
                <c:ptCount val="9"/>
                <c:pt idx="0">
                  <c:v>1e</c:v>
                </c:pt>
                <c:pt idx="1">
                  <c:v>2e</c:v>
                </c:pt>
                <c:pt idx="2">
                  <c:v>3e</c:v>
                </c:pt>
                <c:pt idx="3">
                  <c:v>4e</c:v>
                </c:pt>
                <c:pt idx="4">
                  <c:v>5e</c:v>
                </c:pt>
                <c:pt idx="5">
                  <c:v>6e</c:v>
                </c:pt>
                <c:pt idx="6">
                  <c:v>7e</c:v>
                </c:pt>
                <c:pt idx="7">
                  <c:v>8e</c:v>
                </c:pt>
                <c:pt idx="8">
                  <c:v>9e</c:v>
                </c:pt>
              </c:strCache>
            </c:strRef>
          </c:cat>
          <c:val>
            <c:numRef>
              <c:f>Feuil1!$Z$26:$Z$34</c:f>
              <c:numCache>
                <c:formatCode>General</c:formatCode>
                <c:ptCount val="9"/>
                <c:pt idx="1">
                  <c:v>0</c:v>
                </c:pt>
                <c:pt idx="2">
                  <c:v>0</c:v>
                </c:pt>
                <c:pt idx="3">
                  <c:v>0</c:v>
                </c:pt>
                <c:pt idx="4">
                  <c:v>17092</c:v>
                </c:pt>
                <c:pt idx="5">
                  <c:v>19667.065843315009</c:v>
                </c:pt>
                <c:pt idx="6">
                  <c:v>23567.500121171248</c:v>
                </c:pt>
                <c:pt idx="7">
                  <c:v>30412.860875147926</c:v>
                </c:pt>
                <c:pt idx="8">
                  <c:v>47029.999999999905</c:v>
                </c:pt>
              </c:numCache>
            </c:numRef>
          </c:val>
        </c:ser>
        <c:ser>
          <c:idx val="5"/>
          <c:order val="5"/>
          <c:tx>
            <c:strRef>
              <c:f>Feuil1!$AA$25</c:f>
              <c:strCache>
                <c:ptCount val="1"/>
                <c:pt idx="0">
                  <c:v>6</c:v>
                </c:pt>
              </c:strCache>
            </c:strRef>
          </c:tx>
          <c:cat>
            <c:strRef>
              <c:f>Feuil1!$U$26:$U$34</c:f>
              <c:strCache>
                <c:ptCount val="9"/>
                <c:pt idx="0">
                  <c:v>1e</c:v>
                </c:pt>
                <c:pt idx="1">
                  <c:v>2e</c:v>
                </c:pt>
                <c:pt idx="2">
                  <c:v>3e</c:v>
                </c:pt>
                <c:pt idx="3">
                  <c:v>4e</c:v>
                </c:pt>
                <c:pt idx="4">
                  <c:v>5e</c:v>
                </c:pt>
                <c:pt idx="5">
                  <c:v>6e</c:v>
                </c:pt>
                <c:pt idx="6">
                  <c:v>7e</c:v>
                </c:pt>
                <c:pt idx="7">
                  <c:v>8e</c:v>
                </c:pt>
                <c:pt idx="8">
                  <c:v>9e</c:v>
                </c:pt>
              </c:strCache>
            </c:strRef>
          </c:cat>
          <c:val>
            <c:numRef>
              <c:f>Feuil1!$AA$26:$AA$34</c:f>
              <c:numCache>
                <c:formatCode>General</c:formatCode>
                <c:ptCount val="9"/>
                <c:pt idx="1">
                  <c:v>0</c:v>
                </c:pt>
                <c:pt idx="2">
                  <c:v>0</c:v>
                </c:pt>
                <c:pt idx="3">
                  <c:v>0</c:v>
                </c:pt>
                <c:pt idx="4">
                  <c:v>0</c:v>
                </c:pt>
                <c:pt idx="5">
                  <c:v>20732</c:v>
                </c:pt>
                <c:pt idx="6">
                  <c:v>24573.251700941812</c:v>
                </c:pt>
                <c:pt idx="7">
                  <c:v>31225.405681912278</c:v>
                </c:pt>
                <c:pt idx="8">
                  <c:v>47029.999999999978</c:v>
                </c:pt>
              </c:numCache>
            </c:numRef>
          </c:val>
        </c:ser>
        <c:ser>
          <c:idx val="6"/>
          <c:order val="6"/>
          <c:tx>
            <c:strRef>
              <c:f>Feuil1!$AB$25</c:f>
              <c:strCache>
                <c:ptCount val="1"/>
                <c:pt idx="0">
                  <c:v>7</c:v>
                </c:pt>
              </c:strCache>
            </c:strRef>
          </c:tx>
          <c:cat>
            <c:strRef>
              <c:f>Feuil1!$U$26:$U$34</c:f>
              <c:strCache>
                <c:ptCount val="9"/>
                <c:pt idx="0">
                  <c:v>1e</c:v>
                </c:pt>
                <c:pt idx="1">
                  <c:v>2e</c:v>
                </c:pt>
                <c:pt idx="2">
                  <c:v>3e</c:v>
                </c:pt>
                <c:pt idx="3">
                  <c:v>4e</c:v>
                </c:pt>
                <c:pt idx="4">
                  <c:v>5e</c:v>
                </c:pt>
                <c:pt idx="5">
                  <c:v>6e</c:v>
                </c:pt>
                <c:pt idx="6">
                  <c:v>7e</c:v>
                </c:pt>
                <c:pt idx="7">
                  <c:v>8e</c:v>
                </c:pt>
                <c:pt idx="8">
                  <c:v>9e</c:v>
                </c:pt>
              </c:strCache>
            </c:strRef>
          </c:cat>
          <c:val>
            <c:numRef>
              <c:f>Feuil1!$AB$26:$AB$34</c:f>
              <c:numCache>
                <c:formatCode>General</c:formatCode>
                <c:ptCount val="9"/>
                <c:pt idx="1">
                  <c:v>0</c:v>
                </c:pt>
                <c:pt idx="2">
                  <c:v>0</c:v>
                </c:pt>
                <c:pt idx="3">
                  <c:v>0</c:v>
                </c:pt>
                <c:pt idx="4">
                  <c:v>0</c:v>
                </c:pt>
                <c:pt idx="5">
                  <c:v>0</c:v>
                </c:pt>
                <c:pt idx="6">
                  <c:v>26288</c:v>
                </c:pt>
                <c:pt idx="7">
                  <c:v>32583.004186247381</c:v>
                </c:pt>
                <c:pt idx="8">
                  <c:v>47029.999999999935</c:v>
                </c:pt>
              </c:numCache>
            </c:numRef>
          </c:val>
        </c:ser>
        <c:ser>
          <c:idx val="7"/>
          <c:order val="7"/>
          <c:tx>
            <c:strRef>
              <c:f>Feuil1!$AC$25</c:f>
              <c:strCache>
                <c:ptCount val="1"/>
                <c:pt idx="0">
                  <c:v>8</c:v>
                </c:pt>
              </c:strCache>
            </c:strRef>
          </c:tx>
          <c:cat>
            <c:strRef>
              <c:f>Feuil1!$U$26:$U$34</c:f>
              <c:strCache>
                <c:ptCount val="9"/>
                <c:pt idx="0">
                  <c:v>1e</c:v>
                </c:pt>
                <c:pt idx="1">
                  <c:v>2e</c:v>
                </c:pt>
                <c:pt idx="2">
                  <c:v>3e</c:v>
                </c:pt>
                <c:pt idx="3">
                  <c:v>4e</c:v>
                </c:pt>
                <c:pt idx="4">
                  <c:v>5e</c:v>
                </c:pt>
                <c:pt idx="5">
                  <c:v>6e</c:v>
                </c:pt>
                <c:pt idx="6">
                  <c:v>7e</c:v>
                </c:pt>
                <c:pt idx="7">
                  <c:v>8e</c:v>
                </c:pt>
                <c:pt idx="8">
                  <c:v>9e</c:v>
                </c:pt>
              </c:strCache>
            </c:strRef>
          </c:cat>
          <c:val>
            <c:numRef>
              <c:f>Feuil1!$AC$26:$AC$34</c:f>
              <c:numCache>
                <c:formatCode>General</c:formatCode>
                <c:ptCount val="9"/>
                <c:pt idx="1">
                  <c:v>0</c:v>
                </c:pt>
                <c:pt idx="2">
                  <c:v>0</c:v>
                </c:pt>
                <c:pt idx="3">
                  <c:v>0</c:v>
                </c:pt>
                <c:pt idx="4">
                  <c:v>0</c:v>
                </c:pt>
                <c:pt idx="5">
                  <c:v>0</c:v>
                </c:pt>
                <c:pt idx="6">
                  <c:v>0</c:v>
                </c:pt>
                <c:pt idx="7">
                  <c:v>33632</c:v>
                </c:pt>
                <c:pt idx="8">
                  <c:v>47029.999999999956</c:v>
                </c:pt>
              </c:numCache>
            </c:numRef>
          </c:val>
        </c:ser>
        <c:axId val="60884864"/>
        <c:axId val="60886400"/>
      </c:barChart>
      <c:catAx>
        <c:axId val="60884864"/>
        <c:scaling>
          <c:orientation val="minMax"/>
        </c:scaling>
        <c:axPos val="l"/>
        <c:tickLblPos val="nextTo"/>
        <c:crossAx val="60886400"/>
        <c:crosses val="autoZero"/>
        <c:auto val="1"/>
        <c:lblAlgn val="ctr"/>
        <c:lblOffset val="100"/>
      </c:catAx>
      <c:valAx>
        <c:axId val="60886400"/>
        <c:scaling>
          <c:orientation val="minMax"/>
        </c:scaling>
        <c:axPos val="b"/>
        <c:majorGridlines/>
        <c:numFmt formatCode="General" sourceLinked="1"/>
        <c:tickLblPos val="nextTo"/>
        <c:crossAx val="60884864"/>
        <c:crosses val="autoZero"/>
        <c:crossBetween val="between"/>
      </c:valAx>
    </c:plotArea>
    <c:legend>
      <c:legendPos val="r"/>
      <c:layout/>
    </c:legend>
    <c:plotVisOnly val="1"/>
  </c:chart>
  <c:printSettings>
    <c:headerFooter/>
    <c:pageMargins b="0.75000000000000011" l="0.70000000000000007" r="0.70000000000000007" t="0.75000000000000011" header="0.30000000000000004" footer="0.30000000000000004"/>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fr-FR"/>
  <c:chart>
    <c:plotArea>
      <c:layout/>
      <c:barChart>
        <c:barDir val="bar"/>
        <c:grouping val="clustered"/>
        <c:ser>
          <c:idx val="0"/>
          <c:order val="0"/>
          <c:tx>
            <c:strRef>
              <c:f>Feuil1!$Q$38:$Q$39</c:f>
              <c:strCache>
                <c:ptCount val="1"/>
                <c:pt idx="0">
                  <c:v>Limites Real Life 2012</c:v>
                </c:pt>
              </c:strCache>
            </c:strRef>
          </c:tx>
          <c:val>
            <c:numRef>
              <c:f>Feuil1!$Q$40:$Q$48</c:f>
              <c:numCache>
                <c:formatCode>General</c:formatCode>
                <c:ptCount val="9"/>
                <c:pt idx="0">
                  <c:v>3303</c:v>
                </c:pt>
                <c:pt idx="1">
                  <c:v>8153</c:v>
                </c:pt>
                <c:pt idx="2">
                  <c:v>11446</c:v>
                </c:pt>
                <c:pt idx="3">
                  <c:v>14303</c:v>
                </c:pt>
                <c:pt idx="4">
                  <c:v>17092</c:v>
                </c:pt>
                <c:pt idx="5">
                  <c:v>20732</c:v>
                </c:pt>
                <c:pt idx="6">
                  <c:v>26288</c:v>
                </c:pt>
                <c:pt idx="7">
                  <c:v>33632</c:v>
                </c:pt>
                <c:pt idx="8">
                  <c:v>47030</c:v>
                </c:pt>
              </c:numCache>
            </c:numRef>
          </c:val>
        </c:ser>
        <c:ser>
          <c:idx val="1"/>
          <c:order val="1"/>
          <c:tx>
            <c:strRef>
              <c:f>Feuil1!$R$38:$R$39</c:f>
              <c:strCache>
                <c:ptCount val="1"/>
                <c:pt idx="0">
                  <c:v>Limites ERFS 2014</c:v>
                </c:pt>
              </c:strCache>
            </c:strRef>
          </c:tx>
          <c:val>
            <c:numRef>
              <c:f>Feuil1!$R$40:$R$48</c:f>
              <c:numCache>
                <c:formatCode>General</c:formatCode>
                <c:ptCount val="9"/>
                <c:pt idx="0">
                  <c:v>422.97100830078102</c:v>
                </c:pt>
                <c:pt idx="1">
                  <c:v>7838.9990234375</c:v>
                </c:pt>
                <c:pt idx="2">
                  <c:v>12347.9990234375</c:v>
                </c:pt>
                <c:pt idx="3">
                  <c:v>16061.91796875</c:v>
                </c:pt>
                <c:pt idx="4">
                  <c:v>19468.2734375</c:v>
                </c:pt>
                <c:pt idx="5">
                  <c:v>24430.927734375</c:v>
                </c:pt>
                <c:pt idx="6">
                  <c:v>29444.302734375</c:v>
                </c:pt>
                <c:pt idx="7">
                  <c:v>36590.19140625</c:v>
                </c:pt>
                <c:pt idx="8">
                  <c:v>49067.4140625</c:v>
                </c:pt>
              </c:numCache>
            </c:numRef>
          </c:val>
        </c:ser>
        <c:ser>
          <c:idx val="2"/>
          <c:order val="2"/>
          <c:tx>
            <c:strRef>
              <c:f>Feuil1!$S$38:$S$39</c:f>
              <c:strCache>
                <c:ptCount val="1"/>
                <c:pt idx="0">
                  <c:v>Limites step 1</c:v>
                </c:pt>
              </c:strCache>
            </c:strRef>
          </c:tx>
          <c:val>
            <c:numRef>
              <c:f>Feuil1!$S$40:$S$48</c:f>
              <c:numCache>
                <c:formatCode>General</c:formatCode>
                <c:ptCount val="9"/>
                <c:pt idx="0">
                  <c:v>3100</c:v>
                </c:pt>
                <c:pt idx="1">
                  <c:v>9216</c:v>
                </c:pt>
                <c:pt idx="2">
                  <c:v>13594.4482421875</c:v>
                </c:pt>
                <c:pt idx="3">
                  <c:v>16777.5</c:v>
                </c:pt>
                <c:pt idx="4">
                  <c:v>20172.060546875</c:v>
                </c:pt>
                <c:pt idx="5">
                  <c:v>25102.236328125</c:v>
                </c:pt>
                <c:pt idx="6">
                  <c:v>30107.841796875</c:v>
                </c:pt>
                <c:pt idx="7">
                  <c:v>37199.0703125</c:v>
                </c:pt>
                <c:pt idx="8">
                  <c:v>49790.7890625</c:v>
                </c:pt>
              </c:numCache>
            </c:numRef>
          </c:val>
        </c:ser>
        <c:axId val="60910976"/>
        <c:axId val="60925056"/>
      </c:barChart>
      <c:catAx>
        <c:axId val="60910976"/>
        <c:scaling>
          <c:orientation val="minMax"/>
        </c:scaling>
        <c:axPos val="l"/>
        <c:tickLblPos val="nextTo"/>
        <c:crossAx val="60925056"/>
        <c:crosses val="autoZero"/>
        <c:auto val="1"/>
        <c:lblAlgn val="ctr"/>
        <c:lblOffset val="100"/>
      </c:catAx>
      <c:valAx>
        <c:axId val="60925056"/>
        <c:scaling>
          <c:orientation val="minMax"/>
        </c:scaling>
        <c:axPos val="b"/>
        <c:majorGridlines/>
        <c:numFmt formatCode="General" sourceLinked="1"/>
        <c:tickLblPos val="nextTo"/>
        <c:crossAx val="60910976"/>
        <c:crosses val="autoZero"/>
        <c:crossBetween val="between"/>
      </c:valAx>
    </c:plotArea>
    <c:legend>
      <c:legendPos val="r"/>
      <c:layout/>
    </c:legend>
    <c:plotVisOnly val="1"/>
  </c:chart>
  <c:printSettings>
    <c:headerFooter/>
    <c:pageMargins b="0.75000000000000011" l="0.70000000000000007" r="0.70000000000000007" t="0.75000000000000011" header="0.30000000000000004" footer="0.30000000000000004"/>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fr-FR"/>
  <c:chart>
    <c:plotArea>
      <c:layout/>
      <c:barChart>
        <c:barDir val="col"/>
        <c:grouping val="clustered"/>
        <c:ser>
          <c:idx val="0"/>
          <c:order val="0"/>
          <c:tx>
            <c:strRef>
              <c:f>Feuil1!$T$38:$T$39</c:f>
              <c:strCache>
                <c:ptCount val="1"/>
                <c:pt idx="0">
                  <c:v>Moyennes Real Life 2012</c:v>
                </c:pt>
              </c:strCache>
            </c:strRef>
          </c:tx>
          <c:val>
            <c:numRef>
              <c:f>Feuil1!$T$40:$T$49</c:f>
              <c:numCache>
                <c:formatCode>General</c:formatCode>
                <c:ptCount val="10"/>
                <c:pt idx="0">
                  <c:v>666.66666666666663</c:v>
                </c:pt>
                <c:pt idx="1">
                  <c:v>6000</c:v>
                </c:pt>
                <c:pt idx="2">
                  <c:v>9972.2222222222226</c:v>
                </c:pt>
                <c:pt idx="3">
                  <c:v>13138.888888888889</c:v>
                </c:pt>
                <c:pt idx="4">
                  <c:v>15750</c:v>
                </c:pt>
                <c:pt idx="5">
                  <c:v>18777.777777777777</c:v>
                </c:pt>
                <c:pt idx="6">
                  <c:v>23694.444444444445</c:v>
                </c:pt>
                <c:pt idx="7">
                  <c:v>29944.444444444445</c:v>
                </c:pt>
                <c:pt idx="8">
                  <c:v>39638.888888888891</c:v>
                </c:pt>
                <c:pt idx="9">
                  <c:v>79611.111111111109</c:v>
                </c:pt>
              </c:numCache>
            </c:numRef>
          </c:val>
        </c:ser>
        <c:ser>
          <c:idx val="1"/>
          <c:order val="1"/>
          <c:tx>
            <c:strRef>
              <c:f>Feuil1!$U$38:$U$39</c:f>
              <c:strCache>
                <c:ptCount val="1"/>
                <c:pt idx="0">
                  <c:v>Moyennes ERFS 2014</c:v>
                </c:pt>
              </c:strCache>
            </c:strRef>
          </c:tx>
          <c:val>
            <c:numRef>
              <c:f>Feuil1!$U$40:$U$49</c:f>
              <c:numCache>
                <c:formatCode>General</c:formatCode>
                <c:ptCount val="10"/>
                <c:pt idx="0">
                  <c:v>16.21</c:v>
                </c:pt>
                <c:pt idx="1">
                  <c:v>4416.21</c:v>
                </c:pt>
                <c:pt idx="2">
                  <c:v>10171.89</c:v>
                </c:pt>
                <c:pt idx="3">
                  <c:v>14395.74</c:v>
                </c:pt>
                <c:pt idx="4">
                  <c:v>17713.189999999999</c:v>
                </c:pt>
                <c:pt idx="5">
                  <c:v>21687.38</c:v>
                </c:pt>
                <c:pt idx="6">
                  <c:v>26809.72</c:v>
                </c:pt>
                <c:pt idx="7">
                  <c:v>32793.68</c:v>
                </c:pt>
                <c:pt idx="8">
                  <c:v>42032.37</c:v>
                </c:pt>
                <c:pt idx="9">
                  <c:v>74368.38</c:v>
                </c:pt>
              </c:numCache>
            </c:numRef>
          </c:val>
        </c:ser>
        <c:ser>
          <c:idx val="2"/>
          <c:order val="2"/>
          <c:tx>
            <c:strRef>
              <c:f>Feuil1!$V$38:$V$39</c:f>
              <c:strCache>
                <c:ptCount val="1"/>
                <c:pt idx="0">
                  <c:v>Moyennes step 1</c:v>
                </c:pt>
              </c:strCache>
            </c:strRef>
          </c:tx>
          <c:val>
            <c:numRef>
              <c:f>Feuil1!$V$40:$V$49</c:f>
              <c:numCache>
                <c:formatCode>General</c:formatCode>
                <c:ptCount val="10"/>
                <c:pt idx="0">
                  <c:v>555.80999999999995</c:v>
                </c:pt>
                <c:pt idx="1">
                  <c:v>6592.63</c:v>
                </c:pt>
                <c:pt idx="2">
                  <c:v>11389.33</c:v>
                </c:pt>
                <c:pt idx="3">
                  <c:v>15223.26</c:v>
                </c:pt>
                <c:pt idx="4">
                  <c:v>18396.439999999999</c:v>
                </c:pt>
                <c:pt idx="5">
                  <c:v>22497.98</c:v>
                </c:pt>
                <c:pt idx="6">
                  <c:v>27445.95</c:v>
                </c:pt>
                <c:pt idx="7">
                  <c:v>33438.300000000003</c:v>
                </c:pt>
                <c:pt idx="8">
                  <c:v>42694.5</c:v>
                </c:pt>
                <c:pt idx="9">
                  <c:v>75303.83</c:v>
                </c:pt>
              </c:numCache>
            </c:numRef>
          </c:val>
        </c:ser>
        <c:axId val="60953728"/>
        <c:axId val="60955264"/>
      </c:barChart>
      <c:catAx>
        <c:axId val="60953728"/>
        <c:scaling>
          <c:orientation val="minMax"/>
        </c:scaling>
        <c:axPos val="b"/>
        <c:tickLblPos val="nextTo"/>
        <c:crossAx val="60955264"/>
        <c:crosses val="autoZero"/>
        <c:auto val="1"/>
        <c:lblAlgn val="ctr"/>
        <c:lblOffset val="100"/>
      </c:catAx>
      <c:valAx>
        <c:axId val="60955264"/>
        <c:scaling>
          <c:orientation val="minMax"/>
        </c:scaling>
        <c:axPos val="l"/>
        <c:majorGridlines/>
        <c:numFmt formatCode="General" sourceLinked="1"/>
        <c:tickLblPos val="nextTo"/>
        <c:crossAx val="60953728"/>
        <c:crosses val="autoZero"/>
        <c:crossBetween val="between"/>
      </c:valAx>
    </c:plotArea>
    <c:legend>
      <c:legendPos val="r"/>
      <c:layout/>
    </c:legend>
    <c:plotVisOnly val="1"/>
  </c:chart>
  <c:printSettings>
    <c:headerFooter/>
    <c:pageMargins b="0.75000000000000011" l="0.70000000000000007" r="0.70000000000000007" t="0.75000000000000011" header="0.30000000000000004" footer="0.30000000000000004"/>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581025</xdr:colOff>
      <xdr:row>16</xdr:row>
      <xdr:rowOff>0</xdr:rowOff>
    </xdr:from>
    <xdr:to>
      <xdr:col>19</xdr:col>
      <xdr:colOff>581025</xdr:colOff>
      <xdr:row>30</xdr:row>
      <xdr:rowOff>76200</xdr:rowOff>
    </xdr:to>
    <xdr:graphicFrame macro="">
      <xdr:nvGraphicFramePr>
        <xdr:cNvPr id="5" name="Graphique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705971</xdr:colOff>
      <xdr:row>33</xdr:row>
      <xdr:rowOff>78441</xdr:rowOff>
    </xdr:from>
    <xdr:to>
      <xdr:col>13</xdr:col>
      <xdr:colOff>705971</xdr:colOff>
      <xdr:row>47</xdr:row>
      <xdr:rowOff>156882</xdr:rowOff>
    </xdr:to>
    <xdr:graphicFrame macro="">
      <xdr:nvGraphicFramePr>
        <xdr:cNvPr id="6" name="Graphique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168088</xdr:colOff>
      <xdr:row>48</xdr:row>
      <xdr:rowOff>22412</xdr:rowOff>
    </xdr:from>
    <xdr:to>
      <xdr:col>14</xdr:col>
      <xdr:colOff>168088</xdr:colOff>
      <xdr:row>62</xdr:row>
      <xdr:rowOff>100853</xdr:rowOff>
    </xdr:to>
    <xdr:graphicFrame macro="">
      <xdr:nvGraphicFramePr>
        <xdr:cNvPr id="7" name="Graphique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E32"/>
  <sheetViews>
    <sheetView tabSelected="1" workbookViewId="0">
      <selection activeCell="C5" sqref="C5"/>
    </sheetView>
  </sheetViews>
  <sheetFormatPr baseColWidth="10" defaultRowHeight="15"/>
  <sheetData>
    <row r="1" spans="1:5">
      <c r="A1" t="str">
        <f>nat!AL7</f>
        <v>Rk</v>
      </c>
      <c r="B1" t="str">
        <f>nat!AM7</f>
        <v>Nk</v>
      </c>
      <c r="C1" t="str">
        <f>nat!AN7</f>
        <v>dNk</v>
      </c>
      <c r="D1" t="str">
        <f>nat!AO7</f>
        <v>dArk</v>
      </c>
      <c r="E1" t="str">
        <f>nat!AP7</f>
        <v>Ark</v>
      </c>
    </row>
    <row r="2" spans="1:5">
      <c r="A2">
        <f>nat!AL8</f>
        <v>0</v>
      </c>
      <c r="B2">
        <f>nat!AM8</f>
        <v>1</v>
      </c>
      <c r="C2">
        <f>nat!AN8</f>
        <v>9.9999999999999978E-2</v>
      </c>
      <c r="D2">
        <f>nat!AO8</f>
        <v>0.6</v>
      </c>
      <c r="E2">
        <f>nat!AP8</f>
        <v>26.163491595242384</v>
      </c>
    </row>
    <row r="3" spans="1:5">
      <c r="A3">
        <f>nat!AL9</f>
        <v>3583.7550000000001</v>
      </c>
      <c r="B3">
        <f>nat!AM9</f>
        <v>0.9</v>
      </c>
      <c r="C3">
        <f>nat!AN9</f>
        <v>9.9999999999999978E-2</v>
      </c>
      <c r="D3">
        <f>nat!AO9</f>
        <v>6.2</v>
      </c>
      <c r="E3">
        <f>nat!AP9</f>
        <v>29.003879550269318</v>
      </c>
    </row>
    <row r="4" spans="1:5">
      <c r="A4">
        <f>nat!AL10</f>
        <v>8846.0049999999992</v>
      </c>
      <c r="B4">
        <f>nat!AM10</f>
        <v>0.8</v>
      </c>
      <c r="C4">
        <f>nat!AN10</f>
        <v>3.2981433963505946E-2</v>
      </c>
      <c r="D4">
        <f>nat!AO10</f>
        <v>9.1663722996735615</v>
      </c>
      <c r="E4">
        <f>nat!AP10</f>
        <v>31.85436449405298</v>
      </c>
    </row>
    <row r="5" spans="1:5">
      <c r="A5">
        <f>nat!AL11</f>
        <v>10000</v>
      </c>
      <c r="B5">
        <f>nat!AM11</f>
        <v>0.7670185660364941</v>
      </c>
      <c r="C5">
        <f>nat!AN11</f>
        <v>5.6827274573989062E-2</v>
      </c>
      <c r="D5">
        <f>nat!AO11</f>
        <v>11.009952616350745</v>
      </c>
      <c r="E5">
        <f>nat!AP11</f>
        <v>32.829937380365436</v>
      </c>
    </row>
    <row r="6" spans="1:5">
      <c r="A6">
        <f>nat!AL12</f>
        <v>12000</v>
      </c>
      <c r="B6">
        <f>nat!AM12</f>
        <v>0.71019129146250504</v>
      </c>
      <c r="C6">
        <f>nat!AN12</f>
        <v>9.0635911993003804E-2</v>
      </c>
      <c r="D6">
        <f>nat!AO12</f>
        <v>13.602499664615911</v>
      </c>
      <c r="E6">
        <f>nat!AP12</f>
        <v>34.57590396752456</v>
      </c>
    </row>
    <row r="7" spans="1:5">
      <c r="A7">
        <f>nat!AL13</f>
        <v>15000</v>
      </c>
      <c r="B7">
        <f>nat!AM13</f>
        <v>0.61955537946950123</v>
      </c>
      <c r="C7">
        <f>nat!AN13</f>
        <v>0.11955537946950123</v>
      </c>
      <c r="D7">
        <f>nat!AO13</f>
        <v>16.811319452187892</v>
      </c>
      <c r="E7">
        <f>nat!AP13</f>
        <v>37.64414240041463</v>
      </c>
    </row>
    <row r="8" spans="1:5">
      <c r="A8">
        <f>nat!AL14</f>
        <v>18544.82</v>
      </c>
      <c r="B8">
        <f>nat!AM14</f>
        <v>0.5</v>
      </c>
      <c r="C8">
        <f>nat!AN14</f>
        <v>3.7211059613606379E-2</v>
      </c>
      <c r="D8">
        <f>nat!AO14</f>
        <v>19.272410000000001</v>
      </c>
      <c r="E8">
        <f>nat!AP14</f>
        <v>42.625494506406994</v>
      </c>
    </row>
    <row r="9" spans="1:5">
      <c r="A9">
        <f>nat!AL15</f>
        <v>20000</v>
      </c>
      <c r="B9">
        <f>nat!AM15</f>
        <v>0.46278894038639362</v>
      </c>
      <c r="C9">
        <f>nat!AN15</f>
        <v>6.2788940386393599E-2</v>
      </c>
      <c r="D9">
        <f>nat!AO15</f>
        <v>21.247109999999999</v>
      </c>
      <c r="E9">
        <f>nat!AP15</f>
        <v>44.503225246912493</v>
      </c>
    </row>
    <row r="10" spans="1:5">
      <c r="A10">
        <f>nat!AL16</f>
        <v>22494.219999999998</v>
      </c>
      <c r="B10">
        <f>nat!AM16</f>
        <v>0.4</v>
      </c>
      <c r="C10">
        <f>nat!AN16</f>
        <v>0.10000000000000003</v>
      </c>
      <c r="D10">
        <f>nat!AO16</f>
        <v>25.819987991695061</v>
      </c>
      <c r="E10">
        <f>nat!AP16</f>
        <v>48.153792331556218</v>
      </c>
    </row>
    <row r="11" spans="1:5">
      <c r="A11">
        <f>nat!AL17</f>
        <v>28522.48</v>
      </c>
      <c r="B11">
        <f>nat!AM17</f>
        <v>0.3</v>
      </c>
      <c r="C11">
        <f>nat!AN17</f>
        <v>1.8478053911788361E-2</v>
      </c>
      <c r="D11">
        <f>nat!AO17</f>
        <v>29.261239999999997</v>
      </c>
      <c r="E11">
        <f>nat!AP17</f>
        <v>55.5983937781766</v>
      </c>
    </row>
    <row r="12" spans="1:5">
      <c r="A12">
        <f>nat!AL18</f>
        <v>30000</v>
      </c>
      <c r="B12">
        <f>nat!AM18</f>
        <v>0.28152194608821163</v>
      </c>
      <c r="C12">
        <f>nat!AN18</f>
        <v>8.1521946088211616E-2</v>
      </c>
      <c r="D12">
        <f>nat!AO18</f>
        <v>33.245359999999998</v>
      </c>
      <c r="E12">
        <f>nat!AP18</f>
        <v>57.32706663710789</v>
      </c>
    </row>
    <row r="13" spans="1:5">
      <c r="A13">
        <f>nat!AL19</f>
        <v>36490.720000000001</v>
      </c>
      <c r="B13">
        <f>nat!AM19</f>
        <v>0.2</v>
      </c>
      <c r="C13">
        <f>nat!AN19</f>
        <v>9.2390760488748475E-2</v>
      </c>
      <c r="D13">
        <f>nat!AO19</f>
        <v>42.632380633475954</v>
      </c>
      <c r="E13">
        <f>nat!AP19</f>
        <v>67.143004588020077</v>
      </c>
    </row>
    <row r="14" spans="1:5">
      <c r="A14">
        <f>nat!AL20</f>
        <v>50000</v>
      </c>
      <c r="B14">
        <f>nat!AM20</f>
        <v>0.10760923951125154</v>
      </c>
      <c r="C14">
        <f>nat!AN20</f>
        <v>8.772889104662121E-2</v>
      </c>
      <c r="D14">
        <f>nat!AO20</f>
        <v>65.757939213355357</v>
      </c>
      <c r="E14">
        <f>nat!AP20</f>
        <v>88.187249464198075</v>
      </c>
    </row>
    <row r="15" spans="1:5">
      <c r="A15">
        <f>nat!AL21</f>
        <v>100000</v>
      </c>
      <c r="B15">
        <f>nat!AM21</f>
        <v>1.9880348464630326E-2</v>
      </c>
      <c r="C15">
        <f>nat!AN21</f>
        <v>1.5867541300133386E-2</v>
      </c>
      <c r="D15">
        <f>nat!AO21</f>
        <v>131.3088842387105</v>
      </c>
      <c r="E15">
        <f>nat!AP21</f>
        <v>187.16431310811913</v>
      </c>
    </row>
    <row r="16" spans="1:5">
      <c r="A16">
        <f>nat!AL22</f>
        <v>200000</v>
      </c>
      <c r="B16">
        <f>nat!AM22</f>
        <v>4.0128071644969406E-3</v>
      </c>
      <c r="C16">
        <f>nat!AN22</f>
        <v>2.3400898985354236E-3</v>
      </c>
      <c r="D16">
        <f>nat!AO22</f>
        <v>239.21781319528708</v>
      </c>
      <c r="E16">
        <f>nat!AP22</f>
        <v>408.02923088024244</v>
      </c>
    </row>
    <row r="17" spans="1:5">
      <c r="A17">
        <f>nat!AL23</f>
        <v>300000</v>
      </c>
      <c r="B17">
        <f>nat!AM23</f>
        <v>1.6727172659615169E-3</v>
      </c>
      <c r="C17">
        <f>nat!AN23</f>
        <v>7.4947732561078629E-4</v>
      </c>
      <c r="D17">
        <f>nat!AO23</f>
        <v>342.40782909039405</v>
      </c>
      <c r="E17">
        <f>nat!AP23</f>
        <v>644.19221031534346</v>
      </c>
    </row>
    <row r="18" spans="1:5">
      <c r="A18">
        <f>nat!AL24</f>
        <v>400000</v>
      </c>
      <c r="B18">
        <f>nat!AM24</f>
        <v>9.2323994035073062E-4</v>
      </c>
      <c r="C18">
        <f>nat!AN24</f>
        <v>3.3231967385277336E-4</v>
      </c>
      <c r="D18">
        <f>nat!AO24</f>
        <v>444.58882232691843</v>
      </c>
      <c r="E18">
        <f>nat!AP24</f>
        <v>889.17787554301674</v>
      </c>
    </row>
    <row r="19" spans="1:5">
      <c r="A19">
        <f>nat!AL25</f>
        <v>500000</v>
      </c>
      <c r="B19">
        <f>nat!AM25</f>
        <v>5.9092026649795726E-4</v>
      </c>
      <c r="C19">
        <f>nat!AN25</f>
        <v>1.7386876172509553E-4</v>
      </c>
      <c r="D19">
        <f>nat!AO25</f>
        <v>545.20831562881563</v>
      </c>
      <c r="E19">
        <f>nat!AP25</f>
        <v>1139.2043131855949</v>
      </c>
    </row>
    <row r="20" spans="1:5">
      <c r="A20">
        <f>nat!AL26</f>
        <v>600000</v>
      </c>
      <c r="B20">
        <f>nat!AM26</f>
        <v>4.1705150477286174E-4</v>
      </c>
      <c r="C20">
        <f>nat!AN26</f>
        <v>1.0320140634140663E-4</v>
      </c>
      <c r="D20">
        <f>nat!AO26</f>
        <v>646.14541990228849</v>
      </c>
      <c r="E20">
        <f>nat!AP26</f>
        <v>1386.8412294487503</v>
      </c>
    </row>
    <row r="21" spans="1:5">
      <c r="A21">
        <f>nat!AL27</f>
        <v>700000</v>
      </c>
      <c r="B21">
        <f>nat!AM27</f>
        <v>3.1385009843145511E-4</v>
      </c>
      <c r="C21">
        <f>nat!AN27</f>
        <v>6.5174248900615758E-5</v>
      </c>
      <c r="D21">
        <f>nat!AO27</f>
        <v>746.48158102605862</v>
      </c>
      <c r="E21">
        <f>nat!AP27</f>
        <v>1630.3996976423684</v>
      </c>
    </row>
    <row r="22" spans="1:5">
      <c r="A22">
        <f>nat!AL28</f>
        <v>800000</v>
      </c>
      <c r="B22">
        <f>nat!AM28</f>
        <v>2.4867584953083935E-4</v>
      </c>
      <c r="C22">
        <f>nat!AN28</f>
        <v>4.5351299418221641E-5</v>
      </c>
      <c r="D22">
        <f>nat!AO28</f>
        <v>846.013003510825</v>
      </c>
      <c r="E22">
        <f>nat!AP28</f>
        <v>1862.0615154216241</v>
      </c>
    </row>
    <row r="23" spans="1:5">
      <c r="A23">
        <f>nat!AL29</f>
        <v>900000</v>
      </c>
      <c r="B23">
        <f>nat!AM29</f>
        <v>2.0332455011261771E-4</v>
      </c>
      <c r="C23">
        <f>nat!AN29</f>
        <v>3.3091322629913628E-5</v>
      </c>
      <c r="D23">
        <f>nat!AO29</f>
        <v>947.21125741780281</v>
      </c>
      <c r="E23">
        <f>nat!AP29</f>
        <v>2088.6899292633507</v>
      </c>
    </row>
    <row r="24" spans="1:5">
      <c r="A24">
        <f>nat!AL30</f>
        <v>1000000</v>
      </c>
      <c r="B24">
        <f>nat!AM30</f>
        <v>1.7023322748270408E-4</v>
      </c>
      <c r="C24">
        <f>nat!AN30</f>
        <v>1.1843349871475903E-4</v>
      </c>
      <c r="D24">
        <f>nat!AO30</f>
        <v>1354.491363880798</v>
      </c>
      <c r="E24">
        <f>nat!AP30</f>
        <v>2310.579859706243</v>
      </c>
    </row>
    <row r="25" spans="1:5">
      <c r="A25">
        <f>nat!AL31</f>
        <v>2000000</v>
      </c>
      <c r="B25">
        <f>nat!AM31</f>
        <v>5.1799728767945049E-5</v>
      </c>
      <c r="C25">
        <f>nat!AN31</f>
        <v>2.5952937876548137E-5</v>
      </c>
      <c r="D25">
        <f>nat!AO31</f>
        <v>2402.3072832310841</v>
      </c>
      <c r="E25">
        <f>nat!AP31</f>
        <v>4496.5547351501864</v>
      </c>
    </row>
    <row r="26" spans="1:5">
      <c r="A26">
        <f>nat!AL32</f>
        <v>3000000</v>
      </c>
      <c r="B26">
        <f>nat!AM32</f>
        <v>2.5846790891396912E-5</v>
      </c>
      <c r="C26">
        <f>nat!AN32</f>
        <v>1.032279430877017E-5</v>
      </c>
      <c r="D26">
        <f>nat!AO32</f>
        <v>3443.8652005141389</v>
      </c>
      <c r="E26">
        <f>nat!AP32</f>
        <v>6599.4027926189656</v>
      </c>
    </row>
    <row r="27" spans="1:5">
      <c r="A27">
        <f>nat!AL33</f>
        <v>4000000</v>
      </c>
      <c r="B27">
        <f>nat!AM33</f>
        <v>1.5523996582626742E-5</v>
      </c>
      <c r="C27">
        <f>nat!AN33</f>
        <v>4.6970040942219022E-6</v>
      </c>
      <c r="D27">
        <f>nat!AO33</f>
        <v>4478.214655367231</v>
      </c>
      <c r="E27">
        <f>nat!AP33</f>
        <v>8697.7004393309144</v>
      </c>
    </row>
    <row r="28" spans="1:5">
      <c r="A28">
        <f>nat!AL34</f>
        <v>5000000</v>
      </c>
      <c r="B28">
        <f>nat!AM34</f>
        <v>1.082699248840484E-5</v>
      </c>
      <c r="C28">
        <f>nat!AN34</f>
        <v>2.8128951072741337E-6</v>
      </c>
      <c r="D28">
        <f>nat!AO34</f>
        <v>5496.8342358490563</v>
      </c>
      <c r="E28">
        <f>nat!AP34</f>
        <v>10528.212654427916</v>
      </c>
    </row>
    <row r="29" spans="1:5">
      <c r="A29">
        <f>nat!AL35</f>
        <v>6000000</v>
      </c>
      <c r="B29">
        <f>nat!AM35</f>
        <v>8.0140973811307063E-6</v>
      </c>
      <c r="C29">
        <f>nat!AN35</f>
        <v>1.6452782702924173E-6</v>
      </c>
      <c r="D29">
        <f>nat!AO35</f>
        <v>6442.3752096774188</v>
      </c>
      <c r="E29">
        <f>nat!AP35</f>
        <v>12294.193158955843</v>
      </c>
    </row>
    <row r="30" spans="1:5">
      <c r="A30">
        <f>nat!AL36</f>
        <v>7000000</v>
      </c>
      <c r="B30">
        <f>nat!AM36</f>
        <v>6.368819110838289E-6</v>
      </c>
      <c r="C30">
        <f>nat!AN36</f>
        <v>1.088006598096599E-6</v>
      </c>
      <c r="D30">
        <f>nat!AO36</f>
        <v>7564.1100975609761</v>
      </c>
      <c r="E30">
        <f>nat!AP36</f>
        <v>13805.912795845899</v>
      </c>
    </row>
    <row r="31" spans="1:5">
      <c r="A31">
        <f>nat!AL37</f>
        <v>8000000</v>
      </c>
      <c r="B31">
        <f>nat!AM37</f>
        <v>5.28081251274169E-6</v>
      </c>
      <c r="C31">
        <f>nat!AN37</f>
        <v>9.5532286662140426E-7</v>
      </c>
      <c r="D31">
        <f>nat!AO37</f>
        <v>8389.2294722222214</v>
      </c>
      <c r="E31">
        <f>nat!AP37</f>
        <v>15091.912346741778</v>
      </c>
    </row>
    <row r="32" spans="1:5">
      <c r="A32">
        <f>nat!AL38</f>
        <v>9000000</v>
      </c>
      <c r="B32">
        <f>nat!AM38</f>
        <v>4.3254896461202857E-6</v>
      </c>
      <c r="C32">
        <f>nat!AN38</f>
        <v>4.3254896461202857E-6</v>
      </c>
      <c r="D32">
        <f>nat!AO38</f>
        <v>16572.259484662576</v>
      </c>
      <c r="E32">
        <f>nat!AP38</f>
        <v>16572.259484662576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pageSetUpPr fitToPage="1"/>
  </sheetPr>
  <dimension ref="A1:AP38"/>
  <sheetViews>
    <sheetView topLeftCell="AC1" zoomScale="70" zoomScaleNormal="70" workbookViewId="0">
      <selection activeCell="AO7" sqref="AO7"/>
    </sheetView>
  </sheetViews>
  <sheetFormatPr baseColWidth="10" defaultColWidth="9.140625" defaultRowHeight="12.75"/>
  <cols>
    <col min="1" max="2" width="10.28515625" style="3" customWidth="1"/>
    <col min="3" max="3" width="27.140625" style="3" customWidth="1"/>
    <col min="4" max="4" width="12.140625" style="3" customWidth="1"/>
    <col min="5" max="6" width="15" style="3" customWidth="1"/>
    <col min="7" max="7" width="12.140625" style="3" hidden="1" customWidth="1"/>
    <col min="8" max="8" width="15" style="3" hidden="1" customWidth="1"/>
    <col min="9" max="9" width="12.140625" style="3" hidden="1" customWidth="1"/>
    <col min="10" max="10" width="15" style="3" hidden="1" customWidth="1"/>
    <col min="11" max="11" width="12.140625" style="3" hidden="1" customWidth="1"/>
    <col min="12" max="12" width="15" style="3" hidden="1" customWidth="1"/>
    <col min="13" max="19" width="9.140625" style="3"/>
    <col min="20" max="20" width="20.42578125" style="3" bestFit="1" customWidth="1"/>
    <col min="21" max="21" width="20.42578125" style="3" customWidth="1"/>
    <col min="22" max="22" width="27.42578125" style="3" bestFit="1" customWidth="1"/>
    <col min="23" max="33" width="9.140625" style="3"/>
    <col min="34" max="34" width="12.5703125" style="3" bestFit="1" customWidth="1"/>
    <col min="35" max="38" width="9.140625" style="3"/>
    <col min="39" max="39" width="12" style="3" bestFit="1" customWidth="1"/>
    <col min="40" max="16384" width="9.140625" style="3"/>
  </cols>
  <sheetData>
    <row r="1" spans="1:42">
      <c r="C1" s="3" t="s">
        <v>87</v>
      </c>
    </row>
    <row r="2" spans="1:42">
      <c r="C2" s="3" t="s">
        <v>132</v>
      </c>
      <c r="L2" s="4" t="s">
        <v>88</v>
      </c>
    </row>
    <row r="3" spans="1:42">
      <c r="E3" s="5" t="s">
        <v>89</v>
      </c>
    </row>
    <row r="4" spans="1:42">
      <c r="L4" s="4" t="s">
        <v>90</v>
      </c>
      <c r="AD4" s="3" t="s">
        <v>139</v>
      </c>
      <c r="AE4" s="3">
        <v>1.085</v>
      </c>
      <c r="AL4" s="43" t="s">
        <v>141</v>
      </c>
      <c r="AM4" s="43" t="s">
        <v>141</v>
      </c>
      <c r="AN4" s="43" t="s">
        <v>141</v>
      </c>
      <c r="AO4" s="43" t="s">
        <v>141</v>
      </c>
      <c r="AP4" s="43" t="s">
        <v>141</v>
      </c>
    </row>
    <row r="5" spans="1:42" ht="13.5" thickBot="1">
      <c r="AL5" s="3" t="s">
        <v>142</v>
      </c>
      <c r="AM5" s="3" t="s">
        <v>143</v>
      </c>
      <c r="AN5" s="3" t="s">
        <v>144</v>
      </c>
      <c r="AO5" s="3" t="s">
        <v>145</v>
      </c>
      <c r="AP5" s="3" t="s">
        <v>145</v>
      </c>
    </row>
    <row r="6" spans="1:42" ht="13.5" thickTop="1">
      <c r="C6" s="6" t="s">
        <v>91</v>
      </c>
      <c r="D6" s="7" t="s">
        <v>92</v>
      </c>
      <c r="E6" s="7" t="s">
        <v>93</v>
      </c>
      <c r="F6" s="7" t="s">
        <v>94</v>
      </c>
      <c r="G6" s="7" t="s">
        <v>95</v>
      </c>
      <c r="H6" s="7" t="s">
        <v>96</v>
      </c>
      <c r="I6" s="7" t="s">
        <v>97</v>
      </c>
      <c r="J6" s="7"/>
      <c r="K6" s="7" t="s">
        <v>98</v>
      </c>
      <c r="L6" s="8"/>
      <c r="S6" s="3" t="s">
        <v>133</v>
      </c>
      <c r="T6" s="3" t="s">
        <v>134</v>
      </c>
      <c r="U6" s="3" t="s">
        <v>137</v>
      </c>
      <c r="V6" s="3" t="s">
        <v>135</v>
      </c>
      <c r="W6" s="3" t="s">
        <v>136</v>
      </c>
      <c r="Z6" s="3" t="s">
        <v>138</v>
      </c>
      <c r="AL6" s="3" t="s">
        <v>133</v>
      </c>
      <c r="AM6" s="3" t="s">
        <v>134</v>
      </c>
      <c r="AN6" s="3" t="s">
        <v>137</v>
      </c>
      <c r="AO6" s="3" t="s">
        <v>135</v>
      </c>
      <c r="AP6" s="3" t="s">
        <v>136</v>
      </c>
    </row>
    <row r="7" spans="1:42" ht="38.25">
      <c r="C7" s="9"/>
      <c r="D7" s="10"/>
      <c r="E7" s="10"/>
      <c r="F7" s="10"/>
      <c r="G7" s="10"/>
      <c r="H7" s="10"/>
      <c r="I7" s="11" t="s">
        <v>99</v>
      </c>
      <c r="J7" s="11" t="s">
        <v>100</v>
      </c>
      <c r="K7" s="11" t="s">
        <v>99</v>
      </c>
      <c r="L7" s="12" t="s">
        <v>100</v>
      </c>
      <c r="S7" s="3">
        <v>0</v>
      </c>
      <c r="T7" s="36">
        <v>1</v>
      </c>
      <c r="U7" s="38">
        <f>T7-T8</f>
        <v>0.2329814339635059</v>
      </c>
      <c r="V7" s="3">
        <f>E8/D8</f>
        <v>4.2163020716941064</v>
      </c>
      <c r="W7" s="3">
        <f t="shared" ref="W7:W30" si="0">(V7*U7+W8*T8)/T7</f>
        <v>26.163491595242384</v>
      </c>
      <c r="Z7">
        <v>3582359</v>
      </c>
      <c r="AA7" s="3">
        <v>0</v>
      </c>
      <c r="AB7">
        <v>3303</v>
      </c>
      <c r="AC7">
        <v>2.4</v>
      </c>
      <c r="AE7" s="3">
        <f t="shared" ref="AE7:AE16" si="1">AA7*$AE$4</f>
        <v>0</v>
      </c>
      <c r="AF7" s="3">
        <f t="shared" ref="AF7:AF16" si="2">AB7*$AE$4</f>
        <v>3583.7550000000001</v>
      </c>
      <c r="AG7" s="3">
        <f t="shared" ref="AG7:AG16" si="3">AC7*$AE$4</f>
        <v>2.6039999999999996</v>
      </c>
      <c r="AH7" s="3">
        <f>AG7/Z7*1000000</f>
        <v>0.72689532232810827</v>
      </c>
      <c r="AL7" s="3" t="s">
        <v>146</v>
      </c>
      <c r="AM7" s="3" t="s">
        <v>147</v>
      </c>
      <c r="AN7" s="3" t="s">
        <v>144</v>
      </c>
      <c r="AO7" s="3" t="s">
        <v>149</v>
      </c>
      <c r="AP7" s="3" t="s">
        <v>148</v>
      </c>
    </row>
    <row r="8" spans="1:42" ht="15">
      <c r="A8" s="3">
        <f>E8/D8*1000</f>
        <v>4216.3020716941064</v>
      </c>
      <c r="B8" s="3">
        <f>H8/G8*1000</f>
        <v>4414.0406693399136</v>
      </c>
      <c r="C8" s="13" t="s">
        <v>101</v>
      </c>
      <c r="D8" s="14">
        <v>8779578</v>
      </c>
      <c r="E8" s="14">
        <v>37017352.909999996</v>
      </c>
      <c r="F8" s="14">
        <v>-120470.92600000001</v>
      </c>
      <c r="G8" s="14">
        <v>64840</v>
      </c>
      <c r="H8" s="14">
        <v>286206.397</v>
      </c>
      <c r="I8" s="14">
        <v>3847734</v>
      </c>
      <c r="J8" s="14">
        <v>25255051.469000001</v>
      </c>
      <c r="K8" s="14">
        <v>2495406</v>
      </c>
      <c r="L8" s="15">
        <v>21449277.697999999</v>
      </c>
      <c r="N8" s="3" t="str">
        <f>"("&amp;D8&amp;","&amp;E8&amp;","&amp;F8&amp;"),"</f>
        <v>(8779578,37017352.91,-120470.926),</v>
      </c>
      <c r="S8" s="3">
        <v>10000</v>
      </c>
      <c r="T8" s="37">
        <f>T7-D8/$D$34</f>
        <v>0.7670185660364941</v>
      </c>
      <c r="U8" s="38">
        <f t="shared" ref="U8:U31" si="4">T8-T9</f>
        <v>5.6827274573989062E-2</v>
      </c>
      <c r="V8" s="3">
        <f t="shared" ref="V8:V15" si="5">E9/D9</f>
        <v>11.009952616350745</v>
      </c>
      <c r="W8" s="3">
        <f t="shared" si="0"/>
        <v>32.829937380365436</v>
      </c>
      <c r="Z8">
        <v>3610733</v>
      </c>
      <c r="AA8">
        <v>3303</v>
      </c>
      <c r="AB8">
        <v>8153</v>
      </c>
      <c r="AC8">
        <v>21.6</v>
      </c>
      <c r="AE8" s="3">
        <f t="shared" si="1"/>
        <v>3583.7550000000001</v>
      </c>
      <c r="AF8" s="3">
        <f t="shared" si="2"/>
        <v>8846.0049999999992</v>
      </c>
      <c r="AG8" s="3">
        <f t="shared" si="3"/>
        <v>23.436</v>
      </c>
      <c r="AH8" s="3">
        <f t="shared" ref="AH8:AH16" si="6">AG8/Z8*1000000</f>
        <v>6.4906488516320646</v>
      </c>
      <c r="AL8" s="3">
        <v>0</v>
      </c>
      <c r="AM8" s="38">
        <f>T7</f>
        <v>1</v>
      </c>
      <c r="AN8" s="38">
        <f>AM8-AM9</f>
        <v>9.9999999999999978E-2</v>
      </c>
      <c r="AO8" s="41">
        <v>0.6</v>
      </c>
      <c r="AP8" s="3">
        <f t="shared" ref="AP8:AP31" si="7">(AO8*AN8+AP9*AM9)/AM8</f>
        <v>26.163491595242384</v>
      </c>
    </row>
    <row r="9" spans="1:42" ht="15">
      <c r="A9" s="3">
        <f t="shared" ref="A9:A37" si="8">E9/D9*1000</f>
        <v>11009.952616350745</v>
      </c>
      <c r="B9" s="3">
        <f t="shared" ref="B9:B37" si="9">H9/G9*1000</f>
        <v>10927.593380209226</v>
      </c>
      <c r="C9" s="16" t="s">
        <v>102</v>
      </c>
      <c r="D9" s="17">
        <v>2141456</v>
      </c>
      <c r="E9" s="17">
        <v>23577329.09</v>
      </c>
      <c r="F9" s="17">
        <v>-52667.915000000001</v>
      </c>
      <c r="G9" s="17">
        <v>5831</v>
      </c>
      <c r="H9" s="17">
        <v>63718.796999999999</v>
      </c>
      <c r="I9" s="17">
        <v>1300670</v>
      </c>
      <c r="J9" s="17">
        <v>16047391.268999999</v>
      </c>
      <c r="K9" s="17">
        <v>880353</v>
      </c>
      <c r="L9" s="18">
        <v>11767189.108999999</v>
      </c>
      <c r="N9" s="3" t="str">
        <f t="shared" ref="N9:N33" si="10">"("&amp;D9&amp;","&amp;E9&amp;","&amp;F9&amp;"),"</f>
        <v>(2141456,23577329.09,-52667.915),</v>
      </c>
      <c r="S9" s="3">
        <v>12000</v>
      </c>
      <c r="T9" s="37">
        <f t="shared" ref="T9:T14" si="11">T8-D9/$D$34</f>
        <v>0.71019129146250504</v>
      </c>
      <c r="U9" s="38">
        <f t="shared" si="4"/>
        <v>9.0635911993003804E-2</v>
      </c>
      <c r="V9" s="3">
        <f t="shared" si="5"/>
        <v>13.602499664615911</v>
      </c>
      <c r="W9" s="3">
        <f t="shared" si="0"/>
        <v>34.57590396752456</v>
      </c>
      <c r="Z9">
        <v>3644061</v>
      </c>
      <c r="AA9">
        <v>8153</v>
      </c>
      <c r="AB9">
        <v>11446</v>
      </c>
      <c r="AC9">
        <v>35.9</v>
      </c>
      <c r="AE9" s="3">
        <f t="shared" si="1"/>
        <v>8846.0049999999992</v>
      </c>
      <c r="AF9" s="3">
        <f t="shared" si="2"/>
        <v>12418.91</v>
      </c>
      <c r="AG9" s="3">
        <f t="shared" si="3"/>
        <v>38.951499999999996</v>
      </c>
      <c r="AH9" s="3">
        <f t="shared" si="6"/>
        <v>10.689036215365219</v>
      </c>
      <c r="AL9" s="39">
        <f>AF7</f>
        <v>3583.7550000000001</v>
      </c>
      <c r="AM9" s="38">
        <v>0.9</v>
      </c>
      <c r="AN9" s="38">
        <f>AM9-AM10</f>
        <v>9.9999999999999978E-2</v>
      </c>
      <c r="AO9" s="42">
        <v>6.2</v>
      </c>
      <c r="AP9" s="3">
        <f t="shared" si="7"/>
        <v>29.003879550269318</v>
      </c>
    </row>
    <row r="10" spans="1:42" ht="15">
      <c r="A10" s="3">
        <f t="shared" si="8"/>
        <v>13602.499664615911</v>
      </c>
      <c r="B10" s="3">
        <f t="shared" si="9"/>
        <v>14776.219510027548</v>
      </c>
      <c r="C10" s="16" t="s">
        <v>103</v>
      </c>
      <c r="D10" s="17">
        <v>3415487</v>
      </c>
      <c r="E10" s="17">
        <v>46459160.772</v>
      </c>
      <c r="F10" s="17">
        <v>-97920.236000000004</v>
      </c>
      <c r="G10" s="17">
        <v>236299</v>
      </c>
      <c r="H10" s="17">
        <v>3491605.8939999999</v>
      </c>
      <c r="I10" s="17">
        <v>2511732</v>
      </c>
      <c r="J10" s="17">
        <v>38311165.473999999</v>
      </c>
      <c r="K10" s="17">
        <v>986124</v>
      </c>
      <c r="L10" s="18">
        <v>14808065.073999999</v>
      </c>
      <c r="N10" s="3" t="str">
        <f t="shared" si="10"/>
        <v>(3415487,46459160.772,-97920.236),</v>
      </c>
      <c r="S10" s="3">
        <v>15000</v>
      </c>
      <c r="T10" s="37">
        <f t="shared" si="11"/>
        <v>0.61955537946950123</v>
      </c>
      <c r="U10" s="38">
        <f t="shared" si="4"/>
        <v>0.15676643908310761</v>
      </c>
      <c r="V10" s="3">
        <f t="shared" si="5"/>
        <v>17.395499252563212</v>
      </c>
      <c r="W10" s="3">
        <f t="shared" si="0"/>
        <v>37.64414240041463</v>
      </c>
      <c r="Z10">
        <v>3654117</v>
      </c>
      <c r="AA10">
        <v>11446</v>
      </c>
      <c r="AB10">
        <v>14303</v>
      </c>
      <c r="AC10">
        <v>47.3</v>
      </c>
      <c r="AE10" s="3">
        <f t="shared" si="1"/>
        <v>12418.91</v>
      </c>
      <c r="AF10" s="3">
        <f t="shared" si="2"/>
        <v>15518.754999999999</v>
      </c>
      <c r="AG10" s="3">
        <f t="shared" si="3"/>
        <v>51.320499999999996</v>
      </c>
      <c r="AH10" s="3">
        <f t="shared" si="6"/>
        <v>14.044569454125305</v>
      </c>
      <c r="AL10" s="39">
        <f>AF8</f>
        <v>8846.0049999999992</v>
      </c>
      <c r="AM10" s="38">
        <v>0.8</v>
      </c>
      <c r="AN10" s="38">
        <f>AM10-AM11</f>
        <v>3.2981433963505946E-2</v>
      </c>
      <c r="AO10" s="42">
        <f>(V7*U7-AO8*AN8-AO9*AN9)/AN10</f>
        <v>9.1663722996735615</v>
      </c>
      <c r="AP10" s="3">
        <f t="shared" si="7"/>
        <v>31.85436449405298</v>
      </c>
    </row>
    <row r="11" spans="1:42" ht="15">
      <c r="A11" s="3">
        <f t="shared" si="8"/>
        <v>17395.499252563211</v>
      </c>
      <c r="B11" s="3">
        <f t="shared" si="9"/>
        <v>17385.80533619682</v>
      </c>
      <c r="C11" s="16" t="s">
        <v>104</v>
      </c>
      <c r="D11" s="17">
        <v>5907523</v>
      </c>
      <c r="E11" s="17">
        <v>102764311.93099999</v>
      </c>
      <c r="F11" s="17">
        <v>1757682.568</v>
      </c>
      <c r="G11" s="17">
        <v>3105770</v>
      </c>
      <c r="H11" s="17">
        <v>53996312.638999999</v>
      </c>
      <c r="I11" s="17">
        <v>3993610</v>
      </c>
      <c r="J11" s="17">
        <v>75874898.458000004</v>
      </c>
      <c r="K11" s="17">
        <v>2131570</v>
      </c>
      <c r="L11" s="18">
        <v>39946616.380999997</v>
      </c>
      <c r="N11" s="3" t="str">
        <f t="shared" si="10"/>
        <v>(5907523,102764311.931,1757682.568),</v>
      </c>
      <c r="S11" s="3">
        <v>20000</v>
      </c>
      <c r="T11" s="37">
        <f t="shared" si="11"/>
        <v>0.46278894038639362</v>
      </c>
      <c r="U11" s="38">
        <f t="shared" si="4"/>
        <v>0.18126699429818199</v>
      </c>
      <c r="V11" s="3">
        <f t="shared" si="5"/>
        <v>24.586787626969169</v>
      </c>
      <c r="W11" s="3">
        <f t="shared" si="0"/>
        <v>44.503225246912493</v>
      </c>
      <c r="Z11">
        <v>3620963</v>
      </c>
      <c r="AA11">
        <v>14303</v>
      </c>
      <c r="AB11">
        <v>17092</v>
      </c>
      <c r="AC11">
        <v>56.7</v>
      </c>
      <c r="AE11" s="3">
        <f t="shared" si="1"/>
        <v>15518.754999999999</v>
      </c>
      <c r="AF11" s="3">
        <f t="shared" si="2"/>
        <v>18544.82</v>
      </c>
      <c r="AG11" s="3">
        <f t="shared" si="3"/>
        <v>61.519500000000001</v>
      </c>
      <c r="AH11" s="3">
        <f t="shared" si="6"/>
        <v>16.98981734969399</v>
      </c>
      <c r="AL11" s="3">
        <f>S8</f>
        <v>10000</v>
      </c>
      <c r="AM11" s="38">
        <f>T8</f>
        <v>0.7670185660364941</v>
      </c>
      <c r="AN11" s="38">
        <f>AM11-AM12</f>
        <v>5.6827274573989062E-2</v>
      </c>
      <c r="AO11" s="40">
        <f>V8</f>
        <v>11.009952616350745</v>
      </c>
      <c r="AP11" s="3">
        <f t="shared" si="7"/>
        <v>32.829937380365436</v>
      </c>
    </row>
    <row r="12" spans="1:42" ht="15">
      <c r="A12" s="3">
        <f t="shared" si="8"/>
        <v>24586.78762696917</v>
      </c>
      <c r="B12" s="3">
        <f t="shared" si="9"/>
        <v>24625.644494813605</v>
      </c>
      <c r="C12" s="16" t="s">
        <v>105</v>
      </c>
      <c r="D12" s="17">
        <v>6830792</v>
      </c>
      <c r="E12" s="17">
        <v>167947232.22799999</v>
      </c>
      <c r="F12" s="17">
        <v>5647709.3760000011</v>
      </c>
      <c r="G12" s="17">
        <v>3927006</v>
      </c>
      <c r="H12" s="17">
        <v>96705053.685000002</v>
      </c>
      <c r="I12" s="17">
        <v>4715807</v>
      </c>
      <c r="J12" s="17">
        <v>119936929.161</v>
      </c>
      <c r="K12" s="17">
        <v>2607704</v>
      </c>
      <c r="L12" s="18">
        <v>61870041.361000001</v>
      </c>
      <c r="N12" s="3" t="str">
        <f t="shared" si="10"/>
        <v>(6830792,167947232.228,5647709.376),</v>
      </c>
      <c r="S12" s="3">
        <v>30000</v>
      </c>
      <c r="T12" s="37">
        <f t="shared" si="11"/>
        <v>0.28152194608821163</v>
      </c>
      <c r="U12" s="38">
        <f t="shared" si="4"/>
        <v>0.17391270657696009</v>
      </c>
      <c r="V12" s="3">
        <f t="shared" si="5"/>
        <v>38.232195016949319</v>
      </c>
      <c r="W12" s="3">
        <f t="shared" si="0"/>
        <v>57.32706663710789</v>
      </c>
      <c r="Z12">
        <v>3592892</v>
      </c>
      <c r="AA12">
        <v>17092</v>
      </c>
      <c r="AB12">
        <v>20732</v>
      </c>
      <c r="AC12">
        <v>67.599999999999994</v>
      </c>
      <c r="AE12" s="3">
        <f t="shared" si="1"/>
        <v>18544.82</v>
      </c>
      <c r="AF12" s="3">
        <f t="shared" si="2"/>
        <v>22494.219999999998</v>
      </c>
      <c r="AG12" s="3">
        <f t="shared" si="3"/>
        <v>73.345999999999989</v>
      </c>
      <c r="AH12" s="3">
        <f t="shared" si="6"/>
        <v>20.414195583947411</v>
      </c>
      <c r="AL12" s="3">
        <f>S9</f>
        <v>12000</v>
      </c>
      <c r="AM12" s="38">
        <f>T9</f>
        <v>0.71019129146250504</v>
      </c>
      <c r="AN12" s="38">
        <f>AM12-AM13</f>
        <v>9.0635911993003804E-2</v>
      </c>
      <c r="AO12" s="40">
        <f>V9</f>
        <v>13.602499664615911</v>
      </c>
      <c r="AP12" s="3">
        <f t="shared" si="7"/>
        <v>34.57590396752456</v>
      </c>
    </row>
    <row r="13" spans="1:42" ht="15">
      <c r="A13" s="3">
        <f t="shared" si="8"/>
        <v>38232.195016949321</v>
      </c>
      <c r="B13" s="3">
        <f t="shared" si="9"/>
        <v>38843.479008927432</v>
      </c>
      <c r="C13" s="16" t="s">
        <v>106</v>
      </c>
      <c r="D13" s="17">
        <v>6553656</v>
      </c>
      <c r="E13" s="17">
        <v>250560654.266</v>
      </c>
      <c r="F13" s="17">
        <v>13309362.325999999</v>
      </c>
      <c r="G13" s="17">
        <v>5134397</v>
      </c>
      <c r="H13" s="17">
        <v>199437842.09299999</v>
      </c>
      <c r="I13" s="17">
        <v>4657642</v>
      </c>
      <c r="J13" s="17">
        <v>178508065.55899999</v>
      </c>
      <c r="K13" s="17">
        <v>2595405</v>
      </c>
      <c r="L13" s="18">
        <v>83917149.461999997</v>
      </c>
      <c r="N13" s="3" t="str">
        <f t="shared" si="10"/>
        <v>(6553656,250560654.266,13309362.326),</v>
      </c>
      <c r="S13" s="3">
        <v>50000</v>
      </c>
      <c r="T13" s="37">
        <f t="shared" si="11"/>
        <v>0.10760923951125154</v>
      </c>
      <c r="U13" s="38">
        <f t="shared" si="4"/>
        <v>8.772889104662121E-2</v>
      </c>
      <c r="V13" s="3">
        <f t="shared" si="5"/>
        <v>65.757939213355357</v>
      </c>
      <c r="W13" s="3">
        <f t="shared" si="0"/>
        <v>88.187249464198075</v>
      </c>
      <c r="Z13">
        <v>3633289</v>
      </c>
      <c r="AA13">
        <v>20732</v>
      </c>
      <c r="AB13">
        <v>26288</v>
      </c>
      <c r="AC13">
        <v>85.3</v>
      </c>
      <c r="AE13" s="3">
        <f t="shared" si="1"/>
        <v>22494.219999999998</v>
      </c>
      <c r="AF13" s="3">
        <f t="shared" si="2"/>
        <v>28522.48</v>
      </c>
      <c r="AG13" s="3">
        <f t="shared" si="3"/>
        <v>92.5505</v>
      </c>
      <c r="AH13" s="3">
        <f t="shared" si="6"/>
        <v>25.472925495329438</v>
      </c>
      <c r="AL13" s="3">
        <f>S10</f>
        <v>15000</v>
      </c>
      <c r="AM13" s="38">
        <f>T10</f>
        <v>0.61955537946950123</v>
      </c>
      <c r="AN13" s="38">
        <f>AM13-AM14</f>
        <v>0.11955537946950123</v>
      </c>
      <c r="AO13" s="41">
        <f>(U10*V10-AO14*AN14)/AN13</f>
        <v>16.811319452187892</v>
      </c>
      <c r="AP13" s="3">
        <f t="shared" si="7"/>
        <v>37.64414240041463</v>
      </c>
    </row>
    <row r="14" spans="1:42" ht="15">
      <c r="A14" s="3">
        <f t="shared" si="8"/>
        <v>65757.939213355363</v>
      </c>
      <c r="B14" s="3">
        <f t="shared" si="9"/>
        <v>65915.885871743652</v>
      </c>
      <c r="C14" s="16" t="s">
        <v>107</v>
      </c>
      <c r="D14" s="17">
        <v>3305940</v>
      </c>
      <c r="E14" s="17">
        <v>217391801.56299999</v>
      </c>
      <c r="F14" s="17">
        <v>20630440.587000001</v>
      </c>
      <c r="G14" s="17">
        <v>3121015</v>
      </c>
      <c r="H14" s="17">
        <v>205724468.544</v>
      </c>
      <c r="I14" s="17">
        <v>2517357</v>
      </c>
      <c r="J14" s="17">
        <v>155799009.12200001</v>
      </c>
      <c r="K14" s="17">
        <v>1131280</v>
      </c>
      <c r="L14" s="18">
        <v>51660986.218999997</v>
      </c>
      <c r="N14" s="3" t="str">
        <f t="shared" si="10"/>
        <v>(3305940,217391801.563,20630440.587),</v>
      </c>
      <c r="S14" s="3">
        <v>100000</v>
      </c>
      <c r="T14" s="37">
        <f t="shared" si="11"/>
        <v>1.9880348464630326E-2</v>
      </c>
      <c r="U14" s="38">
        <f t="shared" si="4"/>
        <v>1.5867541300133386E-2</v>
      </c>
      <c r="V14" s="3">
        <f>E16/D16</f>
        <v>131.3088842387105</v>
      </c>
      <c r="W14" s="3">
        <f t="shared" si="0"/>
        <v>187.16431310811913</v>
      </c>
      <c r="Z14">
        <v>3630599</v>
      </c>
      <c r="AA14">
        <v>26288</v>
      </c>
      <c r="AB14">
        <v>33632</v>
      </c>
      <c r="AC14">
        <v>107.8</v>
      </c>
      <c r="AE14" s="3">
        <f t="shared" si="1"/>
        <v>28522.48</v>
      </c>
      <c r="AF14" s="3">
        <f t="shared" si="2"/>
        <v>36490.720000000001</v>
      </c>
      <c r="AG14" s="3">
        <f t="shared" si="3"/>
        <v>116.96299999999999</v>
      </c>
      <c r="AH14" s="3">
        <f t="shared" si="6"/>
        <v>32.215896054617986</v>
      </c>
      <c r="AL14" s="39">
        <f>AF11</f>
        <v>18544.82</v>
      </c>
      <c r="AM14" s="36">
        <v>0.5</v>
      </c>
      <c r="AN14" s="38">
        <f>AM14-AM15</f>
        <v>3.7211059613606379E-2</v>
      </c>
      <c r="AO14" s="42">
        <f>AVERAGE(AL14:AL15)/1000</f>
        <v>19.272410000000001</v>
      </c>
      <c r="AP14" s="3">
        <f t="shared" si="7"/>
        <v>42.625494506406994</v>
      </c>
    </row>
    <row r="15" spans="1:42" ht="15">
      <c r="A15" s="3">
        <f t="shared" si="8"/>
        <v>187164.31310809532</v>
      </c>
      <c r="B15" s="3">
        <f t="shared" si="9"/>
        <v>188186.65336753606</v>
      </c>
      <c r="C15" s="19" t="s">
        <v>108</v>
      </c>
      <c r="D15" s="20">
        <v>749163</v>
      </c>
      <c r="E15" s="20">
        <v>140216578.301</v>
      </c>
      <c r="F15" s="20">
        <v>28027791.574000001</v>
      </c>
      <c r="G15" s="20">
        <v>727817</v>
      </c>
      <c r="H15" s="20">
        <v>136965445.49399999</v>
      </c>
      <c r="I15" s="20">
        <v>590890</v>
      </c>
      <c r="J15" s="20">
        <v>73933363.322999999</v>
      </c>
      <c r="K15" s="20">
        <v>207206</v>
      </c>
      <c r="L15" s="21">
        <v>12208835.338</v>
      </c>
      <c r="S15" s="3">
        <v>200000</v>
      </c>
      <c r="T15" s="37">
        <f>T14-D16/$D$34</f>
        <v>4.0128071644969406E-3</v>
      </c>
      <c r="U15" s="38">
        <f t="shared" si="4"/>
        <v>2.3400898985354236E-3</v>
      </c>
      <c r="V15" s="3">
        <f t="shared" ref="V15:V31" si="12">E17/D17</f>
        <v>239.21781319528708</v>
      </c>
      <c r="W15" s="3">
        <f t="shared" si="0"/>
        <v>408.02923088024244</v>
      </c>
      <c r="Z15">
        <v>3619048</v>
      </c>
      <c r="AA15">
        <v>33632</v>
      </c>
      <c r="AB15">
        <v>47030</v>
      </c>
      <c r="AC15">
        <v>142.69999999999999</v>
      </c>
      <c r="AE15" s="3">
        <f t="shared" si="1"/>
        <v>36490.720000000001</v>
      </c>
      <c r="AF15" s="3">
        <f t="shared" si="2"/>
        <v>51027.549999999996</v>
      </c>
      <c r="AG15" s="3">
        <f t="shared" si="3"/>
        <v>154.8295</v>
      </c>
      <c r="AH15" s="3">
        <f t="shared" si="6"/>
        <v>42.78183102296515</v>
      </c>
      <c r="AL15" s="3">
        <f>S11</f>
        <v>20000</v>
      </c>
      <c r="AM15" s="38">
        <f>T11</f>
        <v>0.46278894038639362</v>
      </c>
      <c r="AN15" s="38">
        <f>AM15-AM16</f>
        <v>6.2788940386393599E-2</v>
      </c>
      <c r="AO15" s="3">
        <f>AVERAGE(AL15:AL16)/1000</f>
        <v>21.247109999999999</v>
      </c>
      <c r="AP15" s="3">
        <f t="shared" si="7"/>
        <v>44.503225246912493</v>
      </c>
    </row>
    <row r="16" spans="1:42" ht="15">
      <c r="A16" s="3">
        <f t="shared" si="8"/>
        <v>131308.88423871051</v>
      </c>
      <c r="B16" s="3">
        <f t="shared" si="9"/>
        <v>131390.1076187187</v>
      </c>
      <c r="C16" s="22" t="s">
        <v>109</v>
      </c>
      <c r="D16" s="23">
        <v>597946</v>
      </c>
      <c r="E16" s="23">
        <v>78515622.094999999</v>
      </c>
      <c r="F16" s="23">
        <v>12812673.619000001</v>
      </c>
      <c r="G16" s="23">
        <v>579100</v>
      </c>
      <c r="H16" s="23">
        <v>76088011.321999997</v>
      </c>
      <c r="I16" s="23">
        <v>471765</v>
      </c>
      <c r="J16" s="23">
        <v>49173701.446999997</v>
      </c>
      <c r="K16" s="23">
        <v>168217</v>
      </c>
      <c r="L16" s="24">
        <v>9660754.7899999991</v>
      </c>
      <c r="M16" s="3">
        <f t="shared" ref="M16:M35" si="13">D16/G16</f>
        <v>1.0325436021412537</v>
      </c>
      <c r="N16" s="3" t="str">
        <f t="shared" si="10"/>
        <v>(597946,78515622.095,12812673.619),</v>
      </c>
      <c r="S16" s="3">
        <v>300000</v>
      </c>
      <c r="T16" s="37">
        <f>T15-D17/$D$34</f>
        <v>1.6727172659615169E-3</v>
      </c>
      <c r="U16" s="38">
        <f t="shared" si="4"/>
        <v>7.4947732561078629E-4</v>
      </c>
      <c r="V16" s="3">
        <f t="shared" si="12"/>
        <v>342.40782909039405</v>
      </c>
      <c r="W16" s="3">
        <f t="shared" si="0"/>
        <v>644.19221031534346</v>
      </c>
      <c r="Z16">
        <v>3642875</v>
      </c>
      <c r="AA16">
        <v>47030</v>
      </c>
      <c r="AC16">
        <v>286.60000000000002</v>
      </c>
      <c r="AE16" s="3">
        <f t="shared" si="1"/>
        <v>51027.549999999996</v>
      </c>
      <c r="AF16" s="3">
        <f t="shared" si="2"/>
        <v>0</v>
      </c>
      <c r="AG16" s="3">
        <f t="shared" si="3"/>
        <v>310.96100000000001</v>
      </c>
      <c r="AH16" s="3">
        <f t="shared" si="6"/>
        <v>85.361424698898531</v>
      </c>
      <c r="AL16" s="39">
        <f>AE13</f>
        <v>22494.219999999998</v>
      </c>
      <c r="AM16" s="38">
        <v>0.4</v>
      </c>
      <c r="AN16" s="38">
        <f>AM16-AM17</f>
        <v>0.10000000000000003</v>
      </c>
      <c r="AO16" s="3">
        <f>(U11*V11-AO15*AN15-AO17*AN17)/AN16</f>
        <v>25.819987991695061</v>
      </c>
      <c r="AP16" s="3">
        <f t="shared" si="7"/>
        <v>48.153792331556218</v>
      </c>
    </row>
    <row r="17" spans="1:42" ht="15">
      <c r="A17" s="3">
        <f t="shared" si="8"/>
        <v>239217.81319528708</v>
      </c>
      <c r="B17" s="3">
        <f t="shared" si="9"/>
        <v>239267.63270948041</v>
      </c>
      <c r="C17" s="25" t="s">
        <v>110</v>
      </c>
      <c r="D17" s="26">
        <v>88183</v>
      </c>
      <c r="E17" s="26">
        <v>21094944.421</v>
      </c>
      <c r="F17" s="26">
        <v>4697851.34</v>
      </c>
      <c r="G17" s="26">
        <v>86452</v>
      </c>
      <c r="H17" s="26">
        <v>20685165.383000001</v>
      </c>
      <c r="I17" s="26">
        <v>69118</v>
      </c>
      <c r="J17" s="26">
        <v>10664543.923</v>
      </c>
      <c r="K17" s="26">
        <v>22488</v>
      </c>
      <c r="L17" s="27">
        <v>1365351.2819999999</v>
      </c>
      <c r="M17" s="3">
        <f t="shared" si="13"/>
        <v>1.0200226715402767</v>
      </c>
      <c r="N17" s="3" t="str">
        <f t="shared" si="10"/>
        <v>(88183,21094944.421,4697851.34),</v>
      </c>
      <c r="S17" s="3">
        <f>S16+100000</f>
        <v>400000</v>
      </c>
      <c r="T17" s="37">
        <f>T16-D18/$D$34</f>
        <v>9.2323994035073062E-4</v>
      </c>
      <c r="U17" s="38">
        <f t="shared" si="4"/>
        <v>3.3231967385277336E-4</v>
      </c>
      <c r="V17" s="3">
        <f t="shared" si="12"/>
        <v>444.58882232691843</v>
      </c>
      <c r="W17" s="3">
        <f t="shared" si="0"/>
        <v>889.17787554301674</v>
      </c>
      <c r="AC17">
        <f>SUM(AC7:AC16)</f>
        <v>853.9</v>
      </c>
      <c r="AL17" s="39">
        <f>AE14</f>
        <v>28522.48</v>
      </c>
      <c r="AM17" s="38">
        <v>0.3</v>
      </c>
      <c r="AN17" s="38">
        <f>AM17-AM18</f>
        <v>1.8478053911788361E-2</v>
      </c>
      <c r="AO17" s="3">
        <f>AVERAGE(AL17:AL18)/1000</f>
        <v>29.261239999999997</v>
      </c>
      <c r="AP17" s="3">
        <f t="shared" si="7"/>
        <v>55.5983937781766</v>
      </c>
    </row>
    <row r="18" spans="1:42">
      <c r="A18" s="3">
        <f t="shared" si="8"/>
        <v>342407.82909039402</v>
      </c>
      <c r="B18" s="3">
        <f t="shared" si="9"/>
        <v>342416.17638400226</v>
      </c>
      <c r="C18" s="25" t="s">
        <v>111</v>
      </c>
      <c r="D18" s="26">
        <v>28243</v>
      </c>
      <c r="E18" s="26">
        <v>9670624.3169999998</v>
      </c>
      <c r="F18" s="26">
        <v>2422618.7170000002</v>
      </c>
      <c r="G18" s="26">
        <v>27854</v>
      </c>
      <c r="H18" s="26">
        <v>9537660.1769999992</v>
      </c>
      <c r="I18" s="26">
        <v>22080</v>
      </c>
      <c r="J18" s="26">
        <v>4371158.2029999997</v>
      </c>
      <c r="K18" s="26">
        <v>7231</v>
      </c>
      <c r="L18" s="27">
        <v>470990.76199999999</v>
      </c>
      <c r="M18" s="3">
        <f t="shared" si="13"/>
        <v>1.0139656781790767</v>
      </c>
      <c r="N18" s="3" t="str">
        <f t="shared" si="10"/>
        <v>(28243,9670624.317,2422618.717),</v>
      </c>
      <c r="S18" s="3">
        <f>S17+100000</f>
        <v>500000</v>
      </c>
      <c r="T18" s="37">
        <f>T17-D19/$D$34</f>
        <v>5.9092026649795726E-4</v>
      </c>
      <c r="U18" s="38">
        <f t="shared" si="4"/>
        <v>1.7386876172509553E-4</v>
      </c>
      <c r="V18" s="3">
        <f t="shared" si="12"/>
        <v>545.20831562881563</v>
      </c>
      <c r="W18" s="3">
        <f t="shared" si="0"/>
        <v>1139.2043131855949</v>
      </c>
      <c r="AL18" s="3">
        <f>S12</f>
        <v>30000</v>
      </c>
      <c r="AM18" s="3">
        <f>T12</f>
        <v>0.28152194608821163</v>
      </c>
      <c r="AN18" s="38">
        <f>AM18-AM19</f>
        <v>8.1521946088211616E-2</v>
      </c>
      <c r="AO18" s="3">
        <f>AVERAGE(AL18:AL19)/1000</f>
        <v>33.245359999999998</v>
      </c>
      <c r="AP18" s="3">
        <f t="shared" si="7"/>
        <v>57.32706663710789</v>
      </c>
    </row>
    <row r="19" spans="1:42">
      <c r="A19" s="3">
        <f t="shared" si="8"/>
        <v>444588.82232691842</v>
      </c>
      <c r="B19" s="3">
        <f t="shared" si="9"/>
        <v>444533.31604918296</v>
      </c>
      <c r="C19" s="25" t="s">
        <v>112</v>
      </c>
      <c r="D19" s="26">
        <v>12523</v>
      </c>
      <c r="E19" s="26">
        <v>5567585.8219999997</v>
      </c>
      <c r="F19" s="26">
        <v>1464664.9040000001</v>
      </c>
      <c r="G19" s="26">
        <v>12362</v>
      </c>
      <c r="H19" s="26">
        <v>5495320.8530000001</v>
      </c>
      <c r="I19" s="26">
        <v>9933</v>
      </c>
      <c r="J19" s="26">
        <v>2383452.037</v>
      </c>
      <c r="K19" s="26">
        <v>3135</v>
      </c>
      <c r="L19" s="27">
        <v>213226.79800000001</v>
      </c>
      <c r="M19" s="3">
        <f t="shared" si="13"/>
        <v>1.0130237825594564</v>
      </c>
      <c r="N19" s="3" t="str">
        <f t="shared" si="10"/>
        <v>(12523,5567585.822,1464664.904),</v>
      </c>
      <c r="S19" s="3">
        <f>S18+100000</f>
        <v>600000</v>
      </c>
      <c r="T19" s="37">
        <f>T18-D20/$D$34</f>
        <v>4.1705150477286174E-4</v>
      </c>
      <c r="U19" s="38">
        <f t="shared" si="4"/>
        <v>1.0320140634140663E-4</v>
      </c>
      <c r="V19" s="3">
        <f t="shared" si="12"/>
        <v>646.14541990228849</v>
      </c>
      <c r="W19" s="3">
        <f t="shared" si="0"/>
        <v>1386.8412294487503</v>
      </c>
      <c r="AD19" s="39"/>
      <c r="AE19" s="39"/>
      <c r="AF19" s="39" t="s">
        <v>140</v>
      </c>
      <c r="AG19" s="39"/>
      <c r="AL19" s="39">
        <f>AE15</f>
        <v>36490.720000000001</v>
      </c>
      <c r="AM19" s="38">
        <v>0.2</v>
      </c>
      <c r="AN19" s="38">
        <f>AM19-AM20</f>
        <v>9.2390760488748475E-2</v>
      </c>
      <c r="AO19" s="3">
        <f>(V12*U12-AO18*AN18)/AN19</f>
        <v>42.632380633475954</v>
      </c>
      <c r="AP19" s="3">
        <f t="shared" si="7"/>
        <v>67.143004588020077</v>
      </c>
    </row>
    <row r="20" spans="1:42">
      <c r="A20" s="3">
        <f t="shared" si="8"/>
        <v>545208.31562881568</v>
      </c>
      <c r="B20" s="3">
        <f t="shared" si="9"/>
        <v>545258.45962637023</v>
      </c>
      <c r="C20" s="25" t="s">
        <v>113</v>
      </c>
      <c r="D20" s="26">
        <v>6552</v>
      </c>
      <c r="E20" s="26">
        <v>3572204.8840000001</v>
      </c>
      <c r="F20" s="26">
        <v>965369.51</v>
      </c>
      <c r="G20" s="26">
        <v>6477</v>
      </c>
      <c r="H20" s="26">
        <v>3531639.0430000001</v>
      </c>
      <c r="I20" s="26">
        <v>5180</v>
      </c>
      <c r="J20" s="26">
        <v>1428637.0149999999</v>
      </c>
      <c r="K20" s="26">
        <v>1724</v>
      </c>
      <c r="L20" s="27">
        <v>122399.76</v>
      </c>
      <c r="M20" s="3">
        <f t="shared" si="13"/>
        <v>1.0115794349235758</v>
      </c>
      <c r="N20" s="3" t="str">
        <f t="shared" si="10"/>
        <v>(6552,3572204.884,965369.51),</v>
      </c>
      <c r="S20" s="3">
        <f>S19+100000</f>
        <v>700000</v>
      </c>
      <c r="T20" s="37">
        <f>T19-D21/$D$34</f>
        <v>3.1385009843145511E-4</v>
      </c>
      <c r="U20" s="38">
        <f t="shared" si="4"/>
        <v>6.5174248900615758E-5</v>
      </c>
      <c r="V20" s="3">
        <f t="shared" si="12"/>
        <v>746.48158102605862</v>
      </c>
      <c r="W20" s="3">
        <f t="shared" si="0"/>
        <v>1630.3996976423684</v>
      </c>
      <c r="AD20" s="39">
        <v>12000</v>
      </c>
      <c r="AE20" s="39">
        <f>(12000-AE9)/(AE10-AE9)*10</f>
        <v>8.8275366963297373</v>
      </c>
      <c r="AF20" s="39">
        <v>9</v>
      </c>
      <c r="AG20" s="39">
        <f>AF20-AE20</f>
        <v>0.17246330367026275</v>
      </c>
      <c r="AL20" s="3">
        <f>S13</f>
        <v>50000</v>
      </c>
      <c r="AM20" s="3">
        <f>T13</f>
        <v>0.10760923951125154</v>
      </c>
      <c r="AN20" s="38">
        <f>AM20-AM21</f>
        <v>8.772889104662121E-2</v>
      </c>
      <c r="AO20" s="3">
        <f>V13</f>
        <v>65.757939213355357</v>
      </c>
      <c r="AP20" s="3">
        <f t="shared" si="7"/>
        <v>88.187249464198075</v>
      </c>
    </row>
    <row r="21" spans="1:42">
      <c r="A21" s="3">
        <f t="shared" si="8"/>
        <v>646145.41990228847</v>
      </c>
      <c r="B21" s="3">
        <f t="shared" si="9"/>
        <v>646182.58335500653</v>
      </c>
      <c r="C21" s="25" t="s">
        <v>114</v>
      </c>
      <c r="D21" s="26">
        <v>3889</v>
      </c>
      <c r="E21" s="26">
        <v>2512859.5380000002</v>
      </c>
      <c r="F21" s="26">
        <v>685320.67</v>
      </c>
      <c r="G21" s="26">
        <v>3845</v>
      </c>
      <c r="H21" s="26">
        <v>2484572.0329999998</v>
      </c>
      <c r="I21" s="26">
        <v>3107</v>
      </c>
      <c r="J21" s="26">
        <v>966437.777</v>
      </c>
      <c r="K21" s="26">
        <v>1047</v>
      </c>
      <c r="L21" s="27">
        <v>75906.812999999995</v>
      </c>
      <c r="M21" s="3">
        <f t="shared" si="13"/>
        <v>1.0114434330299089</v>
      </c>
      <c r="N21" s="3" t="str">
        <f t="shared" si="10"/>
        <v>(3889,2512859.538,685320.67),</v>
      </c>
      <c r="S21" s="3">
        <f>S20+100000</f>
        <v>800000</v>
      </c>
      <c r="T21" s="37">
        <f>T20-D22/$D$34</f>
        <v>2.4867584953083935E-4</v>
      </c>
      <c r="U21" s="38">
        <f t="shared" si="4"/>
        <v>4.5351299418221641E-5</v>
      </c>
      <c r="V21" s="3">
        <f t="shared" si="12"/>
        <v>846.013003510825</v>
      </c>
      <c r="W21" s="3">
        <f t="shared" si="0"/>
        <v>1862.0615154216241</v>
      </c>
      <c r="AD21" s="39">
        <v>10000</v>
      </c>
      <c r="AE21" s="39">
        <f>(10000-AE9)/(AE10-AE9)*10</f>
        <v>3.2298507796876788</v>
      </c>
      <c r="AF21" s="39">
        <v>3.3</v>
      </c>
      <c r="AG21" s="39">
        <f t="shared" ref="AG21:AG22" si="14">AF21-AE21</f>
        <v>7.014922031232107E-2</v>
      </c>
      <c r="AL21" s="3">
        <f>S14</f>
        <v>100000</v>
      </c>
      <c r="AM21" s="3">
        <f>T14</f>
        <v>1.9880348464630326E-2</v>
      </c>
      <c r="AN21" s="38">
        <f>AM21-AM22</f>
        <v>1.5867541300133386E-2</v>
      </c>
      <c r="AO21" s="3">
        <f>V14</f>
        <v>131.3088842387105</v>
      </c>
      <c r="AP21" s="3">
        <f t="shared" si="7"/>
        <v>187.16431310811913</v>
      </c>
    </row>
    <row r="22" spans="1:42">
      <c r="A22" s="3">
        <f t="shared" si="8"/>
        <v>746481.58102605864</v>
      </c>
      <c r="B22" s="3">
        <f t="shared" si="9"/>
        <v>746469.09330045211</v>
      </c>
      <c r="C22" s="25" t="s">
        <v>115</v>
      </c>
      <c r="D22" s="26">
        <v>2456</v>
      </c>
      <c r="E22" s="26">
        <v>1833358.763</v>
      </c>
      <c r="F22" s="26">
        <v>511723.79</v>
      </c>
      <c r="G22" s="26">
        <v>2433</v>
      </c>
      <c r="H22" s="26">
        <v>1816159.304</v>
      </c>
      <c r="I22" s="26">
        <v>1963</v>
      </c>
      <c r="J22" s="26">
        <v>679323.60900000005</v>
      </c>
      <c r="K22" s="26">
        <v>665</v>
      </c>
      <c r="L22" s="27">
        <v>52116.999000000003</v>
      </c>
      <c r="M22" s="3">
        <f t="shared" si="13"/>
        <v>1.0094533497739417</v>
      </c>
      <c r="N22" s="3" t="str">
        <f t="shared" si="10"/>
        <v>(2456,1833358.763,511723.79),</v>
      </c>
      <c r="S22" s="3">
        <f>S21+100000</f>
        <v>900000</v>
      </c>
      <c r="T22" s="37">
        <f>T21-D23/$D$34</f>
        <v>2.0332455011261771E-4</v>
      </c>
      <c r="U22" s="38">
        <f t="shared" si="4"/>
        <v>3.3091322629913628E-5</v>
      </c>
      <c r="V22" s="3">
        <f t="shared" si="12"/>
        <v>947.21125741780281</v>
      </c>
      <c r="W22" s="3">
        <f t="shared" si="0"/>
        <v>2088.6899292633507</v>
      </c>
      <c r="AD22" s="39">
        <v>15000</v>
      </c>
      <c r="AE22" s="39">
        <f>(15000-AE10)/(AE11-AE10)*10</f>
        <v>8.3265130998485422</v>
      </c>
      <c r="AF22" s="39">
        <f>(1-T10)*100-30</f>
        <v>8.0444620530498767</v>
      </c>
      <c r="AG22" s="39">
        <f t="shared" si="14"/>
        <v>-0.28205104679866544</v>
      </c>
      <c r="AL22" s="3">
        <f>S15</f>
        <v>200000</v>
      </c>
      <c r="AM22" s="3">
        <f>T15</f>
        <v>4.0128071644969406E-3</v>
      </c>
      <c r="AN22" s="38">
        <f>AM22-AM23</f>
        <v>2.3400898985354236E-3</v>
      </c>
      <c r="AO22" s="3">
        <f>V15</f>
        <v>239.21781319528708</v>
      </c>
      <c r="AP22" s="3">
        <f t="shared" si="7"/>
        <v>408.02923088024244</v>
      </c>
    </row>
    <row r="23" spans="1:42">
      <c r="A23" s="3">
        <f t="shared" si="8"/>
        <v>846013.00351082499</v>
      </c>
      <c r="B23" s="3">
        <f t="shared" si="9"/>
        <v>845972.3129051266</v>
      </c>
      <c r="C23" s="25" t="s">
        <v>116</v>
      </c>
      <c r="D23" s="26">
        <v>1709</v>
      </c>
      <c r="E23" s="26">
        <v>1445836.223</v>
      </c>
      <c r="F23" s="26">
        <v>405218.84899999999</v>
      </c>
      <c r="G23" s="26">
        <v>1697</v>
      </c>
      <c r="H23" s="26">
        <v>1435615.0149999999</v>
      </c>
      <c r="I23" s="26">
        <v>1404</v>
      </c>
      <c r="J23" s="26">
        <v>537150.85</v>
      </c>
      <c r="K23" s="26">
        <v>493</v>
      </c>
      <c r="L23" s="27">
        <v>42178.555</v>
      </c>
      <c r="M23" s="3">
        <f t="shared" si="13"/>
        <v>1.0070713022981732</v>
      </c>
      <c r="N23" s="3" t="str">
        <f t="shared" si="10"/>
        <v>(1709,1445836.223,405218.849),</v>
      </c>
      <c r="S23" s="3">
        <f>S22+100000</f>
        <v>1000000</v>
      </c>
      <c r="T23" s="37">
        <f>T22-D24/$D$34</f>
        <v>1.7023322748270408E-4</v>
      </c>
      <c r="U23" s="38">
        <f t="shared" si="4"/>
        <v>1.1843349871475903E-4</v>
      </c>
      <c r="V23" s="3">
        <f t="shared" si="12"/>
        <v>1354.491363880798</v>
      </c>
      <c r="W23" s="3">
        <f t="shared" si="0"/>
        <v>2310.579859706243</v>
      </c>
      <c r="AL23" s="3">
        <f>S16</f>
        <v>300000</v>
      </c>
      <c r="AM23" s="3">
        <f>T16</f>
        <v>1.6727172659615169E-3</v>
      </c>
      <c r="AN23" s="38">
        <f>AM23-AM24</f>
        <v>7.4947732561078629E-4</v>
      </c>
      <c r="AO23" s="3">
        <f>V16</f>
        <v>342.40782909039405</v>
      </c>
      <c r="AP23" s="3">
        <f t="shared" si="7"/>
        <v>644.19221031534346</v>
      </c>
    </row>
    <row r="24" spans="1:42">
      <c r="A24" s="3">
        <f t="shared" si="8"/>
        <v>947211.25741780282</v>
      </c>
      <c r="B24" s="3" t="e">
        <f t="shared" si="9"/>
        <v>#VALUE!</v>
      </c>
      <c r="C24" s="25" t="s">
        <v>117</v>
      </c>
      <c r="D24" s="26">
        <v>1247</v>
      </c>
      <c r="E24" s="26">
        <v>1181172.4380000001</v>
      </c>
      <c r="F24" s="26">
        <v>330407.27500000002</v>
      </c>
      <c r="G24" s="26" t="s">
        <v>118</v>
      </c>
      <c r="H24" s="26" t="s">
        <v>118</v>
      </c>
      <c r="I24" s="26">
        <v>1007</v>
      </c>
      <c r="J24" s="26">
        <v>422670.47100000002</v>
      </c>
      <c r="K24" s="26">
        <v>347</v>
      </c>
      <c r="L24" s="27">
        <v>29551.207999999999</v>
      </c>
      <c r="M24" s="3" t="e">
        <f t="shared" si="13"/>
        <v>#VALUE!</v>
      </c>
      <c r="N24" s="3" t="str">
        <f t="shared" si="10"/>
        <v>(1247,1181172.438,330407.275),</v>
      </c>
      <c r="S24" s="3">
        <v>2000000</v>
      </c>
      <c r="T24" s="37">
        <f>T23-D25/$D$34</f>
        <v>5.1799728767945049E-5</v>
      </c>
      <c r="U24" s="38">
        <f t="shared" si="4"/>
        <v>2.5952937876548137E-5</v>
      </c>
      <c r="V24" s="3">
        <f t="shared" si="12"/>
        <v>2402.3072832310841</v>
      </c>
      <c r="W24" s="3">
        <f t="shared" si="0"/>
        <v>4496.5547351501864</v>
      </c>
      <c r="AL24" s="3">
        <f>S17</f>
        <v>400000</v>
      </c>
      <c r="AM24" s="3">
        <f>T17</f>
        <v>9.2323994035073062E-4</v>
      </c>
      <c r="AN24" s="38">
        <f>AM24-AM25</f>
        <v>3.3231967385277336E-4</v>
      </c>
      <c r="AO24" s="3">
        <f>V17</f>
        <v>444.58882232691843</v>
      </c>
      <c r="AP24" s="3">
        <f t="shared" si="7"/>
        <v>889.17787554301674</v>
      </c>
    </row>
    <row r="25" spans="1:42">
      <c r="A25" s="3">
        <f t="shared" si="8"/>
        <v>1354491.363880798</v>
      </c>
      <c r="B25" s="3">
        <f t="shared" si="9"/>
        <v>1353190.5920814483</v>
      </c>
      <c r="C25" s="25" t="s">
        <v>119</v>
      </c>
      <c r="D25" s="26">
        <v>4463</v>
      </c>
      <c r="E25" s="26">
        <v>6045094.9570000013</v>
      </c>
      <c r="F25" s="26">
        <v>1605428.388</v>
      </c>
      <c r="G25" s="26">
        <v>4420</v>
      </c>
      <c r="H25" s="26">
        <v>5981102.4170000013</v>
      </c>
      <c r="I25" s="26">
        <v>3670</v>
      </c>
      <c r="J25" s="26">
        <v>1820253.2779999999</v>
      </c>
      <c r="K25" s="26">
        <v>1296</v>
      </c>
      <c r="L25" s="27">
        <v>120238.53599999999</v>
      </c>
      <c r="M25" s="3">
        <f t="shared" si="13"/>
        <v>1.0097285067873303</v>
      </c>
      <c r="N25" s="3" t="str">
        <f t="shared" si="10"/>
        <v>(4463,6045094.957,1605428.388),</v>
      </c>
      <c r="S25" s="3">
        <f>S24+$S$23</f>
        <v>3000000</v>
      </c>
      <c r="T25" s="37">
        <f>T24-D26/$D$34</f>
        <v>2.5846790891396912E-5</v>
      </c>
      <c r="U25" s="38">
        <f t="shared" si="4"/>
        <v>1.032279430877017E-5</v>
      </c>
      <c r="V25" s="3">
        <f t="shared" si="12"/>
        <v>3443.8652005141389</v>
      </c>
      <c r="W25" s="3">
        <f t="shared" si="0"/>
        <v>6599.4027926189656</v>
      </c>
      <c r="AL25" s="3">
        <f>S18</f>
        <v>500000</v>
      </c>
      <c r="AM25" s="3">
        <f>T18</f>
        <v>5.9092026649795726E-4</v>
      </c>
      <c r="AN25" s="38">
        <f>AM25-AM26</f>
        <v>1.7386876172509553E-4</v>
      </c>
      <c r="AO25" s="3">
        <f>V18</f>
        <v>545.20831562881563</v>
      </c>
      <c r="AP25" s="3">
        <f t="shared" si="7"/>
        <v>1139.2043131855949</v>
      </c>
    </row>
    <row r="26" spans="1:42">
      <c r="A26" s="3">
        <f t="shared" si="8"/>
        <v>2402307.2832310842</v>
      </c>
      <c r="B26" s="3">
        <f t="shared" si="9"/>
        <v>2403423.8965873835</v>
      </c>
      <c r="C26" s="25" t="s">
        <v>120</v>
      </c>
      <c r="D26" s="26">
        <v>978</v>
      </c>
      <c r="E26" s="26">
        <v>2349456.523</v>
      </c>
      <c r="F26" s="26">
        <v>618765.85400000005</v>
      </c>
      <c r="G26" s="26">
        <v>967</v>
      </c>
      <c r="H26" s="26">
        <v>2324110.9079999998</v>
      </c>
      <c r="I26" s="26">
        <v>816</v>
      </c>
      <c r="J26" s="26">
        <v>601646.48699999996</v>
      </c>
      <c r="K26" s="26">
        <v>277</v>
      </c>
      <c r="L26" s="27">
        <v>27882.294999999998</v>
      </c>
      <c r="M26" s="3">
        <f t="shared" si="13"/>
        <v>1.0113753877973113</v>
      </c>
      <c r="N26" s="3" t="str">
        <f t="shared" si="10"/>
        <v>(978,2349456.523,618765.854),</v>
      </c>
      <c r="S26" s="3">
        <f>S25+$S$23</f>
        <v>4000000</v>
      </c>
      <c r="T26" s="37">
        <f>T25-D27/$D$34</f>
        <v>1.5523996582626742E-5</v>
      </c>
      <c r="U26" s="38">
        <f t="shared" si="4"/>
        <v>4.6970040942219022E-6</v>
      </c>
      <c r="V26" s="3">
        <f t="shared" si="12"/>
        <v>4478.214655367231</v>
      </c>
      <c r="W26" s="3">
        <f t="shared" si="0"/>
        <v>8697.7004393309144</v>
      </c>
      <c r="AL26" s="3">
        <f>S19</f>
        <v>600000</v>
      </c>
      <c r="AM26" s="3">
        <f>T19</f>
        <v>4.1705150477286174E-4</v>
      </c>
      <c r="AN26" s="38">
        <f>AM26-AM27</f>
        <v>1.0320140634140663E-4</v>
      </c>
      <c r="AO26" s="3">
        <f>V19</f>
        <v>646.14541990228849</v>
      </c>
      <c r="AP26" s="3">
        <f t="shared" si="7"/>
        <v>1386.8412294487503</v>
      </c>
    </row>
    <row r="27" spans="1:42">
      <c r="A27" s="3">
        <f t="shared" si="8"/>
        <v>3443865.2005141387</v>
      </c>
      <c r="B27" s="3">
        <f t="shared" si="9"/>
        <v>3443865.2005141387</v>
      </c>
      <c r="C27" s="25" t="s">
        <v>121</v>
      </c>
      <c r="D27" s="26">
        <v>389</v>
      </c>
      <c r="E27" s="26">
        <v>1339663.5630000001</v>
      </c>
      <c r="F27" s="26">
        <v>332044.446</v>
      </c>
      <c r="G27" s="26">
        <v>389</v>
      </c>
      <c r="H27" s="26">
        <v>1339663.5630000001</v>
      </c>
      <c r="I27" s="26">
        <v>337</v>
      </c>
      <c r="J27" s="26">
        <v>284753.71500000003</v>
      </c>
      <c r="K27" s="26">
        <v>116</v>
      </c>
      <c r="L27" s="27">
        <v>11465.701999999999</v>
      </c>
      <c r="M27" s="3">
        <f t="shared" si="13"/>
        <v>1</v>
      </c>
      <c r="N27" s="3" t="str">
        <f t="shared" si="10"/>
        <v>(389,1339663.563,332044.446),</v>
      </c>
      <c r="S27" s="3">
        <f>S26+$S$23</f>
        <v>5000000</v>
      </c>
      <c r="T27" s="37">
        <f>T26-D28/$D$34</f>
        <v>1.082699248840484E-5</v>
      </c>
      <c r="U27" s="38">
        <f t="shared" si="4"/>
        <v>2.8128951072741337E-6</v>
      </c>
      <c r="V27" s="3">
        <f t="shared" si="12"/>
        <v>5496.8342358490563</v>
      </c>
      <c r="W27" s="3">
        <f t="shared" si="0"/>
        <v>10528.212654427916</v>
      </c>
      <c r="AL27" s="3">
        <f>S20</f>
        <v>700000</v>
      </c>
      <c r="AM27" s="3">
        <f>T20</f>
        <v>3.1385009843145511E-4</v>
      </c>
      <c r="AN27" s="38">
        <f>AM27-AM28</f>
        <v>6.5174248900615758E-5</v>
      </c>
      <c r="AO27" s="3">
        <f>V20</f>
        <v>746.48158102605862</v>
      </c>
      <c r="AP27" s="3">
        <f t="shared" si="7"/>
        <v>1630.3996976423684</v>
      </c>
    </row>
    <row r="28" spans="1:42">
      <c r="A28" s="3">
        <f t="shared" si="8"/>
        <v>4478214.655367231</v>
      </c>
      <c r="B28" s="3" t="e">
        <f t="shared" si="9"/>
        <v>#VALUE!</v>
      </c>
      <c r="C28" s="25" t="s">
        <v>122</v>
      </c>
      <c r="D28" s="26">
        <v>177</v>
      </c>
      <c r="E28" s="26">
        <v>792643.99399999995</v>
      </c>
      <c r="F28" s="26">
        <v>192016.72700000001</v>
      </c>
      <c r="G28" s="26" t="s">
        <v>118</v>
      </c>
      <c r="H28" s="26" t="s">
        <v>118</v>
      </c>
      <c r="I28" s="26">
        <v>150</v>
      </c>
      <c r="J28" s="26">
        <v>137168.08600000001</v>
      </c>
      <c r="K28" s="26">
        <v>48</v>
      </c>
      <c r="L28" s="27">
        <v>4976.317</v>
      </c>
      <c r="M28" s="3" t="e">
        <f t="shared" si="13"/>
        <v>#VALUE!</v>
      </c>
      <c r="N28" s="3" t="str">
        <f t="shared" si="10"/>
        <v>(177,792643.994,192016.727),</v>
      </c>
      <c r="S28" s="3">
        <f>S27+$S$23</f>
        <v>6000000</v>
      </c>
      <c r="T28" s="37">
        <f>T27-D29/$D$34</f>
        <v>8.0140973811307063E-6</v>
      </c>
      <c r="U28" s="38">
        <f t="shared" si="4"/>
        <v>1.6452782702924173E-6</v>
      </c>
      <c r="V28" s="3">
        <f t="shared" si="12"/>
        <v>6442.3752096774188</v>
      </c>
      <c r="W28" s="3">
        <f t="shared" si="0"/>
        <v>12294.193158955843</v>
      </c>
      <c r="AL28" s="3">
        <f>S21</f>
        <v>800000</v>
      </c>
      <c r="AM28" s="3">
        <f>T21</f>
        <v>2.4867584953083935E-4</v>
      </c>
      <c r="AN28" s="38">
        <f>AM28-AM29</f>
        <v>4.5351299418221641E-5</v>
      </c>
      <c r="AO28" s="3">
        <f>V21</f>
        <v>846.013003510825</v>
      </c>
      <c r="AP28" s="3">
        <f t="shared" si="7"/>
        <v>1862.0615154216241</v>
      </c>
    </row>
    <row r="29" spans="1:42">
      <c r="A29" s="3">
        <f t="shared" si="8"/>
        <v>5496834.2358490564</v>
      </c>
      <c r="B29" s="3" t="e">
        <f t="shared" si="9"/>
        <v>#VALUE!</v>
      </c>
      <c r="C29" s="25" t="s">
        <v>123</v>
      </c>
      <c r="D29" s="26">
        <v>106</v>
      </c>
      <c r="E29" s="26">
        <v>582664.429</v>
      </c>
      <c r="F29" s="26">
        <v>145106.78700000001</v>
      </c>
      <c r="G29" s="26" t="s">
        <v>118</v>
      </c>
      <c r="H29" s="26" t="s">
        <v>118</v>
      </c>
      <c r="I29" s="26">
        <v>94</v>
      </c>
      <c r="J29" s="26">
        <v>100646.208</v>
      </c>
      <c r="K29" s="26">
        <v>31</v>
      </c>
      <c r="L29" s="27">
        <v>3161.1550000000002</v>
      </c>
      <c r="M29" s="3" t="e">
        <f t="shared" si="13"/>
        <v>#VALUE!</v>
      </c>
      <c r="N29" s="3" t="str">
        <f t="shared" si="10"/>
        <v>(106,582664.429,145106.787),</v>
      </c>
      <c r="S29" s="3">
        <f>S28+$S$23</f>
        <v>7000000</v>
      </c>
      <c r="T29" s="37">
        <f>T28-D30/$D$34</f>
        <v>6.368819110838289E-6</v>
      </c>
      <c r="U29" s="38">
        <f t="shared" si="4"/>
        <v>1.088006598096599E-6</v>
      </c>
      <c r="V29" s="3">
        <f t="shared" si="12"/>
        <v>7564.1100975609761</v>
      </c>
      <c r="W29" s="3">
        <f t="shared" si="0"/>
        <v>13805.912795845899</v>
      </c>
      <c r="AL29" s="3">
        <f>S22</f>
        <v>900000</v>
      </c>
      <c r="AM29" s="3">
        <f>T22</f>
        <v>2.0332455011261771E-4</v>
      </c>
      <c r="AN29" s="38">
        <f>AM29-AM30</f>
        <v>3.3091322629913628E-5</v>
      </c>
      <c r="AO29" s="3">
        <f>V22</f>
        <v>947.21125741780281</v>
      </c>
      <c r="AP29" s="3">
        <f t="shared" si="7"/>
        <v>2088.6899292633507</v>
      </c>
    </row>
    <row r="30" spans="1:42">
      <c r="A30" s="3">
        <f t="shared" si="8"/>
        <v>6442375.2096774187</v>
      </c>
      <c r="B30" s="3">
        <f t="shared" si="9"/>
        <v>6442375.2096774187</v>
      </c>
      <c r="C30" s="25" t="s">
        <v>124</v>
      </c>
      <c r="D30" s="26">
        <v>62</v>
      </c>
      <c r="E30" s="26">
        <v>399427.26299999998</v>
      </c>
      <c r="F30" s="26">
        <v>108240.95600000001</v>
      </c>
      <c r="G30" s="26">
        <v>62</v>
      </c>
      <c r="H30" s="26">
        <v>399427.26299999998</v>
      </c>
      <c r="I30" s="26">
        <v>53</v>
      </c>
      <c r="J30" s="26">
        <v>54750.377999999997</v>
      </c>
      <c r="K30" s="26">
        <v>19</v>
      </c>
      <c r="L30" s="27">
        <v>1671.729</v>
      </c>
      <c r="M30" s="3">
        <f t="shared" si="13"/>
        <v>1</v>
      </c>
      <c r="N30" s="3" t="str">
        <f t="shared" si="10"/>
        <v>(62,399427.263,108240.956),</v>
      </c>
      <c r="S30" s="3">
        <f>S29+$S$23</f>
        <v>8000000</v>
      </c>
      <c r="T30" s="37">
        <f>T29-D31/$D$34</f>
        <v>5.28081251274169E-6</v>
      </c>
      <c r="U30" s="38">
        <f t="shared" si="4"/>
        <v>9.5532286662140426E-7</v>
      </c>
      <c r="V30" s="3">
        <f t="shared" si="12"/>
        <v>8389.2294722222214</v>
      </c>
      <c r="W30" s="3">
        <f t="shared" si="0"/>
        <v>15091.912346741778</v>
      </c>
      <c r="AL30" s="3">
        <f>S23</f>
        <v>1000000</v>
      </c>
      <c r="AM30" s="3">
        <f>T23</f>
        <v>1.7023322748270408E-4</v>
      </c>
      <c r="AN30" s="38">
        <f>AM30-AM31</f>
        <v>1.1843349871475903E-4</v>
      </c>
      <c r="AO30" s="3">
        <f>V23</f>
        <v>1354.491363880798</v>
      </c>
      <c r="AP30" s="3">
        <f t="shared" si="7"/>
        <v>2310.579859706243</v>
      </c>
    </row>
    <row r="31" spans="1:42">
      <c r="A31" s="3">
        <f t="shared" si="8"/>
        <v>7564110.0975609757</v>
      </c>
      <c r="B31" s="3">
        <f t="shared" si="9"/>
        <v>7564110.0975609757</v>
      </c>
      <c r="C31" s="25" t="s">
        <v>125</v>
      </c>
      <c r="D31" s="26">
        <v>41</v>
      </c>
      <c r="E31" s="26">
        <v>310128.51400000002</v>
      </c>
      <c r="F31" s="26">
        <v>84401.202999999994</v>
      </c>
      <c r="G31" s="26">
        <v>41</v>
      </c>
      <c r="H31" s="26">
        <v>310128.51400000002</v>
      </c>
      <c r="I31" s="26">
        <v>38</v>
      </c>
      <c r="J31" s="26">
        <v>51429.675999999999</v>
      </c>
      <c r="K31" s="26" t="s">
        <v>118</v>
      </c>
      <c r="L31" s="27" t="s">
        <v>118</v>
      </c>
      <c r="M31" s="3">
        <f t="shared" si="13"/>
        <v>1</v>
      </c>
      <c r="N31" s="3" t="str">
        <f t="shared" si="10"/>
        <v>(41,310128.514,84401.203),</v>
      </c>
      <c r="S31" s="3">
        <f>S30+$S$23</f>
        <v>9000000</v>
      </c>
      <c r="T31" s="37">
        <f>T30-D32/$D$34</f>
        <v>4.3254896461202857E-6</v>
      </c>
      <c r="U31" s="38">
        <f t="shared" si="4"/>
        <v>4.3254896461202857E-6</v>
      </c>
      <c r="V31" s="3">
        <f t="shared" si="12"/>
        <v>16572.259484662576</v>
      </c>
      <c r="W31" s="3">
        <f>V31</f>
        <v>16572.259484662576</v>
      </c>
      <c r="AL31" s="3">
        <f>S24</f>
        <v>2000000</v>
      </c>
      <c r="AM31" s="3">
        <f>T24</f>
        <v>5.1799728767945049E-5</v>
      </c>
      <c r="AN31" s="38">
        <f>AM31-AM32</f>
        <v>2.5952937876548137E-5</v>
      </c>
      <c r="AO31" s="3">
        <f>V24</f>
        <v>2402.3072832310841</v>
      </c>
      <c r="AP31" s="3">
        <f t="shared" si="7"/>
        <v>4496.5547351501864</v>
      </c>
    </row>
    <row r="32" spans="1:42">
      <c r="A32" s="3">
        <f t="shared" si="8"/>
        <v>8389229.472222222</v>
      </c>
      <c r="B32" s="3">
        <f t="shared" si="9"/>
        <v>8389229.472222222</v>
      </c>
      <c r="C32" s="25" t="s">
        <v>126</v>
      </c>
      <c r="D32" s="26">
        <v>36</v>
      </c>
      <c r="E32" s="26">
        <v>302012.261</v>
      </c>
      <c r="F32" s="26">
        <v>65296.767999999996</v>
      </c>
      <c r="G32" s="26">
        <v>36</v>
      </c>
      <c r="H32" s="26">
        <v>302012.261</v>
      </c>
      <c r="I32" s="26">
        <v>31</v>
      </c>
      <c r="J32" s="26">
        <v>47319.735000000001</v>
      </c>
      <c r="K32" s="26" t="s">
        <v>118</v>
      </c>
      <c r="L32" s="27" t="s">
        <v>118</v>
      </c>
      <c r="M32" s="3">
        <f t="shared" si="13"/>
        <v>1</v>
      </c>
      <c r="N32" s="3" t="str">
        <f t="shared" si="10"/>
        <v>(36,302012.261,65296.768),</v>
      </c>
      <c r="AL32" s="3">
        <f>S25</f>
        <v>3000000</v>
      </c>
      <c r="AM32" s="3">
        <f>T25</f>
        <v>2.5846790891396912E-5</v>
      </c>
      <c r="AN32" s="38">
        <f>AM32-AM33</f>
        <v>1.032279430877017E-5</v>
      </c>
      <c r="AO32" s="3">
        <f>V25</f>
        <v>3443.8652005141389</v>
      </c>
      <c r="AP32" s="3">
        <f t="shared" ref="AP31:AP37" si="15">(AO32*AN32+AP33*AM33)/AM32</f>
        <v>6599.4027926189656</v>
      </c>
    </row>
    <row r="33" spans="1:42">
      <c r="A33" s="3">
        <f t="shared" si="8"/>
        <v>16572259.484662576</v>
      </c>
      <c r="B33" s="3">
        <f t="shared" si="9"/>
        <v>16572259.484662576</v>
      </c>
      <c r="C33" s="25" t="s">
        <v>127</v>
      </c>
      <c r="D33" s="26">
        <v>163</v>
      </c>
      <c r="E33" s="26">
        <v>2701278.2960000001</v>
      </c>
      <c r="F33" s="26">
        <v>580641.77099999995</v>
      </c>
      <c r="G33" s="26">
        <v>163</v>
      </c>
      <c r="H33" s="26">
        <v>2701278.2960000001</v>
      </c>
      <c r="I33" s="26">
        <v>144</v>
      </c>
      <c r="J33" s="26">
        <v>208320.42800000001</v>
      </c>
      <c r="K33" s="26">
        <v>48</v>
      </c>
      <c r="L33" s="27">
        <v>3981.4079999999999</v>
      </c>
      <c r="M33" s="3">
        <f t="shared" si="13"/>
        <v>1</v>
      </c>
      <c r="N33" s="3" t="str">
        <f t="shared" si="10"/>
        <v>(163,2701278.296,580641.771),</v>
      </c>
      <c r="AL33" s="3">
        <f>S26</f>
        <v>4000000</v>
      </c>
      <c r="AM33" s="3">
        <f>T26</f>
        <v>1.5523996582626742E-5</v>
      </c>
      <c r="AN33" s="38">
        <f>AM33-AM34</f>
        <v>4.6970040942219022E-6</v>
      </c>
      <c r="AO33" s="3">
        <f>V26</f>
        <v>4478.214655367231</v>
      </c>
      <c r="AP33" s="3">
        <f t="shared" si="15"/>
        <v>8697.7004393309144</v>
      </c>
    </row>
    <row r="34" spans="1:42">
      <c r="A34" s="3">
        <f t="shared" si="8"/>
        <v>26163.491595241907</v>
      </c>
      <c r="B34" s="3">
        <f t="shared" si="9"/>
        <v>42680.372514385395</v>
      </c>
      <c r="C34" s="28" t="s">
        <v>128</v>
      </c>
      <c r="D34" s="29">
        <v>37683595</v>
      </c>
      <c r="E34" s="29">
        <v>985934421.06099999</v>
      </c>
      <c r="F34" s="29">
        <v>69101927.354000002</v>
      </c>
      <c r="G34" s="29">
        <v>16322975</v>
      </c>
      <c r="H34" s="29">
        <v>696670653.54299998</v>
      </c>
      <c r="I34" s="29">
        <v>24135442</v>
      </c>
      <c r="J34" s="29">
        <v>683665873.83500004</v>
      </c>
      <c r="K34" s="29">
        <v>13035048</v>
      </c>
      <c r="L34" s="30">
        <v>297628160.64200002</v>
      </c>
      <c r="M34" s="3">
        <f t="shared" si="13"/>
        <v>2.3086229685458686</v>
      </c>
      <c r="AL34" s="3">
        <f>S27</f>
        <v>5000000</v>
      </c>
      <c r="AM34" s="3">
        <f>T27</f>
        <v>1.082699248840484E-5</v>
      </c>
      <c r="AN34" s="38">
        <f>AM34-AM35</f>
        <v>2.8128951072741337E-6</v>
      </c>
      <c r="AO34" s="3">
        <f>V27</f>
        <v>5496.8342358490563</v>
      </c>
      <c r="AP34" s="3">
        <f t="shared" si="15"/>
        <v>10528.212654427916</v>
      </c>
    </row>
    <row r="35" spans="1:42" ht="13.5" thickBot="1">
      <c r="A35" s="3">
        <f t="shared" si="8"/>
        <v>19762.761010089343</v>
      </c>
      <c r="B35" s="3">
        <f t="shared" si="9"/>
        <v>32825.864901264293</v>
      </c>
      <c r="C35" s="31" t="s">
        <v>129</v>
      </c>
      <c r="D35" s="32">
        <v>225089</v>
      </c>
      <c r="E35" s="32">
        <v>4448380.1129999999</v>
      </c>
      <c r="F35" s="32">
        <v>762566.04799999995</v>
      </c>
      <c r="G35" s="32">
        <v>118802</v>
      </c>
      <c r="H35" s="32">
        <v>3899778.4019999998</v>
      </c>
      <c r="I35" s="32">
        <v>68068</v>
      </c>
      <c r="J35" s="32">
        <v>2593682.5830000001</v>
      </c>
      <c r="K35" s="32">
        <v>38065</v>
      </c>
      <c r="L35" s="33">
        <v>822637.99800000002</v>
      </c>
      <c r="M35" s="3">
        <f t="shared" si="13"/>
        <v>1.8946566556118585</v>
      </c>
      <c r="AL35" s="3">
        <f>S28</f>
        <v>6000000</v>
      </c>
      <c r="AM35" s="3">
        <f>T28</f>
        <v>8.0140973811307063E-6</v>
      </c>
      <c r="AN35" s="38">
        <f>AM35-AM36</f>
        <v>1.6452782702924173E-6</v>
      </c>
      <c r="AO35" s="3">
        <f>V28</f>
        <v>6442.3752096774188</v>
      </c>
      <c r="AP35" s="3">
        <f t="shared" si="15"/>
        <v>12294.193158955843</v>
      </c>
    </row>
    <row r="36" spans="1:42" ht="25.5" customHeight="1" thickTop="1">
      <c r="A36" s="3" t="e">
        <f t="shared" si="8"/>
        <v>#DIV/0!</v>
      </c>
      <c r="B36" s="3" t="e">
        <f t="shared" si="9"/>
        <v>#DIV/0!</v>
      </c>
      <c r="C36" s="34" t="s">
        <v>130</v>
      </c>
      <c r="D36" s="35"/>
      <c r="E36" s="35"/>
      <c r="F36" s="35"/>
      <c r="G36" s="35"/>
      <c r="H36" s="35"/>
      <c r="I36" s="35"/>
      <c r="J36" s="35"/>
      <c r="K36" s="35"/>
      <c r="L36" s="35"/>
      <c r="AL36" s="3">
        <f>S29</f>
        <v>7000000</v>
      </c>
      <c r="AM36" s="3">
        <f>T29</f>
        <v>6.368819110838289E-6</v>
      </c>
      <c r="AN36" s="38">
        <f>AM36-AM37</f>
        <v>1.088006598096599E-6</v>
      </c>
      <c r="AO36" s="3">
        <f>V29</f>
        <v>7564.1100975609761</v>
      </c>
      <c r="AP36" s="3">
        <f t="shared" si="15"/>
        <v>13805.912795845899</v>
      </c>
    </row>
    <row r="37" spans="1:42">
      <c r="A37" s="3" t="e">
        <f t="shared" si="8"/>
        <v>#DIV/0!</v>
      </c>
      <c r="B37" s="3" t="e">
        <f t="shared" si="9"/>
        <v>#DIV/0!</v>
      </c>
      <c r="C37" s="3" t="s">
        <v>131</v>
      </c>
      <c r="AL37" s="3">
        <f>S30</f>
        <v>8000000</v>
      </c>
      <c r="AM37" s="3">
        <f>T30</f>
        <v>5.28081251274169E-6</v>
      </c>
      <c r="AN37" s="38">
        <f>AM37-AM38</f>
        <v>9.5532286662140426E-7</v>
      </c>
      <c r="AO37" s="3">
        <f>V30</f>
        <v>8389.2294722222214</v>
      </c>
      <c r="AP37" s="3">
        <f t="shared" si="15"/>
        <v>15091.912346741778</v>
      </c>
    </row>
    <row r="38" spans="1:42">
      <c r="AL38" s="3">
        <f>S31</f>
        <v>9000000</v>
      </c>
      <c r="AM38" s="3">
        <f>T31</f>
        <v>4.3254896461202857E-6</v>
      </c>
      <c r="AN38" s="38">
        <f>AM38-AM39</f>
        <v>4.3254896461202857E-6</v>
      </c>
      <c r="AO38" s="3">
        <f>V31</f>
        <v>16572.259484662576</v>
      </c>
      <c r="AP38" s="3">
        <f>AO38</f>
        <v>16572.259484662576</v>
      </c>
    </row>
  </sheetData>
  <mergeCells count="9">
    <mergeCell ref="I6:J6"/>
    <mergeCell ref="K6:L6"/>
    <mergeCell ref="C36:L36"/>
    <mergeCell ref="C6:C7"/>
    <mergeCell ref="D6:D7"/>
    <mergeCell ref="E6:E7"/>
    <mergeCell ref="F6:F7"/>
    <mergeCell ref="G6:G7"/>
    <mergeCell ref="H6:H7"/>
  </mergeCells>
  <pageMargins left="0.75" right="0.75" top="1" bottom="1" header="0.5" footer="0.5"/>
  <pageSetup paperSize="9" scale="86" orientation="landscape" cellComments="atEnd" r:id="rId1"/>
  <headerFooter alignWithMargins="0"/>
  <legacyDrawing r:id="rId2"/>
</worksheet>
</file>

<file path=xl/worksheets/sheet3.xml><?xml version="1.0" encoding="utf-8"?>
<worksheet xmlns="http://schemas.openxmlformats.org/spreadsheetml/2006/main" xmlns:r="http://schemas.openxmlformats.org/officeDocument/2006/relationships">
  <dimension ref="B2:AH74"/>
  <sheetViews>
    <sheetView zoomScale="70" zoomScaleNormal="70" workbookViewId="0">
      <selection activeCell="F23" sqref="F23"/>
    </sheetView>
  </sheetViews>
  <sheetFormatPr baseColWidth="10" defaultRowHeight="15"/>
  <sheetData>
    <row r="2" spans="3:34">
      <c r="S2">
        <f>W13</f>
        <v>2</v>
      </c>
    </row>
    <row r="3" spans="3:34">
      <c r="O3" t="s">
        <v>5</v>
      </c>
      <c r="P3" s="2">
        <v>1.5</v>
      </c>
      <c r="R3" t="s">
        <v>5</v>
      </c>
      <c r="S3" s="2">
        <f>S9</f>
        <v>1.1866251154119445</v>
      </c>
      <c r="U3" t="s">
        <v>5</v>
      </c>
      <c r="V3">
        <v>0.63</v>
      </c>
    </row>
    <row r="4" spans="3:34">
      <c r="P4">
        <v>5</v>
      </c>
      <c r="S4">
        <f>MID(S2,1,1)*1</f>
        <v>2</v>
      </c>
      <c r="V4">
        <v>3</v>
      </c>
    </row>
    <row r="5" spans="3:34">
      <c r="P5">
        <f>INDEX($D$13:$D$21,P4)</f>
        <v>17092</v>
      </c>
      <c r="S5">
        <f t="shared" ref="S5" si="0">INDEX($D$13:$D$21,S4)</f>
        <v>8153</v>
      </c>
    </row>
    <row r="6" spans="3:34">
      <c r="P6">
        <f>INDEX($L$13:$L$21,P4)</f>
        <v>0.5</v>
      </c>
      <c r="S6">
        <f>INDEX($L$13:$L$21,S4)</f>
        <v>0.2</v>
      </c>
    </row>
    <row r="7" spans="3:34">
      <c r="G7">
        <f>G13/D13*2</f>
        <v>0.40367342819658891</v>
      </c>
      <c r="P7">
        <f>1/(1-P6)</f>
        <v>2</v>
      </c>
      <c r="S7">
        <f>1/(1-S6)</f>
        <v>1.25</v>
      </c>
    </row>
    <row r="8" spans="3:34">
      <c r="G8">
        <f>G13/G7</f>
        <v>1651.5</v>
      </c>
      <c r="H8">
        <f>G8*2</f>
        <v>3303</v>
      </c>
      <c r="R8" t="s">
        <v>7</v>
      </c>
      <c r="S8">
        <v>47030</v>
      </c>
    </row>
    <row r="9" spans="3:34">
      <c r="S9">
        <f>LN(1-(0.9-S6)*S7)/(LN(S5)-LN(S8))</f>
        <v>1.1866251154119445</v>
      </c>
    </row>
    <row r="11" spans="3:34">
      <c r="E11" t="s">
        <v>3</v>
      </c>
      <c r="P11" s="1"/>
      <c r="S11" s="1"/>
      <c r="W11">
        <v>3</v>
      </c>
      <c r="X11">
        <v>2</v>
      </c>
      <c r="Y11">
        <v>4</v>
      </c>
      <c r="Z11">
        <v>5</v>
      </c>
    </row>
    <row r="12" spans="3:34">
      <c r="E12">
        <v>-2012</v>
      </c>
      <c r="G12" t="s">
        <v>0</v>
      </c>
      <c r="H12" t="s">
        <v>1</v>
      </c>
      <c r="I12" t="s">
        <v>2</v>
      </c>
      <c r="W12">
        <v>1.45</v>
      </c>
      <c r="X12">
        <v>1.246</v>
      </c>
      <c r="Y12">
        <v>1.55</v>
      </c>
    </row>
    <row r="13" spans="3:34">
      <c r="C13">
        <v>3582359</v>
      </c>
      <c r="D13">
        <v>3303</v>
      </c>
      <c r="E13">
        <v>3.6</v>
      </c>
      <c r="F13">
        <v>2.4</v>
      </c>
      <c r="G13">
        <f>F13*1000/$E13</f>
        <v>666.66666666666663</v>
      </c>
      <c r="H13">
        <v>-0.04</v>
      </c>
      <c r="I13">
        <f>H13*1000/$E13</f>
        <v>-11.111111111111111</v>
      </c>
      <c r="J13" s="1">
        <f>I13/G13</f>
        <v>-1.6666666666666666E-2</v>
      </c>
      <c r="L13" s="1">
        <v>0.1</v>
      </c>
      <c r="M13">
        <f>$F$28*(L13^$F$29)</f>
        <v>237.19440000000003</v>
      </c>
      <c r="S13" s="2">
        <f>S3</f>
        <v>1.1866251154119445</v>
      </c>
      <c r="V13" t="s">
        <v>6</v>
      </c>
      <c r="W13">
        <v>2</v>
      </c>
      <c r="X13">
        <v>3</v>
      </c>
      <c r="Y13">
        <v>4</v>
      </c>
      <c r="Z13">
        <v>5</v>
      </c>
      <c r="AA13">
        <v>6</v>
      </c>
      <c r="AB13">
        <v>7</v>
      </c>
      <c r="AC13">
        <v>8</v>
      </c>
      <c r="AD13">
        <v>9</v>
      </c>
    </row>
    <row r="14" spans="3:34">
      <c r="C14">
        <v>3610733</v>
      </c>
      <c r="D14">
        <v>8153</v>
      </c>
      <c r="E14">
        <v>3.6</v>
      </c>
      <c r="F14">
        <v>21.6</v>
      </c>
      <c r="G14">
        <f t="shared" ref="G14:I23" si="1">F14*1000/$E14</f>
        <v>6000</v>
      </c>
      <c r="H14">
        <v>-0.41</v>
      </c>
      <c r="I14">
        <f t="shared" si="1"/>
        <v>-113.88888888888889</v>
      </c>
      <c r="J14" s="1">
        <f t="shared" ref="J14:J22" si="2">I14/G14</f>
        <v>-1.8981481481481481E-2</v>
      </c>
      <c r="L14" s="1">
        <f t="shared" ref="L14:L21" si="3">L13+$L$13</f>
        <v>0.2</v>
      </c>
      <c r="M14">
        <f t="shared" ref="M14:M22" si="4">$F$28*(L14^$F$29)</f>
        <v>948.77760000000012</v>
      </c>
      <c r="P14">
        <f>P$5/((1-($L14-P$6)*P$7)^(1/P$3))</f>
        <v>12494.327795383577</v>
      </c>
      <c r="Q14">
        <f t="shared" ref="Q14:Q20" si="5">ABS(LN(P14)-LN(D14))</f>
        <v>0.42688880727051348</v>
      </c>
      <c r="S14">
        <f t="shared" ref="S14:S31" si="6">IF(ROW()-ROW(S$12)&gt;=S$4,S$5/((1-($L14-S$6)*S$7)^(1/S$3)),"")</f>
        <v>8153</v>
      </c>
      <c r="V14">
        <f>D13</f>
        <v>3303</v>
      </c>
      <c r="W14">
        <f>S13</f>
        <v>1.1866251154119445</v>
      </c>
      <c r="X14">
        <f t="dataTable" ref="X14:AH22" dt2D="0" dtr="1" r1="S2"/>
        <v>1.3770063488532303</v>
      </c>
      <c r="Y14">
        <v>1.5052800108878686</v>
      </c>
      <c r="Z14">
        <v>1.5900784243056745</v>
      </c>
      <c r="AA14">
        <v>1.6924453835495412</v>
      </c>
      <c r="AB14">
        <v>1.8887107263539205</v>
      </c>
      <c r="AC14">
        <v>2.0671973174200406</v>
      </c>
      <c r="AD14" t="e">
        <v>#DIV/0!</v>
      </c>
      <c r="AE14" t="e">
        <v>#VALUE!</v>
      </c>
      <c r="AF14" t="e">
        <v>#VALUE!</v>
      </c>
      <c r="AG14" t="e">
        <v>#VALUE!</v>
      </c>
      <c r="AH14" t="e">
        <v>#VALUE!</v>
      </c>
    </row>
    <row r="15" spans="3:34">
      <c r="C15">
        <v>3644061</v>
      </c>
      <c r="D15">
        <v>11446</v>
      </c>
      <c r="E15">
        <v>3.6</v>
      </c>
      <c r="F15">
        <v>35.9</v>
      </c>
      <c r="G15">
        <f t="shared" si="1"/>
        <v>9972.2222222222226</v>
      </c>
      <c r="H15">
        <v>-0.67</v>
      </c>
      <c r="I15">
        <f t="shared" si="1"/>
        <v>-186.11111111111111</v>
      </c>
      <c r="J15" s="1">
        <f t="shared" si="2"/>
        <v>-1.8662952646239555E-2</v>
      </c>
      <c r="L15" s="1">
        <f t="shared" si="3"/>
        <v>0.30000000000000004</v>
      </c>
      <c r="M15">
        <f t="shared" si="4"/>
        <v>2134.7496000000006</v>
      </c>
      <c r="P15">
        <f t="shared" ref="P15:P31" si="7">P$5/((1-($L15-P$6)*P$7)^(1/P$3))</f>
        <v>13657.593855753739</v>
      </c>
      <c r="Q15">
        <f t="shared" si="5"/>
        <v>0.17665536938072712</v>
      </c>
      <c r="S15">
        <f t="shared" si="6"/>
        <v>9124.073430072136</v>
      </c>
      <c r="V15">
        <f t="shared" ref="V15:V22" si="8">D14</f>
        <v>8153</v>
      </c>
      <c r="W15">
        <f t="shared" ref="W15:W22" si="9">S14</f>
        <v>8153</v>
      </c>
      <c r="X15" t="str">
        <v/>
      </c>
      <c r="Y15" t="str">
        <v/>
      </c>
      <c r="Z15" t="str">
        <v/>
      </c>
      <c r="AA15" t="str">
        <v/>
      </c>
      <c r="AB15" t="str">
        <v/>
      </c>
      <c r="AC15" t="str">
        <v/>
      </c>
      <c r="AD15" t="str">
        <v/>
      </c>
      <c r="AE15" t="e">
        <v>#VALUE!</v>
      </c>
      <c r="AF15" t="e">
        <v>#VALUE!</v>
      </c>
      <c r="AG15" t="e">
        <v>#VALUE!</v>
      </c>
      <c r="AH15" t="e">
        <v>#VALUE!</v>
      </c>
    </row>
    <row r="16" spans="3:34">
      <c r="C16">
        <v>3654117</v>
      </c>
      <c r="D16">
        <v>14303</v>
      </c>
      <c r="E16">
        <v>3.6</v>
      </c>
      <c r="F16">
        <v>47.3</v>
      </c>
      <c r="G16">
        <f t="shared" si="1"/>
        <v>13138.888888888889</v>
      </c>
      <c r="H16">
        <v>-0.32</v>
      </c>
      <c r="I16">
        <f t="shared" si="1"/>
        <v>-88.888888888888886</v>
      </c>
      <c r="J16" s="1">
        <f t="shared" si="2"/>
        <v>-6.7653276955602533E-3</v>
      </c>
      <c r="L16" s="1">
        <f t="shared" si="3"/>
        <v>0.4</v>
      </c>
      <c r="M16">
        <f t="shared" si="4"/>
        <v>3795.1104000000005</v>
      </c>
      <c r="P16">
        <f t="shared" si="7"/>
        <v>15135.800220390991</v>
      </c>
      <c r="Q16">
        <f t="shared" si="5"/>
        <v>5.6593507779712837E-2</v>
      </c>
      <c r="S16">
        <f t="shared" si="6"/>
        <v>10389.785493114128</v>
      </c>
      <c r="V16">
        <f t="shared" si="8"/>
        <v>11446</v>
      </c>
      <c r="W16">
        <f t="shared" si="9"/>
        <v>9124.073430072136</v>
      </c>
      <c r="X16">
        <v>11446</v>
      </c>
      <c r="Y16" t="str">
        <v/>
      </c>
      <c r="Z16" t="str">
        <v/>
      </c>
      <c r="AA16" t="str">
        <v/>
      </c>
      <c r="AB16" t="str">
        <v/>
      </c>
      <c r="AC16" t="str">
        <v/>
      </c>
      <c r="AD16" t="str">
        <v/>
      </c>
      <c r="AE16" t="e">
        <v>#VALUE!</v>
      </c>
      <c r="AF16" t="e">
        <v>#VALUE!</v>
      </c>
      <c r="AG16" t="e">
        <v>#VALUE!</v>
      </c>
      <c r="AH16" t="e">
        <v>#VALUE!</v>
      </c>
    </row>
    <row r="17" spans="3:34">
      <c r="C17">
        <v>3620963</v>
      </c>
      <c r="D17">
        <v>17092</v>
      </c>
      <c r="E17">
        <v>3.6</v>
      </c>
      <c r="F17">
        <v>56.7</v>
      </c>
      <c r="G17">
        <f t="shared" si="1"/>
        <v>15750</v>
      </c>
      <c r="H17">
        <v>0.95</v>
      </c>
      <c r="I17">
        <f t="shared" si="1"/>
        <v>263.88888888888886</v>
      </c>
      <c r="J17" s="1">
        <f t="shared" si="2"/>
        <v>1.6754850088183421E-2</v>
      </c>
      <c r="L17" s="1">
        <f t="shared" si="3"/>
        <v>0.5</v>
      </c>
      <c r="M17">
        <f t="shared" si="4"/>
        <v>5929.86</v>
      </c>
      <c r="P17">
        <f t="shared" si="7"/>
        <v>17092</v>
      </c>
      <c r="Q17">
        <f t="shared" si="5"/>
        <v>0</v>
      </c>
      <c r="S17">
        <f t="shared" si="6"/>
        <v>12115.314345072138</v>
      </c>
      <c r="V17">
        <f t="shared" si="8"/>
        <v>14303</v>
      </c>
      <c r="W17">
        <f t="shared" si="9"/>
        <v>10389.785493114128</v>
      </c>
      <c r="X17">
        <v>12801.809927688842</v>
      </c>
      <c r="Y17">
        <v>14303</v>
      </c>
      <c r="Z17" t="str">
        <v/>
      </c>
      <c r="AA17" t="str">
        <v/>
      </c>
      <c r="AB17" t="str">
        <v/>
      </c>
      <c r="AC17" t="str">
        <v/>
      </c>
      <c r="AD17" t="str">
        <v/>
      </c>
      <c r="AE17" t="e">
        <v>#VALUE!</v>
      </c>
      <c r="AF17" t="e">
        <v>#VALUE!</v>
      </c>
      <c r="AG17" t="e">
        <v>#VALUE!</v>
      </c>
      <c r="AH17" t="e">
        <v>#VALUE!</v>
      </c>
    </row>
    <row r="18" spans="3:34">
      <c r="C18">
        <v>3592892</v>
      </c>
      <c r="D18">
        <v>20732</v>
      </c>
      <c r="E18">
        <v>3.6</v>
      </c>
      <c r="F18">
        <v>67.599999999999994</v>
      </c>
      <c r="G18">
        <f t="shared" si="1"/>
        <v>18777.777777777777</v>
      </c>
      <c r="H18">
        <v>1.76</v>
      </c>
      <c r="I18">
        <f t="shared" si="1"/>
        <v>488.88888888888886</v>
      </c>
      <c r="J18" s="1">
        <f t="shared" si="2"/>
        <v>2.6035502958579881E-2</v>
      </c>
      <c r="L18" s="1">
        <f t="shared" si="3"/>
        <v>0.6</v>
      </c>
      <c r="M18">
        <f t="shared" si="4"/>
        <v>8538.9983999999986</v>
      </c>
      <c r="P18">
        <f t="shared" si="7"/>
        <v>19833.509086027403</v>
      </c>
      <c r="Q18">
        <f t="shared" si="5"/>
        <v>4.4305515002873719E-2</v>
      </c>
      <c r="S18">
        <f t="shared" si="6"/>
        <v>14621.882438155413</v>
      </c>
      <c r="V18">
        <f t="shared" si="8"/>
        <v>17092</v>
      </c>
      <c r="W18">
        <f t="shared" si="9"/>
        <v>12115.314345072138</v>
      </c>
      <c r="X18">
        <v>14614.159068220788</v>
      </c>
      <c r="Y18">
        <v>16144.681264324128</v>
      </c>
      <c r="Z18">
        <v>17092</v>
      </c>
      <c r="AA18" t="str">
        <v/>
      </c>
      <c r="AB18" t="str">
        <v/>
      </c>
      <c r="AC18" t="str">
        <v/>
      </c>
      <c r="AD18" t="str">
        <v/>
      </c>
      <c r="AE18" t="e">
        <v>#VALUE!</v>
      </c>
      <c r="AF18" t="e">
        <v>#VALUE!</v>
      </c>
      <c r="AG18" t="e">
        <v>#VALUE!</v>
      </c>
      <c r="AH18" t="e">
        <v>#VALUE!</v>
      </c>
    </row>
    <row r="19" spans="3:34">
      <c r="C19">
        <v>3633289</v>
      </c>
      <c r="D19">
        <v>26288</v>
      </c>
      <c r="E19">
        <v>3.6</v>
      </c>
      <c r="F19">
        <v>85.3</v>
      </c>
      <c r="G19">
        <f t="shared" si="1"/>
        <v>23694.444444444445</v>
      </c>
      <c r="H19">
        <v>2.85</v>
      </c>
      <c r="I19">
        <f t="shared" si="1"/>
        <v>791.66666666666663</v>
      </c>
      <c r="J19" s="1">
        <f t="shared" si="2"/>
        <v>3.3411488862837041E-2</v>
      </c>
      <c r="L19" s="1">
        <f t="shared" si="3"/>
        <v>0.7</v>
      </c>
      <c r="M19">
        <f t="shared" si="4"/>
        <v>11622.525599999997</v>
      </c>
      <c r="P19">
        <f t="shared" si="7"/>
        <v>24026.585192229159</v>
      </c>
      <c r="Q19">
        <f t="shared" si="5"/>
        <v>8.9951627669140777E-2</v>
      </c>
      <c r="S19">
        <f t="shared" si="6"/>
        <v>18633.413717400628</v>
      </c>
      <c r="V19">
        <f t="shared" si="8"/>
        <v>20732</v>
      </c>
      <c r="W19">
        <f t="shared" si="9"/>
        <v>14621.882438155413</v>
      </c>
      <c r="X19">
        <v>17185.063753148454</v>
      </c>
      <c r="Y19">
        <v>18724.469944724071</v>
      </c>
      <c r="Z19">
        <v>19667.065843315009</v>
      </c>
      <c r="AA19">
        <v>20732</v>
      </c>
      <c r="AB19" t="str">
        <v/>
      </c>
      <c r="AC19" t="str">
        <v/>
      </c>
      <c r="AD19" t="str">
        <v/>
      </c>
      <c r="AE19" t="e">
        <v>#VALUE!</v>
      </c>
      <c r="AF19" t="e">
        <v>#VALUE!</v>
      </c>
      <c r="AG19" t="e">
        <v>#VALUE!</v>
      </c>
      <c r="AH19" t="e">
        <v>#VALUE!</v>
      </c>
    </row>
    <row r="20" spans="3:34">
      <c r="C20">
        <v>3630599</v>
      </c>
      <c r="D20">
        <v>33632</v>
      </c>
      <c r="E20">
        <v>3.6</v>
      </c>
      <c r="F20">
        <v>107.8</v>
      </c>
      <c r="G20">
        <f t="shared" si="1"/>
        <v>29944.444444444445</v>
      </c>
      <c r="H20">
        <v>4.58</v>
      </c>
      <c r="I20">
        <f t="shared" si="1"/>
        <v>1272.2222222222222</v>
      </c>
      <c r="J20" s="1">
        <f t="shared" si="2"/>
        <v>4.2486085343228196E-2</v>
      </c>
      <c r="L20" s="1">
        <f t="shared" si="3"/>
        <v>0.79999999999999993</v>
      </c>
      <c r="M20">
        <f t="shared" si="4"/>
        <v>15180.441599999996</v>
      </c>
      <c r="P20">
        <f t="shared" si="7"/>
        <v>31483.733187380734</v>
      </c>
      <c r="Q20">
        <f t="shared" si="5"/>
        <v>6.6006988996658578E-2</v>
      </c>
      <c r="S20">
        <f t="shared" si="6"/>
        <v>26223.40807497087</v>
      </c>
      <c r="V20">
        <f t="shared" si="8"/>
        <v>26288</v>
      </c>
      <c r="W20">
        <f t="shared" si="9"/>
        <v>18633.413717400628</v>
      </c>
      <c r="X20">
        <v>21177.919363775884</v>
      </c>
      <c r="Y20">
        <v>22667.825555030704</v>
      </c>
      <c r="Z20">
        <v>23567.500121171248</v>
      </c>
      <c r="AA20">
        <v>24573.251700941812</v>
      </c>
      <c r="AB20">
        <v>26288</v>
      </c>
      <c r="AC20" t="str">
        <v/>
      </c>
      <c r="AD20" t="str">
        <v/>
      </c>
      <c r="AE20" t="e">
        <v>#VALUE!</v>
      </c>
      <c r="AF20" t="e">
        <v>#VALUE!</v>
      </c>
      <c r="AG20" t="e">
        <v>#VALUE!</v>
      </c>
      <c r="AH20" t="e">
        <v>#VALUE!</v>
      </c>
    </row>
    <row r="21" spans="3:34">
      <c r="C21">
        <v>3619048</v>
      </c>
      <c r="D21">
        <v>47030</v>
      </c>
      <c r="E21">
        <v>3.6</v>
      </c>
      <c r="F21">
        <v>142.69999999999999</v>
      </c>
      <c r="G21">
        <f t="shared" si="1"/>
        <v>39638.888888888891</v>
      </c>
      <c r="H21">
        <v>8.3699999999999992</v>
      </c>
      <c r="I21">
        <f t="shared" si="1"/>
        <v>2325</v>
      </c>
      <c r="J21" s="1">
        <f t="shared" si="2"/>
        <v>5.8654519971969167E-2</v>
      </c>
      <c r="L21" s="1">
        <f t="shared" si="3"/>
        <v>0.89999999999999991</v>
      </c>
      <c r="M21">
        <f t="shared" si="4"/>
        <v>19212.746399999996</v>
      </c>
      <c r="P21">
        <f t="shared" si="7"/>
        <v>49977.311181534271</v>
      </c>
      <c r="Q21">
        <f>ABS(LN(P21)-LN(D21))</f>
        <v>6.078343011422227E-2</v>
      </c>
      <c r="S21">
        <f t="shared" si="6"/>
        <v>47029.999999999956</v>
      </c>
      <c r="V21">
        <f t="shared" si="8"/>
        <v>33632</v>
      </c>
      <c r="W21">
        <f t="shared" si="9"/>
        <v>26223.40807497087</v>
      </c>
      <c r="X21">
        <v>28429.096860621012</v>
      </c>
      <c r="Y21">
        <v>29675.104405888324</v>
      </c>
      <c r="Z21">
        <v>30412.860875147926</v>
      </c>
      <c r="AA21">
        <v>31225.405681912278</v>
      </c>
      <c r="AB21">
        <v>32583.004186247381</v>
      </c>
      <c r="AC21">
        <v>33632</v>
      </c>
      <c r="AD21" t="str">
        <v/>
      </c>
      <c r="AE21" t="e">
        <v>#VALUE!</v>
      </c>
      <c r="AF21" t="e">
        <v>#VALUE!</v>
      </c>
      <c r="AG21" t="e">
        <v>#VALUE!</v>
      </c>
      <c r="AH21" t="e">
        <v>#VALUE!</v>
      </c>
    </row>
    <row r="22" spans="3:34">
      <c r="C22">
        <v>3642875</v>
      </c>
      <c r="E22">
        <v>3.6</v>
      </c>
      <c r="F22">
        <v>286.60000000000002</v>
      </c>
      <c r="G22">
        <f t="shared" si="1"/>
        <v>79611.111111111109</v>
      </c>
      <c r="H22">
        <v>39.299999999999997</v>
      </c>
      <c r="I22">
        <f t="shared" si="1"/>
        <v>10916.666666666666</v>
      </c>
      <c r="J22" s="1">
        <f t="shared" si="2"/>
        <v>0.13712491277041172</v>
      </c>
      <c r="L22" s="1">
        <f>L21+0.01</f>
        <v>0.90999999999999992</v>
      </c>
      <c r="M22">
        <f t="shared" si="4"/>
        <v>19642.068263999994</v>
      </c>
      <c r="P22">
        <f t="shared" si="7"/>
        <v>53613.959352115089</v>
      </c>
      <c r="S22">
        <f t="shared" si="6"/>
        <v>51396.791911855929</v>
      </c>
      <c r="V22">
        <f t="shared" si="8"/>
        <v>47030</v>
      </c>
      <c r="W22">
        <f t="shared" si="9"/>
        <v>47029.999999999956</v>
      </c>
      <c r="X22">
        <v>47029.999999999978</v>
      </c>
      <c r="Y22">
        <v>47029.999999999956</v>
      </c>
      <c r="Z22">
        <v>47029.999999999905</v>
      </c>
      <c r="AA22">
        <v>47029.999999999978</v>
      </c>
      <c r="AB22">
        <v>47029.999999999935</v>
      </c>
      <c r="AC22">
        <v>47029.999999999956</v>
      </c>
      <c r="AD22" t="e">
        <v>#DIV/0!</v>
      </c>
      <c r="AE22" t="e">
        <v>#VALUE!</v>
      </c>
      <c r="AF22" t="e">
        <v>#VALUE!</v>
      </c>
      <c r="AG22" t="e">
        <v>#VALUE!</v>
      </c>
      <c r="AH22" t="e">
        <v>#VALUE!</v>
      </c>
    </row>
    <row r="23" spans="3:34">
      <c r="E23">
        <f>SUM(E13:E22)</f>
        <v>36.000000000000007</v>
      </c>
      <c r="F23">
        <f>SUM(F13:F22)</f>
        <v>853.9</v>
      </c>
      <c r="G23">
        <f t="shared" si="1"/>
        <v>23719.444444444438</v>
      </c>
      <c r="L23" s="1">
        <f t="shared" ref="L23:L31" si="10">L22+0.01</f>
        <v>0.91999999999999993</v>
      </c>
      <c r="P23">
        <f t="shared" si="7"/>
        <v>57993.532378550146</v>
      </c>
      <c r="S23">
        <f t="shared" si="6"/>
        <v>56760.155905170926</v>
      </c>
    </row>
    <row r="24" spans="3:34">
      <c r="L24" s="1">
        <f t="shared" si="10"/>
        <v>0.92999999999999994</v>
      </c>
      <c r="P24">
        <f t="shared" si="7"/>
        <v>63392.935134884996</v>
      </c>
      <c r="S24">
        <f t="shared" si="6"/>
        <v>63520.64643457895</v>
      </c>
    </row>
    <row r="25" spans="3:34">
      <c r="L25" s="1">
        <f t="shared" si="10"/>
        <v>0.94</v>
      </c>
      <c r="P25">
        <f t="shared" si="7"/>
        <v>70254.161290760618</v>
      </c>
      <c r="S25">
        <f t="shared" si="6"/>
        <v>72332.37390045893</v>
      </c>
      <c r="V25" t="s">
        <v>6</v>
      </c>
      <c r="W25">
        <v>2</v>
      </c>
      <c r="X25">
        <v>3</v>
      </c>
      <c r="Y25">
        <v>4</v>
      </c>
      <c r="Z25">
        <v>5</v>
      </c>
      <c r="AA25">
        <v>6</v>
      </c>
      <c r="AB25">
        <v>7</v>
      </c>
      <c r="AC25">
        <v>8</v>
      </c>
    </row>
    <row r="26" spans="3:34">
      <c r="L26" s="1">
        <f t="shared" si="10"/>
        <v>0.95</v>
      </c>
      <c r="P26">
        <f t="shared" si="7"/>
        <v>79334.036344109583</v>
      </c>
      <c r="S26">
        <f t="shared" si="6"/>
        <v>84345.287754991863</v>
      </c>
      <c r="U26" t="s">
        <v>16</v>
      </c>
      <c r="V26">
        <f t="shared" ref="V26:V34" si="11">V14</f>
        <v>3303</v>
      </c>
      <c r="AD26" t="str">
        <f t="shared" ref="AD26" si="12">AD15</f>
        <v/>
      </c>
    </row>
    <row r="27" spans="3:34">
      <c r="L27" s="1">
        <f t="shared" si="10"/>
        <v>0.96</v>
      </c>
      <c r="P27">
        <f t="shared" si="7"/>
        <v>92058.994305062341</v>
      </c>
      <c r="S27">
        <f t="shared" si="6"/>
        <v>101795.69812544853</v>
      </c>
      <c r="U27" t="s">
        <v>8</v>
      </c>
      <c r="V27">
        <f t="shared" si="11"/>
        <v>8153</v>
      </c>
      <c r="W27">
        <f t="shared" ref="W27:AC34" si="13">W15</f>
        <v>8153</v>
      </c>
      <c r="X27" t="str">
        <f t="shared" si="13"/>
        <v/>
      </c>
      <c r="Y27" t="str">
        <f t="shared" si="13"/>
        <v/>
      </c>
      <c r="Z27" t="str">
        <f t="shared" si="13"/>
        <v/>
      </c>
      <c r="AA27" t="str">
        <f t="shared" si="13"/>
        <v/>
      </c>
      <c r="AB27" t="str">
        <f t="shared" si="13"/>
        <v/>
      </c>
      <c r="AC27" t="str">
        <f t="shared" si="13"/>
        <v/>
      </c>
      <c r="AD27" t="str">
        <f t="shared" ref="AD27" si="14">AD16</f>
        <v/>
      </c>
    </row>
    <row r="28" spans="3:34">
      <c r="E28" t="s">
        <v>4</v>
      </c>
      <c r="F28">
        <v>23719.439999999999</v>
      </c>
      <c r="L28" s="1">
        <f t="shared" si="10"/>
        <v>0.97</v>
      </c>
      <c r="P28">
        <f t="shared" si="7"/>
        <v>111521.52953809695</v>
      </c>
      <c r="S28">
        <f t="shared" si="6"/>
        <v>129723.47205264462</v>
      </c>
      <c r="U28" t="s">
        <v>9</v>
      </c>
      <c r="V28">
        <f t="shared" si="11"/>
        <v>11446</v>
      </c>
      <c r="W28">
        <f t="shared" si="13"/>
        <v>9124.073430072136</v>
      </c>
      <c r="X28">
        <f t="shared" si="13"/>
        <v>11446</v>
      </c>
      <c r="Y28" t="str">
        <f t="shared" si="13"/>
        <v/>
      </c>
      <c r="Z28" t="str">
        <f t="shared" si="13"/>
        <v/>
      </c>
      <c r="AA28" t="str">
        <f t="shared" si="13"/>
        <v/>
      </c>
      <c r="AB28" t="str">
        <f t="shared" si="13"/>
        <v/>
      </c>
      <c r="AC28" t="str">
        <f t="shared" si="13"/>
        <v/>
      </c>
      <c r="AD28" t="str">
        <f t="shared" ref="AD28" si="15">AD17</f>
        <v/>
      </c>
    </row>
    <row r="29" spans="3:34">
      <c r="E29" t="s">
        <v>5</v>
      </c>
      <c r="F29">
        <v>2</v>
      </c>
      <c r="L29" s="1">
        <f t="shared" si="10"/>
        <v>0.98</v>
      </c>
      <c r="P29">
        <f t="shared" si="7"/>
        <v>146134.5444029904</v>
      </c>
      <c r="S29">
        <f t="shared" si="6"/>
        <v>182564.05380844735</v>
      </c>
      <c r="U29" t="s">
        <v>10</v>
      </c>
      <c r="V29">
        <f t="shared" si="11"/>
        <v>14303</v>
      </c>
      <c r="W29">
        <f t="shared" si="13"/>
        <v>10389.785493114128</v>
      </c>
      <c r="X29">
        <f t="shared" si="13"/>
        <v>12801.809927688842</v>
      </c>
      <c r="Y29">
        <f t="shared" si="13"/>
        <v>14303</v>
      </c>
      <c r="Z29" t="str">
        <f t="shared" si="13"/>
        <v/>
      </c>
      <c r="AA29" t="str">
        <f t="shared" si="13"/>
        <v/>
      </c>
      <c r="AB29" t="str">
        <f t="shared" si="13"/>
        <v/>
      </c>
      <c r="AC29" t="str">
        <f t="shared" si="13"/>
        <v/>
      </c>
      <c r="AD29" t="str">
        <f t="shared" ref="AD29" si="16">AD18</f>
        <v/>
      </c>
    </row>
    <row r="30" spans="3:34">
      <c r="L30" s="1">
        <f t="shared" si="10"/>
        <v>0.99</v>
      </c>
      <c r="P30">
        <f t="shared" si="7"/>
        <v>231974.1295142005</v>
      </c>
      <c r="S30">
        <f t="shared" si="6"/>
        <v>327416.91797132278</v>
      </c>
      <c r="U30" t="s">
        <v>11</v>
      </c>
      <c r="V30">
        <f t="shared" si="11"/>
        <v>17092</v>
      </c>
      <c r="W30">
        <f t="shared" si="13"/>
        <v>12115.314345072138</v>
      </c>
      <c r="X30">
        <f t="shared" si="13"/>
        <v>14614.159068220788</v>
      </c>
      <c r="Y30">
        <f t="shared" si="13"/>
        <v>16144.681264324128</v>
      </c>
      <c r="Z30">
        <f t="shared" si="13"/>
        <v>17092</v>
      </c>
      <c r="AA30" t="str">
        <f t="shared" si="13"/>
        <v/>
      </c>
      <c r="AB30" t="str">
        <f t="shared" si="13"/>
        <v/>
      </c>
      <c r="AC30" t="str">
        <f t="shared" si="13"/>
        <v/>
      </c>
      <c r="AD30" t="str">
        <f t="shared" ref="AD30" si="17">AD19</f>
        <v/>
      </c>
    </row>
    <row r="31" spans="3:34">
      <c r="L31" s="1">
        <f t="shared" si="10"/>
        <v>1</v>
      </c>
      <c r="P31" t="e">
        <f t="shared" si="7"/>
        <v>#DIV/0!</v>
      </c>
      <c r="S31" t="e">
        <f t="shared" si="6"/>
        <v>#DIV/0!</v>
      </c>
      <c r="U31" t="s">
        <v>12</v>
      </c>
      <c r="V31">
        <f t="shared" si="11"/>
        <v>20732</v>
      </c>
      <c r="W31">
        <f t="shared" si="13"/>
        <v>14621.882438155413</v>
      </c>
      <c r="X31">
        <f t="shared" si="13"/>
        <v>17185.063753148454</v>
      </c>
      <c r="Y31">
        <f t="shared" si="13"/>
        <v>18724.469944724071</v>
      </c>
      <c r="Z31">
        <f t="shared" si="13"/>
        <v>19667.065843315009</v>
      </c>
      <c r="AA31">
        <f t="shared" si="13"/>
        <v>20732</v>
      </c>
      <c r="AB31" t="str">
        <f t="shared" si="13"/>
        <v/>
      </c>
      <c r="AC31" t="str">
        <f t="shared" si="13"/>
        <v/>
      </c>
      <c r="AD31" t="str">
        <f t="shared" ref="AD31" si="18">AD20</f>
        <v/>
      </c>
    </row>
    <row r="32" spans="3:34">
      <c r="U32" t="s">
        <v>13</v>
      </c>
      <c r="V32">
        <f t="shared" si="11"/>
        <v>26288</v>
      </c>
      <c r="W32">
        <f t="shared" si="13"/>
        <v>18633.413717400628</v>
      </c>
      <c r="X32">
        <f t="shared" si="13"/>
        <v>21177.919363775884</v>
      </c>
      <c r="Y32">
        <f t="shared" si="13"/>
        <v>22667.825555030704</v>
      </c>
      <c r="Z32">
        <f t="shared" si="13"/>
        <v>23567.500121171248</v>
      </c>
      <c r="AA32">
        <f t="shared" si="13"/>
        <v>24573.251700941812</v>
      </c>
      <c r="AB32">
        <f t="shared" si="13"/>
        <v>26288</v>
      </c>
      <c r="AC32" t="str">
        <f t="shared" si="13"/>
        <v/>
      </c>
      <c r="AD32" t="str">
        <f t="shared" ref="AD32" si="19">AD21</f>
        <v/>
      </c>
    </row>
    <row r="33" spans="4:29">
      <c r="D33" t="s">
        <v>17</v>
      </c>
      <c r="U33" t="s">
        <v>14</v>
      </c>
      <c r="V33">
        <f t="shared" si="11"/>
        <v>33632</v>
      </c>
      <c r="W33">
        <f t="shared" si="13"/>
        <v>26223.40807497087</v>
      </c>
      <c r="X33">
        <f t="shared" si="13"/>
        <v>28429.096860621012</v>
      </c>
      <c r="Y33">
        <f t="shared" si="13"/>
        <v>29675.104405888324</v>
      </c>
      <c r="Z33">
        <f t="shared" si="13"/>
        <v>30412.860875147926</v>
      </c>
      <c r="AA33">
        <f t="shared" si="13"/>
        <v>31225.405681912278</v>
      </c>
      <c r="AB33">
        <f t="shared" si="13"/>
        <v>32583.004186247381</v>
      </c>
      <c r="AC33">
        <f t="shared" si="13"/>
        <v>33632</v>
      </c>
    </row>
    <row r="34" spans="4:29">
      <c r="D34" t="s">
        <v>18</v>
      </c>
      <c r="U34" t="s">
        <v>15</v>
      </c>
      <c r="V34">
        <f t="shared" si="11"/>
        <v>47030</v>
      </c>
      <c r="W34">
        <f t="shared" si="13"/>
        <v>47029.999999999956</v>
      </c>
      <c r="X34">
        <f t="shared" si="13"/>
        <v>47029.999999999978</v>
      </c>
      <c r="Y34">
        <f t="shared" si="13"/>
        <v>47029.999999999956</v>
      </c>
      <c r="Z34">
        <f t="shared" si="13"/>
        <v>47029.999999999905</v>
      </c>
      <c r="AA34">
        <f t="shared" si="13"/>
        <v>47029.999999999978</v>
      </c>
      <c r="AB34">
        <f t="shared" si="13"/>
        <v>47029.999999999935</v>
      </c>
      <c r="AC34">
        <f t="shared" si="13"/>
        <v>47029.999999999956</v>
      </c>
    </row>
    <row r="35" spans="4:29">
      <c r="D35" t="s">
        <v>19</v>
      </c>
    </row>
    <row r="36" spans="4:29">
      <c r="D36" t="s">
        <v>20</v>
      </c>
    </row>
    <row r="37" spans="4:29">
      <c r="D37" t="s">
        <v>21</v>
      </c>
    </row>
    <row r="38" spans="4:29">
      <c r="D38" t="s">
        <v>22</v>
      </c>
      <c r="Q38" t="s">
        <v>60</v>
      </c>
      <c r="R38" t="s">
        <v>60</v>
      </c>
      <c r="S38" t="s">
        <v>60</v>
      </c>
      <c r="T38" t="s">
        <v>61</v>
      </c>
      <c r="U38" t="s">
        <v>61</v>
      </c>
      <c r="V38" t="s">
        <v>61</v>
      </c>
    </row>
    <row r="39" spans="4:29">
      <c r="D39" t="s">
        <v>23</v>
      </c>
      <c r="Q39" t="s">
        <v>62</v>
      </c>
      <c r="R39" t="s">
        <v>63</v>
      </c>
      <c r="S39" t="s">
        <v>84</v>
      </c>
      <c r="T39" t="s">
        <v>62</v>
      </c>
      <c r="U39" t="s">
        <v>63</v>
      </c>
      <c r="V39" t="s">
        <v>84</v>
      </c>
      <c r="Z39" t="s">
        <v>85</v>
      </c>
      <c r="AA39" t="s">
        <v>86</v>
      </c>
    </row>
    <row r="40" spans="4:29">
      <c r="D40" t="s">
        <v>24</v>
      </c>
      <c r="J40">
        <v>1</v>
      </c>
      <c r="K40" t="s">
        <v>37</v>
      </c>
      <c r="L40" t="s">
        <v>38</v>
      </c>
      <c r="M40" t="s">
        <v>39</v>
      </c>
      <c r="N40">
        <v>422.97100830078102</v>
      </c>
      <c r="Q40">
        <f>V14</f>
        <v>3303</v>
      </c>
      <c r="R40">
        <v>422.97100830078102</v>
      </c>
      <c r="S40">
        <v>3100</v>
      </c>
      <c r="T40">
        <f>G13</f>
        <v>666.66666666666663</v>
      </c>
      <c r="U40">
        <v>16.21</v>
      </c>
      <c r="V40">
        <v>555.80999999999995</v>
      </c>
      <c r="Y40">
        <v>1</v>
      </c>
      <c r="Z40" s="1">
        <f>Q40/S40-1</f>
        <v>6.5483870967741886E-2</v>
      </c>
      <c r="AA40" s="1">
        <f>T40/V40-1</f>
        <v>0.19945065160156661</v>
      </c>
    </row>
    <row r="41" spans="4:29">
      <c r="D41" t="s">
        <v>25</v>
      </c>
      <c r="J41" t="s">
        <v>40</v>
      </c>
      <c r="K41" t="s">
        <v>41</v>
      </c>
      <c r="L41">
        <v>16.21</v>
      </c>
      <c r="Q41">
        <f t="shared" ref="Q41:Q49" si="20">V15</f>
        <v>8153</v>
      </c>
      <c r="R41">
        <v>7838.9990234375</v>
      </c>
      <c r="S41">
        <v>9216</v>
      </c>
      <c r="T41">
        <f t="shared" ref="T41:T49" si="21">G14</f>
        <v>6000</v>
      </c>
      <c r="U41">
        <v>4416.21</v>
      </c>
      <c r="V41">
        <v>6592.63</v>
      </c>
      <c r="Y41">
        <v>2</v>
      </c>
      <c r="Z41" s="1">
        <f t="shared" ref="Z41:Z48" si="22">Q41/S41-1</f>
        <v>-0.11534288194444442</v>
      </c>
      <c r="AA41" s="1">
        <f t="shared" ref="AA41:AA49" si="23">T41/V41-1</f>
        <v>-8.9892804540828153E-2</v>
      </c>
    </row>
    <row r="42" spans="4:29">
      <c r="D42" t="s">
        <v>26</v>
      </c>
      <c r="J42">
        <v>2</v>
      </c>
      <c r="K42" t="s">
        <v>37</v>
      </c>
      <c r="L42" t="s">
        <v>38</v>
      </c>
      <c r="M42" t="s">
        <v>39</v>
      </c>
      <c r="N42">
        <v>7838.9990234375</v>
      </c>
      <c r="Q42">
        <f t="shared" si="20"/>
        <v>11446</v>
      </c>
      <c r="R42">
        <v>12347.9990234375</v>
      </c>
      <c r="S42">
        <v>13594.4482421875</v>
      </c>
      <c r="T42">
        <f t="shared" si="21"/>
        <v>9972.2222222222226</v>
      </c>
      <c r="U42">
        <v>10171.89</v>
      </c>
      <c r="V42">
        <v>11389.33</v>
      </c>
      <c r="Y42">
        <v>3</v>
      </c>
      <c r="Z42" s="1">
        <f t="shared" si="22"/>
        <v>-0.15803864959522551</v>
      </c>
      <c r="AA42" s="1">
        <f t="shared" si="23"/>
        <v>-0.12442415644974525</v>
      </c>
    </row>
    <row r="43" spans="4:29">
      <c r="D43" t="s">
        <v>27</v>
      </c>
      <c r="J43" t="s">
        <v>42</v>
      </c>
      <c r="K43" t="s">
        <v>43</v>
      </c>
      <c r="L43">
        <v>4416.21</v>
      </c>
      <c r="Q43">
        <f t="shared" si="20"/>
        <v>14303</v>
      </c>
      <c r="R43">
        <v>16061.91796875</v>
      </c>
      <c r="S43">
        <v>16777.5</v>
      </c>
      <c r="T43">
        <f t="shared" si="21"/>
        <v>13138.888888888889</v>
      </c>
      <c r="U43">
        <v>14395.74</v>
      </c>
      <c r="V43">
        <v>15223.26</v>
      </c>
      <c r="Y43">
        <v>4</v>
      </c>
      <c r="Z43" s="1">
        <f t="shared" si="22"/>
        <v>-0.14748919684100725</v>
      </c>
      <c r="AA43" s="1">
        <f t="shared" si="23"/>
        <v>-0.13692015449457684</v>
      </c>
    </row>
    <row r="44" spans="4:29">
      <c r="D44" t="s">
        <v>28</v>
      </c>
      <c r="J44">
        <v>3</v>
      </c>
      <c r="K44" t="s">
        <v>37</v>
      </c>
      <c r="L44" t="s">
        <v>38</v>
      </c>
      <c r="M44" t="s">
        <v>39</v>
      </c>
      <c r="N44">
        <v>12347.9990234375</v>
      </c>
      <c r="Q44">
        <f t="shared" si="20"/>
        <v>17092</v>
      </c>
      <c r="R44">
        <v>19468.2734375</v>
      </c>
      <c r="S44">
        <v>20172.060546875</v>
      </c>
      <c r="T44">
        <f t="shared" si="21"/>
        <v>15750</v>
      </c>
      <c r="U44">
        <v>17713.189999999999</v>
      </c>
      <c r="V44">
        <v>18396.439999999999</v>
      </c>
      <c r="Y44">
        <v>5</v>
      </c>
      <c r="Z44" s="1">
        <f t="shared" si="22"/>
        <v>-0.15268943595116036</v>
      </c>
      <c r="AA44" s="1">
        <f t="shared" si="23"/>
        <v>-0.14385609389642773</v>
      </c>
    </row>
    <row r="45" spans="4:29">
      <c r="D45" t="s">
        <v>29</v>
      </c>
      <c r="J45" t="s">
        <v>44</v>
      </c>
      <c r="K45" t="s">
        <v>45</v>
      </c>
      <c r="L45">
        <v>10171.89</v>
      </c>
      <c r="Q45">
        <f t="shared" si="20"/>
        <v>20732</v>
      </c>
      <c r="R45">
        <v>24430.927734375</v>
      </c>
      <c r="S45">
        <v>25102.236328125</v>
      </c>
      <c r="T45">
        <f t="shared" si="21"/>
        <v>18777.777777777777</v>
      </c>
      <c r="U45">
        <v>21687.38</v>
      </c>
      <c r="V45">
        <v>22497.98</v>
      </c>
      <c r="Y45">
        <v>6</v>
      </c>
      <c r="Z45" s="1">
        <f t="shared" si="22"/>
        <v>-0.17409748960209204</v>
      </c>
      <c r="AA45" s="1">
        <f t="shared" si="23"/>
        <v>-0.16535716638659215</v>
      </c>
    </row>
    <row r="46" spans="4:29">
      <c r="D46" t="s">
        <v>30</v>
      </c>
      <c r="J46">
        <v>4</v>
      </c>
      <c r="K46" t="s">
        <v>37</v>
      </c>
      <c r="L46" t="s">
        <v>38</v>
      </c>
      <c r="M46" t="s">
        <v>39</v>
      </c>
      <c r="N46">
        <v>16061.91796875</v>
      </c>
      <c r="Q46">
        <f t="shared" si="20"/>
        <v>26288</v>
      </c>
      <c r="R46">
        <v>29444.302734375</v>
      </c>
      <c r="S46">
        <v>30107.841796875</v>
      </c>
      <c r="T46">
        <f t="shared" si="21"/>
        <v>23694.444444444445</v>
      </c>
      <c r="U46">
        <v>26809.72</v>
      </c>
      <c r="V46">
        <v>27445.95</v>
      </c>
      <c r="Y46">
        <v>7</v>
      </c>
      <c r="Z46" s="1">
        <f t="shared" si="22"/>
        <v>-0.12687198978411918</v>
      </c>
      <c r="AA46" s="1">
        <f t="shared" si="23"/>
        <v>-0.13668703599458409</v>
      </c>
    </row>
    <row r="47" spans="4:29">
      <c r="D47" t="s">
        <v>31</v>
      </c>
      <c r="J47" t="s">
        <v>46</v>
      </c>
      <c r="K47" t="s">
        <v>47</v>
      </c>
      <c r="L47">
        <v>14395.74</v>
      </c>
      <c r="Q47">
        <f t="shared" si="20"/>
        <v>33632</v>
      </c>
      <c r="R47">
        <v>36590.19140625</v>
      </c>
      <c r="S47">
        <v>37199.0703125</v>
      </c>
      <c r="T47">
        <f t="shared" si="21"/>
        <v>29944.444444444445</v>
      </c>
      <c r="U47">
        <v>32793.68</v>
      </c>
      <c r="V47">
        <v>33438.300000000003</v>
      </c>
      <c r="Y47">
        <v>8</v>
      </c>
      <c r="Z47" s="1">
        <f t="shared" si="22"/>
        <v>-9.589138337420644E-2</v>
      </c>
      <c r="AA47" s="1">
        <f t="shared" si="23"/>
        <v>-0.10448663824283999</v>
      </c>
    </row>
    <row r="48" spans="4:29">
      <c r="D48" t="s">
        <v>32</v>
      </c>
      <c r="J48">
        <v>5</v>
      </c>
      <c r="K48" t="s">
        <v>37</v>
      </c>
      <c r="L48" t="s">
        <v>38</v>
      </c>
      <c r="M48" t="s">
        <v>39</v>
      </c>
      <c r="N48">
        <v>19468.2734375</v>
      </c>
      <c r="Q48">
        <f t="shared" si="20"/>
        <v>47030</v>
      </c>
      <c r="R48">
        <v>49067.4140625</v>
      </c>
      <c r="S48">
        <v>49790.7890625</v>
      </c>
      <c r="T48">
        <f t="shared" si="21"/>
        <v>39638.888888888891</v>
      </c>
      <c r="U48">
        <v>42032.37</v>
      </c>
      <c r="V48">
        <v>42694.5</v>
      </c>
      <c r="Y48">
        <v>9</v>
      </c>
      <c r="Z48" s="1">
        <f t="shared" si="22"/>
        <v>-5.5447786919675335E-2</v>
      </c>
      <c r="AA48" s="1">
        <f t="shared" si="23"/>
        <v>-7.1569197697855969E-2</v>
      </c>
    </row>
    <row r="49" spans="4:27">
      <c r="D49" t="s">
        <v>33</v>
      </c>
      <c r="J49" t="s">
        <v>48</v>
      </c>
      <c r="K49" t="s">
        <v>49</v>
      </c>
      <c r="L49">
        <v>17713.189999999999</v>
      </c>
      <c r="Q49">
        <f t="shared" si="20"/>
        <v>0</v>
      </c>
      <c r="R49">
        <v>1955226.25</v>
      </c>
      <c r="S49">
        <v>1955226.25</v>
      </c>
      <c r="T49">
        <f t="shared" si="21"/>
        <v>79611.111111111109</v>
      </c>
      <c r="U49">
        <v>74368.38</v>
      </c>
      <c r="V49">
        <v>75303.83</v>
      </c>
      <c r="Y49">
        <v>10</v>
      </c>
      <c r="Z49" s="1"/>
      <c r="AA49" s="1">
        <f t="shared" si="23"/>
        <v>5.7198699071628889E-2</v>
      </c>
    </row>
    <row r="50" spans="4:27">
      <c r="D50" t="s">
        <v>34</v>
      </c>
      <c r="J50">
        <v>6</v>
      </c>
      <c r="K50" t="s">
        <v>37</v>
      </c>
      <c r="L50" t="s">
        <v>38</v>
      </c>
      <c r="M50" t="s">
        <v>39</v>
      </c>
      <c r="N50">
        <v>24430.927734375</v>
      </c>
    </row>
    <row r="51" spans="4:27">
      <c r="D51" t="s">
        <v>35</v>
      </c>
      <c r="J51" t="s">
        <v>50</v>
      </c>
      <c r="K51" t="s">
        <v>51</v>
      </c>
      <c r="L51">
        <v>21687.38</v>
      </c>
      <c r="U51" t="s">
        <v>61</v>
      </c>
    </row>
    <row r="52" spans="4:27">
      <c r="D52" t="s">
        <v>36</v>
      </c>
      <c r="J52">
        <v>7</v>
      </c>
      <c r="K52" t="s">
        <v>37</v>
      </c>
      <c r="L52" t="s">
        <v>38</v>
      </c>
      <c r="M52" t="s">
        <v>39</v>
      </c>
      <c r="N52">
        <v>29444.302734375</v>
      </c>
      <c r="U52" t="s">
        <v>63</v>
      </c>
    </row>
    <row r="53" spans="4:27">
      <c r="J53" t="s">
        <v>52</v>
      </c>
      <c r="K53" t="s">
        <v>53</v>
      </c>
      <c r="L53">
        <v>26809.72</v>
      </c>
      <c r="U53">
        <v>16.21</v>
      </c>
    </row>
    <row r="54" spans="4:27">
      <c r="J54">
        <v>8</v>
      </c>
      <c r="K54" t="s">
        <v>37</v>
      </c>
      <c r="L54" t="s">
        <v>38</v>
      </c>
      <c r="M54" t="s">
        <v>39</v>
      </c>
      <c r="N54">
        <v>36590.19140625</v>
      </c>
      <c r="U54">
        <v>4416.21</v>
      </c>
    </row>
    <row r="55" spans="4:27">
      <c r="D55">
        <v>1</v>
      </c>
      <c r="E55" t="s">
        <v>37</v>
      </c>
      <c r="F55" t="s">
        <v>38</v>
      </c>
      <c r="G55" t="s">
        <v>39</v>
      </c>
      <c r="H55">
        <v>3100</v>
      </c>
      <c r="J55" t="s">
        <v>54</v>
      </c>
      <c r="K55" t="s">
        <v>55</v>
      </c>
      <c r="L55">
        <v>32793.68</v>
      </c>
      <c r="Q55">
        <v>422.97100830078102</v>
      </c>
      <c r="R55">
        <v>555.80999999999995</v>
      </c>
      <c r="U55">
        <v>10171.89</v>
      </c>
    </row>
    <row r="56" spans="4:27">
      <c r="D56" t="s">
        <v>64</v>
      </c>
      <c r="E56" t="s">
        <v>65</v>
      </c>
      <c r="F56">
        <v>555.80999999999995</v>
      </c>
      <c r="J56">
        <v>9</v>
      </c>
      <c r="K56" t="s">
        <v>37</v>
      </c>
      <c r="L56" t="s">
        <v>38</v>
      </c>
      <c r="M56" t="s">
        <v>39</v>
      </c>
      <c r="N56">
        <v>49067.4140625</v>
      </c>
      <c r="Q56">
        <v>7838.9990234375</v>
      </c>
      <c r="R56">
        <v>6592.63</v>
      </c>
      <c r="U56">
        <v>14395.74</v>
      </c>
    </row>
    <row r="57" spans="4:27">
      <c r="D57">
        <v>2</v>
      </c>
      <c r="E57" t="s">
        <v>37</v>
      </c>
      <c r="F57" t="s">
        <v>38</v>
      </c>
      <c r="G57" t="s">
        <v>39</v>
      </c>
      <c r="H57">
        <v>9216</v>
      </c>
      <c r="J57" t="s">
        <v>56</v>
      </c>
      <c r="K57" t="s">
        <v>57</v>
      </c>
      <c r="L57">
        <v>42032.37</v>
      </c>
      <c r="Q57">
        <v>12347.9990234375</v>
      </c>
      <c r="R57">
        <v>11389.33</v>
      </c>
      <c r="U57">
        <v>17713.189999999999</v>
      </c>
    </row>
    <row r="58" spans="4:27">
      <c r="D58" t="s">
        <v>66</v>
      </c>
      <c r="E58" t="s">
        <v>67</v>
      </c>
      <c r="F58">
        <v>6592.63</v>
      </c>
      <c r="J58">
        <v>10</v>
      </c>
      <c r="K58" t="s">
        <v>37</v>
      </c>
      <c r="L58" t="s">
        <v>38</v>
      </c>
      <c r="M58" t="s">
        <v>39</v>
      </c>
      <c r="N58">
        <v>1955226.25</v>
      </c>
      <c r="Q58">
        <v>16061.91796875</v>
      </c>
      <c r="R58">
        <v>15223.26</v>
      </c>
      <c r="U58">
        <v>21687.38</v>
      </c>
    </row>
    <row r="59" spans="4:27">
      <c r="D59">
        <v>3</v>
      </c>
      <c r="E59" t="s">
        <v>37</v>
      </c>
      <c r="F59" t="s">
        <v>38</v>
      </c>
      <c r="G59" t="s">
        <v>39</v>
      </c>
      <c r="H59">
        <v>13594.4482421875</v>
      </c>
      <c r="J59" t="s">
        <v>58</v>
      </c>
      <c r="K59" t="s">
        <v>59</v>
      </c>
      <c r="L59">
        <v>74368.38</v>
      </c>
      <c r="Q59">
        <v>19468.2734375</v>
      </c>
      <c r="R59">
        <v>18396.439999999999</v>
      </c>
      <c r="U59">
        <v>26809.72</v>
      </c>
    </row>
    <row r="60" spans="4:27">
      <c r="D60" t="s">
        <v>68</v>
      </c>
      <c r="E60" t="s">
        <v>69</v>
      </c>
      <c r="F60">
        <v>11389.33</v>
      </c>
      <c r="Q60">
        <v>24430.927734375</v>
      </c>
      <c r="R60">
        <v>22497.98</v>
      </c>
      <c r="U60">
        <v>32793.68</v>
      </c>
    </row>
    <row r="61" spans="4:27">
      <c r="D61">
        <v>4</v>
      </c>
      <c r="E61" t="s">
        <v>37</v>
      </c>
      <c r="F61" t="s">
        <v>38</v>
      </c>
      <c r="G61" t="s">
        <v>39</v>
      </c>
      <c r="H61">
        <v>16777.5</v>
      </c>
      <c r="Q61">
        <v>29444.302734375</v>
      </c>
      <c r="R61">
        <v>27445.95</v>
      </c>
      <c r="U61">
        <v>42032.37</v>
      </c>
    </row>
    <row r="62" spans="4:27">
      <c r="D62" t="s">
        <v>70</v>
      </c>
      <c r="E62" t="s">
        <v>71</v>
      </c>
      <c r="F62">
        <v>15223.26</v>
      </c>
      <c r="Q62">
        <v>36590.19140625</v>
      </c>
      <c r="R62">
        <v>33438.300000000003</v>
      </c>
      <c r="U62">
        <v>74368.38</v>
      </c>
    </row>
    <row r="63" spans="4:27">
      <c r="D63">
        <v>5</v>
      </c>
      <c r="E63" t="s">
        <v>37</v>
      </c>
      <c r="F63" t="s">
        <v>38</v>
      </c>
      <c r="G63" t="s">
        <v>39</v>
      </c>
      <c r="H63">
        <v>20172.060546875</v>
      </c>
      <c r="Q63">
        <v>49067.4140625</v>
      </c>
      <c r="R63">
        <v>42694.5</v>
      </c>
    </row>
    <row r="64" spans="4:27">
      <c r="D64" t="s">
        <v>72</v>
      </c>
      <c r="E64" t="s">
        <v>73</v>
      </c>
      <c r="F64">
        <v>18396.439999999999</v>
      </c>
      <c r="Q64">
        <v>1955226.25</v>
      </c>
      <c r="R64">
        <v>75303.83</v>
      </c>
    </row>
    <row r="65" spans="2:18">
      <c r="D65">
        <v>6</v>
      </c>
      <c r="E65" t="s">
        <v>37</v>
      </c>
      <c r="F65" t="s">
        <v>38</v>
      </c>
      <c r="G65" t="s">
        <v>39</v>
      </c>
      <c r="H65">
        <v>25102.236328125</v>
      </c>
      <c r="R65" t="s">
        <v>38</v>
      </c>
    </row>
    <row r="66" spans="2:18">
      <c r="D66" t="s">
        <v>74</v>
      </c>
      <c r="E66" t="s">
        <v>75</v>
      </c>
      <c r="F66">
        <v>22497.98</v>
      </c>
      <c r="R66" t="s">
        <v>38</v>
      </c>
    </row>
    <row r="67" spans="2:18">
      <c r="D67">
        <v>7</v>
      </c>
      <c r="E67" t="s">
        <v>37</v>
      </c>
      <c r="F67" t="s">
        <v>38</v>
      </c>
      <c r="G67" t="s">
        <v>39</v>
      </c>
      <c r="H67">
        <v>30107.841796875</v>
      </c>
      <c r="R67" t="s">
        <v>38</v>
      </c>
    </row>
    <row r="68" spans="2:18">
      <c r="D68" t="s">
        <v>76</v>
      </c>
      <c r="E68" t="s">
        <v>77</v>
      </c>
      <c r="F68">
        <v>27445.95</v>
      </c>
      <c r="R68" t="s">
        <v>38</v>
      </c>
    </row>
    <row r="69" spans="2:18">
      <c r="D69">
        <v>8</v>
      </c>
      <c r="E69" t="s">
        <v>37</v>
      </c>
      <c r="F69" t="s">
        <v>38</v>
      </c>
      <c r="G69" t="s">
        <v>39</v>
      </c>
      <c r="H69">
        <v>37199.0703125</v>
      </c>
      <c r="R69" t="s">
        <v>38</v>
      </c>
    </row>
    <row r="70" spans="2:18">
      <c r="B70">
        <v>27921802.0909</v>
      </c>
      <c r="C70">
        <v>30813344.057</v>
      </c>
      <c r="D70" t="s">
        <v>78</v>
      </c>
      <c r="E70" t="s">
        <v>79</v>
      </c>
      <c r="F70">
        <v>33438.300000000003</v>
      </c>
      <c r="R70" t="s">
        <v>38</v>
      </c>
    </row>
    <row r="71" spans="2:18">
      <c r="B71">
        <v>27921802.0909</v>
      </c>
      <c r="C71">
        <v>29771402.495999999</v>
      </c>
      <c r="D71">
        <v>9</v>
      </c>
      <c r="E71" t="s">
        <v>37</v>
      </c>
      <c r="F71" t="s">
        <v>38</v>
      </c>
      <c r="G71" t="s">
        <v>39</v>
      </c>
      <c r="H71">
        <v>49790.7890625</v>
      </c>
      <c r="R71" t="s">
        <v>38</v>
      </c>
    </row>
    <row r="72" spans="2:18">
      <c r="D72" t="s">
        <v>80</v>
      </c>
      <c r="E72" t="s">
        <v>81</v>
      </c>
      <c r="F72">
        <v>42694.5</v>
      </c>
      <c r="R72" t="s">
        <v>38</v>
      </c>
    </row>
    <row r="73" spans="2:18">
      <c r="D73">
        <v>10</v>
      </c>
      <c r="E73" t="s">
        <v>37</v>
      </c>
      <c r="F73" t="s">
        <v>38</v>
      </c>
      <c r="G73" t="s">
        <v>39</v>
      </c>
      <c r="H73">
        <v>1955226.25</v>
      </c>
      <c r="R73" t="s">
        <v>38</v>
      </c>
    </row>
    <row r="74" spans="2:18">
      <c r="D74" t="s">
        <v>82</v>
      </c>
      <c r="E74" t="s">
        <v>83</v>
      </c>
      <c r="F74">
        <v>75303.83</v>
      </c>
    </row>
  </sheetData>
  <sortState ref="R56:R73">
    <sortCondition ref="R55"/>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2</vt:i4>
      </vt:variant>
    </vt:vector>
  </HeadingPairs>
  <TitlesOfParts>
    <vt:vector size="6" baseType="lpstr">
      <vt:lpstr>ResFinal</vt:lpstr>
      <vt:lpstr>nat</vt:lpstr>
      <vt:lpstr>Feuil1</vt:lpstr>
      <vt:lpstr>Feuil3</vt:lpstr>
      <vt:lpstr>nat</vt:lpstr>
      <vt:lpstr>nat!Zone_d_impression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2019-06-26T10:09:42Z</dcterms:created>
  <dcterms:modified xsi:type="dcterms:W3CDTF">2019-06-27T14:35:20Z</dcterms:modified>
</cp:coreProperties>
</file>