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6200" windowHeight="9480" tabRatio="825" activeTab="2" xr2:uid="{AFE23C39-9A58-474F-ABBF-64E996670EE6}"/>
  </bookViews>
  <sheets>
    <sheet name="Graphics" sheetId="2" r:id="rId1"/>
    <sheet name="Registers" sheetId="5" r:id="rId2"/>
    <sheet name="Memory Locations" sheetId="4" r:id="rId3"/>
    <sheet name="Screen Flags" sheetId="13" r:id="rId4"/>
    <sheet name="Sprite Flags" sheetId="6" r:id="rId5"/>
    <sheet name="Scanlines" sheetId="8" r:id="rId6"/>
    <sheet name="Cycles" sheetId="9" r:id="rId7"/>
    <sheet name="Scanline Cycles" sheetId="15" r:id="rId8"/>
    <sheet name="Graphics Memory Layout" sheetId="17" r:id="rId9"/>
    <sheet name="Fetch Cycles Possibilities 2" sheetId="16" r:id="rId10"/>
    <sheet name="Fetch Cycle Possibilities" sheetId="1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4" l="1"/>
  <c r="H26" i="4"/>
  <c r="C4" i="4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17" i="15"/>
  <c r="S18" i="15" l="1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17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17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U16" i="15"/>
  <c r="Q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" i="15"/>
  <c r="A7" i="15"/>
  <c r="A8" i="15"/>
  <c r="A9" i="15"/>
  <c r="A10" i="15"/>
  <c r="A11" i="15"/>
  <c r="A12" i="15"/>
  <c r="A13" i="15"/>
  <c r="A14" i="15"/>
  <c r="A15" i="15"/>
  <c r="A16" i="15"/>
  <c r="A5" i="15"/>
  <c r="A70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17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R10" i="15"/>
  <c r="Q10" i="15"/>
  <c r="P10" i="15"/>
  <c r="O10" i="15"/>
  <c r="F2" i="4"/>
  <c r="R11" i="2" l="1"/>
  <c r="R7" i="2"/>
  <c r="O58" i="15"/>
  <c r="P58" i="15"/>
  <c r="Q58" i="15"/>
  <c r="R58" i="15"/>
  <c r="O59" i="15"/>
  <c r="P59" i="15"/>
  <c r="Q59" i="15"/>
  <c r="R59" i="15"/>
  <c r="O60" i="15"/>
  <c r="P60" i="15"/>
  <c r="Q60" i="15"/>
  <c r="R60" i="15"/>
  <c r="O61" i="15"/>
  <c r="P61" i="15"/>
  <c r="Q61" i="15"/>
  <c r="R61" i="15"/>
  <c r="O62" i="15"/>
  <c r="P62" i="15"/>
  <c r="Q62" i="15"/>
  <c r="R62" i="15"/>
  <c r="O63" i="15"/>
  <c r="P63" i="15"/>
  <c r="Q63" i="15"/>
  <c r="R63" i="15"/>
  <c r="O64" i="15"/>
  <c r="P64" i="15"/>
  <c r="Q64" i="15"/>
  <c r="R64" i="15"/>
  <c r="O65" i="15"/>
  <c r="P65" i="15"/>
  <c r="Q65" i="15"/>
  <c r="R65" i="15"/>
  <c r="O66" i="15"/>
  <c r="P66" i="15"/>
  <c r="Q66" i="15"/>
  <c r="R66" i="15"/>
  <c r="O67" i="15"/>
  <c r="P67" i="15"/>
  <c r="Q67" i="15"/>
  <c r="R67" i="15"/>
  <c r="O68" i="15"/>
  <c r="P68" i="15"/>
  <c r="Q68" i="15"/>
  <c r="R68" i="15"/>
  <c r="O57" i="15"/>
  <c r="P57" i="15"/>
  <c r="Q57" i="15"/>
  <c r="R57" i="15"/>
  <c r="O16" i="15" l="1"/>
  <c r="D12" i="2"/>
  <c r="D11" i="2"/>
  <c r="D3" i="2"/>
  <c r="D2" i="2"/>
  <c r="G13" i="2" l="1"/>
  <c r="G19" i="2"/>
  <c r="L13" i="5"/>
  <c r="M13" i="5" s="1"/>
  <c r="L11" i="5"/>
  <c r="M11" i="5" s="1"/>
  <c r="N5" i="5"/>
  <c r="N6" i="5" s="1"/>
  <c r="N7" i="5" s="1"/>
  <c r="N8" i="5" s="1"/>
  <c r="N9" i="5" s="1"/>
  <c r="N10" i="5" s="1"/>
  <c r="N4" i="5"/>
  <c r="M10" i="5"/>
  <c r="M12" i="5"/>
  <c r="M4" i="5"/>
  <c r="M5" i="5"/>
  <c r="M6" i="5"/>
  <c r="M7" i="5"/>
  <c r="M8" i="5"/>
  <c r="M9" i="5"/>
  <c r="M3" i="5"/>
  <c r="F35" i="9"/>
  <c r="F34" i="9"/>
  <c r="F30" i="9"/>
  <c r="F29" i="9"/>
  <c r="N11" i="5" l="1"/>
  <c r="N12" i="5" s="1"/>
  <c r="N13" i="5" s="1"/>
  <c r="N14" i="5" s="1"/>
  <c r="N15" i="5" s="1"/>
  <c r="N16" i="5" s="1"/>
  <c r="R17" i="2" l="1"/>
  <c r="R23" i="2" s="1"/>
  <c r="R10" i="2"/>
  <c r="R20" i="2" s="1"/>
  <c r="R26" i="2" s="1"/>
  <c r="R6" i="2"/>
  <c r="G11" i="2"/>
  <c r="G12" i="2" s="1"/>
  <c r="D19" i="9" l="1"/>
  <c r="D12" i="9"/>
  <c r="D15" i="9" s="1"/>
  <c r="D10" i="9"/>
  <c r="D9" i="9"/>
  <c r="D11" i="9" l="1"/>
  <c r="D28" i="9" s="1"/>
  <c r="D29" i="9" s="1"/>
  <c r="D34" i="9" l="1"/>
  <c r="D22" i="9"/>
  <c r="D21" i="9"/>
  <c r="I16" i="8"/>
  <c r="I17" i="8" s="1"/>
  <c r="I18" i="8" s="1"/>
  <c r="B13" i="8"/>
  <c r="B14" i="8" s="1"/>
  <c r="B15" i="8" s="1"/>
  <c r="D36" i="9" l="1"/>
  <c r="D37" i="9" s="1"/>
  <c r="D13" i="9"/>
  <c r="D14" i="9"/>
  <c r="N8" i="8"/>
  <c r="N9" i="8" s="1"/>
  <c r="N7" i="8"/>
  <c r="J8" i="8"/>
  <c r="J6" i="8"/>
  <c r="C8" i="8"/>
  <c r="I6" i="8"/>
  <c r="C6" i="8"/>
  <c r="B6" i="8"/>
  <c r="E1" i="8"/>
  <c r="J5" i="8"/>
  <c r="J7" i="8" s="1"/>
  <c r="C5" i="8"/>
  <c r="B7" i="8"/>
  <c r="D25" i="9" l="1"/>
  <c r="D18" i="9"/>
  <c r="D16" i="9"/>
  <c r="D17" i="9"/>
  <c r="D26" i="9" s="1"/>
  <c r="D23" i="9"/>
  <c r="D24" i="9" s="1"/>
  <c r="D20" i="9" s="1"/>
  <c r="J9" i="8"/>
  <c r="J10" i="8" s="1"/>
  <c r="C7" i="8"/>
  <c r="C9" i="8" s="1"/>
  <c r="C10" i="8" s="1"/>
  <c r="J13" i="8" l="1"/>
  <c r="E4" i="5" l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l="1"/>
  <c r="K19" i="4"/>
  <c r="L6" i="2"/>
  <c r="C19" i="2"/>
  <c r="B19" i="2"/>
  <c r="C2" i="4" s="1"/>
  <c r="D3" i="4" s="1"/>
  <c r="B12" i="2"/>
  <c r="B11" i="2"/>
  <c r="B5" i="2"/>
  <c r="Q5" i="5" l="1"/>
  <c r="R5" i="5" s="1"/>
  <c r="Q9" i="5"/>
  <c r="R9" i="5" s="1"/>
  <c r="Q13" i="5"/>
  <c r="R13" i="5" s="1"/>
  <c r="Q6" i="5"/>
  <c r="R6" i="5" s="1"/>
  <c r="Q10" i="5"/>
  <c r="R10" i="5" s="1"/>
  <c r="Q3" i="5"/>
  <c r="Q7" i="5"/>
  <c r="R7" i="5" s="1"/>
  <c r="Q11" i="5"/>
  <c r="Q4" i="5"/>
  <c r="R4" i="5" s="1"/>
  <c r="Q8" i="5"/>
  <c r="R8" i="5" s="1"/>
  <c r="Q12" i="5"/>
  <c r="R12" i="5" s="1"/>
  <c r="F3" i="4"/>
  <c r="E18" i="5"/>
  <c r="D4" i="4"/>
  <c r="O5" i="15" l="1"/>
  <c r="R11" i="5"/>
  <c r="Q9" i="15"/>
  <c r="R3" i="5"/>
  <c r="D5" i="4"/>
  <c r="F4" i="4"/>
  <c r="E19" i="5"/>
  <c r="D6" i="4" l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F5" i="4"/>
  <c r="E20" i="5"/>
  <c r="C19" i="4"/>
  <c r="C20" i="4" l="1"/>
  <c r="G5" i="4"/>
  <c r="M5" i="4" s="1"/>
  <c r="G6" i="4"/>
  <c r="G3" i="4"/>
  <c r="M3" i="4" s="1"/>
  <c r="G7" i="4"/>
  <c r="G11" i="4"/>
  <c r="I11" i="4" s="1"/>
  <c r="J11" i="4" s="1"/>
  <c r="G15" i="4"/>
  <c r="I15" i="4" s="1"/>
  <c r="J15" i="4" s="1"/>
  <c r="G9" i="4"/>
  <c r="I9" i="4" s="1"/>
  <c r="J9" i="4" s="1"/>
  <c r="G13" i="4"/>
  <c r="I13" i="4" s="1"/>
  <c r="J13" i="4" s="1"/>
  <c r="G17" i="4"/>
  <c r="I17" i="4" s="1"/>
  <c r="J17" i="4" s="1"/>
  <c r="G10" i="4"/>
  <c r="I10" i="4" s="1"/>
  <c r="J10" i="4" s="1"/>
  <c r="G14" i="4"/>
  <c r="I14" i="4" s="1"/>
  <c r="J14" i="4" s="1"/>
  <c r="G2" i="4"/>
  <c r="M2" i="4" s="1"/>
  <c r="G4" i="4"/>
  <c r="M4" i="4" s="1"/>
  <c r="G8" i="4"/>
  <c r="I8" i="4" s="1"/>
  <c r="J8" i="4" s="1"/>
  <c r="G12" i="4"/>
  <c r="I12" i="4" s="1"/>
  <c r="J12" i="4" s="1"/>
  <c r="G16" i="4"/>
  <c r="I16" i="4" s="1"/>
  <c r="J16" i="4" s="1"/>
  <c r="H5" i="4"/>
  <c r="I7" i="4" l="1"/>
  <c r="J7" i="4" s="1"/>
  <c r="M7" i="4"/>
  <c r="I6" i="4"/>
  <c r="J6" i="4" s="1"/>
  <c r="M6" i="4"/>
  <c r="I4" i="4"/>
  <c r="J4" i="4" s="1"/>
  <c r="C25" i="4"/>
  <c r="D25" i="4" s="1"/>
  <c r="I2" i="4"/>
  <c r="J2" i="4" s="1"/>
  <c r="C24" i="4"/>
  <c r="D24" i="4" s="1"/>
  <c r="H3" i="4"/>
  <c r="O1" i="5"/>
  <c r="O14" i="5" s="1"/>
  <c r="P14" i="5" s="1"/>
  <c r="H4" i="4"/>
  <c r="C21" i="4"/>
  <c r="D20" i="4"/>
  <c r="K4" i="4"/>
  <c r="N4" i="4" s="1"/>
  <c r="H6" i="4"/>
  <c r="I3" i="4"/>
  <c r="J3" i="4" s="1"/>
  <c r="K7" i="4"/>
  <c r="L7" i="4" s="1"/>
  <c r="O7" i="4" s="1"/>
  <c r="E1" i="5"/>
  <c r="I5" i="4"/>
  <c r="J5" i="4" s="1"/>
  <c r="H8" i="4"/>
  <c r="K6" i="4"/>
  <c r="K5" i="4"/>
  <c r="K3" i="4"/>
  <c r="H2" i="4"/>
  <c r="K2" i="4"/>
  <c r="H7" i="4"/>
  <c r="O15" i="5" l="1"/>
  <c r="P15" i="5" s="1"/>
  <c r="P1" i="5"/>
  <c r="O16" i="5"/>
  <c r="P16" i="5" s="1"/>
  <c r="O11" i="5"/>
  <c r="P11" i="5" s="1"/>
  <c r="O12" i="5"/>
  <c r="P12" i="5" s="1"/>
  <c r="O13" i="5"/>
  <c r="P13" i="5" s="1"/>
  <c r="L4" i="4"/>
  <c r="O4" i="4" s="1"/>
  <c r="N7" i="4"/>
  <c r="F3" i="5"/>
  <c r="F6" i="5"/>
  <c r="F8" i="5"/>
  <c r="F16" i="5"/>
  <c r="F4" i="5"/>
  <c r="F10" i="5"/>
  <c r="F11" i="5"/>
  <c r="F5" i="5"/>
  <c r="F9" i="5"/>
  <c r="F7" i="5"/>
  <c r="F12" i="5"/>
  <c r="F17" i="5"/>
  <c r="F14" i="5"/>
  <c r="F13" i="5"/>
  <c r="F15" i="5"/>
  <c r="F18" i="5"/>
  <c r="F19" i="5"/>
  <c r="F20" i="5"/>
  <c r="O3" i="5"/>
  <c r="P3" i="5" s="1"/>
  <c r="O4" i="5"/>
  <c r="P4" i="5" s="1"/>
  <c r="O9" i="5"/>
  <c r="P9" i="5" s="1"/>
  <c r="O6" i="5"/>
  <c r="P6" i="5" s="1"/>
  <c r="O5" i="5"/>
  <c r="P5" i="5" s="1"/>
  <c r="O7" i="5"/>
  <c r="P7" i="5" s="1"/>
  <c r="O8" i="5"/>
  <c r="P8" i="5" s="1"/>
  <c r="O10" i="5"/>
  <c r="P10" i="5" s="1"/>
  <c r="L3" i="4"/>
  <c r="O3" i="4" s="1"/>
  <c r="N3" i="4"/>
  <c r="L5" i="4"/>
  <c r="O5" i="4" s="1"/>
  <c r="N5" i="4"/>
  <c r="L2" i="4"/>
  <c r="O2" i="4" s="1"/>
  <c r="N2" i="4"/>
  <c r="L6" i="4"/>
  <c r="O6" i="4" s="1"/>
  <c r="N6" i="4"/>
  <c r="K8" i="4"/>
  <c r="G18" i="5" l="1"/>
  <c r="H18" i="5"/>
  <c r="H17" i="5"/>
  <c r="G17" i="5"/>
  <c r="G5" i="5"/>
  <c r="H5" i="5"/>
  <c r="G16" i="5"/>
  <c r="H16" i="5"/>
  <c r="H15" i="5"/>
  <c r="G15" i="5"/>
  <c r="G12" i="5"/>
  <c r="H12" i="5"/>
  <c r="G11" i="5"/>
  <c r="H11" i="5"/>
  <c r="G8" i="5"/>
  <c r="H8" i="5"/>
  <c r="G20" i="5"/>
  <c r="H20" i="5"/>
  <c r="H13" i="5"/>
  <c r="G13" i="5"/>
  <c r="G7" i="5"/>
  <c r="H7" i="5"/>
  <c r="G10" i="5"/>
  <c r="H10" i="5"/>
  <c r="G6" i="5"/>
  <c r="H6" i="5"/>
  <c r="H19" i="5"/>
  <c r="G19" i="5"/>
  <c r="G14" i="5"/>
  <c r="H14" i="5"/>
  <c r="G9" i="5"/>
  <c r="H9" i="5"/>
  <c r="G4" i="5"/>
  <c r="H4" i="5"/>
  <c r="G3" i="5"/>
  <c r="H3" i="5"/>
  <c r="N8" i="4"/>
  <c r="L8" i="4"/>
  <c r="O8" i="4" s="1"/>
  <c r="K9" i="4"/>
  <c r="H9" i="4"/>
  <c r="L9" i="4" l="1"/>
  <c r="O9" i="4" s="1"/>
  <c r="N9" i="4"/>
  <c r="H10" i="4"/>
  <c r="K10" i="4"/>
  <c r="L10" i="4" l="1"/>
  <c r="O10" i="4" s="1"/>
  <c r="N10" i="4"/>
  <c r="H11" i="4"/>
  <c r="K11" i="4"/>
  <c r="N11" i="4" l="1"/>
  <c r="L11" i="4"/>
  <c r="O11" i="4" s="1"/>
  <c r="H12" i="4"/>
  <c r="K12" i="4"/>
  <c r="N12" i="4" l="1"/>
  <c r="L12" i="4"/>
  <c r="O12" i="4" s="1"/>
  <c r="K13" i="4"/>
  <c r="H13" i="4"/>
  <c r="L13" i="4" l="1"/>
  <c r="O13" i="4" s="1"/>
  <c r="N13" i="4"/>
  <c r="K14" i="4"/>
  <c r="H14" i="4"/>
  <c r="L14" i="4" l="1"/>
  <c r="O14" i="4" s="1"/>
  <c r="N14" i="4"/>
  <c r="H15" i="4"/>
  <c r="K15" i="4"/>
  <c r="N15" i="4" l="1"/>
  <c r="L15" i="4"/>
  <c r="O15" i="4" s="1"/>
  <c r="K16" i="4"/>
  <c r="H16" i="4"/>
  <c r="H17" i="4"/>
  <c r="K17" i="4"/>
  <c r="N16" i="4" l="1"/>
  <c r="L16" i="4"/>
  <c r="O16" i="4" s="1"/>
  <c r="L17" i="4"/>
  <c r="O17" i="4" s="1"/>
  <c r="N17" i="4"/>
  <c r="D25" i="5"/>
</calcChain>
</file>

<file path=xl/sharedStrings.xml><?xml version="1.0" encoding="utf-8"?>
<sst xmlns="http://schemas.openxmlformats.org/spreadsheetml/2006/main" count="592" uniqueCount="307">
  <si>
    <t>Rows</t>
  </si>
  <si>
    <t>Resolution</t>
  </si>
  <si>
    <t>Width</t>
  </si>
  <si>
    <t>Height</t>
  </si>
  <si>
    <t>Character Size</t>
  </si>
  <si>
    <t>px</t>
  </si>
  <si>
    <t>Size</t>
  </si>
  <si>
    <t>Columns</t>
  </si>
  <si>
    <t>Bytes per character</t>
  </si>
  <si>
    <t>Bytes per colour</t>
  </si>
  <si>
    <t>Total Ram Required</t>
  </si>
  <si>
    <t>Screen Size</t>
  </si>
  <si>
    <t>Name</t>
  </si>
  <si>
    <t>Offset</t>
  </si>
  <si>
    <t>Screen1</t>
  </si>
  <si>
    <t>Fast Ram Size</t>
  </si>
  <si>
    <t>Screen0</t>
  </si>
  <si>
    <t>Registers</t>
  </si>
  <si>
    <t>Page</t>
  </si>
  <si>
    <t>Sprites</t>
  </si>
  <si>
    <t>Max Width</t>
  </si>
  <si>
    <t>Max Height</t>
  </si>
  <si>
    <t>Data Size</t>
  </si>
  <si>
    <t>Palette</t>
  </si>
  <si>
    <t>Colours</t>
  </si>
  <si>
    <t>Best Page</t>
  </si>
  <si>
    <t>Page Aligned</t>
  </si>
  <si>
    <t>End</t>
  </si>
  <si>
    <t>Begin</t>
  </si>
  <si>
    <t>Register</t>
  </si>
  <si>
    <t>Fast Ram</t>
  </si>
  <si>
    <t>Origin</t>
  </si>
  <si>
    <t>GFX_SCREEN0_FLAGS</t>
  </si>
  <si>
    <t>GFX_SCREEN1_FLAGS</t>
  </si>
  <si>
    <t>GFX_FLAGS</t>
  </si>
  <si>
    <t>GFX_SPRITE_PALETTE</t>
  </si>
  <si>
    <t>Sprite Flags</t>
  </si>
  <si>
    <t>Flip H</t>
  </si>
  <si>
    <t xml:space="preserve"> 9th bit of X</t>
  </si>
  <si>
    <t>Sorting Layer</t>
  </si>
  <si>
    <t>Scanlines</t>
  </si>
  <si>
    <t>PAL</t>
  </si>
  <si>
    <t>VBlank</t>
  </si>
  <si>
    <t>Visible</t>
  </si>
  <si>
    <t>Cycles</t>
  </si>
  <si>
    <t>Hz</t>
  </si>
  <si>
    <t>Mhz</t>
  </si>
  <si>
    <t>C64</t>
  </si>
  <si>
    <t>FPS</t>
  </si>
  <si>
    <t>DX8</t>
  </si>
  <si>
    <t>Pixels/Cycle</t>
  </si>
  <si>
    <t>CPU Rate</t>
  </si>
  <si>
    <t>Px</t>
  </si>
  <si>
    <t>GPU Rate</t>
  </si>
  <si>
    <t>x</t>
  </si>
  <si>
    <t>Upper VBlank</t>
  </si>
  <si>
    <t>HBlank</t>
  </si>
  <si>
    <t>Lower Vblank</t>
  </si>
  <si>
    <t>Dot Clock</t>
  </si>
  <si>
    <t>Pixels per second</t>
  </si>
  <si>
    <t>Bytes per Pixel</t>
  </si>
  <si>
    <t>Buffer Size</t>
  </si>
  <si>
    <t>bytes</t>
  </si>
  <si>
    <t>Pixels per cycle</t>
  </si>
  <si>
    <t>Cycles per scanline</t>
  </si>
  <si>
    <t>Cycles per frame</t>
  </si>
  <si>
    <t>Pixels</t>
  </si>
  <si>
    <t>H Blank Left</t>
  </si>
  <si>
    <t>H Blank Right</t>
  </si>
  <si>
    <t>H Blank Cycles</t>
  </si>
  <si>
    <t>H Blank Start</t>
  </si>
  <si>
    <t>V Blank Cycles</t>
  </si>
  <si>
    <t>V Blank Top</t>
  </si>
  <si>
    <t>V Blank Scanlines</t>
  </si>
  <si>
    <t>V Blank Bottom</t>
  </si>
  <si>
    <t>V Blank Start</t>
  </si>
  <si>
    <t>V Blank Lower Cycles</t>
  </si>
  <si>
    <t>V Blank Upper Cycles</t>
  </si>
  <si>
    <t>H Blank Px</t>
  </si>
  <si>
    <t>Cpu Rate</t>
  </si>
  <si>
    <t>Cpu per frame</t>
  </si>
  <si>
    <t>H Blank Cycles Left</t>
  </si>
  <si>
    <t>Row 0 Copy</t>
  </si>
  <si>
    <t>Scanline Cycles</t>
  </si>
  <si>
    <t>H Blank Cycles Right</t>
  </si>
  <si>
    <t>Colour 01</t>
  </si>
  <si>
    <t>Splat 0</t>
  </si>
  <si>
    <t>Splat 3</t>
  </si>
  <si>
    <t>Splat 4</t>
  </si>
  <si>
    <t>Splat 5</t>
  </si>
  <si>
    <t>Splat 1</t>
  </si>
  <si>
    <t>Colour 23</t>
  </si>
  <si>
    <t>Splat 2</t>
  </si>
  <si>
    <t>Colour 0123</t>
  </si>
  <si>
    <t>Char 01</t>
  </si>
  <si>
    <t>Char 23</t>
  </si>
  <si>
    <t>Char 45</t>
  </si>
  <si>
    <t>Splat 6</t>
  </si>
  <si>
    <t>Char 67</t>
  </si>
  <si>
    <t>Splat 7</t>
  </si>
  <si>
    <t>Colour 89AB</t>
  </si>
  <si>
    <t>A</t>
  </si>
  <si>
    <t>B</t>
  </si>
  <si>
    <t>Char 89</t>
  </si>
  <si>
    <t>Splat 8</t>
  </si>
  <si>
    <t>Splat 9</t>
  </si>
  <si>
    <t>C</t>
  </si>
  <si>
    <t>D</t>
  </si>
  <si>
    <t>E</t>
  </si>
  <si>
    <t>F</t>
  </si>
  <si>
    <t>Colour 4567</t>
  </si>
  <si>
    <t>Char AB</t>
  </si>
  <si>
    <t>Splat A</t>
  </si>
  <si>
    <t>Splat B</t>
  </si>
  <si>
    <t>Char CD</t>
  </si>
  <si>
    <t>Colour CDEF</t>
  </si>
  <si>
    <t>Splat C</t>
  </si>
  <si>
    <t>Splat D</t>
  </si>
  <si>
    <t>Char EF</t>
  </si>
  <si>
    <t>Splat E</t>
  </si>
  <si>
    <t>Splat F</t>
  </si>
  <si>
    <t>Char F10</t>
  </si>
  <si>
    <t>3 Byte Fetch</t>
  </si>
  <si>
    <t>Color 67</t>
  </si>
  <si>
    <t>Colour AB</t>
  </si>
  <si>
    <t>Colour EF</t>
  </si>
  <si>
    <t>Colour 45</t>
  </si>
  <si>
    <t>Colour 89</t>
  </si>
  <si>
    <t>Colour CD</t>
  </si>
  <si>
    <t>4 Byte Fetch</t>
  </si>
  <si>
    <t>Tiles</t>
  </si>
  <si>
    <t>Max Sprites per scanline</t>
  </si>
  <si>
    <t>Sprite Data</t>
  </si>
  <si>
    <t>Bits per line</t>
  </si>
  <si>
    <t>Bytes per line</t>
  </si>
  <si>
    <t>Bytes per sprite data</t>
  </si>
  <si>
    <t>Sprite Image Mem</t>
  </si>
  <si>
    <t>Kb</t>
  </si>
  <si>
    <t>Sprite Slots</t>
  </si>
  <si>
    <t>Sprite Mem</t>
  </si>
  <si>
    <t>Tile Mem</t>
  </si>
  <si>
    <t>Bits per pixel</t>
  </si>
  <si>
    <t>Single Colour (set via char colour)</t>
  </si>
  <si>
    <t>Bytes per tile</t>
  </si>
  <si>
    <t>Tile Ram</t>
  </si>
  <si>
    <t>Single Colour Max Size</t>
  </si>
  <si>
    <t>Multi Colour Max Size</t>
  </si>
  <si>
    <t>kb</t>
  </si>
  <si>
    <t>Multi Colour (2 shared for scanline, and 1 via char colour)</t>
  </si>
  <si>
    <t>GFX_SCREEN0_SCROLL</t>
  </si>
  <si>
    <t>GFX_SCREEN1_SCROLL</t>
  </si>
  <si>
    <t>Multi-colour tile mode</t>
  </si>
  <si>
    <t>PADDING</t>
  </si>
  <si>
    <t>INTERNAL_REGISTERS</t>
  </si>
  <si>
    <t>Background Colour</t>
  </si>
  <si>
    <t>Screen Flags</t>
  </si>
  <si>
    <t>Colour Flags</t>
  </si>
  <si>
    <t>Multi-Colour #1</t>
  </si>
  <si>
    <t>Multi-Colour #2</t>
  </si>
  <si>
    <t>DMA</t>
  </si>
  <si>
    <t>Phase 0</t>
  </si>
  <si>
    <t>Phase 1</t>
  </si>
  <si>
    <t>Ram</t>
  </si>
  <si>
    <t>Emit</t>
  </si>
  <si>
    <t>Ram can fetch 8-bytes at a time</t>
  </si>
  <si>
    <t>Tile 1</t>
  </si>
  <si>
    <t>Tile 0</t>
  </si>
  <si>
    <t>Colour 12</t>
  </si>
  <si>
    <t>Video Ram Is actually calling the fetch, but Tile Ram receives it (as they share the same data bus)</t>
  </si>
  <si>
    <t>Tile generator then emits the two character lines (16-bits) on the same data line (in early phase 1) - late phase 1 (captures it)</t>
  </si>
  <si>
    <t>FAST RAM/TILE RAM will transfer a word at a time.</t>
  </si>
  <si>
    <t>Left-Edge</t>
  </si>
  <si>
    <t>Right-Edge</t>
  </si>
  <si>
    <t>Character</t>
  </si>
  <si>
    <t>Tile</t>
  </si>
  <si>
    <t>Colour (and Sprites)</t>
  </si>
  <si>
    <t>SHARED BUS/VIDEO RAM ACCESS+</t>
  </si>
  <si>
    <t>CTKS</t>
  </si>
  <si>
    <t>Y</t>
  </si>
  <si>
    <t>Signals</t>
  </si>
  <si>
    <t>W</t>
  </si>
  <si>
    <t>Sprite Coprocessor</t>
  </si>
  <si>
    <t>Clock S
Receive Sprite Data[0].Lo</t>
  </si>
  <si>
    <t>Clock S
Receive Sprite Data[0].Hi</t>
  </si>
  <si>
    <t>Clock S
Receive Sprite Data[1].Lo</t>
  </si>
  <si>
    <t>Clock S
Receive Sprite Data[1].Hi</t>
  </si>
  <si>
    <t>Clock S
Receive Sprite Data[2].Lo</t>
  </si>
  <si>
    <t>Clock S
Receive Sprite Data[2].Hi</t>
  </si>
  <si>
    <t>Clock S
Receive Sprite Data[4].Hi</t>
  </si>
  <si>
    <t>Clock S
Receive Sprite Data[4].Lo</t>
  </si>
  <si>
    <t>Clock S
Receive Sprite Data[3].Hi</t>
  </si>
  <si>
    <t>Clock S
Receive Sprite Data[3].Lo</t>
  </si>
  <si>
    <t>Clock S
Receive Sprite Data[5].Lo</t>
  </si>
  <si>
    <t>Clock S
Receive Sprite Data[5].Hi</t>
  </si>
  <si>
    <t>Clock S
Receive Sprite Data[6].Lo</t>
  </si>
  <si>
    <t>Clock S
Receive Sprite Data[6].Hi</t>
  </si>
  <si>
    <t>Clock S
Receive Sprite Data[7].Hi</t>
  </si>
  <si>
    <t>Clock S
Receive Sprite Data[7].Lo</t>
  </si>
  <si>
    <t xml:space="preserve">Set C Counter to REG_SCREENn
</t>
  </si>
  <si>
    <t>Clock S
For Sprite Data[0].Lo</t>
  </si>
  <si>
    <t>Clock S
For Sprite Data[0].Hi</t>
  </si>
  <si>
    <t>Clock S
For Sprite Data[1].Lo</t>
  </si>
  <si>
    <t>Clock S
For Sprite Data[1].Hi</t>
  </si>
  <si>
    <t>Clock S
For Sprite Data[2].Lo</t>
  </si>
  <si>
    <t>Clock S
For Sprite Data[2].Hi</t>
  </si>
  <si>
    <t>Clock S
For Sprite Data[3].Lo</t>
  </si>
  <si>
    <t>Clock S
For Sprite Data[3].Hi</t>
  </si>
  <si>
    <t>Clock S
For Sprite Data[4].Lo</t>
  </si>
  <si>
    <t>Clock S
For Sprite Data[4].Hi</t>
  </si>
  <si>
    <t>Clock S
For Sprite Data[5].Lo</t>
  </si>
  <si>
    <t>Clock S
For Sprite Data[5].Hi</t>
  </si>
  <si>
    <t>Clock S
For Sprite Data[6].Lo</t>
  </si>
  <si>
    <t>Clock S
For Sprite Data[6].Hi</t>
  </si>
  <si>
    <t>Clock S
For Sprite Data[7].Lo</t>
  </si>
  <si>
    <t>Clock S
For Sprite Data[7].Hi</t>
  </si>
  <si>
    <t>TODO</t>
  </si>
  <si>
    <t>Sprite Ram</t>
  </si>
  <si>
    <t>RESET</t>
  </si>
  <si>
    <t>Fetch Sprite [0]..[0..1]</t>
  </si>
  <si>
    <t>Fetch Sprite [0]..[2..3]</t>
  </si>
  <si>
    <t>Fetch Sprite [1]..[0..1]</t>
  </si>
  <si>
    <t>Fetch Sprite [1]..[2..3]</t>
  </si>
  <si>
    <t>Fetch Sprite [2]..[0..1]</t>
  </si>
  <si>
    <t>Fetch Sprite [2]..[2..3]</t>
  </si>
  <si>
    <t>Fetch Sprite [3]..[0..1]</t>
  </si>
  <si>
    <t>Fetch Sprite [3]..[2..3]</t>
  </si>
  <si>
    <t>Fetch Sprite [4]..[0..1]</t>
  </si>
  <si>
    <t>Fetch Sprite [5]..[0..1]</t>
  </si>
  <si>
    <t>Fetch Sprite [6]..[0..1]</t>
  </si>
  <si>
    <t>Fetch Sprite [7]..[0..1]</t>
  </si>
  <si>
    <t>Fetch Sprite [4]..[2..3]</t>
  </si>
  <si>
    <t>Fetch Sprite [5]..[2..3]</t>
  </si>
  <si>
    <t>Fetch Sprite [6]..[2..3]</t>
  </si>
  <si>
    <t>Fetch Sprite [7]..[2..3]</t>
  </si>
  <si>
    <t>Gpu Rate</t>
  </si>
  <si>
    <t>PAL Refresh Rate</t>
  </si>
  <si>
    <t>Nanoseconds</t>
  </si>
  <si>
    <t>Nano seconds</t>
  </si>
  <si>
    <t>S, S</t>
  </si>
  <si>
    <t>S,S</t>
  </si>
  <si>
    <t>Count</t>
  </si>
  <si>
    <t>Colour</t>
  </si>
  <si>
    <t>GFX_SPRITE_COLLISIONS</t>
  </si>
  <si>
    <t>Graphics Flags</t>
  </si>
  <si>
    <t>Screen 1</t>
  </si>
  <si>
    <t>GFX_SCREEN0_PALETTE</t>
  </si>
  <si>
    <t>GFX_SCREEN1_PALETTE</t>
  </si>
  <si>
    <t>Padding</t>
  </si>
  <si>
    <t>Bytes</t>
  </si>
  <si>
    <t>Bits</t>
  </si>
  <si>
    <t>GFX_SPRITE_REGISTER</t>
  </si>
  <si>
    <t>Addr</t>
  </si>
  <si>
    <t>X</t>
  </si>
  <si>
    <t>Flags</t>
  </si>
  <si>
    <t>GFX_SPRITES</t>
  </si>
  <si>
    <t>Screen0_Colour</t>
  </si>
  <si>
    <t>Screen1_Colour</t>
  </si>
  <si>
    <t>K, T, C, S</t>
  </si>
  <si>
    <t>T, C, S</t>
  </si>
  <si>
    <t>T, K, S</t>
  </si>
  <si>
    <t>C, C, S</t>
  </si>
  <si>
    <t>S</t>
  </si>
  <si>
    <t>?</t>
  </si>
  <si>
    <t>T, S</t>
  </si>
  <si>
    <t>Multi Colour Stride</t>
  </si>
  <si>
    <t>Single Colour Stride</t>
  </si>
  <si>
    <t>Stride bytes</t>
  </si>
  <si>
    <t>Depth Sorting Mode</t>
  </si>
  <si>
    <t>Sprites on Background, Tiles on Foreground</t>
  </si>
  <si>
    <t>Sprites on Foreground, Tiles on Background</t>
  </si>
  <si>
    <t>Tile Id &lt;= 128/64 = Foreground, Tile Id &gt; 128/64 = Background</t>
  </si>
  <si>
    <t>Tile Id &lt;= 192/96 = Foreground, Tile Id &gt; 192/96 = Background</t>
  </si>
  <si>
    <t>Multi-Colour Mode</t>
  </si>
  <si>
    <t>Single Colour (1 byte per line)</t>
  </si>
  <si>
    <t>Multi Colour (2 bytes per line)</t>
  </si>
  <si>
    <t>Offset H</t>
  </si>
  <si>
    <t>Location</t>
  </si>
  <si>
    <t>Video</t>
  </si>
  <si>
    <t>Sprite</t>
  </si>
  <si>
    <t>Video Ram</t>
  </si>
  <si>
    <t>GARBAGE</t>
  </si>
  <si>
    <t>Colour Mode</t>
  </si>
  <si>
    <t>Greyscale</t>
  </si>
  <si>
    <t>Bus + Memory</t>
  </si>
  <si>
    <t>Visible Bus Cycle</t>
  </si>
  <si>
    <t>Visible Cycle</t>
  </si>
  <si>
    <t>HBLANK</t>
  </si>
  <si>
    <t>Main Bus</t>
  </si>
  <si>
    <t>1, 0</t>
  </si>
  <si>
    <t>0, 1</t>
  </si>
  <si>
    <t>Sprite Coprocessor and Tile decoder have two resets</t>
  </si>
  <si>
    <t xml:space="preserve"> - Soft Reset (R=1, Y=0, just resets the scanline. Y registers are preserved)</t>
  </si>
  <si>
    <t xml:space="preserve"> - Hard Reset (Y=1, R=1, full reset. Y registers reset to 0)  (Done at Vblank)</t>
  </si>
  <si>
    <t>V-Blank Start</t>
  </si>
  <si>
    <t>Clock</t>
  </si>
  <si>
    <t>Scanline Cycle</t>
  </si>
  <si>
    <t>Tile Decoder</t>
  </si>
  <si>
    <t>SPRITE REJECTION [0]</t>
  </si>
  <si>
    <t>SPRITE REJECTION [1]</t>
  </si>
  <si>
    <t>SPRITE REJECTION [2]</t>
  </si>
  <si>
    <t>SPRITE REJECTION [4]</t>
  </si>
  <si>
    <t>SPRITE REJECTION [8]</t>
  </si>
  <si>
    <t>SPRITE REJECTION [3]</t>
  </si>
  <si>
    <t>SPRITE REJECTION [5]</t>
  </si>
  <si>
    <t>SPRITE REJECTION [7]</t>
  </si>
  <si>
    <t>P</t>
  </si>
  <si>
    <t>Real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</si>
</sst>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5171A"/>
      <name val="Adelle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4" fillId="0" borderId="7" xfId="0" applyFont="1" applyBorder="1" applyAlignment="1"/>
    <xf numFmtId="0" fontId="0" fillId="0" borderId="15" xfId="0" applyBorder="1"/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0" xfId="0" applyBorder="1"/>
    <xf numFmtId="0" fontId="4" fillId="0" borderId="8" xfId="0" applyFont="1" applyBorder="1" applyAlignment="1"/>
    <xf numFmtId="0" fontId="0" fillId="0" borderId="21" xfId="0" applyBorder="1" applyAlignment="1">
      <alignment horizontal="center" vertical="center" wrapText="1"/>
    </xf>
    <xf numFmtId="0" fontId="0" fillId="0" borderId="21" xfId="0" applyBorder="1"/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11" xfId="0" applyFont="1" applyBorder="1" applyAlignment="1"/>
    <xf numFmtId="0" fontId="0" fillId="0" borderId="11" xfId="0" applyBorder="1"/>
    <xf numFmtId="0" fontId="0" fillId="0" borderId="10" xfId="0" applyBorder="1"/>
    <xf numFmtId="0" fontId="0" fillId="0" borderId="22" xfId="0" applyBorder="1" applyAlignment="1"/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DF0D-5789-4260-8D33-5BAB670D7E09}">
  <dimension ref="A1:S26"/>
  <sheetViews>
    <sheetView workbookViewId="0">
      <selection activeCell="Q8" sqref="Q8"/>
    </sheetView>
  </sheetViews>
  <sheetFormatPr defaultRowHeight="15"/>
  <cols>
    <col min="1" max="1" width="20.42578125" customWidth="1"/>
    <col min="2" max="2" width="11.7109375" customWidth="1"/>
    <col min="8" max="8" width="11" customWidth="1"/>
  </cols>
  <sheetData>
    <row r="1" spans="1:19">
      <c r="A1" s="1" t="s">
        <v>1</v>
      </c>
      <c r="F1" s="1" t="s">
        <v>131</v>
      </c>
      <c r="K1" s="1" t="s">
        <v>23</v>
      </c>
      <c r="Q1" s="1" t="s">
        <v>130</v>
      </c>
    </row>
    <row r="2" spans="1:19">
      <c r="B2">
        <v>320</v>
      </c>
      <c r="C2" t="s">
        <v>2</v>
      </c>
      <c r="D2" t="str">
        <f>DEC2HEX(B2)</f>
        <v>140</v>
      </c>
      <c r="L2">
        <v>1.5</v>
      </c>
      <c r="M2" t="s">
        <v>9</v>
      </c>
      <c r="R2">
        <v>8</v>
      </c>
    </row>
    <row r="3" spans="1:19">
      <c r="B3">
        <v>256</v>
      </c>
      <c r="C3" t="s">
        <v>3</v>
      </c>
      <c r="D3" t="str">
        <f>DEC2HEX(B3)</f>
        <v>100</v>
      </c>
      <c r="F3" s="1"/>
      <c r="G3">
        <v>8</v>
      </c>
      <c r="H3" t="s">
        <v>19</v>
      </c>
      <c r="K3" s="1" t="s">
        <v>24</v>
      </c>
      <c r="R3">
        <v>8</v>
      </c>
    </row>
    <row r="4" spans="1:19">
      <c r="F4" s="1"/>
      <c r="L4">
        <v>16</v>
      </c>
      <c r="Q4" s="1" t="s">
        <v>142</v>
      </c>
    </row>
    <row r="5" spans="1:19">
      <c r="B5">
        <f>B2*B3</f>
        <v>81920</v>
      </c>
      <c r="F5" s="1" t="s">
        <v>19</v>
      </c>
      <c r="K5" s="1" t="s">
        <v>22</v>
      </c>
      <c r="R5">
        <v>1</v>
      </c>
      <c r="S5" t="s">
        <v>141</v>
      </c>
    </row>
    <row r="6" spans="1:19">
      <c r="G6">
        <v>16</v>
      </c>
      <c r="H6" t="s">
        <v>20</v>
      </c>
      <c r="L6">
        <f>L2*L4</f>
        <v>24</v>
      </c>
      <c r="R6">
        <f>R5*R2</f>
        <v>8</v>
      </c>
      <c r="S6" t="s">
        <v>143</v>
      </c>
    </row>
    <row r="7" spans="1:19">
      <c r="A7" s="1" t="s">
        <v>4</v>
      </c>
      <c r="G7">
        <v>16</v>
      </c>
      <c r="H7" t="s">
        <v>21</v>
      </c>
      <c r="R7">
        <f>R5*R2/8</f>
        <v>1</v>
      </c>
      <c r="S7" t="s">
        <v>266</v>
      </c>
    </row>
    <row r="8" spans="1:19">
      <c r="B8">
        <v>8</v>
      </c>
      <c r="C8" t="s">
        <v>5</v>
      </c>
      <c r="Q8" s="1" t="s">
        <v>148</v>
      </c>
    </row>
    <row r="9" spans="1:19">
      <c r="F9" s="1" t="s">
        <v>132</v>
      </c>
      <c r="R9">
        <v>2</v>
      </c>
      <c r="S9" t="s">
        <v>141</v>
      </c>
    </row>
    <row r="10" spans="1:19">
      <c r="A10" s="1" t="s">
        <v>11</v>
      </c>
      <c r="R10">
        <f>R9*R2</f>
        <v>16</v>
      </c>
      <c r="S10" t="s">
        <v>143</v>
      </c>
    </row>
    <row r="11" spans="1:19">
      <c r="B11">
        <f>B2/B8</f>
        <v>40</v>
      </c>
      <c r="C11" t="s">
        <v>7</v>
      </c>
      <c r="D11" t="str">
        <f>DEC2HEX(B11)</f>
        <v>28</v>
      </c>
      <c r="G11">
        <f>2*G6</f>
        <v>32</v>
      </c>
      <c r="H11" t="s">
        <v>133</v>
      </c>
      <c r="R11">
        <f>R9*R2/8</f>
        <v>2</v>
      </c>
      <c r="S11" t="s">
        <v>266</v>
      </c>
    </row>
    <row r="12" spans="1:19">
      <c r="B12">
        <f>B3/B8</f>
        <v>32</v>
      </c>
      <c r="C12" t="s">
        <v>0</v>
      </c>
      <c r="D12" t="str">
        <f>DEC2HEX(B12)</f>
        <v>20</v>
      </c>
      <c r="F12" s="1"/>
      <c r="G12">
        <f>G11/8</f>
        <v>4</v>
      </c>
      <c r="H12" t="s">
        <v>134</v>
      </c>
      <c r="Q12" s="1" t="s">
        <v>144</v>
      </c>
    </row>
    <row r="13" spans="1:19">
      <c r="G13">
        <f>G12*G7</f>
        <v>64</v>
      </c>
      <c r="H13" t="s">
        <v>135</v>
      </c>
      <c r="Q13" s="1"/>
      <c r="R13">
        <v>2048</v>
      </c>
      <c r="S13" t="s">
        <v>137</v>
      </c>
    </row>
    <row r="14" spans="1:19">
      <c r="A14" s="1" t="s">
        <v>8</v>
      </c>
    </row>
    <row r="15" spans="1:19">
      <c r="B15">
        <v>1</v>
      </c>
      <c r="F15" s="1"/>
      <c r="S15" t="s">
        <v>130</v>
      </c>
    </row>
    <row r="16" spans="1:19">
      <c r="A16" s="1" t="s">
        <v>9</v>
      </c>
      <c r="F16" s="1" t="s">
        <v>136</v>
      </c>
      <c r="Q16" s="1" t="s">
        <v>145</v>
      </c>
    </row>
    <row r="17" spans="1:19">
      <c r="B17">
        <v>1</v>
      </c>
      <c r="R17">
        <f>R13/R6</f>
        <v>256</v>
      </c>
    </row>
    <row r="18" spans="1:19">
      <c r="A18" s="1" t="s">
        <v>10</v>
      </c>
      <c r="G18">
        <v>2048</v>
      </c>
      <c r="H18" t="s">
        <v>137</v>
      </c>
      <c r="S18" t="s">
        <v>130</v>
      </c>
    </row>
    <row r="19" spans="1:19">
      <c r="B19" s="1">
        <f>(B15+B17)*B11*B12</f>
        <v>2560</v>
      </c>
      <c r="C19" s="1" t="str">
        <f>"$" &amp;DEC2HEX(B19)</f>
        <v>$A00</v>
      </c>
      <c r="G19">
        <f>G18/G13</f>
        <v>32</v>
      </c>
      <c r="H19" t="s">
        <v>138</v>
      </c>
      <c r="Q19" s="1" t="s">
        <v>146</v>
      </c>
    </row>
    <row r="20" spans="1:19">
      <c r="R20">
        <f>R13/R10</f>
        <v>128</v>
      </c>
    </row>
    <row r="22" spans="1:19">
      <c r="Q22" s="1" t="s">
        <v>265</v>
      </c>
    </row>
    <row r="23" spans="1:19">
      <c r="R23">
        <f>R7*R17</f>
        <v>256</v>
      </c>
    </row>
    <row r="25" spans="1:19">
      <c r="Q25" s="1" t="s">
        <v>264</v>
      </c>
    </row>
    <row r="26" spans="1:19">
      <c r="R26">
        <f>R11*R20</f>
        <v>256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1171-1535-4BA0-8B37-79E704CFFF23}">
  <dimension ref="G2:I5"/>
  <sheetViews>
    <sheetView workbookViewId="0">
      <selection activeCell="P22" sqref="P22"/>
    </sheetView>
  </sheetViews>
  <sheetFormatPr defaultRowHeight="15"/>
  <sheetData>
    <row r="2" spans="7:9">
      <c r="G2" s="1" t="s">
        <v>164</v>
      </c>
    </row>
    <row r="4" spans="7:9">
      <c r="G4" t="s">
        <v>162</v>
      </c>
      <c r="I4" t="s">
        <v>163</v>
      </c>
    </row>
    <row r="5" spans="7:9">
      <c r="G5">
        <v>0</v>
      </c>
      <c r="H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E9C6-4F5A-493E-963D-DE54AE108FC3}">
  <dimension ref="H1:O41"/>
  <sheetViews>
    <sheetView topLeftCell="A13" workbookViewId="0">
      <selection activeCell="J50" sqref="J50"/>
    </sheetView>
  </sheetViews>
  <sheetFormatPr defaultRowHeight="15"/>
  <cols>
    <col min="7" max="7" width="12.7109375" customWidth="1"/>
    <col min="8" max="8" width="11.5703125" customWidth="1"/>
    <col min="15" max="15" width="11.85546875" customWidth="1"/>
    <col min="17" max="17" width="11.5703125" customWidth="1"/>
    <col min="25" max="25" width="12.42578125" customWidth="1"/>
  </cols>
  <sheetData>
    <row r="1" spans="8:15" ht="15.75" thickBot="1"/>
    <row r="2" spans="8:15">
      <c r="H2" s="9">
        <v>-1</v>
      </c>
      <c r="I2" s="10">
        <v>-1</v>
      </c>
    </row>
    <row r="3" spans="8:15">
      <c r="H3" s="11">
        <v>0</v>
      </c>
      <c r="I3" s="12">
        <v>1</v>
      </c>
      <c r="L3" t="s">
        <v>129</v>
      </c>
    </row>
    <row r="4" spans="8:15" ht="15.75" thickBot="1">
      <c r="H4" s="13"/>
      <c r="I4" s="14" t="s">
        <v>94</v>
      </c>
    </row>
    <row r="5" spans="8:15" ht="15.75" thickBot="1"/>
    <row r="6" spans="8:15">
      <c r="H6" s="15">
        <v>0</v>
      </c>
      <c r="I6" s="16">
        <v>0</v>
      </c>
      <c r="J6" s="15">
        <v>1</v>
      </c>
      <c r="K6" s="16">
        <v>1</v>
      </c>
      <c r="L6" s="15">
        <v>2</v>
      </c>
      <c r="M6" s="16">
        <v>2</v>
      </c>
      <c r="N6" s="15">
        <v>3</v>
      </c>
      <c r="O6" s="16">
        <v>3</v>
      </c>
    </row>
    <row r="7" spans="8:15">
      <c r="H7" s="17">
        <v>1</v>
      </c>
      <c r="I7" s="18">
        <v>0</v>
      </c>
      <c r="J7" s="17">
        <v>0</v>
      </c>
      <c r="K7" s="18">
        <v>1</v>
      </c>
      <c r="L7" s="17">
        <v>1</v>
      </c>
      <c r="M7" s="18">
        <v>0</v>
      </c>
      <c r="N7" s="17">
        <v>0</v>
      </c>
      <c r="O7" s="18">
        <v>1</v>
      </c>
    </row>
    <row r="8" spans="8:15" ht="15.75" thickBot="1">
      <c r="H8" s="13" t="s">
        <v>93</v>
      </c>
      <c r="I8" s="20" t="s">
        <v>86</v>
      </c>
      <c r="J8" s="19" t="s">
        <v>90</v>
      </c>
      <c r="K8" s="20" t="s">
        <v>95</v>
      </c>
      <c r="L8" s="19" t="s">
        <v>92</v>
      </c>
      <c r="M8" s="20"/>
      <c r="N8" s="19" t="s">
        <v>87</v>
      </c>
      <c r="O8" s="20" t="s">
        <v>96</v>
      </c>
    </row>
    <row r="9" spans="8:15" ht="15.75" thickBot="1">
      <c r="H9" s="7"/>
      <c r="I9" s="7"/>
      <c r="J9" s="7"/>
      <c r="K9" s="7"/>
      <c r="L9" s="7"/>
      <c r="M9" s="7"/>
      <c r="N9" s="7"/>
      <c r="O9" s="7"/>
    </row>
    <row r="10" spans="8:15">
      <c r="H10" s="15">
        <v>4</v>
      </c>
      <c r="I10" s="16">
        <v>4</v>
      </c>
      <c r="J10" s="15">
        <v>5</v>
      </c>
      <c r="K10" s="16">
        <v>5</v>
      </c>
      <c r="L10" s="15">
        <v>6</v>
      </c>
      <c r="M10" s="16">
        <v>6</v>
      </c>
      <c r="N10" s="15">
        <v>7</v>
      </c>
      <c r="O10" s="16">
        <v>7</v>
      </c>
    </row>
    <row r="11" spans="8:15">
      <c r="H11" s="17">
        <v>1</v>
      </c>
      <c r="I11" s="18">
        <v>0</v>
      </c>
      <c r="J11" s="17">
        <v>0</v>
      </c>
      <c r="K11" s="18">
        <v>1</v>
      </c>
      <c r="L11" s="17">
        <v>1</v>
      </c>
      <c r="M11" s="18">
        <v>0</v>
      </c>
      <c r="N11" s="17">
        <v>0</v>
      </c>
      <c r="O11" s="18">
        <v>1</v>
      </c>
    </row>
    <row r="12" spans="8:15" ht="15.75" thickBot="1">
      <c r="H12" s="19" t="s">
        <v>110</v>
      </c>
      <c r="I12" s="20" t="s">
        <v>88</v>
      </c>
      <c r="J12" s="19" t="s">
        <v>89</v>
      </c>
      <c r="K12" s="20" t="s">
        <v>98</v>
      </c>
      <c r="L12" s="19" t="s">
        <v>97</v>
      </c>
      <c r="M12" s="20"/>
      <c r="N12" s="19" t="s">
        <v>99</v>
      </c>
      <c r="O12" s="20" t="s">
        <v>103</v>
      </c>
    </row>
    <row r="13" spans="8:15" ht="15.75" thickBot="1">
      <c r="H13" s="7"/>
      <c r="I13" s="7"/>
      <c r="J13" s="7"/>
      <c r="K13" s="7"/>
      <c r="L13" s="7"/>
      <c r="M13" s="7"/>
      <c r="N13" s="7"/>
      <c r="O13" s="7"/>
    </row>
    <row r="14" spans="8:15">
      <c r="H14" s="15">
        <v>8</v>
      </c>
      <c r="I14" s="16">
        <v>8</v>
      </c>
      <c r="J14" s="15">
        <v>9</v>
      </c>
      <c r="K14" s="16">
        <v>9</v>
      </c>
      <c r="L14" s="15" t="s">
        <v>101</v>
      </c>
      <c r="M14" s="16" t="s">
        <v>101</v>
      </c>
      <c r="N14" s="15" t="s">
        <v>102</v>
      </c>
      <c r="O14" s="16" t="s">
        <v>102</v>
      </c>
    </row>
    <row r="15" spans="8:15">
      <c r="H15" s="17">
        <v>1</v>
      </c>
      <c r="I15" s="18">
        <v>0</v>
      </c>
      <c r="J15" s="17">
        <v>0</v>
      </c>
      <c r="K15" s="18">
        <v>1</v>
      </c>
      <c r="L15" s="17">
        <v>1</v>
      </c>
      <c r="M15" s="18">
        <v>0</v>
      </c>
      <c r="N15" s="17">
        <v>0</v>
      </c>
      <c r="O15" s="18">
        <v>1</v>
      </c>
    </row>
    <row r="16" spans="8:15" ht="15.75" thickBot="1">
      <c r="H16" s="19" t="s">
        <v>100</v>
      </c>
      <c r="I16" s="20" t="s">
        <v>104</v>
      </c>
      <c r="J16" s="19" t="s">
        <v>105</v>
      </c>
      <c r="K16" s="20" t="s">
        <v>111</v>
      </c>
      <c r="L16" s="19" t="s">
        <v>112</v>
      </c>
      <c r="M16" s="20"/>
      <c r="N16" s="19" t="s">
        <v>113</v>
      </c>
      <c r="O16" s="20" t="s">
        <v>114</v>
      </c>
    </row>
    <row r="17" spans="8:15" ht="15.75" thickBot="1">
      <c r="H17" s="7"/>
      <c r="I17" s="7"/>
      <c r="J17" s="7"/>
      <c r="K17" s="7"/>
      <c r="L17" s="7"/>
      <c r="M17" s="7"/>
      <c r="N17" s="7"/>
      <c r="O17" s="7"/>
    </row>
    <row r="18" spans="8:15">
      <c r="H18" s="15" t="s">
        <v>106</v>
      </c>
      <c r="I18" s="16" t="s">
        <v>106</v>
      </c>
      <c r="J18" s="15" t="s">
        <v>107</v>
      </c>
      <c r="K18" s="16" t="s">
        <v>107</v>
      </c>
      <c r="L18" s="15" t="s">
        <v>108</v>
      </c>
      <c r="M18" s="16" t="s">
        <v>108</v>
      </c>
      <c r="N18" s="15" t="s">
        <v>109</v>
      </c>
      <c r="O18" s="16" t="s">
        <v>109</v>
      </c>
    </row>
    <row r="19" spans="8:15">
      <c r="H19" s="17">
        <v>1</v>
      </c>
      <c r="I19" s="18">
        <v>0</v>
      </c>
      <c r="J19" s="17">
        <v>0</v>
      </c>
      <c r="K19" s="18">
        <v>1</v>
      </c>
      <c r="L19" s="17">
        <v>1</v>
      </c>
      <c r="M19" s="18">
        <v>0</v>
      </c>
      <c r="N19" s="17">
        <v>0</v>
      </c>
      <c r="O19" s="18">
        <v>1</v>
      </c>
    </row>
    <row r="20" spans="8:15" ht="15.75" thickBot="1">
      <c r="H20" s="19" t="s">
        <v>115</v>
      </c>
      <c r="I20" s="20" t="s">
        <v>116</v>
      </c>
      <c r="J20" s="19" t="s">
        <v>117</v>
      </c>
      <c r="K20" s="20" t="s">
        <v>118</v>
      </c>
      <c r="L20" s="19" t="s">
        <v>119</v>
      </c>
      <c r="M20" s="20"/>
      <c r="N20" s="19" t="s">
        <v>120</v>
      </c>
      <c r="O20" s="20" t="s">
        <v>121</v>
      </c>
    </row>
    <row r="22" spans="8:15" ht="15.75" thickBot="1"/>
    <row r="23" spans="8:15">
      <c r="H23" s="9">
        <v>-1</v>
      </c>
      <c r="I23" s="10">
        <v>-1</v>
      </c>
    </row>
    <row r="24" spans="8:15">
      <c r="H24" s="11">
        <v>0</v>
      </c>
      <c r="I24" s="12">
        <v>1</v>
      </c>
      <c r="L24" t="s">
        <v>122</v>
      </c>
    </row>
    <row r="25" spans="8:15" ht="15.75" thickBot="1">
      <c r="H25" s="13"/>
      <c r="I25" s="14" t="s">
        <v>94</v>
      </c>
    </row>
    <row r="26" spans="8:15" ht="15.75" thickBot="1"/>
    <row r="27" spans="8:15">
      <c r="H27" s="15">
        <v>0</v>
      </c>
      <c r="I27" s="16">
        <v>0</v>
      </c>
      <c r="J27" s="15">
        <v>1</v>
      </c>
      <c r="K27" s="16">
        <v>1</v>
      </c>
      <c r="L27" s="15">
        <v>2</v>
      </c>
      <c r="M27" s="16">
        <v>2</v>
      </c>
      <c r="N27" s="15">
        <v>3</v>
      </c>
      <c r="O27" s="16">
        <v>3</v>
      </c>
    </row>
    <row r="28" spans="8:15">
      <c r="H28" s="17">
        <v>1</v>
      </c>
      <c r="I28" s="18">
        <v>0</v>
      </c>
      <c r="J28" s="17">
        <v>0</v>
      </c>
      <c r="K28" s="18">
        <v>1</v>
      </c>
      <c r="L28" s="17">
        <v>1</v>
      </c>
      <c r="M28" s="18">
        <v>0</v>
      </c>
      <c r="N28" s="17">
        <v>0</v>
      </c>
      <c r="O28" s="18">
        <v>1</v>
      </c>
    </row>
    <row r="29" spans="8:15" ht="15.75" thickBot="1">
      <c r="H29" s="19" t="s">
        <v>85</v>
      </c>
      <c r="I29" s="20" t="s">
        <v>86</v>
      </c>
      <c r="J29" s="19" t="s">
        <v>90</v>
      </c>
      <c r="K29" s="20" t="s">
        <v>95</v>
      </c>
      <c r="L29" s="19" t="s">
        <v>91</v>
      </c>
      <c r="M29" s="20" t="s">
        <v>92</v>
      </c>
      <c r="N29" s="19" t="s">
        <v>87</v>
      </c>
      <c r="O29" s="20" t="s">
        <v>96</v>
      </c>
    </row>
    <row r="30" spans="8:15" ht="15.75" thickBot="1">
      <c r="H30" s="7"/>
      <c r="I30" s="7"/>
      <c r="J30" s="7"/>
      <c r="K30" s="7"/>
      <c r="L30" s="7"/>
      <c r="M30" s="7"/>
      <c r="N30" s="7"/>
      <c r="O30" s="7"/>
    </row>
    <row r="31" spans="8:15">
      <c r="H31" s="15">
        <v>4</v>
      </c>
      <c r="I31" s="16">
        <v>4</v>
      </c>
      <c r="J31" s="15">
        <v>5</v>
      </c>
      <c r="K31" s="16">
        <v>5</v>
      </c>
      <c r="L31" s="15">
        <v>6</v>
      </c>
      <c r="M31" s="16">
        <v>6</v>
      </c>
      <c r="N31" s="15">
        <v>7</v>
      </c>
      <c r="O31" s="16">
        <v>7</v>
      </c>
    </row>
    <row r="32" spans="8:15">
      <c r="H32" s="17">
        <v>1</v>
      </c>
      <c r="I32" s="18">
        <v>0</v>
      </c>
      <c r="J32" s="17">
        <v>0</v>
      </c>
      <c r="K32" s="18">
        <v>1</v>
      </c>
      <c r="L32" s="17">
        <v>1</v>
      </c>
      <c r="M32" s="18">
        <v>0</v>
      </c>
      <c r="N32" s="17">
        <v>0</v>
      </c>
      <c r="O32" s="18">
        <v>1</v>
      </c>
    </row>
    <row r="33" spans="8:15" ht="15.75" thickBot="1">
      <c r="H33" s="19" t="s">
        <v>126</v>
      </c>
      <c r="I33" s="20" t="s">
        <v>88</v>
      </c>
      <c r="J33" s="19" t="s">
        <v>89</v>
      </c>
      <c r="K33" s="20" t="s">
        <v>98</v>
      </c>
      <c r="L33" s="19" t="s">
        <v>123</v>
      </c>
      <c r="M33" s="20" t="s">
        <v>97</v>
      </c>
      <c r="N33" s="19" t="s">
        <v>99</v>
      </c>
      <c r="O33" s="20" t="s">
        <v>103</v>
      </c>
    </row>
    <row r="34" spans="8:15" ht="15.75" thickBot="1">
      <c r="H34" s="7"/>
      <c r="I34" s="7"/>
      <c r="J34" s="7"/>
      <c r="K34" s="7"/>
      <c r="L34" s="7"/>
      <c r="M34" s="7"/>
      <c r="N34" s="7"/>
      <c r="O34" s="7"/>
    </row>
    <row r="35" spans="8:15">
      <c r="H35" s="15">
        <v>8</v>
      </c>
      <c r="I35" s="16">
        <v>8</v>
      </c>
      <c r="J35" s="15">
        <v>9</v>
      </c>
      <c r="K35" s="16">
        <v>9</v>
      </c>
      <c r="L35" s="15" t="s">
        <v>101</v>
      </c>
      <c r="M35" s="16" t="s">
        <v>101</v>
      </c>
      <c r="N35" s="15" t="s">
        <v>102</v>
      </c>
      <c r="O35" s="16" t="s">
        <v>102</v>
      </c>
    </row>
    <row r="36" spans="8:15">
      <c r="H36" s="17">
        <v>1</v>
      </c>
      <c r="I36" s="18">
        <v>0</v>
      </c>
      <c r="J36" s="17">
        <v>0</v>
      </c>
      <c r="K36" s="18">
        <v>1</v>
      </c>
      <c r="L36" s="17">
        <v>1</v>
      </c>
      <c r="M36" s="18">
        <v>0</v>
      </c>
      <c r="N36" s="17">
        <v>0</v>
      </c>
      <c r="O36" s="18">
        <v>1</v>
      </c>
    </row>
    <row r="37" spans="8:15" ht="15.75" thickBot="1">
      <c r="H37" s="19" t="s">
        <v>127</v>
      </c>
      <c r="I37" s="20" t="s">
        <v>104</v>
      </c>
      <c r="J37" s="19" t="s">
        <v>105</v>
      </c>
      <c r="K37" s="20" t="s">
        <v>111</v>
      </c>
      <c r="L37" s="19" t="s">
        <v>124</v>
      </c>
      <c r="M37" s="20" t="s">
        <v>112</v>
      </c>
      <c r="N37" s="19" t="s">
        <v>113</v>
      </c>
      <c r="O37" s="20" t="s">
        <v>114</v>
      </c>
    </row>
    <row r="38" spans="8:15" ht="15.75" thickBot="1">
      <c r="H38" s="7"/>
      <c r="I38" s="7"/>
      <c r="J38" s="7"/>
      <c r="K38" s="7"/>
      <c r="L38" s="7"/>
      <c r="M38" s="7"/>
      <c r="N38" s="7"/>
      <c r="O38" s="7"/>
    </row>
    <row r="39" spans="8:15">
      <c r="H39" s="15" t="s">
        <v>106</v>
      </c>
      <c r="I39" s="16" t="s">
        <v>106</v>
      </c>
      <c r="J39" s="15" t="s">
        <v>107</v>
      </c>
      <c r="K39" s="16" t="s">
        <v>107</v>
      </c>
      <c r="L39" s="15" t="s">
        <v>108</v>
      </c>
      <c r="M39" s="16" t="s">
        <v>108</v>
      </c>
      <c r="N39" s="15" t="s">
        <v>109</v>
      </c>
      <c r="O39" s="16" t="s">
        <v>109</v>
      </c>
    </row>
    <row r="40" spans="8:15">
      <c r="H40" s="17">
        <v>1</v>
      </c>
      <c r="I40" s="18">
        <v>0</v>
      </c>
      <c r="J40" s="17">
        <v>0</v>
      </c>
      <c r="K40" s="18">
        <v>1</v>
      </c>
      <c r="L40" s="17">
        <v>1</v>
      </c>
      <c r="M40" s="18">
        <v>0</v>
      </c>
      <c r="N40" s="17">
        <v>0</v>
      </c>
      <c r="O40" s="18">
        <v>1</v>
      </c>
    </row>
    <row r="41" spans="8:15" ht="15.75" thickBot="1">
      <c r="H41" s="19" t="s">
        <v>128</v>
      </c>
      <c r="I41" s="20" t="s">
        <v>116</v>
      </c>
      <c r="J41" s="19" t="s">
        <v>117</v>
      </c>
      <c r="K41" s="20" t="s">
        <v>118</v>
      </c>
      <c r="L41" s="19" t="s">
        <v>125</v>
      </c>
      <c r="M41" s="20" t="s">
        <v>119</v>
      </c>
      <c r="N41" s="19" t="s">
        <v>120</v>
      </c>
      <c r="O41" s="2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77FF-6988-45F1-9FF4-F48E5CD4E752}">
  <dimension ref="C1:R29"/>
  <sheetViews>
    <sheetView workbookViewId="0">
      <selection activeCell="J10" sqref="J10"/>
    </sheetView>
  </sheetViews>
  <sheetFormatPr defaultRowHeight="15"/>
  <cols>
    <col min="3" max="3" width="29" customWidth="1"/>
    <col min="10" max="10" width="22.42578125" customWidth="1"/>
    <col min="11" max="11" width="12.140625" customWidth="1"/>
    <col min="17" max="17" width="8.42578125" customWidth="1"/>
    <col min="20" max="20" width="13.42578125" customWidth="1"/>
  </cols>
  <sheetData>
    <row r="1" spans="3:18">
      <c r="D1" t="s">
        <v>31</v>
      </c>
      <c r="E1">
        <f>'Memory Locations'!G5</f>
        <v>57216</v>
      </c>
      <c r="N1" t="s">
        <v>31</v>
      </c>
      <c r="O1">
        <f>'Memory Locations'!G3</f>
        <v>54528</v>
      </c>
      <c r="P1" t="str">
        <f>DEC2HEX(O1)</f>
        <v>D500</v>
      </c>
    </row>
    <row r="2" spans="3:18">
      <c r="C2" s="1" t="s">
        <v>29</v>
      </c>
      <c r="D2" s="1" t="s">
        <v>6</v>
      </c>
      <c r="E2" s="1" t="s">
        <v>13</v>
      </c>
      <c r="F2" s="1" t="s">
        <v>30</v>
      </c>
      <c r="J2" s="1" t="s">
        <v>29</v>
      </c>
      <c r="K2" s="1" t="s">
        <v>249</v>
      </c>
      <c r="L2" s="30" t="s">
        <v>240</v>
      </c>
      <c r="M2" s="1" t="s">
        <v>248</v>
      </c>
      <c r="N2" s="1" t="s">
        <v>13</v>
      </c>
      <c r="O2" s="1" t="s">
        <v>30</v>
      </c>
      <c r="Q2" s="1" t="s">
        <v>279</v>
      </c>
    </row>
    <row r="3" spans="3:18">
      <c r="D3">
        <v>1</v>
      </c>
      <c r="E3">
        <v>0</v>
      </c>
      <c r="F3">
        <f t="shared" ref="F3:F20" si="0">E3+$E$1</f>
        <v>57216</v>
      </c>
      <c r="G3" t="str">
        <f>DEC2HEX(F3)</f>
        <v>DF80</v>
      </c>
      <c r="H3">
        <f>MOD(F3,4)</f>
        <v>0</v>
      </c>
      <c r="J3" t="s">
        <v>34</v>
      </c>
      <c r="K3">
        <v>8</v>
      </c>
      <c r="L3">
        <v>1</v>
      </c>
      <c r="M3">
        <f>K3/8*L3</f>
        <v>1</v>
      </c>
      <c r="N3">
        <v>0</v>
      </c>
      <c r="O3">
        <f>$O$1+N3</f>
        <v>54528</v>
      </c>
      <c r="P3" t="str">
        <f>DEC2HEX(O3)</f>
        <v>D500</v>
      </c>
      <c r="Q3">
        <f>'Memory Locations'!$D$3+N3</f>
        <v>2560</v>
      </c>
      <c r="R3" t="str">
        <f>DEC2HEX(Q3)</f>
        <v>A00</v>
      </c>
    </row>
    <row r="4" spans="3:18">
      <c r="D4">
        <v>1</v>
      </c>
      <c r="E4">
        <f>E3+D3</f>
        <v>1</v>
      </c>
      <c r="F4">
        <f t="shared" si="0"/>
        <v>57217</v>
      </c>
      <c r="G4" t="str">
        <f t="shared" ref="G4:G20" si="1">DEC2HEX(F4)</f>
        <v>DF81</v>
      </c>
      <c r="H4">
        <f t="shared" ref="H4:H20" si="2">MOD(F4,4)</f>
        <v>1</v>
      </c>
      <c r="J4" t="s">
        <v>32</v>
      </c>
      <c r="K4">
        <v>8</v>
      </c>
      <c r="L4">
        <v>1</v>
      </c>
      <c r="M4">
        <f t="shared" ref="M4:M11" si="3">K4/8*L4</f>
        <v>1</v>
      </c>
      <c r="N4">
        <f>N3+M3</f>
        <v>1</v>
      </c>
      <c r="O4">
        <f t="shared" ref="O4:O10" si="4">$O$1+N4</f>
        <v>54529</v>
      </c>
      <c r="P4" t="str">
        <f t="shared" ref="P4:P10" si="5">DEC2HEX(O4)</f>
        <v>D501</v>
      </c>
      <c r="Q4">
        <f>'Memory Locations'!$D$3+N4</f>
        <v>2561</v>
      </c>
      <c r="R4" t="str">
        <f t="shared" ref="R4:R13" si="6">DEC2HEX(Q4)</f>
        <v>A01</v>
      </c>
    </row>
    <row r="5" spans="3:18">
      <c r="D5">
        <v>1</v>
      </c>
      <c r="E5">
        <f t="shared" ref="E5:E20" si="7">E4+D4</f>
        <v>2</v>
      </c>
      <c r="F5">
        <f t="shared" si="0"/>
        <v>57218</v>
      </c>
      <c r="G5" t="str">
        <f t="shared" si="1"/>
        <v>DF82</v>
      </c>
      <c r="H5">
        <f t="shared" si="2"/>
        <v>2</v>
      </c>
      <c r="J5" t="s">
        <v>149</v>
      </c>
      <c r="K5">
        <v>8</v>
      </c>
      <c r="L5">
        <v>1</v>
      </c>
      <c r="M5">
        <f t="shared" si="3"/>
        <v>1</v>
      </c>
      <c r="N5">
        <f t="shared" ref="N5:N16" si="8">N4+M4</f>
        <v>2</v>
      </c>
      <c r="O5">
        <f t="shared" si="4"/>
        <v>54530</v>
      </c>
      <c r="P5" t="str">
        <f t="shared" si="5"/>
        <v>D502</v>
      </c>
      <c r="Q5">
        <f>'Memory Locations'!$D$3+N5</f>
        <v>2562</v>
      </c>
      <c r="R5" t="str">
        <f t="shared" si="6"/>
        <v>A02</v>
      </c>
    </row>
    <row r="6" spans="3:18">
      <c r="D6">
        <v>1</v>
      </c>
      <c r="E6">
        <f t="shared" si="7"/>
        <v>3</v>
      </c>
      <c r="F6">
        <f t="shared" si="0"/>
        <v>57219</v>
      </c>
      <c r="G6" t="str">
        <f t="shared" si="1"/>
        <v>DF83</v>
      </c>
      <c r="H6">
        <f t="shared" si="2"/>
        <v>3</v>
      </c>
      <c r="J6" t="s">
        <v>245</v>
      </c>
      <c r="K6">
        <v>8</v>
      </c>
      <c r="L6">
        <v>1</v>
      </c>
      <c r="M6">
        <f t="shared" si="3"/>
        <v>1</v>
      </c>
      <c r="N6">
        <f t="shared" si="8"/>
        <v>3</v>
      </c>
      <c r="O6">
        <f t="shared" si="4"/>
        <v>54531</v>
      </c>
      <c r="P6" t="str">
        <f t="shared" si="5"/>
        <v>D503</v>
      </c>
      <c r="Q6">
        <f>'Memory Locations'!$D$3+N6</f>
        <v>2563</v>
      </c>
      <c r="R6" t="str">
        <f t="shared" si="6"/>
        <v>A03</v>
      </c>
    </row>
    <row r="7" spans="3:18">
      <c r="D7">
        <v>1</v>
      </c>
      <c r="E7">
        <f t="shared" si="7"/>
        <v>4</v>
      </c>
      <c r="F7">
        <f t="shared" si="0"/>
        <v>57220</v>
      </c>
      <c r="G7" t="str">
        <f t="shared" si="1"/>
        <v>DF84</v>
      </c>
      <c r="H7">
        <f t="shared" si="2"/>
        <v>0</v>
      </c>
      <c r="J7" t="s">
        <v>33</v>
      </c>
      <c r="K7">
        <v>8</v>
      </c>
      <c r="L7">
        <v>1</v>
      </c>
      <c r="M7">
        <f t="shared" si="3"/>
        <v>1</v>
      </c>
      <c r="N7">
        <f t="shared" si="8"/>
        <v>4</v>
      </c>
      <c r="O7">
        <f t="shared" si="4"/>
        <v>54532</v>
      </c>
      <c r="P7" t="str">
        <f t="shared" si="5"/>
        <v>D504</v>
      </c>
      <c r="Q7">
        <f>'Memory Locations'!$D$3+N7</f>
        <v>2564</v>
      </c>
      <c r="R7" t="str">
        <f t="shared" si="6"/>
        <v>A04</v>
      </c>
    </row>
    <row r="8" spans="3:18">
      <c r="D8">
        <v>1</v>
      </c>
      <c r="E8">
        <f t="shared" si="7"/>
        <v>5</v>
      </c>
      <c r="F8">
        <f t="shared" si="0"/>
        <v>57221</v>
      </c>
      <c r="G8" t="str">
        <f t="shared" si="1"/>
        <v>DF85</v>
      </c>
      <c r="H8">
        <f t="shared" si="2"/>
        <v>1</v>
      </c>
      <c r="J8" t="s">
        <v>150</v>
      </c>
      <c r="K8" s="33">
        <v>4</v>
      </c>
      <c r="L8">
        <v>2</v>
      </c>
      <c r="M8">
        <f t="shared" si="3"/>
        <v>1</v>
      </c>
      <c r="N8">
        <f t="shared" si="8"/>
        <v>5</v>
      </c>
      <c r="O8">
        <f t="shared" si="4"/>
        <v>54533</v>
      </c>
      <c r="P8" t="str">
        <f t="shared" si="5"/>
        <v>D505</v>
      </c>
      <c r="Q8">
        <f>'Memory Locations'!$D$3+N8</f>
        <v>2565</v>
      </c>
      <c r="R8" t="str">
        <f t="shared" si="6"/>
        <v>A05</v>
      </c>
    </row>
    <row r="9" spans="3:18">
      <c r="D9">
        <v>1</v>
      </c>
      <c r="E9">
        <f t="shared" si="7"/>
        <v>6</v>
      </c>
      <c r="F9">
        <f t="shared" si="0"/>
        <v>57222</v>
      </c>
      <c r="G9" t="str">
        <f t="shared" si="1"/>
        <v>DF86</v>
      </c>
      <c r="H9">
        <f t="shared" si="2"/>
        <v>2</v>
      </c>
      <c r="J9" t="s">
        <v>246</v>
      </c>
      <c r="K9" s="33">
        <v>4</v>
      </c>
      <c r="L9">
        <v>2</v>
      </c>
      <c r="M9">
        <f t="shared" si="3"/>
        <v>1</v>
      </c>
      <c r="N9">
        <f t="shared" si="8"/>
        <v>6</v>
      </c>
      <c r="O9">
        <f t="shared" si="4"/>
        <v>54534</v>
      </c>
      <c r="P9" t="str">
        <f t="shared" si="5"/>
        <v>D506</v>
      </c>
      <c r="Q9">
        <f>'Memory Locations'!$D$3+N9</f>
        <v>2566</v>
      </c>
      <c r="R9" t="str">
        <f t="shared" si="6"/>
        <v>A06</v>
      </c>
    </row>
    <row r="10" spans="3:18">
      <c r="C10" t="s">
        <v>152</v>
      </c>
      <c r="D10">
        <v>1</v>
      </c>
      <c r="E10">
        <f t="shared" si="7"/>
        <v>7</v>
      </c>
      <c r="F10">
        <f t="shared" si="0"/>
        <v>57223</v>
      </c>
      <c r="G10" t="str">
        <f t="shared" si="1"/>
        <v>DF87</v>
      </c>
      <c r="H10">
        <f t="shared" si="2"/>
        <v>3</v>
      </c>
      <c r="J10" t="s">
        <v>280</v>
      </c>
      <c r="K10">
        <v>8</v>
      </c>
      <c r="L10">
        <v>9</v>
      </c>
      <c r="M10">
        <f t="shared" si="3"/>
        <v>9</v>
      </c>
      <c r="N10">
        <f t="shared" si="8"/>
        <v>7</v>
      </c>
      <c r="O10">
        <f t="shared" si="4"/>
        <v>54535</v>
      </c>
      <c r="P10" t="str">
        <f t="shared" si="5"/>
        <v>D507</v>
      </c>
      <c r="Q10">
        <f>'Memory Locations'!$D$3+N10</f>
        <v>2567</v>
      </c>
      <c r="R10" t="str">
        <f t="shared" si="6"/>
        <v>A07</v>
      </c>
    </row>
    <row r="11" spans="3:18">
      <c r="C11" t="s">
        <v>153</v>
      </c>
      <c r="D11">
        <v>120</v>
      </c>
      <c r="E11">
        <f t="shared" si="7"/>
        <v>8</v>
      </c>
      <c r="F11">
        <f t="shared" si="0"/>
        <v>57224</v>
      </c>
      <c r="G11" t="str">
        <f t="shared" si="1"/>
        <v>DF88</v>
      </c>
      <c r="H11">
        <f t="shared" si="2"/>
        <v>0</v>
      </c>
      <c r="J11" t="s">
        <v>254</v>
      </c>
      <c r="K11">
        <v>32</v>
      </c>
      <c r="L11">
        <f>Graphics!$G$3</f>
        <v>8</v>
      </c>
      <c r="M11">
        <f t="shared" si="3"/>
        <v>32</v>
      </c>
      <c r="N11">
        <f t="shared" si="8"/>
        <v>16</v>
      </c>
      <c r="O11">
        <f t="shared" ref="O11:O15" si="9">$O$1+N11</f>
        <v>54544</v>
      </c>
      <c r="P11" t="str">
        <f t="shared" ref="P11:P15" si="10">DEC2HEX(O11)</f>
        <v>D510</v>
      </c>
      <c r="Q11">
        <f>'Memory Locations'!$D$3+N11</f>
        <v>2576</v>
      </c>
      <c r="R11" t="str">
        <f t="shared" si="6"/>
        <v>A10</v>
      </c>
    </row>
    <row r="12" spans="3:18">
      <c r="E12">
        <f t="shared" si="7"/>
        <v>128</v>
      </c>
      <c r="F12">
        <f t="shared" si="0"/>
        <v>57344</v>
      </c>
      <c r="G12" t="str">
        <f t="shared" si="1"/>
        <v>E000</v>
      </c>
      <c r="H12">
        <f t="shared" si="2"/>
        <v>0</v>
      </c>
      <c r="J12" t="s">
        <v>35</v>
      </c>
      <c r="K12">
        <v>4</v>
      </c>
      <c r="L12">
        <v>2</v>
      </c>
      <c r="M12">
        <f t="shared" ref="M12:M13" si="11">K12/8*L12</f>
        <v>1</v>
      </c>
      <c r="N12">
        <f t="shared" si="8"/>
        <v>48</v>
      </c>
      <c r="O12">
        <f t="shared" si="9"/>
        <v>54576</v>
      </c>
      <c r="P12" t="str">
        <f t="shared" si="10"/>
        <v>D530</v>
      </c>
      <c r="Q12">
        <f>'Memory Locations'!$D$3+N12</f>
        <v>2608</v>
      </c>
      <c r="R12" t="str">
        <f t="shared" si="6"/>
        <v>A30</v>
      </c>
    </row>
    <row r="13" spans="3:18">
      <c r="E13">
        <f t="shared" si="7"/>
        <v>128</v>
      </c>
      <c r="F13">
        <f t="shared" si="0"/>
        <v>57344</v>
      </c>
      <c r="G13" t="str">
        <f t="shared" si="1"/>
        <v>E000</v>
      </c>
      <c r="H13">
        <f t="shared" si="2"/>
        <v>0</v>
      </c>
      <c r="J13" t="s">
        <v>242</v>
      </c>
      <c r="K13">
        <v>1</v>
      </c>
      <c r="L13">
        <f>Graphics!$G$3</f>
        <v>8</v>
      </c>
      <c r="M13">
        <f t="shared" si="11"/>
        <v>1</v>
      </c>
      <c r="N13">
        <f t="shared" si="8"/>
        <v>49</v>
      </c>
      <c r="O13">
        <f t="shared" si="9"/>
        <v>54577</v>
      </c>
      <c r="P13" t="str">
        <f t="shared" si="10"/>
        <v>D531</v>
      </c>
      <c r="Q13">
        <f>'Memory Locations'!$D$3+N13</f>
        <v>2609</v>
      </c>
      <c r="R13" t="str">
        <f t="shared" si="6"/>
        <v>A31</v>
      </c>
    </row>
    <row r="14" spans="3:18">
      <c r="E14">
        <f t="shared" si="7"/>
        <v>128</v>
      </c>
      <c r="F14">
        <f t="shared" si="0"/>
        <v>57344</v>
      </c>
      <c r="G14" t="str">
        <f t="shared" si="1"/>
        <v>E000</v>
      </c>
      <c r="H14">
        <f t="shared" si="2"/>
        <v>0</v>
      </c>
      <c r="N14">
        <f t="shared" si="8"/>
        <v>50</v>
      </c>
      <c r="O14">
        <f t="shared" si="9"/>
        <v>54578</v>
      </c>
      <c r="P14" t="str">
        <f t="shared" si="10"/>
        <v>D532</v>
      </c>
    </row>
    <row r="15" spans="3:18">
      <c r="E15">
        <f t="shared" si="7"/>
        <v>128</v>
      </c>
      <c r="F15">
        <f t="shared" si="0"/>
        <v>57344</v>
      </c>
      <c r="G15" t="str">
        <f t="shared" si="1"/>
        <v>E000</v>
      </c>
      <c r="H15">
        <f t="shared" si="2"/>
        <v>0</v>
      </c>
      <c r="N15">
        <f t="shared" si="8"/>
        <v>50</v>
      </c>
      <c r="O15">
        <f t="shared" si="9"/>
        <v>54578</v>
      </c>
      <c r="P15" t="str">
        <f t="shared" si="10"/>
        <v>D532</v>
      </c>
    </row>
    <row r="16" spans="3:18">
      <c r="E16">
        <f t="shared" si="7"/>
        <v>128</v>
      </c>
      <c r="F16">
        <f t="shared" si="0"/>
        <v>57344</v>
      </c>
      <c r="G16" t="str">
        <f t="shared" si="1"/>
        <v>E000</v>
      </c>
      <c r="H16">
        <f t="shared" si="2"/>
        <v>0</v>
      </c>
      <c r="K16" s="33"/>
      <c r="N16">
        <f t="shared" si="8"/>
        <v>50</v>
      </c>
      <c r="O16">
        <f t="shared" ref="O16" si="12">$O$1+N16</f>
        <v>54578</v>
      </c>
      <c r="P16" t="str">
        <f t="shared" ref="P16" si="13">DEC2HEX(O16)</f>
        <v>D532</v>
      </c>
    </row>
    <row r="17" spans="4:17">
      <c r="E17">
        <f t="shared" si="7"/>
        <v>128</v>
      </c>
      <c r="F17">
        <f t="shared" si="0"/>
        <v>57344</v>
      </c>
      <c r="G17" t="str">
        <f t="shared" si="1"/>
        <v>E000</v>
      </c>
      <c r="H17">
        <f t="shared" si="2"/>
        <v>0</v>
      </c>
    </row>
    <row r="18" spans="4:17">
      <c r="E18">
        <f t="shared" si="7"/>
        <v>128</v>
      </c>
      <c r="F18">
        <f t="shared" si="0"/>
        <v>57344</v>
      </c>
      <c r="G18" t="str">
        <f t="shared" si="1"/>
        <v>E000</v>
      </c>
      <c r="H18">
        <f t="shared" si="2"/>
        <v>0</v>
      </c>
    </row>
    <row r="19" spans="4:17">
      <c r="E19">
        <f t="shared" si="7"/>
        <v>128</v>
      </c>
      <c r="F19">
        <f t="shared" si="0"/>
        <v>57344</v>
      </c>
      <c r="G19" t="str">
        <f t="shared" si="1"/>
        <v>E000</v>
      </c>
      <c r="H19">
        <f t="shared" si="2"/>
        <v>0</v>
      </c>
    </row>
    <row r="20" spans="4:17">
      <c r="E20">
        <f t="shared" si="7"/>
        <v>128</v>
      </c>
      <c r="F20">
        <f t="shared" si="0"/>
        <v>57344</v>
      </c>
      <c r="G20" t="str">
        <f t="shared" si="1"/>
        <v>E000</v>
      </c>
      <c r="H20">
        <f t="shared" si="2"/>
        <v>0</v>
      </c>
    </row>
    <row r="22" spans="4:17">
      <c r="J22" s="1" t="s">
        <v>250</v>
      </c>
    </row>
    <row r="23" spans="4:17">
      <c r="J23" t="s">
        <v>252</v>
      </c>
      <c r="K23">
        <v>8</v>
      </c>
      <c r="L23">
        <v>1</v>
      </c>
      <c r="M23">
        <v>0</v>
      </c>
    </row>
    <row r="24" spans="4:17">
      <c r="J24" t="s">
        <v>178</v>
      </c>
      <c r="K24">
        <v>8</v>
      </c>
      <c r="L24">
        <v>1</v>
      </c>
      <c r="M24">
        <v>1</v>
      </c>
    </row>
    <row r="25" spans="4:17">
      <c r="D25">
        <f>SUM(D3:D20)</f>
        <v>128</v>
      </c>
      <c r="J25" t="s">
        <v>251</v>
      </c>
      <c r="K25">
        <v>8</v>
      </c>
      <c r="L25">
        <v>1</v>
      </c>
      <c r="M25">
        <v>2</v>
      </c>
    </row>
    <row r="26" spans="4:17">
      <c r="J26" t="s">
        <v>253</v>
      </c>
      <c r="K26">
        <v>8</v>
      </c>
      <c r="L26">
        <v>1</v>
      </c>
      <c r="M26">
        <v>3</v>
      </c>
    </row>
    <row r="29" spans="4:17">
      <c r="Q2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A67C-C792-4945-959F-0E1E46569681}">
  <dimension ref="B1:R26"/>
  <sheetViews>
    <sheetView tabSelected="1" workbookViewId="0">
      <selection activeCell="B3" sqref="B3"/>
    </sheetView>
  </sheetViews>
  <sheetFormatPr defaultRowHeight="15"/>
  <cols>
    <col min="2" max="2" width="16.7109375" customWidth="1"/>
    <col min="3" max="3" width="10" customWidth="1"/>
    <col min="4" max="6" width="11.85546875" customWidth="1"/>
    <col min="7" max="7" width="11.28515625" customWidth="1"/>
    <col min="9" max="9" width="8.7109375" customWidth="1"/>
    <col min="12" max="13" width="13.42578125" customWidth="1"/>
    <col min="18" max="18" width="14.140625" customWidth="1"/>
  </cols>
  <sheetData>
    <row r="1" spans="2:18">
      <c r="B1" s="1" t="s">
        <v>12</v>
      </c>
      <c r="C1" s="1" t="s">
        <v>6</v>
      </c>
      <c r="D1" s="1" t="s">
        <v>13</v>
      </c>
      <c r="E1" s="1" t="s">
        <v>276</v>
      </c>
      <c r="F1" s="1" t="s">
        <v>275</v>
      </c>
      <c r="G1" s="83" t="s">
        <v>28</v>
      </c>
      <c r="H1" s="83"/>
      <c r="I1" s="83" t="s">
        <v>27</v>
      </c>
      <c r="J1" s="83"/>
      <c r="K1" s="1" t="s">
        <v>18</v>
      </c>
      <c r="L1" s="1" t="s">
        <v>25</v>
      </c>
      <c r="M1" s="1" t="s">
        <v>306</v>
      </c>
      <c r="O1" s="1" t="s">
        <v>26</v>
      </c>
      <c r="Q1" s="1" t="s">
        <v>15</v>
      </c>
      <c r="R1" s="1">
        <v>10000</v>
      </c>
    </row>
    <row r="2" spans="2:18">
      <c r="B2" s="2" t="s">
        <v>16</v>
      </c>
      <c r="C2">
        <f>Graphics!B19</f>
        <v>2560</v>
      </c>
      <c r="D2">
        <v>0</v>
      </c>
      <c r="E2" t="s">
        <v>277</v>
      </c>
      <c r="F2" t="str">
        <f>DEC2HEX(D2)</f>
        <v>0</v>
      </c>
      <c r="G2">
        <f>HEX2DEC($R$1)-($C$19)+D2</f>
        <v>51968</v>
      </c>
      <c r="H2" t="str">
        <f>DEC2HEX(G2)</f>
        <v>CB00</v>
      </c>
      <c r="I2">
        <f>G2+C2-1</f>
        <v>54527</v>
      </c>
      <c r="J2" t="str">
        <f>DEC2HEX(I2)</f>
        <v>D4FF</v>
      </c>
      <c r="K2">
        <f t="shared" ref="K2:K17" si="0">G2/1024</f>
        <v>50.75</v>
      </c>
      <c r="L2">
        <f t="shared" ref="L2:L17" si="1">INT(K2)</f>
        <v>50</v>
      </c>
      <c r="M2" t="str">
        <f>DEC2HEX(((16*1024)+G2)/1024)</f>
        <v>42</v>
      </c>
      <c r="N2" t="str">
        <f t="shared" ref="N2:N17" si="2">DEC2HEX(INT(K2)*1024)</f>
        <v>C800</v>
      </c>
      <c r="O2">
        <f t="shared" ref="O2:O17" si="3">IF(K2=L2,1,0)</f>
        <v>0</v>
      </c>
    </row>
    <row r="3" spans="2:18">
      <c r="B3" s="3" t="s">
        <v>17</v>
      </c>
      <c r="C3">
        <v>128</v>
      </c>
      <c r="D3">
        <f>D2+C2</f>
        <v>2560</v>
      </c>
      <c r="E3" t="s">
        <v>277</v>
      </c>
      <c r="F3" t="str">
        <f>DEC2HEX(D3)</f>
        <v>A00</v>
      </c>
      <c r="G3">
        <f t="shared" ref="G3:G17" si="4">HEX2DEC($R$1)-($C$19)+D3</f>
        <v>54528</v>
      </c>
      <c r="H3" t="str">
        <f t="shared" ref="H3:H17" si="5">DEC2HEX(G3)</f>
        <v>D500</v>
      </c>
      <c r="I3">
        <f t="shared" ref="I3:I17" si="6">G3+C3-1</f>
        <v>54655</v>
      </c>
      <c r="J3" t="str">
        <f t="shared" ref="J3:J17" si="7">DEC2HEX(I3)</f>
        <v>D57F</v>
      </c>
      <c r="K3">
        <f t="shared" si="0"/>
        <v>53.25</v>
      </c>
      <c r="L3">
        <f t="shared" si="1"/>
        <v>53</v>
      </c>
      <c r="M3" t="str">
        <f t="shared" ref="M3:M7" si="8">DEC2HEX(((16*1024)+G3)/1024)</f>
        <v>45</v>
      </c>
      <c r="N3" t="str">
        <f t="shared" si="2"/>
        <v>D400</v>
      </c>
      <c r="O3">
        <f t="shared" si="3"/>
        <v>0</v>
      </c>
    </row>
    <row r="4" spans="2:18">
      <c r="B4" s="3" t="s">
        <v>14</v>
      </c>
      <c r="C4">
        <f>C2</f>
        <v>2560</v>
      </c>
      <c r="D4">
        <f>D3+C3</f>
        <v>2688</v>
      </c>
      <c r="E4" t="s">
        <v>277</v>
      </c>
      <c r="F4" t="str">
        <f>DEC2HEX(D4)</f>
        <v>A80</v>
      </c>
      <c r="G4">
        <f t="shared" si="4"/>
        <v>54656</v>
      </c>
      <c r="H4" t="str">
        <f t="shared" si="5"/>
        <v>D580</v>
      </c>
      <c r="I4">
        <f t="shared" si="6"/>
        <v>57215</v>
      </c>
      <c r="J4" t="str">
        <f t="shared" si="7"/>
        <v>DF7F</v>
      </c>
      <c r="K4">
        <f t="shared" si="0"/>
        <v>53.375</v>
      </c>
      <c r="L4">
        <f t="shared" si="1"/>
        <v>53</v>
      </c>
      <c r="M4" t="str">
        <f t="shared" si="8"/>
        <v>45</v>
      </c>
      <c r="N4" t="str">
        <f t="shared" si="2"/>
        <v>D400</v>
      </c>
      <c r="O4">
        <f t="shared" si="3"/>
        <v>0</v>
      </c>
    </row>
    <row r="5" spans="2:18">
      <c r="B5" t="s">
        <v>247</v>
      </c>
      <c r="C5">
        <v>128</v>
      </c>
      <c r="D5">
        <f>D4+C4</f>
        <v>5248</v>
      </c>
      <c r="E5" t="s">
        <v>277</v>
      </c>
      <c r="F5" t="str">
        <f>DEC2HEX(D5)</f>
        <v>1480</v>
      </c>
      <c r="G5">
        <f t="shared" si="4"/>
        <v>57216</v>
      </c>
      <c r="H5" t="str">
        <f t="shared" si="5"/>
        <v>DF80</v>
      </c>
      <c r="I5">
        <f t="shared" si="6"/>
        <v>57343</v>
      </c>
      <c r="J5" t="str">
        <f t="shared" si="7"/>
        <v>DFFF</v>
      </c>
      <c r="K5">
        <f t="shared" si="0"/>
        <v>55.875</v>
      </c>
      <c r="L5">
        <f t="shared" si="1"/>
        <v>55</v>
      </c>
      <c r="M5" t="str">
        <f t="shared" si="8"/>
        <v>47</v>
      </c>
      <c r="N5" t="str">
        <f t="shared" si="2"/>
        <v>DC00</v>
      </c>
      <c r="O5">
        <f t="shared" si="3"/>
        <v>0</v>
      </c>
    </row>
    <row r="6" spans="2:18">
      <c r="B6" s="2" t="s">
        <v>139</v>
      </c>
      <c r="C6">
        <v>4096</v>
      </c>
      <c r="D6">
        <f t="shared" ref="D6:D17" si="9">D5+C5</f>
        <v>5376</v>
      </c>
      <c r="E6" t="s">
        <v>278</v>
      </c>
      <c r="F6">
        <v>0</v>
      </c>
      <c r="G6">
        <f t="shared" si="4"/>
        <v>57344</v>
      </c>
      <c r="H6" t="str">
        <f t="shared" si="5"/>
        <v>E000</v>
      </c>
      <c r="I6">
        <f t="shared" si="6"/>
        <v>61439</v>
      </c>
      <c r="J6" t="str">
        <f t="shared" si="7"/>
        <v>EFFF</v>
      </c>
      <c r="K6">
        <f t="shared" si="0"/>
        <v>56</v>
      </c>
      <c r="L6">
        <f t="shared" si="1"/>
        <v>56</v>
      </c>
      <c r="M6" t="str">
        <f t="shared" si="8"/>
        <v>48</v>
      </c>
      <c r="N6" t="str">
        <f t="shared" si="2"/>
        <v>E000</v>
      </c>
      <c r="O6">
        <f t="shared" si="3"/>
        <v>1</v>
      </c>
    </row>
    <row r="7" spans="2:18">
      <c r="B7" s="2" t="s">
        <v>140</v>
      </c>
      <c r="C7">
        <v>4096</v>
      </c>
      <c r="D7">
        <f t="shared" si="9"/>
        <v>9472</v>
      </c>
      <c r="E7" t="s">
        <v>174</v>
      </c>
      <c r="F7">
        <v>0</v>
      </c>
      <c r="G7">
        <f t="shared" si="4"/>
        <v>61440</v>
      </c>
      <c r="H7" t="str">
        <f t="shared" si="5"/>
        <v>F000</v>
      </c>
      <c r="I7">
        <f t="shared" si="6"/>
        <v>65535</v>
      </c>
      <c r="J7" t="str">
        <f t="shared" si="7"/>
        <v>FFFF</v>
      </c>
      <c r="K7">
        <f t="shared" si="0"/>
        <v>60</v>
      </c>
      <c r="L7">
        <f t="shared" si="1"/>
        <v>60</v>
      </c>
      <c r="M7" t="str">
        <f t="shared" si="8"/>
        <v>4C</v>
      </c>
      <c r="N7" t="str">
        <f t="shared" si="2"/>
        <v>F000</v>
      </c>
      <c r="O7">
        <f t="shared" si="3"/>
        <v>1</v>
      </c>
    </row>
    <row r="8" spans="2:18">
      <c r="D8">
        <f t="shared" si="9"/>
        <v>13568</v>
      </c>
      <c r="G8">
        <f t="shared" si="4"/>
        <v>65536</v>
      </c>
      <c r="H8" t="str">
        <f t="shared" si="5"/>
        <v>10000</v>
      </c>
      <c r="I8">
        <f t="shared" si="6"/>
        <v>65535</v>
      </c>
      <c r="J8" t="str">
        <f t="shared" si="7"/>
        <v>FFFF</v>
      </c>
      <c r="K8">
        <f t="shared" si="0"/>
        <v>64</v>
      </c>
      <c r="L8">
        <f t="shared" si="1"/>
        <v>64</v>
      </c>
      <c r="N8" t="str">
        <f t="shared" si="2"/>
        <v>10000</v>
      </c>
      <c r="O8">
        <f t="shared" si="3"/>
        <v>1</v>
      </c>
    </row>
    <row r="9" spans="2:18">
      <c r="D9">
        <f t="shared" si="9"/>
        <v>13568</v>
      </c>
      <c r="G9">
        <f t="shared" si="4"/>
        <v>65536</v>
      </c>
      <c r="H9" t="str">
        <f t="shared" si="5"/>
        <v>10000</v>
      </c>
      <c r="I9">
        <f t="shared" si="6"/>
        <v>65535</v>
      </c>
      <c r="J9" t="str">
        <f t="shared" si="7"/>
        <v>FFFF</v>
      </c>
      <c r="K9">
        <f t="shared" si="0"/>
        <v>64</v>
      </c>
      <c r="L9">
        <f t="shared" si="1"/>
        <v>64</v>
      </c>
      <c r="N9" t="str">
        <f t="shared" si="2"/>
        <v>10000</v>
      </c>
      <c r="O9">
        <f t="shared" si="3"/>
        <v>1</v>
      </c>
    </row>
    <row r="10" spans="2:18">
      <c r="D10">
        <f t="shared" si="9"/>
        <v>13568</v>
      </c>
      <c r="G10">
        <f t="shared" si="4"/>
        <v>65536</v>
      </c>
      <c r="H10" t="str">
        <f t="shared" si="5"/>
        <v>10000</v>
      </c>
      <c r="I10">
        <f t="shared" si="6"/>
        <v>65535</v>
      </c>
      <c r="J10" t="str">
        <f t="shared" si="7"/>
        <v>FFFF</v>
      </c>
      <c r="K10">
        <f t="shared" si="0"/>
        <v>64</v>
      </c>
      <c r="L10">
        <f t="shared" si="1"/>
        <v>64</v>
      </c>
      <c r="N10" t="str">
        <f t="shared" si="2"/>
        <v>10000</v>
      </c>
      <c r="O10">
        <f t="shared" si="3"/>
        <v>1</v>
      </c>
    </row>
    <row r="11" spans="2:18">
      <c r="D11">
        <f t="shared" si="9"/>
        <v>13568</v>
      </c>
      <c r="G11">
        <f t="shared" si="4"/>
        <v>65536</v>
      </c>
      <c r="H11" t="str">
        <f t="shared" si="5"/>
        <v>10000</v>
      </c>
      <c r="I11">
        <f t="shared" si="6"/>
        <v>65535</v>
      </c>
      <c r="J11" t="str">
        <f t="shared" si="7"/>
        <v>FFFF</v>
      </c>
      <c r="K11">
        <f t="shared" si="0"/>
        <v>64</v>
      </c>
      <c r="L11">
        <f t="shared" si="1"/>
        <v>64</v>
      </c>
      <c r="N11" t="str">
        <f t="shared" si="2"/>
        <v>10000</v>
      </c>
      <c r="O11">
        <f t="shared" si="3"/>
        <v>1</v>
      </c>
    </row>
    <row r="12" spans="2:18">
      <c r="D12">
        <f t="shared" si="9"/>
        <v>13568</v>
      </c>
      <c r="G12">
        <f t="shared" si="4"/>
        <v>65536</v>
      </c>
      <c r="H12" t="str">
        <f t="shared" si="5"/>
        <v>10000</v>
      </c>
      <c r="I12">
        <f t="shared" si="6"/>
        <v>65535</v>
      </c>
      <c r="J12" t="str">
        <f t="shared" si="7"/>
        <v>FFFF</v>
      </c>
      <c r="K12">
        <f t="shared" si="0"/>
        <v>64</v>
      </c>
      <c r="L12">
        <f t="shared" si="1"/>
        <v>64</v>
      </c>
      <c r="N12" t="str">
        <f t="shared" si="2"/>
        <v>10000</v>
      </c>
      <c r="O12">
        <f t="shared" si="3"/>
        <v>1</v>
      </c>
    </row>
    <row r="13" spans="2:18">
      <c r="D13">
        <f t="shared" si="9"/>
        <v>13568</v>
      </c>
      <c r="G13">
        <f t="shared" si="4"/>
        <v>65536</v>
      </c>
      <c r="H13" t="str">
        <f t="shared" si="5"/>
        <v>10000</v>
      </c>
      <c r="I13">
        <f t="shared" si="6"/>
        <v>65535</v>
      </c>
      <c r="J13" t="str">
        <f t="shared" si="7"/>
        <v>FFFF</v>
      </c>
      <c r="K13">
        <f t="shared" si="0"/>
        <v>64</v>
      </c>
      <c r="L13">
        <f t="shared" si="1"/>
        <v>64</v>
      </c>
      <c r="N13" t="str">
        <f t="shared" si="2"/>
        <v>10000</v>
      </c>
      <c r="O13">
        <f t="shared" si="3"/>
        <v>1</v>
      </c>
    </row>
    <row r="14" spans="2:18">
      <c r="D14">
        <f t="shared" si="9"/>
        <v>13568</v>
      </c>
      <c r="G14">
        <f t="shared" si="4"/>
        <v>65536</v>
      </c>
      <c r="H14" t="str">
        <f t="shared" si="5"/>
        <v>10000</v>
      </c>
      <c r="I14">
        <f t="shared" si="6"/>
        <v>65535</v>
      </c>
      <c r="J14" t="str">
        <f t="shared" si="7"/>
        <v>FFFF</v>
      </c>
      <c r="K14">
        <f t="shared" si="0"/>
        <v>64</v>
      </c>
      <c r="L14">
        <f t="shared" si="1"/>
        <v>64</v>
      </c>
      <c r="N14" t="str">
        <f t="shared" si="2"/>
        <v>10000</v>
      </c>
      <c r="O14">
        <f t="shared" si="3"/>
        <v>1</v>
      </c>
    </row>
    <row r="15" spans="2:18">
      <c r="D15">
        <f t="shared" si="9"/>
        <v>13568</v>
      </c>
      <c r="G15">
        <f t="shared" si="4"/>
        <v>65536</v>
      </c>
      <c r="H15" t="str">
        <f t="shared" si="5"/>
        <v>10000</v>
      </c>
      <c r="I15">
        <f t="shared" si="6"/>
        <v>65535</v>
      </c>
      <c r="J15" t="str">
        <f t="shared" si="7"/>
        <v>FFFF</v>
      </c>
      <c r="K15">
        <f t="shared" si="0"/>
        <v>64</v>
      </c>
      <c r="L15">
        <f t="shared" si="1"/>
        <v>64</v>
      </c>
      <c r="N15" t="str">
        <f t="shared" si="2"/>
        <v>10000</v>
      </c>
      <c r="O15">
        <f t="shared" si="3"/>
        <v>1</v>
      </c>
    </row>
    <row r="16" spans="2:18">
      <c r="D16">
        <f t="shared" si="9"/>
        <v>13568</v>
      </c>
      <c r="G16">
        <f t="shared" si="4"/>
        <v>65536</v>
      </c>
      <c r="H16" t="str">
        <f t="shared" si="5"/>
        <v>10000</v>
      </c>
      <c r="I16">
        <f t="shared" si="6"/>
        <v>65535</v>
      </c>
      <c r="J16" t="str">
        <f t="shared" si="7"/>
        <v>FFFF</v>
      </c>
      <c r="K16">
        <f t="shared" si="0"/>
        <v>64</v>
      </c>
      <c r="L16">
        <f t="shared" si="1"/>
        <v>64</v>
      </c>
      <c r="N16" t="str">
        <f t="shared" si="2"/>
        <v>10000</v>
      </c>
      <c r="O16">
        <f t="shared" si="3"/>
        <v>1</v>
      </c>
    </row>
    <row r="17" spans="2:15">
      <c r="D17">
        <f t="shared" si="9"/>
        <v>13568</v>
      </c>
      <c r="G17">
        <f t="shared" si="4"/>
        <v>65536</v>
      </c>
      <c r="H17" t="str">
        <f t="shared" si="5"/>
        <v>10000</v>
      </c>
      <c r="I17">
        <f t="shared" si="6"/>
        <v>65535</v>
      </c>
      <c r="J17" t="str">
        <f t="shared" si="7"/>
        <v>FFFF</v>
      </c>
      <c r="K17">
        <f t="shared" si="0"/>
        <v>64</v>
      </c>
      <c r="L17">
        <f t="shared" si="1"/>
        <v>64</v>
      </c>
      <c r="N17" t="str">
        <f t="shared" si="2"/>
        <v>10000</v>
      </c>
      <c r="O17">
        <f t="shared" si="3"/>
        <v>1</v>
      </c>
    </row>
    <row r="19" spans="2:15">
      <c r="C19">
        <f>SUM(C2:C17)</f>
        <v>13568</v>
      </c>
      <c r="K19">
        <f>2048-1920</f>
        <v>128</v>
      </c>
    </row>
    <row r="20" spans="2:15">
      <c r="C20">
        <f>_xlfn.CEILING.MATH(C19, 1024)</f>
        <v>14336</v>
      </c>
      <c r="D20">
        <f>C20/1024</f>
        <v>14</v>
      </c>
      <c r="G20" t="s">
        <v>147</v>
      </c>
    </row>
    <row r="21" spans="2:15">
      <c r="C21">
        <f>(INT(C20))-C19</f>
        <v>768</v>
      </c>
    </row>
    <row r="24" spans="2:15">
      <c r="B24" t="s">
        <v>255</v>
      </c>
      <c r="C24">
        <f>G2+(Graphics!B11*Graphics!B12)</f>
        <v>53248</v>
      </c>
      <c r="D24" t="str">
        <f>DEC2HEX(C24)</f>
        <v>D000</v>
      </c>
    </row>
    <row r="25" spans="2:15">
      <c r="B25" t="s">
        <v>256</v>
      </c>
      <c r="C25">
        <f>G4+(Graphics!B11*Graphics!B12)</f>
        <v>55936</v>
      </c>
      <c r="D25" t="str">
        <f>DEC2HEX(C25)</f>
        <v>DA80</v>
      </c>
    </row>
    <row r="26" spans="2:15">
      <c r="H26">
        <f>3*1024</f>
        <v>3072</v>
      </c>
      <c r="I26">
        <f>H26-2560</f>
        <v>512</v>
      </c>
    </row>
  </sheetData>
  <mergeCells count="2"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0D71-424C-469A-8493-7D0902132C51}">
  <dimension ref="F2:N30"/>
  <sheetViews>
    <sheetView workbookViewId="0">
      <selection activeCell="G13" sqref="G13"/>
    </sheetView>
  </sheetViews>
  <sheetFormatPr defaultRowHeight="15"/>
  <cols>
    <col min="7" max="7" width="21.85546875" customWidth="1"/>
    <col min="10" max="10" width="37.28515625" customWidth="1"/>
    <col min="14" max="14" width="39.140625" customWidth="1"/>
  </cols>
  <sheetData>
    <row r="2" spans="6:14">
      <c r="F2" s="1" t="s">
        <v>155</v>
      </c>
      <c r="M2" s="1" t="s">
        <v>272</v>
      </c>
    </row>
    <row r="3" spans="6:14">
      <c r="F3">
        <v>0</v>
      </c>
      <c r="G3" t="s">
        <v>151</v>
      </c>
      <c r="M3">
        <v>0</v>
      </c>
      <c r="N3" t="s">
        <v>273</v>
      </c>
    </row>
    <row r="4" spans="6:14">
      <c r="F4">
        <v>1</v>
      </c>
      <c r="G4" t="s">
        <v>267</v>
      </c>
      <c r="M4">
        <v>1</v>
      </c>
      <c r="N4" t="s">
        <v>274</v>
      </c>
    </row>
    <row r="5" spans="6:14">
      <c r="F5">
        <v>2</v>
      </c>
      <c r="G5" t="s">
        <v>267</v>
      </c>
    </row>
    <row r="6" spans="6:14">
      <c r="F6">
        <v>3</v>
      </c>
      <c r="G6" t="s">
        <v>281</v>
      </c>
      <c r="M6" s="1" t="s">
        <v>267</v>
      </c>
    </row>
    <row r="7" spans="6:14">
      <c r="F7">
        <v>4</v>
      </c>
      <c r="G7" t="s">
        <v>154</v>
      </c>
      <c r="H7">
        <v>1</v>
      </c>
      <c r="M7">
        <v>0</v>
      </c>
      <c r="N7" t="s">
        <v>269</v>
      </c>
    </row>
    <row r="8" spans="6:14">
      <c r="F8">
        <v>5</v>
      </c>
      <c r="G8" t="s">
        <v>154</v>
      </c>
      <c r="H8">
        <v>2</v>
      </c>
      <c r="M8">
        <v>1</v>
      </c>
      <c r="N8" t="s">
        <v>268</v>
      </c>
    </row>
    <row r="9" spans="6:14">
      <c r="F9">
        <v>6</v>
      </c>
      <c r="G9" t="s">
        <v>154</v>
      </c>
      <c r="H9">
        <v>4</v>
      </c>
      <c r="M9">
        <v>2</v>
      </c>
      <c r="N9" t="s">
        <v>270</v>
      </c>
    </row>
    <row r="10" spans="6:14">
      <c r="F10">
        <v>7</v>
      </c>
      <c r="G10" t="s">
        <v>154</v>
      </c>
      <c r="H10">
        <v>8</v>
      </c>
      <c r="M10">
        <v>3</v>
      </c>
      <c r="N10" t="s">
        <v>271</v>
      </c>
    </row>
    <row r="12" spans="6:14">
      <c r="F12" s="1" t="s">
        <v>156</v>
      </c>
      <c r="M12" s="1" t="s">
        <v>281</v>
      </c>
    </row>
    <row r="13" spans="6:14">
      <c r="F13">
        <v>0</v>
      </c>
      <c r="G13" t="s">
        <v>157</v>
      </c>
      <c r="H13">
        <v>1</v>
      </c>
      <c r="M13">
        <v>0</v>
      </c>
      <c r="N13" t="s">
        <v>241</v>
      </c>
    </row>
    <row r="14" spans="6:14">
      <c r="F14">
        <v>1</v>
      </c>
      <c r="G14" t="s">
        <v>157</v>
      </c>
      <c r="H14">
        <v>2</v>
      </c>
      <c r="M14">
        <v>1</v>
      </c>
      <c r="N14" t="s">
        <v>282</v>
      </c>
    </row>
    <row r="15" spans="6:14">
      <c r="F15">
        <v>2</v>
      </c>
      <c r="G15" t="s">
        <v>157</v>
      </c>
      <c r="H15">
        <v>4</v>
      </c>
    </row>
    <row r="16" spans="6:14">
      <c r="F16">
        <v>3</v>
      </c>
      <c r="G16" t="s">
        <v>157</v>
      </c>
      <c r="H16">
        <v>8</v>
      </c>
    </row>
    <row r="17" spans="6:8">
      <c r="F17">
        <v>4</v>
      </c>
      <c r="G17" t="s">
        <v>158</v>
      </c>
      <c r="H17">
        <v>1</v>
      </c>
    </row>
    <row r="18" spans="6:8">
      <c r="F18">
        <v>5</v>
      </c>
      <c r="G18" t="s">
        <v>158</v>
      </c>
      <c r="H18">
        <v>2</v>
      </c>
    </row>
    <row r="19" spans="6:8">
      <c r="F19">
        <v>6</v>
      </c>
      <c r="G19" t="s">
        <v>158</v>
      </c>
      <c r="H19">
        <v>4</v>
      </c>
    </row>
    <row r="20" spans="6:8">
      <c r="F20">
        <v>7</v>
      </c>
      <c r="G20" t="s">
        <v>158</v>
      </c>
      <c r="H20">
        <v>8</v>
      </c>
    </row>
    <row r="22" spans="6:8">
      <c r="F22" s="1" t="s">
        <v>243</v>
      </c>
    </row>
    <row r="23" spans="6:8">
      <c r="F23">
        <v>0</v>
      </c>
      <c r="G23" t="s">
        <v>244</v>
      </c>
    </row>
    <row r="24" spans="6:8">
      <c r="F24">
        <v>1</v>
      </c>
    </row>
    <row r="25" spans="6:8">
      <c r="F25">
        <v>2</v>
      </c>
    </row>
    <row r="26" spans="6:8">
      <c r="F26">
        <v>3</v>
      </c>
    </row>
    <row r="27" spans="6:8">
      <c r="F27">
        <v>4</v>
      </c>
    </row>
    <row r="28" spans="6:8">
      <c r="F28">
        <v>5</v>
      </c>
    </row>
    <row r="29" spans="6:8">
      <c r="F29">
        <v>6</v>
      </c>
    </row>
    <row r="30" spans="6:8">
      <c r="F30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53D0-CECD-4799-88FF-259E3C0E3EC6}">
  <dimension ref="C2:E13"/>
  <sheetViews>
    <sheetView workbookViewId="0">
      <selection activeCell="H39" sqref="H39"/>
    </sheetView>
  </sheetViews>
  <sheetFormatPr defaultRowHeight="15"/>
  <cols>
    <col min="3" max="3" width="17" customWidth="1"/>
    <col min="4" max="4" width="12.42578125" customWidth="1"/>
    <col min="5" max="5" width="12.85546875" customWidth="1"/>
  </cols>
  <sheetData>
    <row r="2" spans="3:5">
      <c r="C2" t="s">
        <v>36</v>
      </c>
    </row>
    <row r="3" spans="3:5">
      <c r="D3">
        <v>1</v>
      </c>
      <c r="E3" t="s">
        <v>241</v>
      </c>
    </row>
    <row r="4" spans="3:5">
      <c r="D4">
        <v>2</v>
      </c>
      <c r="E4" t="s">
        <v>241</v>
      </c>
    </row>
    <row r="5" spans="3:5">
      <c r="D5">
        <v>4</v>
      </c>
      <c r="E5" t="s">
        <v>241</v>
      </c>
    </row>
    <row r="6" spans="3:5">
      <c r="D6">
        <v>8</v>
      </c>
      <c r="E6" t="s">
        <v>241</v>
      </c>
    </row>
    <row r="7" spans="3:5">
      <c r="D7">
        <v>16</v>
      </c>
      <c r="E7" t="s">
        <v>6</v>
      </c>
    </row>
    <row r="8" spans="3:5">
      <c r="D8">
        <v>32</v>
      </c>
      <c r="E8" t="s">
        <v>37</v>
      </c>
    </row>
    <row r="9" spans="3:5">
      <c r="D9">
        <v>64</v>
      </c>
      <c r="E9" t="s">
        <v>39</v>
      </c>
    </row>
    <row r="10" spans="3:5">
      <c r="D10">
        <v>128</v>
      </c>
      <c r="E10" s="3" t="s">
        <v>38</v>
      </c>
    </row>
    <row r="13" spans="3:5">
      <c r="C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9D18-5DF8-4D87-BB61-46F89718A7FB}">
  <dimension ref="B1:O18"/>
  <sheetViews>
    <sheetView workbookViewId="0">
      <selection activeCell="I25" sqref="I25"/>
    </sheetView>
  </sheetViews>
  <sheetFormatPr defaultRowHeight="15"/>
  <cols>
    <col min="4" max="4" width="16.28515625" customWidth="1"/>
    <col min="7" max="7" width="10.28515625" customWidth="1"/>
    <col min="8" max="8" width="13.85546875" customWidth="1"/>
    <col min="11" max="11" width="12.5703125" customWidth="1"/>
    <col min="13" max="13" width="13.140625" customWidth="1"/>
  </cols>
  <sheetData>
    <row r="1" spans="2:15">
      <c r="C1" t="s">
        <v>41</v>
      </c>
      <c r="D1">
        <v>625</v>
      </c>
      <c r="E1">
        <f>INT(D1/2)</f>
        <v>312</v>
      </c>
      <c r="F1" t="s">
        <v>40</v>
      </c>
    </row>
    <row r="2" spans="2:15">
      <c r="E2">
        <v>50.125</v>
      </c>
      <c r="F2" t="s">
        <v>45</v>
      </c>
    </row>
    <row r="3" spans="2:15">
      <c r="B3" s="1" t="s">
        <v>47</v>
      </c>
      <c r="I3" s="1" t="s">
        <v>49</v>
      </c>
      <c r="M3" s="1" t="s">
        <v>43</v>
      </c>
    </row>
    <row r="4" spans="2:15">
      <c r="C4">
        <v>8</v>
      </c>
      <c r="D4" t="s">
        <v>50</v>
      </c>
      <c r="J4">
        <v>8</v>
      </c>
      <c r="K4" t="s">
        <v>50</v>
      </c>
      <c r="M4" t="s">
        <v>2</v>
      </c>
      <c r="N4">
        <v>320</v>
      </c>
      <c r="O4" t="s">
        <v>52</v>
      </c>
    </row>
    <row r="5" spans="2:15">
      <c r="B5">
        <v>504</v>
      </c>
      <c r="C5">
        <f>B5/C4</f>
        <v>63</v>
      </c>
      <c r="D5" t="s">
        <v>44</v>
      </c>
      <c r="I5">
        <v>512</v>
      </c>
      <c r="J5">
        <f>I5/J4</f>
        <v>64</v>
      </c>
      <c r="K5" t="s">
        <v>44</v>
      </c>
      <c r="M5" t="s">
        <v>3</v>
      </c>
      <c r="N5">
        <v>256</v>
      </c>
      <c r="O5" t="s">
        <v>52</v>
      </c>
    </row>
    <row r="6" spans="2:15">
      <c r="B6">
        <f>E1</f>
        <v>312</v>
      </c>
      <c r="C6">
        <f>B6</f>
        <v>312</v>
      </c>
      <c r="D6" t="s">
        <v>40</v>
      </c>
      <c r="I6">
        <f>E1</f>
        <v>312</v>
      </c>
      <c r="J6">
        <f>I6</f>
        <v>312</v>
      </c>
      <c r="K6" t="s">
        <v>40</v>
      </c>
    </row>
    <row r="7" spans="2:15">
      <c r="B7">
        <f>B5*B6</f>
        <v>157248</v>
      </c>
      <c r="C7">
        <f>C5*C6</f>
        <v>19656</v>
      </c>
      <c r="D7" t="s">
        <v>44</v>
      </c>
      <c r="G7" s="4"/>
      <c r="J7">
        <f>J5*J6</f>
        <v>19968</v>
      </c>
      <c r="K7" t="s">
        <v>44</v>
      </c>
      <c r="M7" t="s">
        <v>56</v>
      </c>
      <c r="N7">
        <f>I5-N4</f>
        <v>192</v>
      </c>
      <c r="O7" t="s">
        <v>44</v>
      </c>
    </row>
    <row r="8" spans="2:15">
      <c r="C8">
        <f>E2</f>
        <v>50.125</v>
      </c>
      <c r="D8" t="s">
        <v>48</v>
      </c>
      <c r="J8">
        <f>E2</f>
        <v>50.125</v>
      </c>
      <c r="K8" t="s">
        <v>48</v>
      </c>
      <c r="M8" t="s">
        <v>42</v>
      </c>
      <c r="N8">
        <f>I6-N5</f>
        <v>56</v>
      </c>
      <c r="O8" t="s">
        <v>40</v>
      </c>
    </row>
    <row r="9" spans="2:15">
      <c r="C9">
        <f>C7*C8</f>
        <v>985257</v>
      </c>
      <c r="D9" t="s">
        <v>45</v>
      </c>
      <c r="J9">
        <f>J8*J7</f>
        <v>1000896</v>
      </c>
      <c r="K9" t="s">
        <v>45</v>
      </c>
      <c r="M9" t="s">
        <v>55</v>
      </c>
      <c r="N9">
        <f>N8/2</f>
        <v>28</v>
      </c>
      <c r="O9" t="s">
        <v>40</v>
      </c>
    </row>
    <row r="10" spans="2:15">
      <c r="C10">
        <f>C9/1000000</f>
        <v>0.98525700000000005</v>
      </c>
      <c r="D10" t="s">
        <v>46</v>
      </c>
      <c r="I10" t="s">
        <v>53</v>
      </c>
      <c r="J10" s="1">
        <f>J9/1000000</f>
        <v>1.000896</v>
      </c>
      <c r="K10" t="s">
        <v>46</v>
      </c>
      <c r="M10" t="s">
        <v>57</v>
      </c>
      <c r="N10">
        <v>28</v>
      </c>
      <c r="O10" t="s">
        <v>40</v>
      </c>
    </row>
    <row r="12" spans="2:15">
      <c r="I12" t="s">
        <v>51</v>
      </c>
      <c r="J12">
        <v>8</v>
      </c>
      <c r="K12" t="s">
        <v>54</v>
      </c>
    </row>
    <row r="13" spans="2:15">
      <c r="B13">
        <f>B5*B6*E2</f>
        <v>7882056</v>
      </c>
      <c r="C13" t="s">
        <v>45</v>
      </c>
      <c r="D13" t="s">
        <v>59</v>
      </c>
      <c r="J13" s="1">
        <f>J10*J12</f>
        <v>8.0071680000000001</v>
      </c>
      <c r="K13" t="s">
        <v>46</v>
      </c>
    </row>
    <row r="14" spans="2:15">
      <c r="B14">
        <f>B13/1000000</f>
        <v>7.8820560000000004</v>
      </c>
      <c r="C14" t="s">
        <v>46</v>
      </c>
    </row>
    <row r="15" spans="2:15">
      <c r="B15">
        <f>B14/8</f>
        <v>0.98525700000000005</v>
      </c>
      <c r="D15" t="s">
        <v>58</v>
      </c>
    </row>
    <row r="16" spans="2:15">
      <c r="I16">
        <f>I5*I6*E2</f>
        <v>8007168</v>
      </c>
    </row>
    <row r="17" spans="9:11">
      <c r="I17">
        <f>I16/1000000</f>
        <v>8.0071680000000001</v>
      </c>
      <c r="J17" t="s">
        <v>46</v>
      </c>
    </row>
    <row r="18" spans="9:11">
      <c r="I18">
        <f>I17/J4</f>
        <v>1.000896</v>
      </c>
      <c r="K18" t="s">
        <v>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3064-49DB-413A-8491-CD941DDB6868}">
  <dimension ref="C2:G37"/>
  <sheetViews>
    <sheetView workbookViewId="0">
      <selection activeCell="H38" sqref="H38"/>
    </sheetView>
  </sheetViews>
  <sheetFormatPr defaultRowHeight="15"/>
  <cols>
    <col min="3" max="3" width="21.7109375" customWidth="1"/>
    <col min="5" max="5" width="15.28515625" customWidth="1"/>
    <col min="6" max="6" width="22.42578125" customWidth="1"/>
    <col min="7" max="7" width="18" customWidth="1"/>
  </cols>
  <sheetData>
    <row r="2" spans="3:5">
      <c r="C2" s="5" t="s">
        <v>1</v>
      </c>
      <c r="D2">
        <v>512</v>
      </c>
    </row>
    <row r="3" spans="3:5">
      <c r="C3" s="5" t="s">
        <v>40</v>
      </c>
      <c r="D3">
        <v>312</v>
      </c>
    </row>
    <row r="4" spans="3:5">
      <c r="C4" s="5" t="s">
        <v>2</v>
      </c>
      <c r="D4">
        <v>320</v>
      </c>
    </row>
    <row r="5" spans="3:5">
      <c r="C5" s="5" t="s">
        <v>3</v>
      </c>
      <c r="D5">
        <v>256</v>
      </c>
    </row>
    <row r="6" spans="3:5">
      <c r="C6" s="5" t="s">
        <v>60</v>
      </c>
      <c r="D6">
        <v>3</v>
      </c>
    </row>
    <row r="7" spans="3:5">
      <c r="C7" s="5" t="s">
        <v>63</v>
      </c>
      <c r="D7">
        <v>8</v>
      </c>
    </row>
    <row r="8" spans="3:5">
      <c r="C8" s="5" t="s">
        <v>235</v>
      </c>
      <c r="D8" s="5">
        <v>50.125</v>
      </c>
      <c r="E8" s="5" t="s">
        <v>45</v>
      </c>
    </row>
    <row r="9" spans="3:5">
      <c r="C9" t="s">
        <v>61</v>
      </c>
      <c r="D9">
        <f>D4*D5*D6</f>
        <v>245760</v>
      </c>
      <c r="E9" t="s">
        <v>62</v>
      </c>
    </row>
    <row r="10" spans="3:5">
      <c r="C10" s="2" t="s">
        <v>64</v>
      </c>
      <c r="D10">
        <f>D2/D7</f>
        <v>64</v>
      </c>
      <c r="E10" t="s">
        <v>44</v>
      </c>
    </row>
    <row r="11" spans="3:5">
      <c r="C11" s="2" t="s">
        <v>65</v>
      </c>
      <c r="D11">
        <f>D10*D3</f>
        <v>19968</v>
      </c>
      <c r="E11" t="s">
        <v>44</v>
      </c>
    </row>
    <row r="12" spans="3:5">
      <c r="C12" s="2" t="s">
        <v>78</v>
      </c>
      <c r="D12">
        <f>D2-D4</f>
        <v>192</v>
      </c>
      <c r="E12" t="s">
        <v>66</v>
      </c>
    </row>
    <row r="13" spans="3:5">
      <c r="C13" s="2" t="s">
        <v>67</v>
      </c>
      <c r="D13">
        <f>D12/2</f>
        <v>96</v>
      </c>
      <c r="E13" t="s">
        <v>66</v>
      </c>
    </row>
    <row r="14" spans="3:5">
      <c r="C14" s="2" t="s">
        <v>68</v>
      </c>
      <c r="D14">
        <f>D12/2</f>
        <v>96</v>
      </c>
      <c r="E14" t="s">
        <v>66</v>
      </c>
    </row>
    <row r="15" spans="3:5">
      <c r="C15" s="2" t="s">
        <v>69</v>
      </c>
      <c r="D15">
        <f>D12/D7</f>
        <v>24</v>
      </c>
      <c r="E15" t="s">
        <v>44</v>
      </c>
    </row>
    <row r="16" spans="3:5">
      <c r="C16" s="2" t="s">
        <v>70</v>
      </c>
      <c r="D16">
        <f>(D13+D4)/D7</f>
        <v>52</v>
      </c>
      <c r="E16" t="s">
        <v>44</v>
      </c>
    </row>
    <row r="17" spans="3:7">
      <c r="C17" s="2" t="s">
        <v>81</v>
      </c>
      <c r="D17">
        <f>D13/D7</f>
        <v>12</v>
      </c>
      <c r="E17" t="s">
        <v>44</v>
      </c>
    </row>
    <row r="18" spans="3:7">
      <c r="C18" s="2" t="s">
        <v>84</v>
      </c>
      <c r="D18">
        <f>D14/D7</f>
        <v>12</v>
      </c>
      <c r="E18" t="s">
        <v>44</v>
      </c>
    </row>
    <row r="19" spans="3:7">
      <c r="C19" s="2" t="s">
        <v>73</v>
      </c>
      <c r="D19">
        <f>(D3-D5)</f>
        <v>56</v>
      </c>
      <c r="E19" t="s">
        <v>40</v>
      </c>
    </row>
    <row r="20" spans="3:7">
      <c r="C20" s="2" t="s">
        <v>71</v>
      </c>
      <c r="D20">
        <f>D24+D25</f>
        <v>3584</v>
      </c>
      <c r="E20" t="s">
        <v>44</v>
      </c>
    </row>
    <row r="21" spans="3:7">
      <c r="C21" s="2" t="s">
        <v>72</v>
      </c>
      <c r="D21">
        <f>D19/2</f>
        <v>28</v>
      </c>
      <c r="E21" t="s">
        <v>40</v>
      </c>
    </row>
    <row r="22" spans="3:7">
      <c r="C22" s="2" t="s">
        <v>74</v>
      </c>
      <c r="D22">
        <f>D19/2</f>
        <v>28</v>
      </c>
      <c r="E22" t="s">
        <v>40</v>
      </c>
    </row>
    <row r="23" spans="3:7">
      <c r="C23" s="2" t="s">
        <v>75</v>
      </c>
      <c r="D23">
        <f>((D3-D21-1)*D10)+(D2-D13)/D7</f>
        <v>18164</v>
      </c>
      <c r="E23" t="s">
        <v>44</v>
      </c>
    </row>
    <row r="24" spans="3:7">
      <c r="C24" s="2" t="s">
        <v>76</v>
      </c>
      <c r="D24">
        <f>D11-D23</f>
        <v>1804</v>
      </c>
      <c r="E24" t="s">
        <v>44</v>
      </c>
    </row>
    <row r="25" spans="3:7">
      <c r="C25" s="2" t="s">
        <v>77</v>
      </c>
      <c r="D25">
        <f>((D21-1)*D10)+(D2-D14)/D7</f>
        <v>1780</v>
      </c>
      <c r="E25" t="s">
        <v>44</v>
      </c>
    </row>
    <row r="26" spans="3:7">
      <c r="C26" s="2" t="s">
        <v>82</v>
      </c>
      <c r="D26">
        <f>D17</f>
        <v>12</v>
      </c>
      <c r="E26" t="s">
        <v>83</v>
      </c>
    </row>
    <row r="28" spans="3:7">
      <c r="C28" t="s">
        <v>234</v>
      </c>
      <c r="D28">
        <f>D11*D8</f>
        <v>1000896</v>
      </c>
    </row>
    <row r="29" spans="3:7">
      <c r="D29">
        <f>D28/1000000</f>
        <v>1.000896</v>
      </c>
      <c r="E29" t="s">
        <v>46</v>
      </c>
      <c r="F29">
        <f>(1/D8)/D11</f>
        <v>9.9910480209732085E-7</v>
      </c>
    </row>
    <row r="30" spans="3:7">
      <c r="F30">
        <f>F29*10^9</f>
        <v>999.10480209732088</v>
      </c>
      <c r="G30" s="2" t="s">
        <v>236</v>
      </c>
    </row>
    <row r="33" spans="3:7">
      <c r="C33" s="2" t="s">
        <v>79</v>
      </c>
      <c r="D33">
        <v>8</v>
      </c>
      <c r="E33" t="s">
        <v>54</v>
      </c>
    </row>
    <row r="34" spans="3:7">
      <c r="C34" s="2" t="s">
        <v>80</v>
      </c>
      <c r="D34">
        <f>D11*D33</f>
        <v>159744</v>
      </c>
      <c r="E34" t="s">
        <v>44</v>
      </c>
      <c r="F34">
        <f>(1/D8)/D34</f>
        <v>1.2488810026216511E-7</v>
      </c>
    </row>
    <row r="35" spans="3:7">
      <c r="F35">
        <f>F34*10^9</f>
        <v>124.88810026216511</v>
      </c>
      <c r="G35" s="2" t="s">
        <v>237</v>
      </c>
    </row>
    <row r="36" spans="3:7">
      <c r="D36">
        <f>D34*D8</f>
        <v>8007168</v>
      </c>
      <c r="E36" t="s">
        <v>45</v>
      </c>
    </row>
    <row r="37" spans="3:7">
      <c r="D37">
        <f>D36/1000000</f>
        <v>8.0071680000000001</v>
      </c>
      <c r="E37" t="s">
        <v>46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6816-33F1-403B-888C-1BEF60C28D1F}">
  <dimension ref="A1:BA92"/>
  <sheetViews>
    <sheetView zoomScale="70" zoomScaleNormal="70" workbookViewId="0">
      <pane ySplit="4" topLeftCell="A33" activePane="bottomLeft" state="frozen"/>
      <selection pane="bottomLeft" activeCell="O56" sqref="O56:T56"/>
    </sheetView>
  </sheetViews>
  <sheetFormatPr defaultRowHeight="15"/>
  <cols>
    <col min="1" max="1" width="18.28515625" customWidth="1"/>
    <col min="3" max="3" width="11" customWidth="1"/>
    <col min="4" max="4" width="10.7109375" customWidth="1"/>
    <col min="5" max="5" width="5.42578125" style="54" bestFit="1" customWidth="1"/>
    <col min="6" max="6" width="8.140625" bestFit="1" customWidth="1"/>
    <col min="7" max="7" width="6.42578125" bestFit="1" customWidth="1"/>
    <col min="8" max="8" width="7.85546875" customWidth="1"/>
    <col min="11" max="11" width="19.7109375" customWidth="1"/>
    <col min="12" max="12" width="16.5703125" customWidth="1"/>
    <col min="13" max="13" width="24.5703125" customWidth="1"/>
    <col min="14" max="14" width="24.42578125" customWidth="1"/>
    <col min="15" max="15" width="33.42578125" customWidth="1"/>
    <col min="16" max="16" width="33.5703125" customWidth="1"/>
    <col min="17" max="17" width="25.42578125" customWidth="1"/>
    <col min="18" max="18" width="28.28515625" customWidth="1"/>
    <col min="19" max="19" width="21.42578125" style="54" customWidth="1"/>
    <col min="20" max="20" width="27.42578125" customWidth="1"/>
    <col min="21" max="21" width="18.85546875" customWidth="1"/>
    <col min="22" max="22" width="14.42578125" customWidth="1"/>
    <col min="23" max="23" width="16.85546875" style="54" customWidth="1"/>
    <col min="24" max="25" width="16.85546875" customWidth="1"/>
    <col min="26" max="26" width="16.85546875" style="123" customWidth="1"/>
  </cols>
  <sheetData>
    <row r="1" spans="1:53" s="56" customFormat="1" ht="26.25">
      <c r="E1" s="95" t="s">
        <v>179</v>
      </c>
      <c r="F1" s="96"/>
      <c r="G1" s="96"/>
      <c r="H1" s="96"/>
      <c r="I1" s="96"/>
      <c r="J1" s="97"/>
      <c r="K1" s="95" t="s">
        <v>283</v>
      </c>
      <c r="L1" s="96"/>
      <c r="M1" s="96"/>
      <c r="N1" s="96"/>
      <c r="O1" s="96"/>
      <c r="P1" s="96"/>
      <c r="Q1" s="96"/>
      <c r="R1" s="97"/>
      <c r="S1" s="98"/>
      <c r="T1" s="98"/>
      <c r="U1" s="98"/>
      <c r="V1" s="98"/>
      <c r="W1" s="98"/>
      <c r="X1" s="98"/>
      <c r="Y1" s="98"/>
      <c r="Z1" s="98"/>
    </row>
    <row r="2" spans="1:53" ht="15" customHeight="1">
      <c r="A2" s="105" t="s">
        <v>294</v>
      </c>
      <c r="B2" s="110" t="s">
        <v>285</v>
      </c>
      <c r="C2" s="99" t="s">
        <v>295</v>
      </c>
      <c r="D2" s="103" t="s">
        <v>284</v>
      </c>
      <c r="E2" s="93" t="s">
        <v>159</v>
      </c>
      <c r="F2" s="99" t="s">
        <v>286</v>
      </c>
      <c r="G2" s="99" t="s">
        <v>217</v>
      </c>
      <c r="H2" s="99" t="s">
        <v>178</v>
      </c>
      <c r="I2" s="99" t="s">
        <v>180</v>
      </c>
      <c r="J2" s="99" t="s">
        <v>177</v>
      </c>
      <c r="K2" s="90" t="s">
        <v>144</v>
      </c>
      <c r="L2" s="92"/>
      <c r="M2" s="90" t="s">
        <v>216</v>
      </c>
      <c r="N2" s="92"/>
      <c r="O2" s="90" t="s">
        <v>176</v>
      </c>
      <c r="P2" s="91"/>
      <c r="Q2" s="91"/>
      <c r="R2" s="92"/>
      <c r="S2" s="90" t="s">
        <v>296</v>
      </c>
      <c r="T2" s="91"/>
      <c r="U2" s="91"/>
      <c r="V2" s="91"/>
      <c r="W2" s="90" t="s">
        <v>181</v>
      </c>
      <c r="X2" s="91"/>
      <c r="Y2" s="91"/>
      <c r="Z2" s="92"/>
    </row>
    <row r="3" spans="1:53">
      <c r="A3" s="99"/>
      <c r="B3" s="111"/>
      <c r="C3" s="99"/>
      <c r="D3" s="104"/>
      <c r="E3" s="93"/>
      <c r="F3" s="99"/>
      <c r="G3" s="99"/>
      <c r="H3" s="99"/>
      <c r="I3" s="99"/>
      <c r="J3" s="99"/>
      <c r="K3" s="93">
        <v>0</v>
      </c>
      <c r="L3" s="94">
        <v>1</v>
      </c>
      <c r="M3" s="93">
        <v>0</v>
      </c>
      <c r="N3" s="94">
        <v>1</v>
      </c>
      <c r="O3" s="100">
        <v>0</v>
      </c>
      <c r="P3" s="101"/>
      <c r="Q3" s="101">
        <v>1</v>
      </c>
      <c r="R3" s="102"/>
      <c r="S3" s="83" t="s">
        <v>160</v>
      </c>
      <c r="T3" s="83"/>
      <c r="U3" s="83" t="s">
        <v>161</v>
      </c>
      <c r="V3" s="83"/>
      <c r="W3" s="78" t="s">
        <v>160</v>
      </c>
      <c r="X3" s="79"/>
      <c r="Y3" s="79" t="s">
        <v>161</v>
      </c>
      <c r="Z3" s="80"/>
    </row>
    <row r="4" spans="1:53" s="21" customFormat="1" ht="15.75" thickBot="1">
      <c r="A4" s="99"/>
      <c r="B4" s="111"/>
      <c r="C4" s="99"/>
      <c r="D4" s="104"/>
      <c r="E4" s="93"/>
      <c r="F4" s="99"/>
      <c r="G4" s="99"/>
      <c r="H4" s="99"/>
      <c r="I4" s="99"/>
      <c r="J4" s="99"/>
      <c r="K4" s="93"/>
      <c r="L4" s="94"/>
      <c r="M4" s="93"/>
      <c r="N4" s="94"/>
      <c r="O4" s="57" t="s">
        <v>101</v>
      </c>
      <c r="P4" s="58" t="s">
        <v>102</v>
      </c>
      <c r="Q4" s="58" t="s">
        <v>101</v>
      </c>
      <c r="R4" s="79" t="s">
        <v>102</v>
      </c>
      <c r="S4" s="78" t="s">
        <v>101</v>
      </c>
      <c r="T4" s="58" t="s">
        <v>102</v>
      </c>
      <c r="U4" s="58" t="s">
        <v>101</v>
      </c>
      <c r="V4" s="58" t="s">
        <v>102</v>
      </c>
      <c r="W4" s="78" t="s">
        <v>171</v>
      </c>
      <c r="X4" s="79" t="s">
        <v>172</v>
      </c>
      <c r="Y4" s="79" t="s">
        <v>171</v>
      </c>
      <c r="Z4" s="80" t="s">
        <v>172</v>
      </c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</row>
    <row r="5" spans="1:53" ht="45.75" thickTop="1">
      <c r="A5" s="62" t="str">
        <f xml:space="preserve"> Cycles!$D$24 &amp; " + (Y * " &amp; Cycles!$D$10 &amp; ") + " &amp; C5</f>
        <v>1804 + (Y * 64) + 0</v>
      </c>
      <c r="B5" s="62"/>
      <c r="C5" s="63">
        <v>0</v>
      </c>
      <c r="D5" s="63"/>
      <c r="E5" s="64">
        <v>0</v>
      </c>
      <c r="F5" s="65">
        <v>1</v>
      </c>
      <c r="G5" s="65">
        <v>0</v>
      </c>
      <c r="H5" s="66">
        <v>1</v>
      </c>
      <c r="I5" s="66" t="s">
        <v>288</v>
      </c>
      <c r="J5" s="65" t="s">
        <v>239</v>
      </c>
      <c r="K5" s="64"/>
      <c r="L5" s="67"/>
      <c r="M5" s="64"/>
      <c r="N5" s="67"/>
      <c r="O5" s="88" t="str">
        <f>"Set S Counter to $" &amp; DEC2HEX(Registers!Q11)</f>
        <v>Set S Counter to $A10</v>
      </c>
      <c r="P5" s="88"/>
      <c r="Q5" s="61" t="s">
        <v>199</v>
      </c>
      <c r="R5" s="61" t="s">
        <v>200</v>
      </c>
      <c r="S5" s="124"/>
      <c r="T5" s="70"/>
      <c r="U5" s="69"/>
      <c r="V5" s="69"/>
      <c r="W5" s="126"/>
      <c r="X5" s="89"/>
      <c r="Y5" s="68" t="s">
        <v>182</v>
      </c>
      <c r="Z5" s="116" t="s">
        <v>183</v>
      </c>
    </row>
    <row r="6" spans="1:53" ht="45">
      <c r="A6" t="str">
        <f xml:space="preserve"> Cycles!$D$24 &amp; " + (Y * " &amp; Cycles!$D$10 &amp; ") + " &amp; C6</f>
        <v>1804 + (Y * 64) + 1</v>
      </c>
      <c r="C6" s="30">
        <v>1</v>
      </c>
      <c r="D6" s="39"/>
      <c r="E6" s="45">
        <v>0</v>
      </c>
      <c r="F6" s="41">
        <v>1</v>
      </c>
      <c r="G6" s="28">
        <v>0</v>
      </c>
      <c r="H6" s="32">
        <v>0</v>
      </c>
      <c r="I6" s="32">
        <v>0</v>
      </c>
      <c r="J6" s="28" t="s">
        <v>238</v>
      </c>
      <c r="K6" s="45"/>
      <c r="L6" s="49"/>
      <c r="M6" s="45" t="s">
        <v>218</v>
      </c>
      <c r="N6" s="49" t="s">
        <v>219</v>
      </c>
      <c r="O6" s="26" t="s">
        <v>201</v>
      </c>
      <c r="P6" s="26" t="s">
        <v>202</v>
      </c>
      <c r="Q6" s="26" t="s">
        <v>203</v>
      </c>
      <c r="R6" s="26" t="s">
        <v>204</v>
      </c>
      <c r="S6" s="74"/>
      <c r="T6" s="7"/>
      <c r="U6" s="7"/>
      <c r="V6" s="7"/>
      <c r="W6" s="114" t="s">
        <v>184</v>
      </c>
      <c r="X6" s="117" t="s">
        <v>185</v>
      </c>
      <c r="Y6" s="117" t="s">
        <v>186</v>
      </c>
      <c r="Z6" s="118" t="s">
        <v>187</v>
      </c>
    </row>
    <row r="7" spans="1:53" ht="45">
      <c r="A7" t="str">
        <f xml:space="preserve"> Cycles!$D$24 &amp; " + (Y * " &amp; Cycles!$D$10 &amp; ") + " &amp; C7</f>
        <v>1804 + (Y * 64) + 2</v>
      </c>
      <c r="C7" s="30">
        <v>2</v>
      </c>
      <c r="D7" s="39"/>
      <c r="E7" s="45">
        <v>0</v>
      </c>
      <c r="F7" s="41">
        <v>1</v>
      </c>
      <c r="G7" s="28">
        <v>0</v>
      </c>
      <c r="H7" s="32">
        <v>0</v>
      </c>
      <c r="I7" s="32">
        <v>0</v>
      </c>
      <c r="J7" s="28" t="s">
        <v>239</v>
      </c>
      <c r="K7" s="45"/>
      <c r="L7" s="49"/>
      <c r="M7" s="45" t="s">
        <v>220</v>
      </c>
      <c r="N7" s="49" t="s">
        <v>221</v>
      </c>
      <c r="O7" s="26" t="s">
        <v>205</v>
      </c>
      <c r="P7" s="26" t="s">
        <v>206</v>
      </c>
      <c r="Q7" s="26" t="s">
        <v>207</v>
      </c>
      <c r="R7" s="26" t="s">
        <v>208</v>
      </c>
      <c r="S7" s="74"/>
      <c r="T7" s="7"/>
      <c r="U7" s="7"/>
      <c r="V7" s="7"/>
      <c r="W7" s="114" t="s">
        <v>191</v>
      </c>
      <c r="X7" s="117" t="s">
        <v>190</v>
      </c>
      <c r="Y7" s="117" t="s">
        <v>189</v>
      </c>
      <c r="Z7" s="118" t="s">
        <v>188</v>
      </c>
    </row>
    <row r="8" spans="1:53" ht="45">
      <c r="A8" t="str">
        <f xml:space="preserve"> Cycles!$D$24 &amp; " + (Y * " &amp; Cycles!$D$10 &amp; ") + " &amp; C8</f>
        <v>1804 + (Y * 64) + 3</v>
      </c>
      <c r="C8" s="30">
        <v>3</v>
      </c>
      <c r="D8" s="39"/>
      <c r="E8" s="45">
        <v>0</v>
      </c>
      <c r="F8" s="41">
        <v>1</v>
      </c>
      <c r="G8" s="28">
        <v>0</v>
      </c>
      <c r="H8" s="32">
        <v>0</v>
      </c>
      <c r="I8" s="32">
        <v>0</v>
      </c>
      <c r="J8" s="28" t="s">
        <v>239</v>
      </c>
      <c r="K8" s="45"/>
      <c r="L8" s="49"/>
      <c r="M8" s="45" t="s">
        <v>222</v>
      </c>
      <c r="N8" s="49" t="s">
        <v>223</v>
      </c>
      <c r="O8" s="26" t="s">
        <v>209</v>
      </c>
      <c r="P8" s="26" t="s">
        <v>210</v>
      </c>
      <c r="Q8" s="26" t="s">
        <v>211</v>
      </c>
      <c r="R8" s="26" t="s">
        <v>212</v>
      </c>
      <c r="S8" s="74"/>
      <c r="T8" s="7"/>
      <c r="U8" s="7"/>
      <c r="V8" s="7"/>
      <c r="W8" s="114" t="s">
        <v>192</v>
      </c>
      <c r="X8" s="117" t="s">
        <v>193</v>
      </c>
      <c r="Y8" s="117" t="s">
        <v>194</v>
      </c>
      <c r="Z8" s="118" t="s">
        <v>195</v>
      </c>
    </row>
    <row r="9" spans="1:53" ht="45">
      <c r="A9" t="str">
        <f xml:space="preserve"> Cycles!$D$24 &amp; " + (Y * " &amp; Cycles!$D$10 &amp; ") + " &amp; C9</f>
        <v>1804 + (Y * 64) + 4</v>
      </c>
      <c r="C9" s="30">
        <v>4</v>
      </c>
      <c r="D9" s="39"/>
      <c r="E9" s="45">
        <v>0</v>
      </c>
      <c r="F9" s="41">
        <v>1</v>
      </c>
      <c r="G9" s="28">
        <v>0</v>
      </c>
      <c r="H9" s="32">
        <v>0</v>
      </c>
      <c r="I9" s="32">
        <v>0</v>
      </c>
      <c r="J9" s="28" t="s">
        <v>239</v>
      </c>
      <c r="K9" s="45"/>
      <c r="L9" s="49"/>
      <c r="M9" s="45" t="s">
        <v>224</v>
      </c>
      <c r="N9" s="49" t="s">
        <v>225</v>
      </c>
      <c r="O9" s="26" t="s">
        <v>213</v>
      </c>
      <c r="P9" s="26" t="s">
        <v>214</v>
      </c>
      <c r="Q9" s="87" t="str">
        <f>"Set C Counter to $" &amp; DEC2HEX(Registers!Q3)</f>
        <v>Set C Counter to $A00</v>
      </c>
      <c r="R9" s="87"/>
      <c r="S9" s="74"/>
      <c r="T9" s="7"/>
      <c r="U9" s="7"/>
      <c r="V9" s="7"/>
      <c r="W9" s="114" t="s">
        <v>197</v>
      </c>
      <c r="X9" s="117" t="s">
        <v>196</v>
      </c>
      <c r="Y9" s="117" t="s">
        <v>215</v>
      </c>
      <c r="Z9" s="118" t="s">
        <v>215</v>
      </c>
    </row>
    <row r="10" spans="1:53" ht="57" customHeight="1">
      <c r="A10" t="str">
        <f xml:space="preserve"> Cycles!$D$24 &amp; " + (Y * " &amp; Cycles!$D$10 &amp; ") + " &amp; C10</f>
        <v>1804 + (Y * 64) + 5</v>
      </c>
      <c r="C10" s="30">
        <v>5</v>
      </c>
      <c r="D10" s="39"/>
      <c r="E10" s="45">
        <v>0</v>
      </c>
      <c r="F10" s="41">
        <v>1</v>
      </c>
      <c r="G10" s="28">
        <v>0</v>
      </c>
      <c r="H10" s="32">
        <v>0</v>
      </c>
      <c r="I10" s="32" t="s">
        <v>289</v>
      </c>
      <c r="J10" s="31" t="s">
        <v>239</v>
      </c>
      <c r="K10" s="45"/>
      <c r="L10" s="49"/>
      <c r="M10" s="45" t="s">
        <v>226</v>
      </c>
      <c r="N10" s="49" t="s">
        <v>230</v>
      </c>
      <c r="O10" s="26" t="str">
        <f xml:space="preserve"> "Clock C for [" &amp; Registers!J3 &amp; "," &amp;  Registers!J4 &amp; "]"</f>
        <v>Clock C for [GFX_FLAGS,GFX_SCREEN0_FLAGS]</v>
      </c>
      <c r="P10" s="26" t="str">
        <f xml:space="preserve"> "Clock C for [" &amp; Registers!J5 &amp; "," &amp;  Registers!J6 &amp; "]"</f>
        <v>Clock C for [GFX_SCREEN0_SCROLL,GFX_SCREEN0_PALETTE]</v>
      </c>
      <c r="Q10" s="26" t="str">
        <f xml:space="preserve"> "Clock C for [" &amp; Registers!J7 &amp; "," &amp;  Registers!J8 &amp; "]"</f>
        <v>Clock C for [GFX_SCREEN1_FLAGS,GFX_SCREEN1_SCROLL]</v>
      </c>
      <c r="R10" s="26" t="str">
        <f xml:space="preserve"> "Clock C for [" &amp; Registers!J9 &amp; "," &amp;  Registers!J10 &amp; "]"</f>
        <v>Clock C for [GFX_SCREEN1_PALETTE,GARBAGE]</v>
      </c>
      <c r="S10" s="74"/>
      <c r="T10" s="7"/>
      <c r="U10" s="7"/>
      <c r="V10" s="7"/>
      <c r="W10" s="74" t="s">
        <v>215</v>
      </c>
      <c r="X10" s="81" t="s">
        <v>215</v>
      </c>
      <c r="Y10" s="81" t="s">
        <v>215</v>
      </c>
      <c r="Z10" s="75" t="s">
        <v>215</v>
      </c>
    </row>
    <row r="11" spans="1:53" ht="30.75" customHeight="1">
      <c r="A11" t="str">
        <f xml:space="preserve"> Cycles!$D$24 &amp; " + (Y * " &amp; Cycles!$D$10 &amp; ") + " &amp; C11</f>
        <v>1804 + (Y * 64) + 6</v>
      </c>
      <c r="C11" s="30">
        <v>6</v>
      </c>
      <c r="D11" s="39"/>
      <c r="E11" s="45">
        <v>0</v>
      </c>
      <c r="F11" s="41">
        <v>1</v>
      </c>
      <c r="G11" s="28">
        <v>0</v>
      </c>
      <c r="H11" s="32">
        <v>0</v>
      </c>
      <c r="I11" s="32">
        <v>0</v>
      </c>
      <c r="J11" s="31" t="s">
        <v>239</v>
      </c>
      <c r="K11" s="45"/>
      <c r="L11" s="49"/>
      <c r="M11" s="45" t="s">
        <v>227</v>
      </c>
      <c r="N11" s="49" t="s">
        <v>231</v>
      </c>
      <c r="O11" s="26"/>
      <c r="P11" s="26"/>
      <c r="Q11" s="26"/>
      <c r="R11" s="26"/>
      <c r="S11" s="74"/>
      <c r="T11" s="7"/>
      <c r="U11" s="7"/>
      <c r="V11" s="7"/>
      <c r="W11" s="108" t="s">
        <v>297</v>
      </c>
      <c r="X11" s="84"/>
      <c r="Y11" s="84" t="s">
        <v>298</v>
      </c>
      <c r="Z11" s="109"/>
    </row>
    <row r="12" spans="1:53">
      <c r="A12" t="str">
        <f xml:space="preserve"> Cycles!$D$24 &amp; " + (Y * " &amp; Cycles!$D$10 &amp; ") + " &amp; C12</f>
        <v>1804 + (Y * 64) + 7</v>
      </c>
      <c r="C12" s="30">
        <v>7</v>
      </c>
      <c r="D12" s="39"/>
      <c r="E12" s="45">
        <v>0</v>
      </c>
      <c r="F12" s="41">
        <v>1</v>
      </c>
      <c r="G12" s="28">
        <v>0</v>
      </c>
      <c r="H12" s="32">
        <v>0</v>
      </c>
      <c r="I12" s="32">
        <v>0</v>
      </c>
      <c r="J12" s="31" t="s">
        <v>239</v>
      </c>
      <c r="K12" s="45"/>
      <c r="L12" s="49"/>
      <c r="M12" s="45" t="s">
        <v>228</v>
      </c>
      <c r="N12" s="49" t="s">
        <v>232</v>
      </c>
      <c r="O12" s="26"/>
      <c r="P12" s="26"/>
      <c r="Q12" s="26"/>
      <c r="R12" s="26"/>
      <c r="S12" s="74"/>
      <c r="T12" s="7"/>
      <c r="U12" s="7"/>
      <c r="V12" s="7"/>
      <c r="W12" s="108" t="s">
        <v>299</v>
      </c>
      <c r="X12" s="84"/>
      <c r="Y12" s="84" t="s">
        <v>302</v>
      </c>
      <c r="Z12" s="109"/>
    </row>
    <row r="13" spans="1:53">
      <c r="A13" t="str">
        <f xml:space="preserve"> Cycles!$D$24 &amp; " + (Y * " &amp; Cycles!$D$10 &amp; ") + " &amp; C13</f>
        <v>1804 + (Y * 64) + 8</v>
      </c>
      <c r="C13" s="30">
        <v>8</v>
      </c>
      <c r="D13" s="39"/>
      <c r="E13" s="45">
        <v>0</v>
      </c>
      <c r="F13" s="41">
        <v>1</v>
      </c>
      <c r="G13" s="28">
        <v>0</v>
      </c>
      <c r="H13" s="32">
        <v>0</v>
      </c>
      <c r="I13" s="32">
        <v>0</v>
      </c>
      <c r="J13" s="31" t="s">
        <v>239</v>
      </c>
      <c r="K13" s="45"/>
      <c r="L13" s="49"/>
      <c r="M13" s="45" t="s">
        <v>229</v>
      </c>
      <c r="N13" s="49" t="s">
        <v>233</v>
      </c>
      <c r="O13" s="26"/>
      <c r="P13" s="26"/>
      <c r="Q13" s="26"/>
      <c r="R13" s="26"/>
      <c r="S13" s="74"/>
      <c r="T13" s="7"/>
      <c r="U13" s="7"/>
      <c r="V13" s="7"/>
      <c r="W13" s="108" t="s">
        <v>300</v>
      </c>
      <c r="X13" s="84"/>
      <c r="Y13" s="84" t="s">
        <v>303</v>
      </c>
      <c r="Z13" s="109"/>
    </row>
    <row r="14" spans="1:53">
      <c r="A14" t="str">
        <f xml:space="preserve"> Cycles!$D$24 &amp; " + (Y * " &amp; Cycles!$D$10 &amp; ") + " &amp; C14</f>
        <v>1804 + (Y * 64) + 9</v>
      </c>
      <c r="C14" s="30">
        <v>9</v>
      </c>
      <c r="D14" s="39"/>
      <c r="E14" s="45">
        <v>0</v>
      </c>
      <c r="F14" s="41">
        <v>1</v>
      </c>
      <c r="G14" s="28">
        <v>0</v>
      </c>
      <c r="H14" s="32">
        <v>0</v>
      </c>
      <c r="I14" s="32">
        <v>0</v>
      </c>
      <c r="J14" s="28" t="s">
        <v>261</v>
      </c>
      <c r="K14" s="45"/>
      <c r="L14" s="49"/>
      <c r="M14" s="45"/>
      <c r="N14" s="49"/>
      <c r="O14" s="26"/>
      <c r="P14" s="26"/>
      <c r="Q14" s="26"/>
      <c r="R14" s="26"/>
      <c r="S14" s="74"/>
      <c r="T14" s="7"/>
      <c r="U14" s="7"/>
      <c r="V14" s="7"/>
      <c r="W14" s="108" t="s">
        <v>301</v>
      </c>
      <c r="X14" s="84"/>
      <c r="Y14" s="84" t="s">
        <v>304</v>
      </c>
      <c r="Z14" s="109"/>
    </row>
    <row r="15" spans="1:53" ht="50.25" customHeight="1">
      <c r="A15" t="str">
        <f xml:space="preserve"> Cycles!$D$24 &amp; " + (Y * " &amp; Cycles!$D$10 &amp; ") + " &amp; C15</f>
        <v>1804 + (Y * 64) + 10</v>
      </c>
      <c r="C15" s="30">
        <v>10</v>
      </c>
      <c r="D15" s="39"/>
      <c r="E15" s="45">
        <v>0</v>
      </c>
      <c r="F15" s="41">
        <v>1</v>
      </c>
      <c r="G15" s="28">
        <v>0</v>
      </c>
      <c r="H15" s="32">
        <v>0</v>
      </c>
      <c r="I15" s="32" t="s">
        <v>288</v>
      </c>
      <c r="J15" s="28" t="s">
        <v>260</v>
      </c>
      <c r="K15" s="45"/>
      <c r="L15" s="49"/>
      <c r="M15" s="45"/>
      <c r="N15" s="49"/>
      <c r="O15" s="26" t="s">
        <v>198</v>
      </c>
      <c r="P15" s="26"/>
      <c r="R15" s="26"/>
      <c r="T15" s="22"/>
      <c r="U15" s="85"/>
      <c r="V15" s="85"/>
      <c r="W15" s="74" t="s">
        <v>215</v>
      </c>
      <c r="X15" s="81" t="s">
        <v>215</v>
      </c>
      <c r="Y15" s="81" t="s">
        <v>215</v>
      </c>
      <c r="Z15" s="75" t="s">
        <v>215</v>
      </c>
    </row>
    <row r="16" spans="1:53" s="21" customFormat="1" ht="30.75" thickBot="1">
      <c r="A16" s="21" t="str">
        <f xml:space="preserve"> Cycles!$D$24 &amp; " + (Y * " &amp; Cycles!$D$10 &amp; ") + " &amp; C16</f>
        <v>1804 + (Y * 64) + 11</v>
      </c>
      <c r="C16" s="34">
        <v>11</v>
      </c>
      <c r="D16" s="73" t="s">
        <v>305</v>
      </c>
      <c r="E16" s="53">
        <v>0</v>
      </c>
      <c r="F16" s="29">
        <v>1</v>
      </c>
      <c r="G16" s="29">
        <v>0</v>
      </c>
      <c r="H16" s="29">
        <v>0</v>
      </c>
      <c r="I16" s="29" t="s">
        <v>288</v>
      </c>
      <c r="J16" s="29" t="s">
        <v>259</v>
      </c>
      <c r="K16" s="46"/>
      <c r="L16" s="50"/>
      <c r="M16" s="53"/>
      <c r="N16" s="50"/>
      <c r="O16" s="27" t="str">
        <f>"Set K Counter to REG_SCREENn + $" &amp; DEC2HEX(320 / 8 * 256 / 8)</f>
        <v>Set K Counter to REG_SCREENn + $500</v>
      </c>
      <c r="Q16" s="27" t="str">
        <f>IF(MOD(B17, 2) = 0, "Clock C for Row [" &amp; B17 &amp; ".." &amp; (B17 + 1) &amp; "]", "")</f>
        <v>Clock C for Row [0..1]</v>
      </c>
      <c r="R16" s="27"/>
      <c r="S16" s="76"/>
      <c r="U16" s="27" t="str">
        <f>IF(MOD(B17, 2) = 0, "Receive Char for Row [" &amp; B17 &amp; ".." &amp; (B17 + 1) &amp; "]", "")</f>
        <v>Receive Char for Row [0..1]</v>
      </c>
      <c r="V16" s="43"/>
      <c r="W16" s="76"/>
      <c r="X16" s="82"/>
      <c r="Y16" s="82"/>
      <c r="Z16" s="77"/>
    </row>
    <row r="17" spans="1:26" ht="30" customHeight="1">
      <c r="A17" t="str">
        <f xml:space="preserve"> Cycles!$D$24 &amp; " + (Y * " &amp; Cycles!$D$10 &amp; ") + " &amp; C17</f>
        <v>1804 + (Y * 64) + 12</v>
      </c>
      <c r="B17">
        <v>0</v>
      </c>
      <c r="C17" s="7">
        <v>12</v>
      </c>
      <c r="D17" s="36" t="s">
        <v>101</v>
      </c>
      <c r="E17" s="47">
        <v>0</v>
      </c>
      <c r="F17" s="36">
        <v>0</v>
      </c>
      <c r="G17" s="7">
        <v>0</v>
      </c>
      <c r="H17" s="7">
        <v>0</v>
      </c>
      <c r="I17" s="7">
        <v>0</v>
      </c>
      <c r="J17" s="7" t="s">
        <v>257</v>
      </c>
      <c r="K17" s="45" t="str">
        <f>"Fetch Tile [" &amp; B17 &amp; "][0..1]"</f>
        <v>Fetch Tile [0][0..1]</v>
      </c>
      <c r="L17" s="71"/>
      <c r="M17" s="47"/>
      <c r="N17" s="51"/>
      <c r="O17" s="8" t="str">
        <f>IF(MOD(B17, 2) = 0, "Clock  K for Row [" &amp; B17 &amp; ".." &amp; (B17 +1) &amp; "]", "")</f>
        <v>Clock  K for Row [0..1]</v>
      </c>
      <c r="P17" s="37" t="str">
        <f t="shared" ref="P17:P56" si="0">"Receive Tile [" &amp; B17 &amp; "][0..1]"</f>
        <v>Receive Tile [0][0..1]</v>
      </c>
      <c r="Q17" s="37" t="str">
        <f t="shared" ref="Q17:Q55" si="1">IF(MOD(B18, 2) = 0, "Clock C for Row [" &amp; B18 &amp; ".." &amp; (B18 + 1) &amp; "]", "")</f>
        <v/>
      </c>
      <c r="R17" s="37" t="str">
        <f t="shared" ref="R17:R56" si="2">"Receive Sprite Row [" &amp; B17  &amp; "][0..1]"</f>
        <v>Receive Sprite Row [0][0..1]</v>
      </c>
      <c r="S17" s="125" t="str">
        <f>"Fetch Tile [" &amp; B17 &amp; "][0..1]"</f>
        <v>Fetch Tile [0][0..1]</v>
      </c>
      <c r="T17" s="37" t="str">
        <f>"Send Tile [" &amp; B17 &amp; "][0..1]"</f>
        <v>Send Tile [0][0..1]</v>
      </c>
      <c r="U17" s="37" t="str">
        <f t="shared" ref="U17:U56" si="3">IF(MOD(B18, 2) = 0, "Receive Char for Row [" &amp; B18 &amp; ".." &amp; (B18 + 1) &amp; "]", "")</f>
        <v/>
      </c>
      <c r="V17" s="7"/>
      <c r="W17" s="74"/>
      <c r="X17" s="81"/>
      <c r="Y17" s="81"/>
      <c r="Z17" s="75"/>
    </row>
    <row r="18" spans="1:26" ht="30">
      <c r="A18" t="str">
        <f xml:space="preserve"> Cycles!$D$24 &amp; " + (Y * " &amp; Cycles!$D$10 &amp; ") + " &amp; C18</f>
        <v>1804 + (Y * 64) + 13</v>
      </c>
      <c r="B18">
        <v>1</v>
      </c>
      <c r="C18" s="7">
        <v>13</v>
      </c>
      <c r="D18" s="36" t="s">
        <v>102</v>
      </c>
      <c r="E18" s="47">
        <v>0</v>
      </c>
      <c r="F18" s="40">
        <v>0</v>
      </c>
      <c r="G18" s="40">
        <v>0</v>
      </c>
      <c r="H18" s="40">
        <v>0</v>
      </c>
      <c r="I18" s="40">
        <v>0</v>
      </c>
      <c r="J18" s="7" t="s">
        <v>263</v>
      </c>
      <c r="K18" s="45" t="str">
        <f t="shared" ref="K18:K56" si="4">"Fetch Tile [" &amp; B18 &amp; "][0..1]"</f>
        <v>Fetch Tile [1][0..1]</v>
      </c>
      <c r="L18" s="71"/>
      <c r="M18" s="47"/>
      <c r="N18" s="51"/>
      <c r="O18" s="44" t="str">
        <f t="shared" ref="O18:O56" si="5">IF(MOD(B18, 2) = 0, "Clock  K for Row [" &amp; B18 &amp; ".." &amp; (B18 +1) &amp; "]", "")</f>
        <v/>
      </c>
      <c r="P18" s="37" t="str">
        <f t="shared" si="0"/>
        <v>Receive Tile [1][0..1]</v>
      </c>
      <c r="Q18" s="37" t="str">
        <f t="shared" si="1"/>
        <v>Clock C for Row [2..3]</v>
      </c>
      <c r="R18" s="37" t="str">
        <f t="shared" si="2"/>
        <v>Receive Sprite Row [1][0..1]</v>
      </c>
      <c r="S18" s="125" t="str">
        <f t="shared" ref="S18:S56" si="6">"Fetch Tile [" &amp; B18 &amp; "][0..1]"</f>
        <v>Fetch Tile [1][0..1]</v>
      </c>
      <c r="T18" s="37" t="str">
        <f t="shared" ref="T18:T56" si="7">"Send Tile [" &amp; B18 &amp; "][0..1]"</f>
        <v>Send Tile [1][0..1]</v>
      </c>
      <c r="U18" s="37" t="str">
        <f t="shared" si="3"/>
        <v>Receive Char for Row [2..3]</v>
      </c>
      <c r="V18" s="24"/>
      <c r="W18" s="115"/>
      <c r="X18" s="119"/>
      <c r="Y18" s="119"/>
      <c r="Z18" s="120"/>
    </row>
    <row r="19" spans="1:26">
      <c r="A19" t="str">
        <f xml:space="preserve"> Cycles!$D$24 &amp; " + (Y * " &amp; Cycles!$D$10 &amp; ") + " &amp; C19</f>
        <v>1804 + (Y * 64) + 14</v>
      </c>
      <c r="B19">
        <v>2</v>
      </c>
      <c r="C19" s="7">
        <v>14</v>
      </c>
      <c r="D19" s="36" t="s">
        <v>106</v>
      </c>
      <c r="E19" s="47">
        <v>0</v>
      </c>
      <c r="F19" s="40">
        <v>0</v>
      </c>
      <c r="G19" s="40">
        <v>0</v>
      </c>
      <c r="H19" s="40">
        <v>0</v>
      </c>
      <c r="I19" s="40">
        <v>0</v>
      </c>
      <c r="J19" s="7" t="s">
        <v>258</v>
      </c>
      <c r="K19" s="45" t="str">
        <f t="shared" si="4"/>
        <v>Fetch Tile [2][0..1]</v>
      </c>
      <c r="L19" s="71"/>
      <c r="M19" s="47"/>
      <c r="N19" s="51"/>
      <c r="O19" s="44" t="str">
        <f t="shared" si="5"/>
        <v>Clock  K for Row [2..3]</v>
      </c>
      <c r="P19" s="37" t="str">
        <f t="shared" si="0"/>
        <v>Receive Tile [2][0..1]</v>
      </c>
      <c r="Q19" s="37" t="str">
        <f t="shared" si="1"/>
        <v/>
      </c>
      <c r="R19" s="37" t="str">
        <f t="shared" si="2"/>
        <v>Receive Sprite Row [2][0..1]</v>
      </c>
      <c r="S19" s="125" t="str">
        <f t="shared" si="6"/>
        <v>Fetch Tile [2][0..1]</v>
      </c>
      <c r="T19" s="37" t="str">
        <f t="shared" si="7"/>
        <v>Send Tile [2][0..1]</v>
      </c>
      <c r="U19" s="37" t="str">
        <f t="shared" si="3"/>
        <v/>
      </c>
      <c r="V19" s="6"/>
      <c r="W19" s="74"/>
      <c r="X19" s="81"/>
      <c r="Y19" s="81"/>
      <c r="Z19" s="75"/>
    </row>
    <row r="20" spans="1:26" ht="30">
      <c r="A20" t="str">
        <f xml:space="preserve"> Cycles!$D$24 &amp; " + (Y * " &amp; Cycles!$D$10 &amp; ") + " &amp; C20</f>
        <v>1804 + (Y * 64) + 15</v>
      </c>
      <c r="B20">
        <v>3</v>
      </c>
      <c r="C20" s="7">
        <v>15</v>
      </c>
      <c r="D20" s="36" t="s">
        <v>107</v>
      </c>
      <c r="E20" s="47">
        <v>0</v>
      </c>
      <c r="F20" s="40">
        <v>0</v>
      </c>
      <c r="G20" s="40">
        <v>0</v>
      </c>
      <c r="H20" s="40">
        <v>0</v>
      </c>
      <c r="I20" s="40">
        <v>0</v>
      </c>
      <c r="J20" s="7" t="s">
        <v>261</v>
      </c>
      <c r="K20" s="45" t="str">
        <f t="shared" si="4"/>
        <v>Fetch Tile [3][0..1]</v>
      </c>
      <c r="L20" s="71"/>
      <c r="M20" s="47"/>
      <c r="N20" s="51"/>
      <c r="O20" s="44" t="str">
        <f t="shared" si="5"/>
        <v/>
      </c>
      <c r="P20" s="37" t="str">
        <f t="shared" si="0"/>
        <v>Receive Tile [3][0..1]</v>
      </c>
      <c r="Q20" s="37" t="str">
        <f t="shared" si="1"/>
        <v>Clock C for Row [4..5]</v>
      </c>
      <c r="R20" s="37" t="str">
        <f t="shared" si="2"/>
        <v>Receive Sprite Row [3][0..1]</v>
      </c>
      <c r="S20" s="125" t="str">
        <f t="shared" si="6"/>
        <v>Fetch Tile [3][0..1]</v>
      </c>
      <c r="T20" s="37" t="str">
        <f t="shared" si="7"/>
        <v>Send Tile [3][0..1]</v>
      </c>
      <c r="U20" s="37" t="str">
        <f t="shared" si="3"/>
        <v>Receive Char for Row [4..5]</v>
      </c>
      <c r="V20" s="6"/>
      <c r="W20" s="115"/>
      <c r="X20" s="119"/>
      <c r="Y20" s="119"/>
      <c r="Z20" s="120"/>
    </row>
    <row r="21" spans="1:26">
      <c r="A21" t="str">
        <f xml:space="preserve"> Cycles!$D$24 &amp; " + (Y * " &amp; Cycles!$D$10 &amp; ") + " &amp; C21</f>
        <v>1804 + (Y * 64) + 16</v>
      </c>
      <c r="B21">
        <v>4</v>
      </c>
      <c r="C21" s="7">
        <v>16</v>
      </c>
      <c r="D21" s="36" t="s">
        <v>101</v>
      </c>
      <c r="E21" s="47">
        <v>0</v>
      </c>
      <c r="F21" s="40">
        <v>0</v>
      </c>
      <c r="G21" s="40">
        <v>0</v>
      </c>
      <c r="H21" s="40">
        <v>0</v>
      </c>
      <c r="I21" s="40">
        <v>0</v>
      </c>
      <c r="J21" s="38" t="s">
        <v>257</v>
      </c>
      <c r="K21" s="45" t="str">
        <f t="shared" si="4"/>
        <v>Fetch Tile [4][0..1]</v>
      </c>
      <c r="L21" s="71"/>
      <c r="M21" s="47"/>
      <c r="N21" s="51"/>
      <c r="O21" s="44" t="str">
        <f t="shared" si="5"/>
        <v>Clock  K for Row [4..5]</v>
      </c>
      <c r="P21" s="37" t="str">
        <f t="shared" si="0"/>
        <v>Receive Tile [4][0..1]</v>
      </c>
      <c r="Q21" s="37" t="str">
        <f t="shared" si="1"/>
        <v/>
      </c>
      <c r="R21" s="37" t="str">
        <f t="shared" si="2"/>
        <v>Receive Sprite Row [4][0..1]</v>
      </c>
      <c r="S21" s="125" t="str">
        <f t="shared" si="6"/>
        <v>Fetch Tile [4][0..1]</v>
      </c>
      <c r="T21" s="37" t="str">
        <f t="shared" si="7"/>
        <v>Send Tile [4][0..1]</v>
      </c>
      <c r="U21" s="37" t="str">
        <f t="shared" si="3"/>
        <v/>
      </c>
      <c r="V21" s="6"/>
      <c r="W21" s="74"/>
      <c r="X21" s="81"/>
      <c r="Y21" s="81"/>
      <c r="Z21" s="75"/>
    </row>
    <row r="22" spans="1:26" ht="30">
      <c r="A22" t="str">
        <f xml:space="preserve"> Cycles!$D$24 &amp; " + (Y * " &amp; Cycles!$D$10 &amp; ") + " &amp; C22</f>
        <v>1804 + (Y * 64) + 17</v>
      </c>
      <c r="B22">
        <v>5</v>
      </c>
      <c r="C22" s="7">
        <v>17</v>
      </c>
      <c r="D22" s="36" t="s">
        <v>102</v>
      </c>
      <c r="E22" s="47">
        <v>0</v>
      </c>
      <c r="F22" s="40">
        <v>0</v>
      </c>
      <c r="G22" s="40">
        <v>0</v>
      </c>
      <c r="H22" s="40">
        <v>0</v>
      </c>
      <c r="I22" s="40">
        <v>0</v>
      </c>
      <c r="J22" s="38" t="s">
        <v>261</v>
      </c>
      <c r="K22" s="45" t="str">
        <f t="shared" si="4"/>
        <v>Fetch Tile [5][0..1]</v>
      </c>
      <c r="L22" s="71"/>
      <c r="M22" s="47"/>
      <c r="N22" s="51"/>
      <c r="O22" s="44" t="str">
        <f t="shared" si="5"/>
        <v/>
      </c>
      <c r="P22" s="37" t="str">
        <f t="shared" si="0"/>
        <v>Receive Tile [5][0..1]</v>
      </c>
      <c r="Q22" s="37" t="str">
        <f t="shared" si="1"/>
        <v>Clock C for Row [6..7]</v>
      </c>
      <c r="R22" s="37" t="str">
        <f t="shared" si="2"/>
        <v>Receive Sprite Row [5][0..1]</v>
      </c>
      <c r="S22" s="125" t="str">
        <f t="shared" si="6"/>
        <v>Fetch Tile [5][0..1]</v>
      </c>
      <c r="T22" s="37" t="str">
        <f t="shared" si="7"/>
        <v>Send Tile [5][0..1]</v>
      </c>
      <c r="U22" s="37" t="str">
        <f t="shared" si="3"/>
        <v>Receive Char for Row [6..7]</v>
      </c>
      <c r="V22" s="6"/>
      <c r="W22" s="115"/>
      <c r="X22" s="119"/>
      <c r="Y22" s="119"/>
      <c r="Z22" s="120"/>
    </row>
    <row r="23" spans="1:26">
      <c r="A23" t="str">
        <f xml:space="preserve"> Cycles!$D$24 &amp; " + (Y * " &amp; Cycles!$D$10 &amp; ") + " &amp; C23</f>
        <v>1804 + (Y * 64) + 18</v>
      </c>
      <c r="B23">
        <v>6</v>
      </c>
      <c r="C23" s="7">
        <v>18</v>
      </c>
      <c r="D23" s="36" t="s">
        <v>106</v>
      </c>
      <c r="E23" s="47">
        <v>0</v>
      </c>
      <c r="F23" s="40">
        <v>0</v>
      </c>
      <c r="G23" s="40">
        <v>0</v>
      </c>
      <c r="H23" s="40">
        <v>0</v>
      </c>
      <c r="I23" s="40">
        <v>0</v>
      </c>
      <c r="J23" s="38" t="s">
        <v>258</v>
      </c>
      <c r="K23" s="45" t="str">
        <f t="shared" si="4"/>
        <v>Fetch Tile [6][0..1]</v>
      </c>
      <c r="L23" s="71"/>
      <c r="M23" s="47"/>
      <c r="N23" s="51"/>
      <c r="O23" s="44" t="str">
        <f t="shared" si="5"/>
        <v>Clock  K for Row [6..7]</v>
      </c>
      <c r="P23" s="37" t="str">
        <f t="shared" si="0"/>
        <v>Receive Tile [6][0..1]</v>
      </c>
      <c r="Q23" s="37" t="str">
        <f t="shared" si="1"/>
        <v/>
      </c>
      <c r="R23" s="37" t="str">
        <f t="shared" si="2"/>
        <v>Receive Sprite Row [6][0..1]</v>
      </c>
      <c r="S23" s="125" t="str">
        <f t="shared" si="6"/>
        <v>Fetch Tile [6][0..1]</v>
      </c>
      <c r="T23" s="37" t="str">
        <f t="shared" si="7"/>
        <v>Send Tile [6][0..1]</v>
      </c>
      <c r="U23" s="37" t="str">
        <f t="shared" si="3"/>
        <v/>
      </c>
      <c r="V23" s="6"/>
      <c r="W23" s="74"/>
      <c r="X23" s="81"/>
      <c r="Y23" s="81"/>
      <c r="Z23" s="75"/>
    </row>
    <row r="24" spans="1:26" ht="30">
      <c r="A24" t="str">
        <f xml:space="preserve"> Cycles!$D$24 &amp; " + (Y * " &amp; Cycles!$D$10 &amp; ") + " &amp; C24</f>
        <v>1804 + (Y * 64) + 19</v>
      </c>
      <c r="B24">
        <v>7</v>
      </c>
      <c r="C24" s="7">
        <v>19</v>
      </c>
      <c r="D24" s="36" t="s">
        <v>107</v>
      </c>
      <c r="E24" s="47">
        <v>0</v>
      </c>
      <c r="F24" s="40">
        <v>0</v>
      </c>
      <c r="G24" s="40">
        <v>0</v>
      </c>
      <c r="H24" s="40">
        <v>0</v>
      </c>
      <c r="I24" s="40">
        <v>0</v>
      </c>
      <c r="J24" s="38" t="s">
        <v>261</v>
      </c>
      <c r="K24" s="45" t="str">
        <f t="shared" si="4"/>
        <v>Fetch Tile [7][0..1]</v>
      </c>
      <c r="L24" s="71"/>
      <c r="M24" s="47"/>
      <c r="N24" s="51"/>
      <c r="O24" s="44" t="str">
        <f t="shared" si="5"/>
        <v/>
      </c>
      <c r="P24" s="37" t="str">
        <f t="shared" si="0"/>
        <v>Receive Tile [7][0..1]</v>
      </c>
      <c r="Q24" s="37" t="str">
        <f t="shared" si="1"/>
        <v>Clock C for Row [8..9]</v>
      </c>
      <c r="R24" s="37" t="str">
        <f t="shared" si="2"/>
        <v>Receive Sprite Row [7][0..1]</v>
      </c>
      <c r="S24" s="125" t="str">
        <f t="shared" si="6"/>
        <v>Fetch Tile [7][0..1]</v>
      </c>
      <c r="T24" s="37" t="str">
        <f t="shared" si="7"/>
        <v>Send Tile [7][0..1]</v>
      </c>
      <c r="U24" s="37" t="str">
        <f t="shared" si="3"/>
        <v>Receive Char for Row [8..9]</v>
      </c>
      <c r="V24" s="6"/>
      <c r="W24" s="115"/>
      <c r="X24" s="119"/>
      <c r="Y24" s="119"/>
      <c r="Z24" s="120"/>
    </row>
    <row r="25" spans="1:26">
      <c r="A25" t="str">
        <f xml:space="preserve"> Cycles!$D$24 &amp; " + (Y * " &amp; Cycles!$D$10 &amp; ") + " &amp; C25</f>
        <v>1804 + (Y * 64) + 20</v>
      </c>
      <c r="B25">
        <v>8</v>
      </c>
      <c r="C25" s="7">
        <v>20</v>
      </c>
      <c r="D25" s="36" t="s">
        <v>101</v>
      </c>
      <c r="E25" s="47">
        <v>0</v>
      </c>
      <c r="F25" s="40">
        <v>0</v>
      </c>
      <c r="G25" s="40">
        <v>0</v>
      </c>
      <c r="H25" s="40">
        <v>0</v>
      </c>
      <c r="I25" s="40">
        <v>0</v>
      </c>
      <c r="J25" s="38" t="s">
        <v>257</v>
      </c>
      <c r="K25" s="45" t="str">
        <f t="shared" si="4"/>
        <v>Fetch Tile [8][0..1]</v>
      </c>
      <c r="L25" s="71"/>
      <c r="M25" s="47"/>
      <c r="N25" s="51"/>
      <c r="O25" s="44" t="str">
        <f t="shared" si="5"/>
        <v>Clock  K for Row [8..9]</v>
      </c>
      <c r="P25" s="37" t="str">
        <f t="shared" si="0"/>
        <v>Receive Tile [8][0..1]</v>
      </c>
      <c r="Q25" s="37" t="str">
        <f t="shared" si="1"/>
        <v/>
      </c>
      <c r="R25" s="37" t="str">
        <f t="shared" si="2"/>
        <v>Receive Sprite Row [8][0..1]</v>
      </c>
      <c r="S25" s="125" t="str">
        <f t="shared" si="6"/>
        <v>Fetch Tile [8][0..1]</v>
      </c>
      <c r="T25" s="37" t="str">
        <f t="shared" si="7"/>
        <v>Send Tile [8][0..1]</v>
      </c>
      <c r="U25" s="37" t="str">
        <f t="shared" si="3"/>
        <v/>
      </c>
      <c r="V25" s="6"/>
      <c r="W25" s="74"/>
      <c r="X25" s="81"/>
      <c r="Y25" s="81"/>
      <c r="Z25" s="75"/>
    </row>
    <row r="26" spans="1:26" ht="30">
      <c r="A26" t="str">
        <f xml:space="preserve"> Cycles!$D$24 &amp; " + (Y * " &amp; Cycles!$D$10 &amp; ") + " &amp; C26</f>
        <v>1804 + (Y * 64) + 21</v>
      </c>
      <c r="B26">
        <v>9</v>
      </c>
      <c r="C26" s="7">
        <v>21</v>
      </c>
      <c r="D26" s="36" t="s">
        <v>102</v>
      </c>
      <c r="E26" s="47">
        <v>0</v>
      </c>
      <c r="F26" s="40">
        <v>0</v>
      </c>
      <c r="G26" s="40">
        <v>0</v>
      </c>
      <c r="H26" s="40">
        <v>0</v>
      </c>
      <c r="I26" s="40">
        <v>0</v>
      </c>
      <c r="J26" s="38" t="s">
        <v>261</v>
      </c>
      <c r="K26" s="45" t="str">
        <f t="shared" si="4"/>
        <v>Fetch Tile [9][0..1]</v>
      </c>
      <c r="L26" s="71"/>
      <c r="M26" s="47"/>
      <c r="N26" s="51"/>
      <c r="O26" s="44" t="str">
        <f t="shared" si="5"/>
        <v/>
      </c>
      <c r="P26" s="37" t="str">
        <f t="shared" si="0"/>
        <v>Receive Tile [9][0..1]</v>
      </c>
      <c r="Q26" s="37" t="str">
        <f t="shared" si="1"/>
        <v>Clock C for Row [10..11]</v>
      </c>
      <c r="R26" s="37" t="str">
        <f t="shared" si="2"/>
        <v>Receive Sprite Row [9][0..1]</v>
      </c>
      <c r="S26" s="125" t="str">
        <f t="shared" si="6"/>
        <v>Fetch Tile [9][0..1]</v>
      </c>
      <c r="T26" s="37" t="str">
        <f t="shared" si="7"/>
        <v>Send Tile [9][0..1]</v>
      </c>
      <c r="U26" s="37" t="str">
        <f t="shared" si="3"/>
        <v>Receive Char for Row [10..11]</v>
      </c>
      <c r="V26" s="6"/>
      <c r="W26" s="74"/>
      <c r="X26" s="81"/>
      <c r="Y26" s="81"/>
      <c r="Z26" s="75"/>
    </row>
    <row r="27" spans="1:26">
      <c r="A27" t="str">
        <f xml:space="preserve"> Cycles!$D$24 &amp; " + (Y * " &amp; Cycles!$D$10 &amp; ") + " &amp; C27</f>
        <v>1804 + (Y * 64) + 22</v>
      </c>
      <c r="B27">
        <v>10</v>
      </c>
      <c r="C27" s="7">
        <v>22</v>
      </c>
      <c r="D27" s="36" t="s">
        <v>106</v>
      </c>
      <c r="E27" s="47">
        <v>0</v>
      </c>
      <c r="F27" s="40">
        <v>0</v>
      </c>
      <c r="G27" s="40">
        <v>0</v>
      </c>
      <c r="H27" s="40">
        <v>0</v>
      </c>
      <c r="I27" s="40">
        <v>0</v>
      </c>
      <c r="J27" s="38" t="s">
        <v>258</v>
      </c>
      <c r="K27" s="45" t="str">
        <f t="shared" si="4"/>
        <v>Fetch Tile [10][0..1]</v>
      </c>
      <c r="L27" s="71"/>
      <c r="M27" s="47"/>
      <c r="N27" s="51"/>
      <c r="O27" s="44" t="str">
        <f t="shared" si="5"/>
        <v>Clock  K for Row [10..11]</v>
      </c>
      <c r="P27" s="37" t="str">
        <f t="shared" si="0"/>
        <v>Receive Tile [10][0..1]</v>
      </c>
      <c r="Q27" s="37" t="str">
        <f t="shared" si="1"/>
        <v/>
      </c>
      <c r="R27" s="37" t="str">
        <f t="shared" si="2"/>
        <v>Receive Sprite Row [10][0..1]</v>
      </c>
      <c r="S27" s="125" t="str">
        <f t="shared" si="6"/>
        <v>Fetch Tile [10][0..1]</v>
      </c>
      <c r="T27" s="37" t="str">
        <f t="shared" si="7"/>
        <v>Send Tile [10][0..1]</v>
      </c>
      <c r="U27" s="37" t="str">
        <f t="shared" si="3"/>
        <v/>
      </c>
      <c r="V27" s="6"/>
      <c r="W27" s="74"/>
      <c r="X27" s="81"/>
      <c r="Y27" s="81"/>
      <c r="Z27" s="75"/>
    </row>
    <row r="28" spans="1:26" ht="30">
      <c r="A28" t="str">
        <f xml:space="preserve"> Cycles!$D$24 &amp; " + (Y * " &amp; Cycles!$D$10 &amp; ") + " &amp; C28</f>
        <v>1804 + (Y * 64) + 23</v>
      </c>
      <c r="B28">
        <v>11</v>
      </c>
      <c r="C28" s="7">
        <v>23</v>
      </c>
      <c r="D28" s="36" t="s">
        <v>107</v>
      </c>
      <c r="E28" s="47">
        <v>0</v>
      </c>
      <c r="F28" s="40">
        <v>0</v>
      </c>
      <c r="G28" s="40">
        <v>0</v>
      </c>
      <c r="H28" s="40">
        <v>0</v>
      </c>
      <c r="I28" s="40">
        <v>0</v>
      </c>
      <c r="J28" s="38" t="s">
        <v>261</v>
      </c>
      <c r="K28" s="45" t="str">
        <f t="shared" si="4"/>
        <v>Fetch Tile [11][0..1]</v>
      </c>
      <c r="L28" s="71"/>
      <c r="M28" s="47"/>
      <c r="N28" s="51"/>
      <c r="O28" s="44" t="str">
        <f t="shared" si="5"/>
        <v/>
      </c>
      <c r="P28" s="37" t="str">
        <f t="shared" si="0"/>
        <v>Receive Tile [11][0..1]</v>
      </c>
      <c r="Q28" s="37" t="str">
        <f t="shared" si="1"/>
        <v>Clock C for Row [12..13]</v>
      </c>
      <c r="R28" s="37" t="str">
        <f t="shared" si="2"/>
        <v>Receive Sprite Row [11][0..1]</v>
      </c>
      <c r="S28" s="125" t="str">
        <f t="shared" si="6"/>
        <v>Fetch Tile [11][0..1]</v>
      </c>
      <c r="T28" s="37" t="str">
        <f t="shared" si="7"/>
        <v>Send Tile [11][0..1]</v>
      </c>
      <c r="U28" s="37" t="str">
        <f t="shared" si="3"/>
        <v>Receive Char for Row [12..13]</v>
      </c>
      <c r="V28" s="6"/>
      <c r="W28" s="74"/>
      <c r="X28" s="81"/>
      <c r="Y28" s="81"/>
      <c r="Z28" s="75"/>
    </row>
    <row r="29" spans="1:26">
      <c r="A29" t="str">
        <f xml:space="preserve"> Cycles!$D$24 &amp; " + (Y * " &amp; Cycles!$D$10 &amp; ") + " &amp; C29</f>
        <v>1804 + (Y * 64) + 24</v>
      </c>
      <c r="B29">
        <v>12</v>
      </c>
      <c r="C29" s="7">
        <v>24</v>
      </c>
      <c r="D29" s="36" t="s">
        <v>101</v>
      </c>
      <c r="E29" s="47">
        <v>0</v>
      </c>
      <c r="F29" s="40">
        <v>0</v>
      </c>
      <c r="G29" s="40">
        <v>0</v>
      </c>
      <c r="H29" s="40">
        <v>0</v>
      </c>
      <c r="I29" s="40">
        <v>0</v>
      </c>
      <c r="J29" s="38" t="s">
        <v>257</v>
      </c>
      <c r="K29" s="45" t="str">
        <f t="shared" si="4"/>
        <v>Fetch Tile [12][0..1]</v>
      </c>
      <c r="L29" s="71"/>
      <c r="M29" s="47"/>
      <c r="N29" s="51"/>
      <c r="O29" s="44" t="str">
        <f t="shared" si="5"/>
        <v>Clock  K for Row [12..13]</v>
      </c>
      <c r="P29" s="37" t="str">
        <f t="shared" si="0"/>
        <v>Receive Tile [12][0..1]</v>
      </c>
      <c r="Q29" s="37" t="str">
        <f t="shared" si="1"/>
        <v/>
      </c>
      <c r="R29" s="37" t="str">
        <f t="shared" si="2"/>
        <v>Receive Sprite Row [12][0..1]</v>
      </c>
      <c r="S29" s="125" t="str">
        <f t="shared" si="6"/>
        <v>Fetch Tile [12][0..1]</v>
      </c>
      <c r="T29" s="37" t="str">
        <f t="shared" si="7"/>
        <v>Send Tile [12][0..1]</v>
      </c>
      <c r="U29" s="37" t="str">
        <f t="shared" si="3"/>
        <v/>
      </c>
      <c r="V29" s="6"/>
      <c r="W29" s="74"/>
      <c r="X29" s="81"/>
      <c r="Y29" s="81"/>
      <c r="Z29" s="75"/>
    </row>
    <row r="30" spans="1:26" ht="30">
      <c r="A30" t="str">
        <f xml:space="preserve"> Cycles!$D$24 &amp; " + (Y * " &amp; Cycles!$D$10 &amp; ") + " &amp; C30</f>
        <v>1804 + (Y * 64) + 25</v>
      </c>
      <c r="B30">
        <v>13</v>
      </c>
      <c r="C30" s="7">
        <v>25</v>
      </c>
      <c r="D30" s="36" t="s">
        <v>102</v>
      </c>
      <c r="E30" s="47">
        <v>0</v>
      </c>
      <c r="F30" s="40">
        <v>0</v>
      </c>
      <c r="G30" s="40">
        <v>0</v>
      </c>
      <c r="H30" s="40">
        <v>0</v>
      </c>
      <c r="I30" s="40">
        <v>0</v>
      </c>
      <c r="J30" s="38" t="s">
        <v>261</v>
      </c>
      <c r="K30" s="45" t="str">
        <f t="shared" si="4"/>
        <v>Fetch Tile [13][0..1]</v>
      </c>
      <c r="L30" s="71"/>
      <c r="M30" s="47"/>
      <c r="N30" s="51"/>
      <c r="O30" s="44" t="str">
        <f t="shared" si="5"/>
        <v/>
      </c>
      <c r="P30" s="37" t="str">
        <f t="shared" si="0"/>
        <v>Receive Tile [13][0..1]</v>
      </c>
      <c r="Q30" s="37" t="str">
        <f t="shared" si="1"/>
        <v>Clock C for Row [14..15]</v>
      </c>
      <c r="R30" s="37" t="str">
        <f t="shared" si="2"/>
        <v>Receive Sprite Row [13][0..1]</v>
      </c>
      <c r="S30" s="125" t="str">
        <f t="shared" si="6"/>
        <v>Fetch Tile [13][0..1]</v>
      </c>
      <c r="T30" s="37" t="str">
        <f t="shared" si="7"/>
        <v>Send Tile [13][0..1]</v>
      </c>
      <c r="U30" s="37" t="str">
        <f t="shared" si="3"/>
        <v>Receive Char for Row [14..15]</v>
      </c>
      <c r="V30" s="6"/>
      <c r="W30" s="74"/>
      <c r="X30" s="81"/>
      <c r="Y30" s="81"/>
      <c r="Z30" s="75"/>
    </row>
    <row r="31" spans="1:26">
      <c r="A31" t="str">
        <f xml:space="preserve"> Cycles!$D$24 &amp; " + (Y * " &amp; Cycles!$D$10 &amp; ") + " &amp; C31</f>
        <v>1804 + (Y * 64) + 26</v>
      </c>
      <c r="B31">
        <v>14</v>
      </c>
      <c r="C31" s="7">
        <v>26</v>
      </c>
      <c r="D31" s="36" t="s">
        <v>106</v>
      </c>
      <c r="E31" s="47">
        <v>0</v>
      </c>
      <c r="F31" s="40">
        <v>0</v>
      </c>
      <c r="G31" s="40">
        <v>0</v>
      </c>
      <c r="H31" s="40">
        <v>0</v>
      </c>
      <c r="I31" s="40">
        <v>0</v>
      </c>
      <c r="J31" s="38" t="s">
        <v>258</v>
      </c>
      <c r="K31" s="45" t="str">
        <f t="shared" si="4"/>
        <v>Fetch Tile [14][0..1]</v>
      </c>
      <c r="L31" s="71"/>
      <c r="M31" s="47"/>
      <c r="N31" s="51"/>
      <c r="O31" s="44" t="str">
        <f t="shared" si="5"/>
        <v>Clock  K for Row [14..15]</v>
      </c>
      <c r="P31" s="37" t="str">
        <f t="shared" si="0"/>
        <v>Receive Tile [14][0..1]</v>
      </c>
      <c r="Q31" s="37" t="str">
        <f t="shared" si="1"/>
        <v/>
      </c>
      <c r="R31" s="37" t="str">
        <f t="shared" si="2"/>
        <v>Receive Sprite Row [14][0..1]</v>
      </c>
      <c r="S31" s="125" t="str">
        <f t="shared" si="6"/>
        <v>Fetch Tile [14][0..1]</v>
      </c>
      <c r="T31" s="37" t="str">
        <f t="shared" si="7"/>
        <v>Send Tile [14][0..1]</v>
      </c>
      <c r="U31" s="37" t="str">
        <f t="shared" si="3"/>
        <v/>
      </c>
      <c r="V31" s="6"/>
      <c r="W31" s="74"/>
      <c r="X31" s="81"/>
      <c r="Y31" s="81"/>
      <c r="Z31" s="75"/>
    </row>
    <row r="32" spans="1:26" ht="30">
      <c r="A32" t="str">
        <f xml:space="preserve"> Cycles!$D$24 &amp; " + (Y * " &amp; Cycles!$D$10 &amp; ") + " &amp; C32</f>
        <v>1804 + (Y * 64) + 27</v>
      </c>
      <c r="B32">
        <v>15</v>
      </c>
      <c r="C32" s="7">
        <v>27</v>
      </c>
      <c r="D32" s="36" t="s">
        <v>107</v>
      </c>
      <c r="E32" s="47">
        <v>0</v>
      </c>
      <c r="F32" s="40">
        <v>0</v>
      </c>
      <c r="G32" s="40">
        <v>0</v>
      </c>
      <c r="H32" s="40">
        <v>0</v>
      </c>
      <c r="I32" s="40">
        <v>0</v>
      </c>
      <c r="J32" s="38" t="s">
        <v>261</v>
      </c>
      <c r="K32" s="45" t="str">
        <f t="shared" si="4"/>
        <v>Fetch Tile [15][0..1]</v>
      </c>
      <c r="L32" s="71"/>
      <c r="M32" s="47"/>
      <c r="N32" s="51"/>
      <c r="O32" s="44" t="str">
        <f t="shared" si="5"/>
        <v/>
      </c>
      <c r="P32" s="37" t="str">
        <f t="shared" si="0"/>
        <v>Receive Tile [15][0..1]</v>
      </c>
      <c r="Q32" s="37" t="str">
        <f t="shared" si="1"/>
        <v>Clock C for Row [16..17]</v>
      </c>
      <c r="R32" s="37" t="str">
        <f t="shared" si="2"/>
        <v>Receive Sprite Row [15][0..1]</v>
      </c>
      <c r="S32" s="125" t="str">
        <f t="shared" si="6"/>
        <v>Fetch Tile [15][0..1]</v>
      </c>
      <c r="T32" s="37" t="str">
        <f t="shared" si="7"/>
        <v>Send Tile [15][0..1]</v>
      </c>
      <c r="U32" s="37" t="str">
        <f t="shared" si="3"/>
        <v>Receive Char for Row [16..17]</v>
      </c>
      <c r="V32" s="6"/>
      <c r="W32" s="74"/>
      <c r="X32" s="81"/>
      <c r="Y32" s="81"/>
      <c r="Z32" s="75"/>
    </row>
    <row r="33" spans="1:26">
      <c r="A33" t="str">
        <f xml:space="preserve"> Cycles!$D$24 &amp; " + (Y * " &amp; Cycles!$D$10 &amp; ") + " &amp; C33</f>
        <v>1804 + (Y * 64) + 28</v>
      </c>
      <c r="B33">
        <v>16</v>
      </c>
      <c r="C33" s="7">
        <v>28</v>
      </c>
      <c r="D33" s="36" t="s">
        <v>101</v>
      </c>
      <c r="E33" s="47">
        <v>0</v>
      </c>
      <c r="F33" s="40">
        <v>0</v>
      </c>
      <c r="G33" s="40">
        <v>0</v>
      </c>
      <c r="H33" s="40">
        <v>0</v>
      </c>
      <c r="I33" s="40">
        <v>0</v>
      </c>
      <c r="J33" s="38" t="s">
        <v>257</v>
      </c>
      <c r="K33" s="45" t="str">
        <f t="shared" si="4"/>
        <v>Fetch Tile [16][0..1]</v>
      </c>
      <c r="L33" s="71"/>
      <c r="M33" s="47"/>
      <c r="N33" s="51"/>
      <c r="O33" s="44" t="str">
        <f t="shared" si="5"/>
        <v>Clock  K for Row [16..17]</v>
      </c>
      <c r="P33" s="37" t="str">
        <f t="shared" si="0"/>
        <v>Receive Tile [16][0..1]</v>
      </c>
      <c r="Q33" s="37" t="str">
        <f t="shared" si="1"/>
        <v/>
      </c>
      <c r="R33" s="37" t="str">
        <f t="shared" si="2"/>
        <v>Receive Sprite Row [16][0..1]</v>
      </c>
      <c r="S33" s="125" t="str">
        <f t="shared" si="6"/>
        <v>Fetch Tile [16][0..1]</v>
      </c>
      <c r="T33" s="37" t="str">
        <f t="shared" si="7"/>
        <v>Send Tile [16][0..1]</v>
      </c>
      <c r="U33" s="37" t="str">
        <f t="shared" si="3"/>
        <v/>
      </c>
      <c r="V33" s="6"/>
      <c r="W33" s="74"/>
      <c r="X33" s="81"/>
      <c r="Y33" s="81"/>
      <c r="Z33" s="75"/>
    </row>
    <row r="34" spans="1:26" ht="30">
      <c r="A34" t="str">
        <f xml:space="preserve"> Cycles!$D$24 &amp; " + (Y * " &amp; Cycles!$D$10 &amp; ") + " &amp; C34</f>
        <v>1804 + (Y * 64) + 29</v>
      </c>
      <c r="B34">
        <v>17</v>
      </c>
      <c r="C34" s="7">
        <v>29</v>
      </c>
      <c r="D34" s="36" t="s">
        <v>102</v>
      </c>
      <c r="E34" s="47">
        <v>0</v>
      </c>
      <c r="F34" s="40">
        <v>0</v>
      </c>
      <c r="G34" s="40">
        <v>0</v>
      </c>
      <c r="H34" s="40">
        <v>0</v>
      </c>
      <c r="I34" s="40">
        <v>0</v>
      </c>
      <c r="J34" s="38" t="s">
        <v>261</v>
      </c>
      <c r="K34" s="45" t="str">
        <f t="shared" si="4"/>
        <v>Fetch Tile [17][0..1]</v>
      </c>
      <c r="L34" s="71"/>
      <c r="M34" s="47"/>
      <c r="N34" s="51"/>
      <c r="O34" s="44" t="str">
        <f t="shared" si="5"/>
        <v/>
      </c>
      <c r="P34" s="37" t="str">
        <f t="shared" si="0"/>
        <v>Receive Tile [17][0..1]</v>
      </c>
      <c r="Q34" s="37" t="str">
        <f t="shared" si="1"/>
        <v>Clock C for Row [18..19]</v>
      </c>
      <c r="R34" s="37" t="str">
        <f t="shared" si="2"/>
        <v>Receive Sprite Row [17][0..1]</v>
      </c>
      <c r="S34" s="125" t="str">
        <f t="shared" si="6"/>
        <v>Fetch Tile [17][0..1]</v>
      </c>
      <c r="T34" s="37" t="str">
        <f t="shared" si="7"/>
        <v>Send Tile [17][0..1]</v>
      </c>
      <c r="U34" s="37" t="str">
        <f t="shared" si="3"/>
        <v>Receive Char for Row [18..19]</v>
      </c>
      <c r="V34" s="6"/>
      <c r="W34" s="74"/>
      <c r="X34" s="81"/>
      <c r="Y34" s="81"/>
      <c r="Z34" s="75"/>
    </row>
    <row r="35" spans="1:26">
      <c r="A35" t="str">
        <f xml:space="preserve"> Cycles!$D$24 &amp; " + (Y * " &amp; Cycles!$D$10 &amp; ") + " &amp; C35</f>
        <v>1804 + (Y * 64) + 30</v>
      </c>
      <c r="B35">
        <v>18</v>
      </c>
      <c r="C35" s="7">
        <v>30</v>
      </c>
      <c r="D35" s="36" t="s">
        <v>106</v>
      </c>
      <c r="E35" s="47">
        <v>0</v>
      </c>
      <c r="F35" s="40">
        <v>0</v>
      </c>
      <c r="G35" s="40">
        <v>0</v>
      </c>
      <c r="H35" s="40">
        <v>0</v>
      </c>
      <c r="I35" s="40">
        <v>0</v>
      </c>
      <c r="J35" s="38" t="s">
        <v>258</v>
      </c>
      <c r="K35" s="45" t="str">
        <f t="shared" si="4"/>
        <v>Fetch Tile [18][0..1]</v>
      </c>
      <c r="L35" s="71"/>
      <c r="M35" s="47"/>
      <c r="N35" s="51"/>
      <c r="O35" s="44" t="str">
        <f t="shared" si="5"/>
        <v>Clock  K for Row [18..19]</v>
      </c>
      <c r="P35" s="37" t="str">
        <f t="shared" si="0"/>
        <v>Receive Tile [18][0..1]</v>
      </c>
      <c r="Q35" s="37" t="str">
        <f t="shared" si="1"/>
        <v/>
      </c>
      <c r="R35" s="37" t="str">
        <f t="shared" si="2"/>
        <v>Receive Sprite Row [18][0..1]</v>
      </c>
      <c r="S35" s="125" t="str">
        <f t="shared" si="6"/>
        <v>Fetch Tile [18][0..1]</v>
      </c>
      <c r="T35" s="37" t="str">
        <f t="shared" si="7"/>
        <v>Send Tile [18][0..1]</v>
      </c>
      <c r="U35" s="37" t="str">
        <f t="shared" si="3"/>
        <v/>
      </c>
      <c r="V35" s="6"/>
      <c r="W35" s="74"/>
      <c r="X35" s="81"/>
      <c r="Y35" s="81"/>
      <c r="Z35" s="75"/>
    </row>
    <row r="36" spans="1:26" ht="30">
      <c r="A36" t="str">
        <f xml:space="preserve"> Cycles!$D$24 &amp; " + (Y * " &amp; Cycles!$D$10 &amp; ") + " &amp; C36</f>
        <v>1804 + (Y * 64) + 31</v>
      </c>
      <c r="B36">
        <v>19</v>
      </c>
      <c r="C36" s="7">
        <v>31</v>
      </c>
      <c r="D36" s="36" t="s">
        <v>107</v>
      </c>
      <c r="E36" s="47">
        <v>0</v>
      </c>
      <c r="F36" s="40">
        <v>0</v>
      </c>
      <c r="G36" s="40">
        <v>0</v>
      </c>
      <c r="H36" s="40">
        <v>0</v>
      </c>
      <c r="I36" s="40">
        <v>0</v>
      </c>
      <c r="J36" s="38" t="s">
        <v>261</v>
      </c>
      <c r="K36" s="45" t="str">
        <f t="shared" si="4"/>
        <v>Fetch Tile [19][0..1]</v>
      </c>
      <c r="L36" s="71"/>
      <c r="M36" s="47"/>
      <c r="N36" s="51"/>
      <c r="O36" s="44" t="str">
        <f t="shared" si="5"/>
        <v/>
      </c>
      <c r="P36" s="37" t="str">
        <f t="shared" si="0"/>
        <v>Receive Tile [19][0..1]</v>
      </c>
      <c r="Q36" s="37" t="str">
        <f t="shared" si="1"/>
        <v>Clock C for Row [20..21]</v>
      </c>
      <c r="R36" s="37" t="str">
        <f t="shared" si="2"/>
        <v>Receive Sprite Row [19][0..1]</v>
      </c>
      <c r="S36" s="125" t="str">
        <f t="shared" si="6"/>
        <v>Fetch Tile [19][0..1]</v>
      </c>
      <c r="T36" s="37" t="str">
        <f t="shared" si="7"/>
        <v>Send Tile [19][0..1]</v>
      </c>
      <c r="U36" s="37" t="str">
        <f t="shared" si="3"/>
        <v>Receive Char for Row [20..21]</v>
      </c>
      <c r="V36" s="6"/>
      <c r="W36" s="74"/>
      <c r="X36" s="81"/>
      <c r="Y36" s="81"/>
      <c r="Z36" s="75"/>
    </row>
    <row r="37" spans="1:26">
      <c r="A37" t="str">
        <f xml:space="preserve"> Cycles!$D$24 &amp; " + (Y * " &amp; Cycles!$D$10 &amp; ") + " &amp; C37</f>
        <v>1804 + (Y * 64) + 32</v>
      </c>
      <c r="B37">
        <v>20</v>
      </c>
      <c r="C37" s="7">
        <v>32</v>
      </c>
      <c r="D37" s="36" t="s">
        <v>101</v>
      </c>
      <c r="E37" s="47">
        <v>0</v>
      </c>
      <c r="F37" s="40">
        <v>0</v>
      </c>
      <c r="G37" s="40">
        <v>0</v>
      </c>
      <c r="H37" s="40">
        <v>0</v>
      </c>
      <c r="I37" s="40">
        <v>0</v>
      </c>
      <c r="J37" s="38" t="s">
        <v>257</v>
      </c>
      <c r="K37" s="45" t="str">
        <f t="shared" si="4"/>
        <v>Fetch Tile [20][0..1]</v>
      </c>
      <c r="L37" s="71"/>
      <c r="M37" s="47"/>
      <c r="N37" s="51"/>
      <c r="O37" s="44" t="str">
        <f t="shared" si="5"/>
        <v>Clock  K for Row [20..21]</v>
      </c>
      <c r="P37" s="37" t="str">
        <f t="shared" si="0"/>
        <v>Receive Tile [20][0..1]</v>
      </c>
      <c r="Q37" s="37" t="str">
        <f t="shared" si="1"/>
        <v/>
      </c>
      <c r="R37" s="37" t="str">
        <f t="shared" si="2"/>
        <v>Receive Sprite Row [20][0..1]</v>
      </c>
      <c r="S37" s="125" t="str">
        <f t="shared" si="6"/>
        <v>Fetch Tile [20][0..1]</v>
      </c>
      <c r="T37" s="37" t="str">
        <f t="shared" si="7"/>
        <v>Send Tile [20][0..1]</v>
      </c>
      <c r="U37" s="37" t="str">
        <f t="shared" si="3"/>
        <v/>
      </c>
      <c r="V37" s="7"/>
      <c r="W37" s="74"/>
      <c r="X37" s="81"/>
      <c r="Y37" s="81"/>
      <c r="Z37" s="75"/>
    </row>
    <row r="38" spans="1:26" ht="30">
      <c r="A38" t="str">
        <f xml:space="preserve"> Cycles!$D$24 &amp; " + (Y * " &amp; Cycles!$D$10 &amp; ") + " &amp; C38</f>
        <v>1804 + (Y * 64) + 33</v>
      </c>
      <c r="B38">
        <v>21</v>
      </c>
      <c r="C38" s="7">
        <v>33</v>
      </c>
      <c r="D38" s="36" t="s">
        <v>102</v>
      </c>
      <c r="E38" s="47">
        <v>0</v>
      </c>
      <c r="F38" s="40">
        <v>0</v>
      </c>
      <c r="G38" s="40">
        <v>0</v>
      </c>
      <c r="H38" s="40">
        <v>0</v>
      </c>
      <c r="I38" s="40">
        <v>0</v>
      </c>
      <c r="J38" s="38" t="s">
        <v>261</v>
      </c>
      <c r="K38" s="45" t="str">
        <f t="shared" si="4"/>
        <v>Fetch Tile [21][0..1]</v>
      </c>
      <c r="L38" s="71"/>
      <c r="M38" s="47"/>
      <c r="N38" s="51"/>
      <c r="O38" s="44" t="str">
        <f t="shared" si="5"/>
        <v/>
      </c>
      <c r="P38" s="37" t="str">
        <f t="shared" si="0"/>
        <v>Receive Tile [21][0..1]</v>
      </c>
      <c r="Q38" s="37" t="str">
        <f t="shared" si="1"/>
        <v>Clock C for Row [22..23]</v>
      </c>
      <c r="R38" s="37" t="str">
        <f t="shared" si="2"/>
        <v>Receive Sprite Row [21][0..1]</v>
      </c>
      <c r="S38" s="125" t="str">
        <f t="shared" si="6"/>
        <v>Fetch Tile [21][0..1]</v>
      </c>
      <c r="T38" s="37" t="str">
        <f t="shared" si="7"/>
        <v>Send Tile [21][0..1]</v>
      </c>
      <c r="U38" s="37" t="str">
        <f t="shared" si="3"/>
        <v>Receive Char for Row [22..23]</v>
      </c>
      <c r="V38" s="7"/>
      <c r="W38" s="74"/>
      <c r="X38" s="81"/>
      <c r="Y38" s="81"/>
      <c r="Z38" s="75"/>
    </row>
    <row r="39" spans="1:26">
      <c r="A39" t="str">
        <f xml:space="preserve"> Cycles!$D$24 &amp; " + (Y * " &amp; Cycles!$D$10 &amp; ") + " &amp; C39</f>
        <v>1804 + (Y * 64) + 34</v>
      </c>
      <c r="B39">
        <v>22</v>
      </c>
      <c r="C39" s="7">
        <v>34</v>
      </c>
      <c r="D39" s="36" t="s">
        <v>106</v>
      </c>
      <c r="E39" s="47">
        <v>0</v>
      </c>
      <c r="F39" s="40">
        <v>0</v>
      </c>
      <c r="G39" s="40">
        <v>0</v>
      </c>
      <c r="H39" s="40">
        <v>0</v>
      </c>
      <c r="I39" s="40">
        <v>0</v>
      </c>
      <c r="J39" s="38" t="s">
        <v>258</v>
      </c>
      <c r="K39" s="45" t="str">
        <f t="shared" si="4"/>
        <v>Fetch Tile [22][0..1]</v>
      </c>
      <c r="L39" s="71"/>
      <c r="M39" s="47"/>
      <c r="N39" s="51"/>
      <c r="O39" s="44" t="str">
        <f t="shared" si="5"/>
        <v>Clock  K for Row [22..23]</v>
      </c>
      <c r="P39" s="37" t="str">
        <f t="shared" si="0"/>
        <v>Receive Tile [22][0..1]</v>
      </c>
      <c r="Q39" s="37" t="str">
        <f t="shared" si="1"/>
        <v/>
      </c>
      <c r="R39" s="37" t="str">
        <f t="shared" si="2"/>
        <v>Receive Sprite Row [22][0..1]</v>
      </c>
      <c r="S39" s="125" t="str">
        <f t="shared" si="6"/>
        <v>Fetch Tile [22][0..1]</v>
      </c>
      <c r="T39" s="37" t="str">
        <f t="shared" si="7"/>
        <v>Send Tile [22][0..1]</v>
      </c>
      <c r="U39" s="37" t="str">
        <f t="shared" si="3"/>
        <v/>
      </c>
      <c r="V39" s="7"/>
      <c r="W39" s="74"/>
      <c r="X39" s="81"/>
      <c r="Y39" s="81"/>
      <c r="Z39" s="75"/>
    </row>
    <row r="40" spans="1:26" ht="30">
      <c r="A40" t="str">
        <f xml:space="preserve"> Cycles!$D$24 &amp; " + (Y * " &amp; Cycles!$D$10 &amp; ") + " &amp; C40</f>
        <v>1804 + (Y * 64) + 35</v>
      </c>
      <c r="B40">
        <v>23</v>
      </c>
      <c r="C40" s="7">
        <v>35</v>
      </c>
      <c r="D40" s="36" t="s">
        <v>107</v>
      </c>
      <c r="E40" s="47">
        <v>0</v>
      </c>
      <c r="F40" s="40">
        <v>0</v>
      </c>
      <c r="G40" s="40">
        <v>0</v>
      </c>
      <c r="H40" s="40">
        <v>0</v>
      </c>
      <c r="I40" s="40">
        <v>0</v>
      </c>
      <c r="J40" s="38" t="s">
        <v>261</v>
      </c>
      <c r="K40" s="45" t="str">
        <f t="shared" si="4"/>
        <v>Fetch Tile [23][0..1]</v>
      </c>
      <c r="L40" s="71"/>
      <c r="M40" s="47"/>
      <c r="N40" s="51"/>
      <c r="O40" s="44" t="str">
        <f t="shared" si="5"/>
        <v/>
      </c>
      <c r="P40" s="37" t="str">
        <f t="shared" si="0"/>
        <v>Receive Tile [23][0..1]</v>
      </c>
      <c r="Q40" s="37" t="str">
        <f t="shared" si="1"/>
        <v>Clock C for Row [24..25]</v>
      </c>
      <c r="R40" s="37" t="str">
        <f t="shared" si="2"/>
        <v>Receive Sprite Row [23][0..1]</v>
      </c>
      <c r="S40" s="125" t="str">
        <f t="shared" si="6"/>
        <v>Fetch Tile [23][0..1]</v>
      </c>
      <c r="T40" s="37" t="str">
        <f t="shared" si="7"/>
        <v>Send Tile [23][0..1]</v>
      </c>
      <c r="U40" s="37" t="str">
        <f t="shared" si="3"/>
        <v>Receive Char for Row [24..25]</v>
      </c>
      <c r="V40" s="7"/>
      <c r="W40" s="74"/>
      <c r="X40" s="81"/>
      <c r="Y40" s="81"/>
      <c r="Z40" s="75"/>
    </row>
    <row r="41" spans="1:26">
      <c r="A41" t="str">
        <f xml:space="preserve"> Cycles!$D$24 &amp; " + (Y * " &amp; Cycles!$D$10 &amp; ") + " &amp; C41</f>
        <v>1804 + (Y * 64) + 36</v>
      </c>
      <c r="B41">
        <v>24</v>
      </c>
      <c r="C41" s="7">
        <v>36</v>
      </c>
      <c r="D41" s="36" t="s">
        <v>101</v>
      </c>
      <c r="E41" s="47">
        <v>0</v>
      </c>
      <c r="F41" s="40">
        <v>0</v>
      </c>
      <c r="G41" s="40">
        <v>0</v>
      </c>
      <c r="H41" s="40">
        <v>0</v>
      </c>
      <c r="I41" s="40">
        <v>0</v>
      </c>
      <c r="J41" s="38" t="s">
        <v>257</v>
      </c>
      <c r="K41" s="45" t="str">
        <f t="shared" si="4"/>
        <v>Fetch Tile [24][0..1]</v>
      </c>
      <c r="L41" s="71"/>
      <c r="M41" s="47"/>
      <c r="N41" s="51"/>
      <c r="O41" s="44" t="str">
        <f t="shared" si="5"/>
        <v>Clock  K for Row [24..25]</v>
      </c>
      <c r="P41" s="37" t="str">
        <f t="shared" si="0"/>
        <v>Receive Tile [24][0..1]</v>
      </c>
      <c r="Q41" s="37" t="str">
        <f t="shared" si="1"/>
        <v/>
      </c>
      <c r="R41" s="37" t="str">
        <f t="shared" si="2"/>
        <v>Receive Sprite Row [24][0..1]</v>
      </c>
      <c r="S41" s="125" t="str">
        <f t="shared" si="6"/>
        <v>Fetch Tile [24][0..1]</v>
      </c>
      <c r="T41" s="37" t="str">
        <f t="shared" si="7"/>
        <v>Send Tile [24][0..1]</v>
      </c>
      <c r="U41" s="37" t="str">
        <f t="shared" si="3"/>
        <v/>
      </c>
      <c r="V41" s="7"/>
      <c r="W41" s="74"/>
      <c r="X41" s="81"/>
      <c r="Y41" s="81"/>
      <c r="Z41" s="75"/>
    </row>
    <row r="42" spans="1:26" ht="30">
      <c r="A42" t="str">
        <f xml:space="preserve"> Cycles!$D$24 &amp; " + (Y * " &amp; Cycles!$D$10 &amp; ") + " &amp; C42</f>
        <v>1804 + (Y * 64) + 37</v>
      </c>
      <c r="B42">
        <v>25</v>
      </c>
      <c r="C42" s="7">
        <v>37</v>
      </c>
      <c r="D42" s="36" t="s">
        <v>102</v>
      </c>
      <c r="E42" s="47">
        <v>0</v>
      </c>
      <c r="F42" s="40">
        <v>0</v>
      </c>
      <c r="G42" s="40">
        <v>0</v>
      </c>
      <c r="H42" s="40">
        <v>0</v>
      </c>
      <c r="I42" s="40">
        <v>0</v>
      </c>
      <c r="J42" s="38" t="s">
        <v>261</v>
      </c>
      <c r="K42" s="45" t="str">
        <f t="shared" si="4"/>
        <v>Fetch Tile [25][0..1]</v>
      </c>
      <c r="L42" s="71"/>
      <c r="M42" s="47"/>
      <c r="N42" s="51"/>
      <c r="O42" s="44" t="str">
        <f t="shared" si="5"/>
        <v/>
      </c>
      <c r="P42" s="37" t="str">
        <f t="shared" si="0"/>
        <v>Receive Tile [25][0..1]</v>
      </c>
      <c r="Q42" s="37" t="str">
        <f t="shared" si="1"/>
        <v>Clock C for Row [26..27]</v>
      </c>
      <c r="R42" s="37" t="str">
        <f t="shared" si="2"/>
        <v>Receive Sprite Row [25][0..1]</v>
      </c>
      <c r="S42" s="125" t="str">
        <f t="shared" si="6"/>
        <v>Fetch Tile [25][0..1]</v>
      </c>
      <c r="T42" s="37" t="str">
        <f t="shared" si="7"/>
        <v>Send Tile [25][0..1]</v>
      </c>
      <c r="U42" s="37" t="str">
        <f t="shared" si="3"/>
        <v>Receive Char for Row [26..27]</v>
      </c>
      <c r="V42" s="7"/>
      <c r="W42" s="74"/>
      <c r="X42" s="81"/>
      <c r="Y42" s="81"/>
      <c r="Z42" s="75"/>
    </row>
    <row r="43" spans="1:26">
      <c r="A43" t="str">
        <f xml:space="preserve"> Cycles!$D$24 &amp; " + (Y * " &amp; Cycles!$D$10 &amp; ") + " &amp; C43</f>
        <v>1804 + (Y * 64) + 38</v>
      </c>
      <c r="B43">
        <v>26</v>
      </c>
      <c r="C43" s="7">
        <v>38</v>
      </c>
      <c r="D43" s="36" t="s">
        <v>106</v>
      </c>
      <c r="E43" s="47">
        <v>0</v>
      </c>
      <c r="F43" s="40">
        <v>0</v>
      </c>
      <c r="G43" s="40">
        <v>0</v>
      </c>
      <c r="H43" s="40">
        <v>0</v>
      </c>
      <c r="I43" s="40">
        <v>0</v>
      </c>
      <c r="J43" s="38" t="s">
        <v>257</v>
      </c>
      <c r="K43" s="45" t="str">
        <f t="shared" si="4"/>
        <v>Fetch Tile [26][0..1]</v>
      </c>
      <c r="L43" s="71"/>
      <c r="M43" s="47"/>
      <c r="N43" s="51"/>
      <c r="O43" s="44" t="str">
        <f t="shared" si="5"/>
        <v>Clock  K for Row [26..27]</v>
      </c>
      <c r="P43" s="37" t="str">
        <f t="shared" si="0"/>
        <v>Receive Tile [26][0..1]</v>
      </c>
      <c r="Q43" s="37" t="str">
        <f t="shared" si="1"/>
        <v/>
      </c>
      <c r="R43" s="37" t="str">
        <f t="shared" si="2"/>
        <v>Receive Sprite Row [26][0..1]</v>
      </c>
      <c r="S43" s="125" t="str">
        <f t="shared" si="6"/>
        <v>Fetch Tile [26][0..1]</v>
      </c>
      <c r="T43" s="37" t="str">
        <f t="shared" si="7"/>
        <v>Send Tile [26][0..1]</v>
      </c>
      <c r="U43" s="37" t="str">
        <f t="shared" si="3"/>
        <v/>
      </c>
      <c r="V43" s="7"/>
      <c r="W43" s="74"/>
      <c r="X43" s="81"/>
      <c r="Y43" s="81"/>
      <c r="Z43" s="75"/>
    </row>
    <row r="44" spans="1:26" ht="30">
      <c r="A44" t="str">
        <f xml:space="preserve"> Cycles!$D$24 &amp; " + (Y * " &amp; Cycles!$D$10 &amp; ") + " &amp; C44</f>
        <v>1804 + (Y * 64) + 39</v>
      </c>
      <c r="B44">
        <v>27</v>
      </c>
      <c r="C44" s="7">
        <v>39</v>
      </c>
      <c r="D44" s="36" t="s">
        <v>107</v>
      </c>
      <c r="E44" s="47">
        <v>0</v>
      </c>
      <c r="F44" s="40">
        <v>0</v>
      </c>
      <c r="G44" s="40">
        <v>0</v>
      </c>
      <c r="H44" s="40">
        <v>0</v>
      </c>
      <c r="I44" s="40">
        <v>0</v>
      </c>
      <c r="J44" s="38" t="s">
        <v>261</v>
      </c>
      <c r="K44" s="45" t="str">
        <f t="shared" si="4"/>
        <v>Fetch Tile [27][0..1]</v>
      </c>
      <c r="L44" s="71"/>
      <c r="M44" s="47"/>
      <c r="N44" s="51"/>
      <c r="O44" s="44" t="str">
        <f t="shared" si="5"/>
        <v/>
      </c>
      <c r="P44" s="37" t="str">
        <f t="shared" si="0"/>
        <v>Receive Tile [27][0..1]</v>
      </c>
      <c r="Q44" s="37" t="str">
        <f t="shared" si="1"/>
        <v>Clock C for Row [28..29]</v>
      </c>
      <c r="R44" s="37" t="str">
        <f t="shared" si="2"/>
        <v>Receive Sprite Row [27][0..1]</v>
      </c>
      <c r="S44" s="125" t="str">
        <f t="shared" si="6"/>
        <v>Fetch Tile [27][0..1]</v>
      </c>
      <c r="T44" s="37" t="str">
        <f t="shared" si="7"/>
        <v>Send Tile [27][0..1]</v>
      </c>
      <c r="U44" s="37" t="str">
        <f t="shared" si="3"/>
        <v>Receive Char for Row [28..29]</v>
      </c>
      <c r="V44" s="7"/>
      <c r="W44" s="74"/>
      <c r="X44" s="81"/>
      <c r="Y44" s="81"/>
      <c r="Z44" s="75"/>
    </row>
    <row r="45" spans="1:26">
      <c r="A45" t="str">
        <f xml:space="preserve"> Cycles!$D$24 &amp; " + (Y * " &amp; Cycles!$D$10 &amp; ") + " &amp; C45</f>
        <v>1804 + (Y * 64) + 40</v>
      </c>
      <c r="B45">
        <v>28</v>
      </c>
      <c r="C45" s="7">
        <v>40</v>
      </c>
      <c r="D45" s="36" t="s">
        <v>101</v>
      </c>
      <c r="E45" s="47">
        <v>0</v>
      </c>
      <c r="F45" s="40">
        <v>0</v>
      </c>
      <c r="G45" s="40">
        <v>0</v>
      </c>
      <c r="H45" s="40">
        <v>0</v>
      </c>
      <c r="I45" s="40">
        <v>0</v>
      </c>
      <c r="J45" s="38" t="s">
        <v>258</v>
      </c>
      <c r="K45" s="45" t="str">
        <f t="shared" si="4"/>
        <v>Fetch Tile [28][0..1]</v>
      </c>
      <c r="L45" s="71"/>
      <c r="M45" s="47"/>
      <c r="N45" s="51"/>
      <c r="O45" s="44" t="str">
        <f t="shared" si="5"/>
        <v>Clock  K for Row [28..29]</v>
      </c>
      <c r="P45" s="37" t="str">
        <f t="shared" si="0"/>
        <v>Receive Tile [28][0..1]</v>
      </c>
      <c r="Q45" s="37" t="str">
        <f t="shared" si="1"/>
        <v/>
      </c>
      <c r="R45" s="37" t="str">
        <f t="shared" si="2"/>
        <v>Receive Sprite Row [28][0..1]</v>
      </c>
      <c r="S45" s="125" t="str">
        <f t="shared" si="6"/>
        <v>Fetch Tile [28][0..1]</v>
      </c>
      <c r="T45" s="37" t="str">
        <f t="shared" si="7"/>
        <v>Send Tile [28][0..1]</v>
      </c>
      <c r="U45" s="37" t="str">
        <f t="shared" si="3"/>
        <v/>
      </c>
      <c r="V45" s="7"/>
      <c r="W45" s="74"/>
      <c r="X45" s="81"/>
      <c r="Y45" s="81"/>
      <c r="Z45" s="75"/>
    </row>
    <row r="46" spans="1:26" ht="30">
      <c r="A46" t="str">
        <f xml:space="preserve"> Cycles!$D$24 &amp; " + (Y * " &amp; Cycles!$D$10 &amp; ") + " &amp; C46</f>
        <v>1804 + (Y * 64) + 41</v>
      </c>
      <c r="B46">
        <v>29</v>
      </c>
      <c r="C46" s="7">
        <v>41</v>
      </c>
      <c r="D46" s="36" t="s">
        <v>102</v>
      </c>
      <c r="E46" s="47">
        <v>0</v>
      </c>
      <c r="F46" s="40">
        <v>0</v>
      </c>
      <c r="G46" s="40">
        <v>0</v>
      </c>
      <c r="H46" s="40">
        <v>0</v>
      </c>
      <c r="I46" s="40">
        <v>0</v>
      </c>
      <c r="J46" s="38" t="s">
        <v>261</v>
      </c>
      <c r="K46" s="45" t="str">
        <f t="shared" si="4"/>
        <v>Fetch Tile [29][0..1]</v>
      </c>
      <c r="L46" s="71"/>
      <c r="M46" s="47"/>
      <c r="N46" s="51"/>
      <c r="O46" s="44" t="str">
        <f t="shared" si="5"/>
        <v/>
      </c>
      <c r="P46" s="37" t="str">
        <f t="shared" si="0"/>
        <v>Receive Tile [29][0..1]</v>
      </c>
      <c r="Q46" s="37" t="str">
        <f t="shared" si="1"/>
        <v>Clock C for Row [30..31]</v>
      </c>
      <c r="R46" s="37" t="str">
        <f t="shared" si="2"/>
        <v>Receive Sprite Row [29][0..1]</v>
      </c>
      <c r="S46" s="125" t="str">
        <f t="shared" si="6"/>
        <v>Fetch Tile [29][0..1]</v>
      </c>
      <c r="T46" s="37" t="str">
        <f t="shared" si="7"/>
        <v>Send Tile [29][0..1]</v>
      </c>
      <c r="U46" s="37" t="str">
        <f t="shared" si="3"/>
        <v>Receive Char for Row [30..31]</v>
      </c>
      <c r="V46" s="7"/>
      <c r="W46" s="74"/>
      <c r="X46" s="81"/>
      <c r="Y46" s="81"/>
      <c r="Z46" s="75"/>
    </row>
    <row r="47" spans="1:26">
      <c r="A47" t="str">
        <f xml:space="preserve"> Cycles!$D$24 &amp; " + (Y * " &amp; Cycles!$D$10 &amp; ") + " &amp; C47</f>
        <v>1804 + (Y * 64) + 42</v>
      </c>
      <c r="B47">
        <v>30</v>
      </c>
      <c r="C47" s="7">
        <v>42</v>
      </c>
      <c r="D47" s="36" t="s">
        <v>106</v>
      </c>
      <c r="E47" s="47">
        <v>0</v>
      </c>
      <c r="F47" s="40">
        <v>0</v>
      </c>
      <c r="G47" s="40">
        <v>0</v>
      </c>
      <c r="H47" s="40">
        <v>0</v>
      </c>
      <c r="I47" s="40">
        <v>0</v>
      </c>
      <c r="J47" s="38" t="s">
        <v>257</v>
      </c>
      <c r="K47" s="45" t="str">
        <f t="shared" si="4"/>
        <v>Fetch Tile [30][0..1]</v>
      </c>
      <c r="L47" s="71"/>
      <c r="M47" s="47"/>
      <c r="N47" s="51"/>
      <c r="O47" s="44" t="str">
        <f t="shared" si="5"/>
        <v>Clock  K for Row [30..31]</v>
      </c>
      <c r="P47" s="37" t="str">
        <f t="shared" si="0"/>
        <v>Receive Tile [30][0..1]</v>
      </c>
      <c r="Q47" s="37" t="str">
        <f t="shared" si="1"/>
        <v/>
      </c>
      <c r="R47" s="37" t="str">
        <f t="shared" si="2"/>
        <v>Receive Sprite Row [30][0..1]</v>
      </c>
      <c r="S47" s="125" t="str">
        <f t="shared" si="6"/>
        <v>Fetch Tile [30][0..1]</v>
      </c>
      <c r="T47" s="37" t="str">
        <f t="shared" si="7"/>
        <v>Send Tile [30][0..1]</v>
      </c>
      <c r="U47" s="37" t="str">
        <f t="shared" si="3"/>
        <v/>
      </c>
      <c r="V47" s="7"/>
      <c r="W47" s="74"/>
      <c r="X47" s="81"/>
      <c r="Y47" s="81"/>
      <c r="Z47" s="75"/>
    </row>
    <row r="48" spans="1:26" ht="30">
      <c r="A48" t="str">
        <f xml:space="preserve"> Cycles!$D$24 &amp; " + (Y * " &amp; Cycles!$D$10 &amp; ") + " &amp; C48</f>
        <v>1804 + (Y * 64) + 43</v>
      </c>
      <c r="B48">
        <v>31</v>
      </c>
      <c r="C48" s="7">
        <v>43</v>
      </c>
      <c r="D48" s="36" t="s">
        <v>107</v>
      </c>
      <c r="E48" s="47">
        <v>0</v>
      </c>
      <c r="F48" s="40">
        <v>0</v>
      </c>
      <c r="G48" s="40">
        <v>0</v>
      </c>
      <c r="H48" s="40">
        <v>0</v>
      </c>
      <c r="I48" s="40">
        <v>0</v>
      </c>
      <c r="J48" s="38" t="s">
        <v>261</v>
      </c>
      <c r="K48" s="45" t="str">
        <f t="shared" si="4"/>
        <v>Fetch Tile [31][0..1]</v>
      </c>
      <c r="L48" s="71"/>
      <c r="M48" s="47"/>
      <c r="N48" s="51"/>
      <c r="O48" s="44" t="str">
        <f t="shared" si="5"/>
        <v/>
      </c>
      <c r="P48" s="37" t="str">
        <f t="shared" si="0"/>
        <v>Receive Tile [31][0..1]</v>
      </c>
      <c r="Q48" s="37" t="str">
        <f t="shared" si="1"/>
        <v>Clock C for Row [32..33]</v>
      </c>
      <c r="R48" s="37" t="str">
        <f t="shared" si="2"/>
        <v>Receive Sprite Row [31][0..1]</v>
      </c>
      <c r="S48" s="125" t="str">
        <f t="shared" si="6"/>
        <v>Fetch Tile [31][0..1]</v>
      </c>
      <c r="T48" s="37" t="str">
        <f t="shared" si="7"/>
        <v>Send Tile [31][0..1]</v>
      </c>
      <c r="U48" s="37" t="str">
        <f t="shared" si="3"/>
        <v>Receive Char for Row [32..33]</v>
      </c>
      <c r="V48" s="7"/>
      <c r="W48" s="74"/>
      <c r="X48" s="81"/>
      <c r="Y48" s="81"/>
      <c r="Z48" s="75"/>
    </row>
    <row r="49" spans="1:26">
      <c r="A49" t="str">
        <f xml:space="preserve"> Cycles!$D$24 &amp; " + (Y * " &amp; Cycles!$D$10 &amp; ") + " &amp; C49</f>
        <v>1804 + (Y * 64) + 44</v>
      </c>
      <c r="B49">
        <v>32</v>
      </c>
      <c r="C49" s="7">
        <v>44</v>
      </c>
      <c r="D49" s="36" t="s">
        <v>101</v>
      </c>
      <c r="E49" s="47">
        <v>0</v>
      </c>
      <c r="F49" s="40">
        <v>0</v>
      </c>
      <c r="G49" s="40">
        <v>0</v>
      </c>
      <c r="H49" s="40">
        <v>0</v>
      </c>
      <c r="I49" s="40">
        <v>0</v>
      </c>
      <c r="J49" s="38" t="s">
        <v>258</v>
      </c>
      <c r="K49" s="45" t="str">
        <f t="shared" si="4"/>
        <v>Fetch Tile [32][0..1]</v>
      </c>
      <c r="L49" s="71"/>
      <c r="M49" s="47"/>
      <c r="N49" s="51"/>
      <c r="O49" s="44" t="str">
        <f t="shared" si="5"/>
        <v>Clock  K for Row [32..33]</v>
      </c>
      <c r="P49" s="37" t="str">
        <f t="shared" si="0"/>
        <v>Receive Tile [32][0..1]</v>
      </c>
      <c r="Q49" s="37" t="str">
        <f t="shared" si="1"/>
        <v/>
      </c>
      <c r="R49" s="37" t="str">
        <f t="shared" si="2"/>
        <v>Receive Sprite Row [32][0..1]</v>
      </c>
      <c r="S49" s="125" t="str">
        <f t="shared" si="6"/>
        <v>Fetch Tile [32][0..1]</v>
      </c>
      <c r="T49" s="37" t="str">
        <f t="shared" si="7"/>
        <v>Send Tile [32][0..1]</v>
      </c>
      <c r="U49" s="37" t="str">
        <f t="shared" si="3"/>
        <v/>
      </c>
      <c r="V49" s="7"/>
      <c r="W49" s="74"/>
      <c r="X49" s="81"/>
      <c r="Y49" s="81"/>
      <c r="Z49" s="75"/>
    </row>
    <row r="50" spans="1:26" ht="30">
      <c r="A50" t="str">
        <f xml:space="preserve"> Cycles!$D$24 &amp; " + (Y * " &amp; Cycles!$D$10 &amp; ") + " &amp; C50</f>
        <v>1804 + (Y * 64) + 45</v>
      </c>
      <c r="B50">
        <v>33</v>
      </c>
      <c r="C50" s="7">
        <v>45</v>
      </c>
      <c r="D50" s="36" t="s">
        <v>102</v>
      </c>
      <c r="E50" s="47">
        <v>0</v>
      </c>
      <c r="F50" s="40">
        <v>0</v>
      </c>
      <c r="G50" s="40">
        <v>0</v>
      </c>
      <c r="H50" s="40">
        <v>0</v>
      </c>
      <c r="I50" s="40">
        <v>0</v>
      </c>
      <c r="J50" s="38" t="s">
        <v>261</v>
      </c>
      <c r="K50" s="45" t="str">
        <f t="shared" si="4"/>
        <v>Fetch Tile [33][0..1]</v>
      </c>
      <c r="L50" s="71"/>
      <c r="M50" s="47"/>
      <c r="N50" s="51"/>
      <c r="O50" s="44" t="str">
        <f t="shared" si="5"/>
        <v/>
      </c>
      <c r="P50" s="37" t="str">
        <f t="shared" si="0"/>
        <v>Receive Tile [33][0..1]</v>
      </c>
      <c r="Q50" s="37" t="str">
        <f t="shared" si="1"/>
        <v>Clock C for Row [34..35]</v>
      </c>
      <c r="R50" s="37" t="str">
        <f t="shared" si="2"/>
        <v>Receive Sprite Row [33][0..1]</v>
      </c>
      <c r="S50" s="125" t="str">
        <f t="shared" si="6"/>
        <v>Fetch Tile [33][0..1]</v>
      </c>
      <c r="T50" s="37" t="str">
        <f t="shared" si="7"/>
        <v>Send Tile [33][0..1]</v>
      </c>
      <c r="U50" s="37" t="str">
        <f t="shared" si="3"/>
        <v>Receive Char for Row [34..35]</v>
      </c>
      <c r="V50" s="7"/>
      <c r="W50" s="74"/>
      <c r="X50" s="81"/>
      <c r="Y50" s="81"/>
      <c r="Z50" s="75"/>
    </row>
    <row r="51" spans="1:26">
      <c r="A51" t="str">
        <f xml:space="preserve"> Cycles!$D$24 &amp; " + (Y * " &amp; Cycles!$D$10 &amp; ") + " &amp; C51</f>
        <v>1804 + (Y * 64) + 46</v>
      </c>
      <c r="B51">
        <v>34</v>
      </c>
      <c r="C51" s="7">
        <v>46</v>
      </c>
      <c r="D51" s="36" t="s">
        <v>106</v>
      </c>
      <c r="E51" s="47">
        <v>0</v>
      </c>
      <c r="F51" s="40">
        <v>0</v>
      </c>
      <c r="G51" s="40">
        <v>0</v>
      </c>
      <c r="H51" s="40">
        <v>0</v>
      </c>
      <c r="I51" s="40">
        <v>0</v>
      </c>
      <c r="J51" s="38" t="s">
        <v>257</v>
      </c>
      <c r="K51" s="45" t="str">
        <f t="shared" si="4"/>
        <v>Fetch Tile [34][0..1]</v>
      </c>
      <c r="L51" s="71"/>
      <c r="M51" s="47"/>
      <c r="N51" s="51"/>
      <c r="O51" s="44" t="str">
        <f t="shared" si="5"/>
        <v>Clock  K for Row [34..35]</v>
      </c>
      <c r="P51" s="37" t="str">
        <f t="shared" si="0"/>
        <v>Receive Tile [34][0..1]</v>
      </c>
      <c r="Q51" s="37" t="str">
        <f t="shared" si="1"/>
        <v/>
      </c>
      <c r="R51" s="37" t="str">
        <f t="shared" si="2"/>
        <v>Receive Sprite Row [34][0..1]</v>
      </c>
      <c r="S51" s="125" t="str">
        <f t="shared" si="6"/>
        <v>Fetch Tile [34][0..1]</v>
      </c>
      <c r="T51" s="37" t="str">
        <f t="shared" si="7"/>
        <v>Send Tile [34][0..1]</v>
      </c>
      <c r="U51" s="37" t="str">
        <f t="shared" si="3"/>
        <v/>
      </c>
      <c r="V51" s="7"/>
      <c r="W51" s="74"/>
      <c r="X51" s="81"/>
      <c r="Y51" s="81"/>
      <c r="Z51" s="75"/>
    </row>
    <row r="52" spans="1:26" ht="30">
      <c r="A52" t="str">
        <f xml:space="preserve"> Cycles!$D$24 &amp; " + (Y * " &amp; Cycles!$D$10 &amp; ") + " &amp; C52</f>
        <v>1804 + (Y * 64) + 47</v>
      </c>
      <c r="B52">
        <v>35</v>
      </c>
      <c r="C52" s="7">
        <v>47</v>
      </c>
      <c r="D52" s="36" t="s">
        <v>107</v>
      </c>
      <c r="E52" s="47">
        <v>0</v>
      </c>
      <c r="F52" s="40">
        <v>0</v>
      </c>
      <c r="G52" s="40">
        <v>0</v>
      </c>
      <c r="H52" s="40">
        <v>0</v>
      </c>
      <c r="I52" s="40">
        <v>0</v>
      </c>
      <c r="J52" s="38" t="s">
        <v>261</v>
      </c>
      <c r="K52" s="45" t="str">
        <f t="shared" si="4"/>
        <v>Fetch Tile [35][0..1]</v>
      </c>
      <c r="L52" s="71"/>
      <c r="M52" s="47"/>
      <c r="N52" s="51"/>
      <c r="O52" s="44" t="str">
        <f t="shared" si="5"/>
        <v/>
      </c>
      <c r="P52" s="37" t="str">
        <f t="shared" si="0"/>
        <v>Receive Tile [35][0..1]</v>
      </c>
      <c r="Q52" s="37" t="str">
        <f t="shared" si="1"/>
        <v>Clock C for Row [36..37]</v>
      </c>
      <c r="R52" s="37" t="str">
        <f t="shared" si="2"/>
        <v>Receive Sprite Row [35][0..1]</v>
      </c>
      <c r="S52" s="125" t="str">
        <f t="shared" si="6"/>
        <v>Fetch Tile [35][0..1]</v>
      </c>
      <c r="T52" s="37" t="str">
        <f t="shared" si="7"/>
        <v>Send Tile [35][0..1]</v>
      </c>
      <c r="U52" s="37" t="str">
        <f t="shared" si="3"/>
        <v>Receive Char for Row [36..37]</v>
      </c>
      <c r="V52" s="7"/>
      <c r="W52" s="74"/>
      <c r="X52" s="81"/>
      <c r="Y52" s="81"/>
      <c r="Z52" s="75"/>
    </row>
    <row r="53" spans="1:26">
      <c r="A53" t="str">
        <f xml:space="preserve"> Cycles!$D$24 &amp; " + (Y * " &amp; Cycles!$D$10 &amp; ") + " &amp; C53</f>
        <v>1804 + (Y * 64) + 48</v>
      </c>
      <c r="B53">
        <v>36</v>
      </c>
      <c r="C53" s="7">
        <v>48</v>
      </c>
      <c r="D53" s="36" t="s">
        <v>101</v>
      </c>
      <c r="E53" s="47">
        <v>0</v>
      </c>
      <c r="F53" s="40">
        <v>0</v>
      </c>
      <c r="G53" s="40">
        <v>0</v>
      </c>
      <c r="H53" s="40">
        <v>0</v>
      </c>
      <c r="I53" s="40">
        <v>0</v>
      </c>
      <c r="J53" s="38" t="s">
        <v>258</v>
      </c>
      <c r="K53" s="45" t="str">
        <f t="shared" si="4"/>
        <v>Fetch Tile [36][0..1]</v>
      </c>
      <c r="L53" s="71"/>
      <c r="M53" s="47"/>
      <c r="N53" s="51"/>
      <c r="O53" s="44" t="str">
        <f t="shared" si="5"/>
        <v>Clock  K for Row [36..37]</v>
      </c>
      <c r="P53" s="37" t="str">
        <f t="shared" si="0"/>
        <v>Receive Tile [36][0..1]</v>
      </c>
      <c r="Q53" s="37" t="str">
        <f t="shared" si="1"/>
        <v/>
      </c>
      <c r="R53" s="37" t="str">
        <f t="shared" si="2"/>
        <v>Receive Sprite Row [36][0..1]</v>
      </c>
      <c r="S53" s="125" t="str">
        <f t="shared" si="6"/>
        <v>Fetch Tile [36][0..1]</v>
      </c>
      <c r="T53" s="37" t="str">
        <f t="shared" si="7"/>
        <v>Send Tile [36][0..1]</v>
      </c>
      <c r="U53" s="37" t="str">
        <f t="shared" si="3"/>
        <v/>
      </c>
      <c r="V53" s="7"/>
      <c r="W53" s="74"/>
      <c r="X53" s="81"/>
      <c r="Y53" s="81"/>
      <c r="Z53" s="75"/>
    </row>
    <row r="54" spans="1:26" ht="30">
      <c r="A54" t="str">
        <f xml:space="preserve"> Cycles!$D$24 &amp; " + (Y * " &amp; Cycles!$D$10 &amp; ") + " &amp; C54</f>
        <v>1804 + (Y * 64) + 49</v>
      </c>
      <c r="B54">
        <v>37</v>
      </c>
      <c r="C54" s="7">
        <v>49</v>
      </c>
      <c r="D54" s="36" t="s">
        <v>102</v>
      </c>
      <c r="E54" s="47">
        <v>0</v>
      </c>
      <c r="F54" s="40">
        <v>0</v>
      </c>
      <c r="G54" s="40">
        <v>0</v>
      </c>
      <c r="H54" s="40">
        <v>0</v>
      </c>
      <c r="I54" s="40">
        <v>0</v>
      </c>
      <c r="J54" s="38" t="s">
        <v>261</v>
      </c>
      <c r="K54" s="45" t="str">
        <f t="shared" si="4"/>
        <v>Fetch Tile [37][0..1]</v>
      </c>
      <c r="L54" s="71"/>
      <c r="M54" s="47"/>
      <c r="N54" s="51"/>
      <c r="O54" s="44" t="str">
        <f t="shared" si="5"/>
        <v/>
      </c>
      <c r="P54" s="37" t="str">
        <f t="shared" si="0"/>
        <v>Receive Tile [37][0..1]</v>
      </c>
      <c r="Q54" s="37" t="str">
        <f t="shared" si="1"/>
        <v>Clock C for Row [38..39]</v>
      </c>
      <c r="R54" s="37" t="str">
        <f t="shared" si="2"/>
        <v>Receive Sprite Row [37][0..1]</v>
      </c>
      <c r="S54" s="125" t="str">
        <f t="shared" si="6"/>
        <v>Fetch Tile [37][0..1]</v>
      </c>
      <c r="T54" s="37" t="str">
        <f t="shared" si="7"/>
        <v>Send Tile [37][0..1]</v>
      </c>
      <c r="U54" s="37" t="str">
        <f t="shared" si="3"/>
        <v>Receive Char for Row [38..39]</v>
      </c>
      <c r="V54" s="7"/>
      <c r="W54" s="74"/>
      <c r="X54" s="81"/>
      <c r="Y54" s="81"/>
      <c r="Z54" s="75"/>
    </row>
    <row r="55" spans="1:26">
      <c r="A55" t="str">
        <f xml:space="preserve"> Cycles!$D$24 &amp; " + (Y * " &amp; Cycles!$D$10 &amp; ") + " &amp; C55</f>
        <v>1804 + (Y * 64) + 50</v>
      </c>
      <c r="B55">
        <v>38</v>
      </c>
      <c r="C55" s="7">
        <v>50</v>
      </c>
      <c r="D55" s="36" t="s">
        <v>106</v>
      </c>
      <c r="E55" s="47">
        <v>0</v>
      </c>
      <c r="F55" s="40">
        <v>0</v>
      </c>
      <c r="G55" s="40">
        <v>0</v>
      </c>
      <c r="H55" s="40">
        <v>0</v>
      </c>
      <c r="I55" s="40">
        <v>0</v>
      </c>
      <c r="J55" s="38" t="s">
        <v>257</v>
      </c>
      <c r="K55" s="45" t="str">
        <f t="shared" si="4"/>
        <v>Fetch Tile [38][0..1]</v>
      </c>
      <c r="L55" s="71"/>
      <c r="M55" s="47"/>
      <c r="N55" s="51"/>
      <c r="O55" s="44" t="str">
        <f t="shared" si="5"/>
        <v>Clock  K for Row [38..39]</v>
      </c>
      <c r="P55" s="37" t="str">
        <f t="shared" si="0"/>
        <v>Receive Tile [38][0..1]</v>
      </c>
      <c r="Q55" s="37" t="str">
        <f t="shared" si="1"/>
        <v/>
      </c>
      <c r="R55" s="37" t="str">
        <f t="shared" si="2"/>
        <v>Receive Sprite Row [38][0..1]</v>
      </c>
      <c r="S55" s="125" t="str">
        <f t="shared" si="6"/>
        <v>Fetch Tile [38][0..1]</v>
      </c>
      <c r="T55" s="37" t="str">
        <f t="shared" si="7"/>
        <v>Send Tile [38][0..1]</v>
      </c>
      <c r="U55" s="37" t="str">
        <f t="shared" si="3"/>
        <v/>
      </c>
      <c r="V55" s="7"/>
      <c r="W55" s="74"/>
      <c r="X55" s="81"/>
      <c r="Y55" s="81"/>
      <c r="Z55" s="75"/>
    </row>
    <row r="56" spans="1:26" s="21" customFormat="1" ht="30.75" thickBot="1">
      <c r="A56" s="21" t="str">
        <f xml:space="preserve"> Cycles!$D$24 &amp; " + (Y * " &amp; Cycles!$D$10 &amp; ") + " &amp; C56</f>
        <v>1804 + (Y * 64) + 51</v>
      </c>
      <c r="B56" s="21">
        <v>39</v>
      </c>
      <c r="C56" s="43">
        <v>51</v>
      </c>
      <c r="D56" s="43" t="s">
        <v>107</v>
      </c>
      <c r="E56" s="48">
        <v>0</v>
      </c>
      <c r="F56" s="43">
        <v>0</v>
      </c>
      <c r="G56" s="43">
        <v>0</v>
      </c>
      <c r="H56" s="43">
        <v>0</v>
      </c>
      <c r="I56" s="43">
        <v>0</v>
      </c>
      <c r="J56" s="52" t="s">
        <v>261</v>
      </c>
      <c r="K56" s="53" t="str">
        <f t="shared" si="4"/>
        <v>Fetch Tile [39][0..1]</v>
      </c>
      <c r="L56" s="72"/>
      <c r="M56" s="48"/>
      <c r="N56" s="52"/>
      <c r="O56" s="44" t="str">
        <f t="shared" si="5"/>
        <v/>
      </c>
      <c r="P56" s="27" t="str">
        <f t="shared" si="0"/>
        <v>Receive Tile [39][0..1]</v>
      </c>
      <c r="Q56" s="27"/>
      <c r="R56" s="27" t="str">
        <f t="shared" si="2"/>
        <v>Receive Sprite Row [39][0..1]</v>
      </c>
      <c r="S56" s="125" t="str">
        <f t="shared" si="6"/>
        <v>Fetch Tile [39][0..1]</v>
      </c>
      <c r="T56" s="27" t="str">
        <f t="shared" si="7"/>
        <v>Send Tile [39][0..1]</v>
      </c>
      <c r="U56" s="27" t="str">
        <f t="shared" si="3"/>
        <v>Receive Char for Row [..1]</v>
      </c>
      <c r="V56" s="43"/>
      <c r="W56" s="76"/>
      <c r="X56" s="82"/>
      <c r="Y56" s="82"/>
      <c r="Z56" s="77"/>
    </row>
    <row r="57" spans="1:26">
      <c r="A57" t="str">
        <f xml:space="preserve"> Cycles!$D$24 &amp; " + (Y * " &amp; Cycles!$D$10 &amp; ") + " &amp; C57</f>
        <v>1804 + (Y * 64) + 52</v>
      </c>
      <c r="C57" s="7">
        <v>52</v>
      </c>
      <c r="D57" s="40"/>
      <c r="E57" s="47">
        <v>1</v>
      </c>
      <c r="F57" s="36">
        <v>1</v>
      </c>
      <c r="G57" s="7">
        <v>1</v>
      </c>
      <c r="H57" s="7">
        <v>0</v>
      </c>
      <c r="I57" s="7" t="s">
        <v>262</v>
      </c>
      <c r="J57" s="7">
        <v>0</v>
      </c>
      <c r="K57" s="108" t="s">
        <v>287</v>
      </c>
      <c r="L57" s="109"/>
      <c r="M57" s="42" t="s">
        <v>287</v>
      </c>
      <c r="N57" s="51" t="s">
        <v>287</v>
      </c>
      <c r="O57" s="38" t="str">
        <f t="shared" ref="O57:R68" si="8">IF($E57="ON", "NO ACCESS", "")</f>
        <v/>
      </c>
      <c r="P57" s="38" t="str">
        <f t="shared" si="8"/>
        <v/>
      </c>
      <c r="Q57" s="38" t="str">
        <f t="shared" si="8"/>
        <v/>
      </c>
      <c r="R57" s="38" t="str">
        <f t="shared" si="8"/>
        <v/>
      </c>
      <c r="S57" s="74"/>
      <c r="T57" s="7"/>
      <c r="U57" s="7"/>
      <c r="V57" s="7"/>
      <c r="W57" s="74"/>
      <c r="X57" s="7"/>
      <c r="Y57" s="7"/>
      <c r="Z57" s="75"/>
    </row>
    <row r="58" spans="1:26">
      <c r="A58" t="str">
        <f xml:space="preserve"> Cycles!$D$24 &amp; " + (Y * " &amp; Cycles!$D$10 &amp; ") + " &amp; C58</f>
        <v>1804 + (Y * 64) + 53</v>
      </c>
      <c r="C58" s="7">
        <v>53</v>
      </c>
      <c r="D58" s="40"/>
      <c r="E58" s="47">
        <v>1</v>
      </c>
      <c r="F58" s="40">
        <v>1</v>
      </c>
      <c r="G58" s="40">
        <v>1</v>
      </c>
      <c r="H58" s="7">
        <v>0</v>
      </c>
      <c r="I58" s="40" t="s">
        <v>262</v>
      </c>
      <c r="J58" s="40">
        <v>0</v>
      </c>
      <c r="K58" s="108" t="s">
        <v>287</v>
      </c>
      <c r="L58" s="109"/>
      <c r="M58" s="42" t="s">
        <v>287</v>
      </c>
      <c r="N58" s="51" t="s">
        <v>287</v>
      </c>
      <c r="O58" s="38" t="str">
        <f t="shared" si="8"/>
        <v/>
      </c>
      <c r="P58" s="38" t="str">
        <f t="shared" si="8"/>
        <v/>
      </c>
      <c r="Q58" s="38" t="str">
        <f t="shared" si="8"/>
        <v/>
      </c>
      <c r="R58" s="38" t="str">
        <f t="shared" si="8"/>
        <v/>
      </c>
      <c r="S58" s="74"/>
      <c r="T58" s="7"/>
      <c r="U58" s="7"/>
      <c r="V58" s="7"/>
      <c r="W58" s="74"/>
      <c r="X58" s="7"/>
      <c r="Y58" s="7"/>
      <c r="Z58" s="75"/>
    </row>
    <row r="59" spans="1:26">
      <c r="A59" t="str">
        <f xml:space="preserve"> Cycles!$D$24 &amp; " + (Y * " &amp; Cycles!$D$10 &amp; ") + " &amp; C59</f>
        <v>1804 + (Y * 64) + 54</v>
      </c>
      <c r="C59" s="7">
        <v>54</v>
      </c>
      <c r="D59" s="40"/>
      <c r="E59" s="47">
        <v>1</v>
      </c>
      <c r="F59" s="40">
        <v>1</v>
      </c>
      <c r="G59" s="40">
        <v>1</v>
      </c>
      <c r="H59" s="40">
        <v>0</v>
      </c>
      <c r="I59" s="40" t="s">
        <v>262</v>
      </c>
      <c r="J59" s="40">
        <v>0</v>
      </c>
      <c r="K59" s="108" t="s">
        <v>287</v>
      </c>
      <c r="L59" s="109"/>
      <c r="M59" s="42" t="s">
        <v>287</v>
      </c>
      <c r="N59" s="51" t="s">
        <v>287</v>
      </c>
      <c r="O59" s="38" t="str">
        <f t="shared" si="8"/>
        <v/>
      </c>
      <c r="P59" s="38" t="str">
        <f t="shared" si="8"/>
        <v/>
      </c>
      <c r="Q59" s="38" t="str">
        <f t="shared" si="8"/>
        <v/>
      </c>
      <c r="R59" s="38" t="str">
        <f t="shared" si="8"/>
        <v/>
      </c>
      <c r="S59" s="74"/>
      <c r="T59" s="7"/>
      <c r="U59" s="7"/>
      <c r="V59" s="7"/>
      <c r="W59" s="74"/>
      <c r="X59" s="7"/>
      <c r="Y59" s="7"/>
      <c r="Z59" s="75"/>
    </row>
    <row r="60" spans="1:26">
      <c r="A60" t="str">
        <f xml:space="preserve"> Cycles!$D$24 &amp; " + (Y * " &amp; Cycles!$D$10 &amp; ") + " &amp; C60</f>
        <v>1804 + (Y * 64) + 55</v>
      </c>
      <c r="C60" s="7">
        <v>55</v>
      </c>
      <c r="D60" s="40"/>
      <c r="E60" s="47">
        <v>1</v>
      </c>
      <c r="F60" s="40">
        <v>1</v>
      </c>
      <c r="G60" s="40">
        <v>1</v>
      </c>
      <c r="H60" s="40">
        <v>0</v>
      </c>
      <c r="I60" s="40" t="s">
        <v>262</v>
      </c>
      <c r="J60" s="40">
        <v>0</v>
      </c>
      <c r="K60" s="108" t="s">
        <v>287</v>
      </c>
      <c r="L60" s="109"/>
      <c r="M60" s="42" t="s">
        <v>287</v>
      </c>
      <c r="N60" s="51" t="s">
        <v>287</v>
      </c>
      <c r="O60" s="38" t="str">
        <f t="shared" si="8"/>
        <v/>
      </c>
      <c r="P60" s="38" t="str">
        <f t="shared" si="8"/>
        <v/>
      </c>
      <c r="Q60" s="38" t="str">
        <f t="shared" si="8"/>
        <v/>
      </c>
      <c r="R60" s="38" t="str">
        <f t="shared" si="8"/>
        <v/>
      </c>
      <c r="S60" s="74"/>
      <c r="T60" s="7"/>
      <c r="U60" s="7"/>
      <c r="V60" s="7"/>
      <c r="W60" s="74"/>
      <c r="X60" s="7"/>
      <c r="Y60" s="7"/>
      <c r="Z60" s="75"/>
    </row>
    <row r="61" spans="1:26">
      <c r="A61" t="str">
        <f xml:space="preserve"> Cycles!$D$24 &amp; " + (Y * " &amp; Cycles!$D$10 &amp; ") + " &amp; C61</f>
        <v>1804 + (Y * 64) + 56</v>
      </c>
      <c r="C61" s="7">
        <v>56</v>
      </c>
      <c r="D61" s="40"/>
      <c r="E61" s="47">
        <v>1</v>
      </c>
      <c r="F61" s="40">
        <v>1</v>
      </c>
      <c r="G61" s="40">
        <v>1</v>
      </c>
      <c r="H61" s="40">
        <v>0</v>
      </c>
      <c r="I61" s="40" t="s">
        <v>262</v>
      </c>
      <c r="J61" s="40">
        <v>0</v>
      </c>
      <c r="K61" s="108" t="s">
        <v>287</v>
      </c>
      <c r="L61" s="109"/>
      <c r="M61" s="42" t="s">
        <v>287</v>
      </c>
      <c r="N61" s="51" t="s">
        <v>287</v>
      </c>
      <c r="O61" s="38" t="str">
        <f t="shared" si="8"/>
        <v/>
      </c>
      <c r="P61" s="38" t="str">
        <f t="shared" si="8"/>
        <v/>
      </c>
      <c r="Q61" s="38" t="str">
        <f t="shared" si="8"/>
        <v/>
      </c>
      <c r="R61" s="38" t="str">
        <f t="shared" si="8"/>
        <v/>
      </c>
      <c r="S61" s="74"/>
      <c r="T61" s="7"/>
      <c r="U61" s="7"/>
      <c r="V61" s="7"/>
      <c r="W61" s="74"/>
      <c r="X61" s="7"/>
      <c r="Y61" s="7"/>
      <c r="Z61" s="75"/>
    </row>
    <row r="62" spans="1:26">
      <c r="A62" t="str">
        <f xml:space="preserve"> Cycles!$D$24 &amp; " + (Y * " &amp; Cycles!$D$10 &amp; ") + " &amp; C62</f>
        <v>1804 + (Y * 64) + 57</v>
      </c>
      <c r="C62" s="7">
        <v>57</v>
      </c>
      <c r="D62" s="40"/>
      <c r="E62" s="47">
        <v>1</v>
      </c>
      <c r="F62" s="40">
        <v>1</v>
      </c>
      <c r="G62" s="40">
        <v>1</v>
      </c>
      <c r="H62" s="40">
        <v>0</v>
      </c>
      <c r="I62" s="40" t="s">
        <v>262</v>
      </c>
      <c r="J62" s="40">
        <v>0</v>
      </c>
      <c r="K62" s="108" t="s">
        <v>287</v>
      </c>
      <c r="L62" s="109"/>
      <c r="M62" s="42" t="s">
        <v>287</v>
      </c>
      <c r="N62" s="51" t="s">
        <v>287</v>
      </c>
      <c r="O62" s="38" t="str">
        <f t="shared" si="8"/>
        <v/>
      </c>
      <c r="P62" s="38" t="str">
        <f t="shared" si="8"/>
        <v/>
      </c>
      <c r="Q62" s="38" t="str">
        <f t="shared" si="8"/>
        <v/>
      </c>
      <c r="R62" s="38" t="str">
        <f t="shared" si="8"/>
        <v/>
      </c>
      <c r="S62" s="74"/>
      <c r="T62" s="7"/>
      <c r="U62" s="7"/>
      <c r="V62" s="7"/>
      <c r="W62" s="74"/>
      <c r="X62" s="7"/>
      <c r="Y62" s="7"/>
      <c r="Z62" s="75"/>
    </row>
    <row r="63" spans="1:26">
      <c r="A63" t="str">
        <f xml:space="preserve"> Cycles!$D$24 &amp; " + (Y * " &amp; Cycles!$D$10 &amp; ") + " &amp; C63</f>
        <v>1804 + (Y * 64) + 58</v>
      </c>
      <c r="C63" s="7">
        <v>58</v>
      </c>
      <c r="D63" s="40"/>
      <c r="E63" s="47">
        <v>1</v>
      </c>
      <c r="F63" s="40">
        <v>1</v>
      </c>
      <c r="G63" s="40">
        <v>1</v>
      </c>
      <c r="H63" s="40">
        <v>0</v>
      </c>
      <c r="I63" s="40" t="s">
        <v>262</v>
      </c>
      <c r="J63" s="40">
        <v>0</v>
      </c>
      <c r="K63" s="108" t="s">
        <v>287</v>
      </c>
      <c r="L63" s="109"/>
      <c r="M63" s="42" t="s">
        <v>287</v>
      </c>
      <c r="N63" s="51" t="s">
        <v>287</v>
      </c>
      <c r="O63" s="38" t="str">
        <f t="shared" si="8"/>
        <v/>
      </c>
      <c r="P63" s="38" t="str">
        <f t="shared" si="8"/>
        <v/>
      </c>
      <c r="Q63" s="38" t="str">
        <f t="shared" si="8"/>
        <v/>
      </c>
      <c r="R63" s="38" t="str">
        <f t="shared" si="8"/>
        <v/>
      </c>
      <c r="S63" s="74"/>
      <c r="T63" s="7"/>
      <c r="U63" s="7"/>
      <c r="V63" s="7"/>
      <c r="W63" s="74"/>
      <c r="X63" s="7"/>
      <c r="Y63" s="7"/>
      <c r="Z63" s="75"/>
    </row>
    <row r="64" spans="1:26">
      <c r="A64" t="str">
        <f xml:space="preserve"> Cycles!$D$24 &amp; " + (Y * " &amp; Cycles!$D$10 &amp; ") + " &amp; C64</f>
        <v>1804 + (Y * 64) + 59</v>
      </c>
      <c r="C64" s="7">
        <v>59</v>
      </c>
      <c r="D64" s="40"/>
      <c r="E64" s="47">
        <v>1</v>
      </c>
      <c r="F64" s="40">
        <v>1</v>
      </c>
      <c r="G64" s="40">
        <v>1</v>
      </c>
      <c r="H64" s="40">
        <v>0</v>
      </c>
      <c r="I64" s="40" t="s">
        <v>262</v>
      </c>
      <c r="J64" s="40">
        <v>0</v>
      </c>
      <c r="K64" s="108" t="s">
        <v>287</v>
      </c>
      <c r="L64" s="109"/>
      <c r="M64" s="42" t="s">
        <v>287</v>
      </c>
      <c r="N64" s="51" t="s">
        <v>287</v>
      </c>
      <c r="O64" s="38" t="str">
        <f t="shared" si="8"/>
        <v/>
      </c>
      <c r="P64" s="38" t="str">
        <f t="shared" si="8"/>
        <v/>
      </c>
      <c r="Q64" s="38" t="str">
        <f t="shared" si="8"/>
        <v/>
      </c>
      <c r="R64" s="38" t="str">
        <f t="shared" si="8"/>
        <v/>
      </c>
      <c r="S64" s="74"/>
      <c r="T64" s="7"/>
      <c r="U64" s="7"/>
      <c r="V64" s="7"/>
      <c r="W64" s="74"/>
      <c r="X64" s="7"/>
      <c r="Y64" s="7"/>
      <c r="Z64" s="75"/>
    </row>
    <row r="65" spans="1:26">
      <c r="A65" t="str">
        <f xml:space="preserve"> Cycles!$D$24 &amp; " + (Y * " &amp; Cycles!$D$10 &amp; ") + " &amp; C65</f>
        <v>1804 + (Y * 64) + 60</v>
      </c>
      <c r="C65" s="7">
        <v>60</v>
      </c>
      <c r="D65" s="40"/>
      <c r="E65" s="47">
        <v>1</v>
      </c>
      <c r="F65" s="40">
        <v>1</v>
      </c>
      <c r="G65" s="40">
        <v>1</v>
      </c>
      <c r="H65" s="40">
        <v>0</v>
      </c>
      <c r="I65" s="40" t="s">
        <v>262</v>
      </c>
      <c r="J65" s="40">
        <v>0</v>
      </c>
      <c r="K65" s="108" t="s">
        <v>287</v>
      </c>
      <c r="L65" s="109"/>
      <c r="M65" s="42" t="s">
        <v>287</v>
      </c>
      <c r="N65" s="51" t="s">
        <v>287</v>
      </c>
      <c r="O65" s="38" t="str">
        <f t="shared" si="8"/>
        <v/>
      </c>
      <c r="P65" s="38" t="str">
        <f t="shared" si="8"/>
        <v/>
      </c>
      <c r="Q65" s="38" t="str">
        <f t="shared" si="8"/>
        <v/>
      </c>
      <c r="R65" s="38" t="str">
        <f t="shared" si="8"/>
        <v/>
      </c>
      <c r="S65" s="74"/>
      <c r="T65" s="7"/>
      <c r="U65" s="7"/>
      <c r="V65" s="7"/>
      <c r="W65" s="74"/>
      <c r="X65" s="7"/>
      <c r="Y65" s="7"/>
      <c r="Z65" s="75"/>
    </row>
    <row r="66" spans="1:26">
      <c r="A66" t="str">
        <f xml:space="preserve"> Cycles!$D$24 &amp; " + (Y * " &amp; Cycles!$D$10 &amp; ") + " &amp; C66</f>
        <v>1804 + (Y * 64) + 61</v>
      </c>
      <c r="C66" s="7">
        <v>61</v>
      </c>
      <c r="D66" s="40"/>
      <c r="E66" s="47">
        <v>1</v>
      </c>
      <c r="F66" s="40">
        <v>1</v>
      </c>
      <c r="G66" s="40">
        <v>1</v>
      </c>
      <c r="H66" s="40">
        <v>0</v>
      </c>
      <c r="I66" s="40" t="s">
        <v>262</v>
      </c>
      <c r="J66" s="40">
        <v>0</v>
      </c>
      <c r="K66" s="108" t="s">
        <v>287</v>
      </c>
      <c r="L66" s="109"/>
      <c r="M66" s="42" t="s">
        <v>287</v>
      </c>
      <c r="N66" s="51" t="s">
        <v>287</v>
      </c>
      <c r="O66" s="38" t="str">
        <f t="shared" si="8"/>
        <v/>
      </c>
      <c r="P66" s="38" t="str">
        <f t="shared" si="8"/>
        <v/>
      </c>
      <c r="Q66" s="38" t="str">
        <f t="shared" si="8"/>
        <v/>
      </c>
      <c r="R66" s="38" t="str">
        <f t="shared" si="8"/>
        <v/>
      </c>
      <c r="S66" s="74"/>
      <c r="T66" s="7"/>
      <c r="U66" s="7"/>
      <c r="V66" s="7"/>
      <c r="W66" s="74"/>
      <c r="X66" s="7"/>
      <c r="Y66" s="7"/>
      <c r="Z66" s="75"/>
    </row>
    <row r="67" spans="1:26">
      <c r="A67" t="str">
        <f xml:space="preserve"> Cycles!$D$24 &amp; " + (Y * " &amp; Cycles!$D$10 &amp; ") + " &amp; C67</f>
        <v>1804 + (Y * 64) + 62</v>
      </c>
      <c r="C67" s="7">
        <v>62</v>
      </c>
      <c r="D67" s="40"/>
      <c r="E67" s="47">
        <v>1</v>
      </c>
      <c r="F67" s="40">
        <v>1</v>
      </c>
      <c r="G67" s="40">
        <v>1</v>
      </c>
      <c r="H67" s="40">
        <v>0</v>
      </c>
      <c r="I67" s="40" t="s">
        <v>262</v>
      </c>
      <c r="J67" s="40">
        <v>0</v>
      </c>
      <c r="K67" s="108" t="s">
        <v>287</v>
      </c>
      <c r="L67" s="109"/>
      <c r="M67" s="42" t="s">
        <v>287</v>
      </c>
      <c r="N67" s="51" t="s">
        <v>287</v>
      </c>
      <c r="O67" s="38" t="str">
        <f t="shared" si="8"/>
        <v/>
      </c>
      <c r="P67" s="38" t="str">
        <f t="shared" si="8"/>
        <v/>
      </c>
      <c r="Q67" s="38" t="str">
        <f t="shared" si="8"/>
        <v/>
      </c>
      <c r="R67" s="38" t="str">
        <f t="shared" si="8"/>
        <v/>
      </c>
      <c r="S67" s="74"/>
      <c r="T67" s="7"/>
      <c r="U67" s="7"/>
      <c r="V67" s="7"/>
      <c r="W67" s="74"/>
      <c r="X67" s="7"/>
      <c r="Y67" s="7"/>
      <c r="Z67" s="75"/>
    </row>
    <row r="68" spans="1:26" s="21" customFormat="1" ht="15.75" thickBot="1">
      <c r="A68" s="21" t="str">
        <f xml:space="preserve"> Cycles!$D$24 &amp; " + (Y * " &amp; Cycles!$D$10 &amp; ") + " &amp; C68</f>
        <v>1804 + (Y * 64) + 63</v>
      </c>
      <c r="C68" s="43">
        <v>63</v>
      </c>
      <c r="D68" s="43"/>
      <c r="E68" s="48">
        <v>1</v>
      </c>
      <c r="F68" s="43">
        <v>1</v>
      </c>
      <c r="G68" s="43">
        <v>1</v>
      </c>
      <c r="H68" s="43">
        <v>0</v>
      </c>
      <c r="I68" s="43" t="s">
        <v>262</v>
      </c>
      <c r="J68" s="43">
        <v>0</v>
      </c>
      <c r="K68" s="112" t="s">
        <v>287</v>
      </c>
      <c r="L68" s="113"/>
      <c r="M68" s="43" t="s">
        <v>287</v>
      </c>
      <c r="N68" s="52" t="s">
        <v>287</v>
      </c>
      <c r="O68" s="43" t="str">
        <f t="shared" si="8"/>
        <v/>
      </c>
      <c r="P68" s="43" t="str">
        <f t="shared" si="8"/>
        <v/>
      </c>
      <c r="Q68" s="43" t="str">
        <f t="shared" si="8"/>
        <v/>
      </c>
      <c r="R68" s="43" t="str">
        <f t="shared" si="8"/>
        <v/>
      </c>
      <c r="S68" s="76"/>
      <c r="T68" s="43"/>
      <c r="U68" s="43"/>
      <c r="V68" s="43"/>
      <c r="W68" s="76"/>
      <c r="X68" s="43"/>
      <c r="Y68" s="43"/>
      <c r="Z68" s="77"/>
    </row>
    <row r="69" spans="1:26" ht="29.25" thickBot="1">
      <c r="A69" s="106" t="s">
        <v>293</v>
      </c>
      <c r="B69" s="106"/>
      <c r="C69" s="106"/>
      <c r="D69" s="107"/>
      <c r="E69" s="60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60"/>
      <c r="T69" s="55"/>
      <c r="U69" s="55"/>
      <c r="V69" s="55"/>
      <c r="W69" s="60"/>
      <c r="X69" s="55"/>
      <c r="Y69" s="55"/>
      <c r="Z69" s="121"/>
    </row>
    <row r="70" spans="1:26" s="21" customFormat="1" ht="15.75" thickBot="1">
      <c r="A70" s="21">
        <f>Cycles!D23</f>
        <v>18164</v>
      </c>
      <c r="E70" s="48">
        <v>1</v>
      </c>
      <c r="F70" s="21">
        <v>0</v>
      </c>
      <c r="G70" s="43">
        <v>1</v>
      </c>
      <c r="H70" s="43">
        <v>1</v>
      </c>
      <c r="I70" s="43" t="s">
        <v>262</v>
      </c>
      <c r="J70" s="21" t="s">
        <v>263</v>
      </c>
      <c r="M70" s="48" t="s">
        <v>287</v>
      </c>
      <c r="N70" s="52" t="s">
        <v>287</v>
      </c>
      <c r="S70" s="46"/>
      <c r="W70" s="46"/>
      <c r="Z70" s="122"/>
    </row>
    <row r="74" spans="1:26">
      <c r="F74" s="22"/>
      <c r="G74" s="22"/>
      <c r="H74" s="22"/>
      <c r="I74" s="22"/>
      <c r="J74" s="22"/>
      <c r="K74" s="22"/>
      <c r="L74" s="22"/>
      <c r="M74" s="22"/>
      <c r="N74" s="22"/>
    </row>
    <row r="75" spans="1:26">
      <c r="F75" s="22"/>
      <c r="G75" s="22"/>
      <c r="H75" s="22"/>
      <c r="I75" s="22"/>
      <c r="J75" s="22"/>
      <c r="K75" s="22"/>
      <c r="L75" s="22"/>
      <c r="M75" s="22"/>
      <c r="N75" s="22"/>
    </row>
    <row r="76" spans="1:26">
      <c r="F76" s="25"/>
      <c r="G76" s="25"/>
      <c r="H76" s="25"/>
      <c r="I76" s="25"/>
      <c r="J76" s="25"/>
      <c r="K76" s="25"/>
      <c r="L76" s="25"/>
      <c r="M76" s="25"/>
      <c r="N76" s="25"/>
      <c r="O76" t="s">
        <v>170</v>
      </c>
    </row>
    <row r="77" spans="1:26">
      <c r="F77" s="35"/>
      <c r="G77" s="23"/>
      <c r="H77" s="23"/>
      <c r="I77" s="23"/>
      <c r="J77" s="23"/>
      <c r="K77" s="23"/>
      <c r="L77" s="23"/>
      <c r="M77" s="23"/>
      <c r="N77" s="23"/>
      <c r="O77" s="86" t="s">
        <v>168</v>
      </c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spans="1:26">
      <c r="F78" s="35"/>
      <c r="G78" s="23"/>
      <c r="H78" s="23"/>
      <c r="I78" s="23"/>
      <c r="J78" s="23"/>
      <c r="K78" s="23"/>
      <c r="L78" s="23"/>
      <c r="M78" s="23"/>
      <c r="N78" s="23"/>
      <c r="O78" s="86" t="s">
        <v>169</v>
      </c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80" spans="1:26">
      <c r="O80" t="s">
        <v>290</v>
      </c>
    </row>
    <row r="81" spans="15:15">
      <c r="O81" s="3" t="s">
        <v>291</v>
      </c>
    </row>
    <row r="82" spans="15:15">
      <c r="O82" s="3" t="s">
        <v>292</v>
      </c>
    </row>
    <row r="90" spans="15:15">
      <c r="O90" t="s">
        <v>173</v>
      </c>
    </row>
    <row r="91" spans="15:15">
      <c r="O91" t="s">
        <v>174</v>
      </c>
    </row>
    <row r="92" spans="15:15">
      <c r="O92" t="s">
        <v>175</v>
      </c>
    </row>
  </sheetData>
  <mergeCells count="53">
    <mergeCell ref="W11:X11"/>
    <mergeCell ref="Y11:Z11"/>
    <mergeCell ref="W12:X12"/>
    <mergeCell ref="Y12:Z12"/>
    <mergeCell ref="W13:X13"/>
    <mergeCell ref="Y13:Z13"/>
    <mergeCell ref="W14:X14"/>
    <mergeCell ref="Y14:Z14"/>
    <mergeCell ref="K66:L66"/>
    <mergeCell ref="K67:L67"/>
    <mergeCell ref="K68:L68"/>
    <mergeCell ref="D2:D4"/>
    <mergeCell ref="A2:A4"/>
    <mergeCell ref="A69:D69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B2:B4"/>
    <mergeCell ref="C2:C4"/>
    <mergeCell ref="E1:J1"/>
    <mergeCell ref="K1:R1"/>
    <mergeCell ref="S1:Z1"/>
    <mergeCell ref="F2:F4"/>
    <mergeCell ref="G2:G4"/>
    <mergeCell ref="H2:H4"/>
    <mergeCell ref="I2:I4"/>
    <mergeCell ref="J2:J4"/>
    <mergeCell ref="E2:E4"/>
    <mergeCell ref="O3:P3"/>
    <mergeCell ref="S3:T3"/>
    <mergeCell ref="Q3:R3"/>
    <mergeCell ref="K2:L2"/>
    <mergeCell ref="M2:N2"/>
    <mergeCell ref="O5:P5"/>
    <mergeCell ref="W5:X5"/>
    <mergeCell ref="O2:R2"/>
    <mergeCell ref="K3:K4"/>
    <mergeCell ref="L3:L4"/>
    <mergeCell ref="M3:M4"/>
    <mergeCell ref="N3:N4"/>
    <mergeCell ref="W2:Z2"/>
    <mergeCell ref="Q9:R9"/>
    <mergeCell ref="U15:V15"/>
    <mergeCell ref="U3:V3"/>
    <mergeCell ref="S2:V2"/>
    <mergeCell ref="O78:Z78"/>
    <mergeCell ref="O77:Z7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BFBA-0298-4E66-B6A4-15BEF4579859}">
  <dimension ref="E7:L8"/>
  <sheetViews>
    <sheetView workbookViewId="0">
      <selection activeCell="H9" sqref="H9"/>
    </sheetView>
  </sheetViews>
  <sheetFormatPr defaultRowHeight="15"/>
  <sheetData>
    <row r="7" spans="5:12">
      <c r="E7">
        <v>0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</row>
    <row r="8" spans="5:12">
      <c r="E8" t="s">
        <v>166</v>
      </c>
      <c r="F8" t="s">
        <v>85</v>
      </c>
      <c r="G8" t="s">
        <v>165</v>
      </c>
      <c r="H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Graphics</vt:lpstr>
      <vt:lpstr>Registers</vt:lpstr>
      <vt:lpstr>Memory Locations</vt:lpstr>
      <vt:lpstr>Screen Flags</vt:lpstr>
      <vt:lpstr>Sprite Flags</vt:lpstr>
      <vt:lpstr>Scanlines</vt:lpstr>
      <vt:lpstr>Cycles</vt:lpstr>
      <vt:lpstr>Scanline Cycles</vt:lpstr>
      <vt:lpstr>Graphics Memory Layout</vt:lpstr>
      <vt:lpstr>Fetch Cycles Possibilities 2</vt:lpstr>
      <vt:lpstr>Fetch Cycle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cp:lastPrinted>2017-12-15T10:27:17Z</cp:lastPrinted>
  <dcterms:created xsi:type="dcterms:W3CDTF">2017-11-05T09:39:04Z</dcterms:created>
  <dcterms:modified xsi:type="dcterms:W3CDTF">2017-12-23T10:41:21Z</dcterms:modified>
</cp:coreProperties>
</file>