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minimized="1" xWindow="0" yWindow="0" windowWidth="28800" windowHeight="12210" activeTab="7" xr2:uid="{7B50BA58-E4F6-4E5E-8A7B-EC7B56DD7C21}"/>
  </bookViews>
  <sheets>
    <sheet name="Addresses" sheetId="2" r:id="rId1"/>
    <sheet name="AddressesIdea2" sheetId="7" r:id="rId2"/>
    <sheet name="Uses" sheetId="6" r:id="rId3"/>
    <sheet name="Graphics" sheetId="3" r:id="rId4"/>
    <sheet name="Tiles" sheetId="4" r:id="rId5"/>
    <sheet name="Software MMU Calculator" sheetId="8" r:id="rId6"/>
    <sheet name="Real Mode" sheetId="10" r:id="rId7"/>
    <sheet name="Virtual Mode" sheetId="9" r:id="rId8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9" l="1"/>
  <c r="O14" i="10"/>
  <c r="R19" i="9"/>
  <c r="P15" i="10"/>
  <c r="P16" i="10"/>
  <c r="P17" i="10"/>
  <c r="P14" i="10"/>
  <c r="M15" i="10"/>
  <c r="M16" i="10"/>
  <c r="M17" i="10"/>
  <c r="N17" i="10" s="1"/>
  <c r="M14" i="10"/>
  <c r="L6" i="10"/>
  <c r="B3" i="9"/>
  <c r="K8" i="9" s="1"/>
  <c r="K9" i="9" s="1"/>
  <c r="O15" i="10"/>
  <c r="O16" i="10"/>
  <c r="O17" i="10"/>
  <c r="N15" i="10"/>
  <c r="N16" i="10"/>
  <c r="N14" i="10"/>
  <c r="L15" i="10"/>
  <c r="L16" i="10"/>
  <c r="L17" i="10"/>
  <c r="K16" i="10"/>
  <c r="K17" i="10"/>
  <c r="K15" i="10"/>
  <c r="L14" i="10"/>
  <c r="K14" i="10"/>
  <c r="G15" i="10"/>
  <c r="J11" i="10"/>
  <c r="J10" i="10"/>
  <c r="G14" i="10"/>
  <c r="G13" i="10"/>
  <c r="M19" i="9"/>
  <c r="N19" i="9" s="1"/>
  <c r="N18" i="9" s="1"/>
  <c r="J11" i="9"/>
  <c r="F21" i="9"/>
  <c r="F22" i="9" s="1"/>
  <c r="F23" i="9" s="1"/>
  <c r="F24" i="9" s="1"/>
  <c r="E20" i="9"/>
  <c r="E16" i="9"/>
  <c r="E17" i="9"/>
  <c r="E18" i="9"/>
  <c r="E19" i="9"/>
  <c r="J5" i="9"/>
  <c r="F12" i="9"/>
  <c r="F6" i="9"/>
  <c r="F5" i="9"/>
  <c r="R18" i="9" l="1"/>
  <c r="B8" i="9"/>
  <c r="J6" i="9"/>
  <c r="K6" i="9" s="1"/>
  <c r="E21" i="9"/>
  <c r="E23" i="9"/>
  <c r="E24" i="9"/>
  <c r="E22" i="9"/>
  <c r="F4" i="8"/>
  <c r="F3" i="8"/>
  <c r="F2" i="8"/>
  <c r="D11" i="8"/>
  <c r="D4" i="8"/>
  <c r="D10" i="8"/>
  <c r="J10" i="8"/>
  <c r="J9" i="8"/>
  <c r="J4" i="8"/>
  <c r="J3" i="8"/>
  <c r="I5" i="8"/>
  <c r="J5" i="8" s="1"/>
  <c r="I7" i="8"/>
  <c r="J7" i="8" s="1"/>
  <c r="C4" i="8"/>
  <c r="B4" i="8"/>
  <c r="F10" i="8" l="1"/>
  <c r="F9" i="8" s="1"/>
  <c r="I8" i="8"/>
  <c r="J8" i="8" s="1"/>
  <c r="L13" i="7"/>
  <c r="L14" i="7"/>
  <c r="L15" i="7"/>
  <c r="L12" i="7"/>
  <c r="M13" i="7"/>
  <c r="M14" i="7"/>
  <c r="M15" i="7"/>
  <c r="M12" i="7"/>
  <c r="M11" i="7"/>
  <c r="K19" i="7" l="1"/>
  <c r="K11" i="7"/>
  <c r="K4" i="7"/>
  <c r="K3" i="7"/>
  <c r="D19" i="7"/>
  <c r="D18" i="7"/>
  <c r="D17" i="7"/>
  <c r="D12" i="7"/>
  <c r="D13" i="7"/>
  <c r="D14" i="7"/>
  <c r="D15" i="7"/>
  <c r="D16" i="7"/>
  <c r="C4" i="7"/>
  <c r="D8" i="7"/>
  <c r="D9" i="7"/>
  <c r="D10" i="7"/>
  <c r="D11" i="7"/>
  <c r="D5" i="7"/>
  <c r="D4" i="7" l="1"/>
  <c r="E3" i="7"/>
  <c r="D3" i="7"/>
  <c r="B3" i="7"/>
  <c r="E9" i="6"/>
  <c r="E3" i="6" s="1"/>
  <c r="A4" i="7" l="1"/>
  <c r="J3" i="7"/>
  <c r="D6" i="7"/>
  <c r="D7" i="7"/>
  <c r="B4" i="7"/>
  <c r="E4" i="7"/>
  <c r="F3" i="7"/>
  <c r="C13" i="4"/>
  <c r="B13" i="4"/>
  <c r="C12" i="4"/>
  <c r="B12" i="4"/>
  <c r="C10" i="4"/>
  <c r="B10" i="4"/>
  <c r="B9" i="4"/>
  <c r="C5" i="4"/>
  <c r="B5" i="4"/>
  <c r="C15" i="3"/>
  <c r="D15" i="3"/>
  <c r="J11" i="3"/>
  <c r="I11" i="3"/>
  <c r="I9" i="3"/>
  <c r="H9" i="3"/>
  <c r="I8" i="3"/>
  <c r="H8" i="3"/>
  <c r="I5" i="3"/>
  <c r="H5" i="3"/>
  <c r="C9" i="3"/>
  <c r="C10" i="3"/>
  <c r="C11" i="3"/>
  <c r="C8" i="3"/>
  <c r="D8" i="3" s="1"/>
  <c r="D9" i="3"/>
  <c r="D5" i="3"/>
  <c r="C5" i="3"/>
  <c r="F4" i="7" l="1"/>
  <c r="J4" i="7"/>
  <c r="A5" i="7"/>
  <c r="D10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  <c r="A5" i="2"/>
  <c r="A6" i="2"/>
  <c r="A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2"/>
  <c r="B4" i="2"/>
  <c r="B5" i="2"/>
  <c r="B3" i="2"/>
  <c r="B5" i="7" l="1"/>
  <c r="E5" i="7"/>
  <c r="D11" i="3"/>
  <c r="B6" i="2"/>
  <c r="A6" i="7" l="1"/>
  <c r="F5" i="7"/>
  <c r="E6" i="7"/>
  <c r="B6" i="7"/>
  <c r="B7" i="2"/>
  <c r="A7" i="7" l="1"/>
  <c r="B7" i="7" s="1"/>
  <c r="F6" i="7"/>
  <c r="B8" i="2"/>
  <c r="E7" i="7" l="1"/>
  <c r="A8" i="7"/>
  <c r="F7" i="7"/>
  <c r="B9" i="2"/>
  <c r="B8" i="7" l="1"/>
  <c r="E8" i="7"/>
  <c r="B10" i="2"/>
  <c r="A9" i="7" l="1"/>
  <c r="F8" i="7"/>
  <c r="B11" i="2"/>
  <c r="E9" i="7" l="1"/>
  <c r="B9" i="7"/>
  <c r="B12" i="2"/>
  <c r="A10" i="7" l="1"/>
  <c r="F9" i="7"/>
  <c r="B13" i="2"/>
  <c r="E10" i="7" l="1"/>
  <c r="B10" i="7"/>
  <c r="B14" i="2"/>
  <c r="A11" i="7" l="1"/>
  <c r="F10" i="7"/>
  <c r="B15" i="2"/>
  <c r="E11" i="7" l="1"/>
  <c r="J11" i="7" s="1"/>
  <c r="B11" i="7"/>
  <c r="B16" i="2"/>
  <c r="F11" i="7" l="1"/>
  <c r="A12" i="7"/>
  <c r="B17" i="2"/>
  <c r="E12" i="7" l="1"/>
  <c r="B12" i="7"/>
  <c r="B18" i="2"/>
  <c r="A13" i="7" l="1"/>
  <c r="F12" i="7"/>
  <c r="B13" i="7" l="1"/>
  <c r="E13" i="7"/>
  <c r="A14" i="7" l="1"/>
  <c r="F13" i="7"/>
  <c r="B14" i="7" l="1"/>
  <c r="E14" i="7"/>
  <c r="A15" i="7" l="1"/>
  <c r="F14" i="7"/>
  <c r="B15" i="7" l="1"/>
  <c r="E15" i="7"/>
  <c r="A16" i="7" l="1"/>
  <c r="F15" i="7"/>
  <c r="E16" i="7" l="1"/>
  <c r="B16" i="7"/>
  <c r="A17" i="7" l="1"/>
  <c r="F16" i="7"/>
  <c r="E17" i="7" l="1"/>
  <c r="B17" i="7"/>
  <c r="F17" i="7" l="1"/>
  <c r="A18" i="7"/>
  <c r="E18" i="7" l="1"/>
  <c r="B18" i="7"/>
  <c r="F18" i="7" l="1"/>
  <c r="A19" i="7"/>
  <c r="E19" i="7" l="1"/>
  <c r="B19" i="7"/>
  <c r="F19" i="7" l="1"/>
  <c r="J19" i="7"/>
</calcChain>
</file>

<file path=xl/sharedStrings.xml><?xml version="1.0" encoding="utf-8"?>
<sst xmlns="http://schemas.openxmlformats.org/spreadsheetml/2006/main" count="208" uniqueCount="118">
  <si>
    <t>Chip Ram</t>
  </si>
  <si>
    <t>Bank</t>
  </si>
  <si>
    <t>Dec</t>
  </si>
  <si>
    <t>Hex</t>
  </si>
  <si>
    <t>Start Address</t>
  </si>
  <si>
    <t>End Address</t>
  </si>
  <si>
    <t>Usage</t>
  </si>
  <si>
    <t>ROM/Later Program</t>
  </si>
  <si>
    <t>Program</t>
  </si>
  <si>
    <t>GPU Registers/Objects</t>
  </si>
  <si>
    <t>IO Registers</t>
  </si>
  <si>
    <t>Audio Registers</t>
  </si>
  <si>
    <t>Graphics and Shared</t>
  </si>
  <si>
    <t>W</t>
  </si>
  <si>
    <t>H</t>
  </si>
  <si>
    <t>PPB</t>
  </si>
  <si>
    <t>Plane 0</t>
  </si>
  <si>
    <t>Plane 1</t>
  </si>
  <si>
    <t>Plane 2</t>
  </si>
  <si>
    <t>Plane 3</t>
  </si>
  <si>
    <t>PlaneSize</t>
  </si>
  <si>
    <t>Max Tiles</t>
  </si>
  <si>
    <t>BPT</t>
  </si>
  <si>
    <t>TilesSize</t>
  </si>
  <si>
    <t>TileMap</t>
  </si>
  <si>
    <t>TileSize</t>
  </si>
  <si>
    <t>Per Row</t>
  </si>
  <si>
    <t>Start</t>
  </si>
  <si>
    <t>Num</t>
  </si>
  <si>
    <t>Size</t>
  </si>
  <si>
    <t>StartBytes</t>
  </si>
  <si>
    <t>TileStart</t>
  </si>
  <si>
    <t>GpuMem</t>
  </si>
  <si>
    <t>TileAbsStart</t>
  </si>
  <si>
    <t>TileDst</t>
  </si>
  <si>
    <t>TileLen</t>
  </si>
  <si>
    <t>Chip</t>
  </si>
  <si>
    <t>Shared</t>
  </si>
  <si>
    <t>Stack</t>
  </si>
  <si>
    <t>MMUReg</t>
  </si>
  <si>
    <t>Rand</t>
  </si>
  <si>
    <t>MMUBank</t>
  </si>
  <si>
    <t>GfxPlanes</t>
  </si>
  <si>
    <t>Colours</t>
  </si>
  <si>
    <t>Scanline</t>
  </si>
  <si>
    <t>PlaneTypes</t>
  </si>
  <si>
    <t>framenum</t>
  </si>
  <si>
    <t>scanline</t>
  </si>
  <si>
    <t>second</t>
  </si>
  <si>
    <t>counters</t>
  </si>
  <si>
    <t>GFXReg</t>
  </si>
  <si>
    <t>GFXTiles</t>
  </si>
  <si>
    <t>FPYRegs</t>
  </si>
  <si>
    <t>GraphicsMem</t>
  </si>
  <si>
    <t>InterruptTable</t>
  </si>
  <si>
    <t>Len</t>
  </si>
  <si>
    <t>R</t>
  </si>
  <si>
    <t>P</t>
  </si>
  <si>
    <t>T</t>
  </si>
  <si>
    <t>Mapped Registers</t>
  </si>
  <si>
    <t>Bootloader puts program here</t>
  </si>
  <si>
    <t>Graphics/Shared</t>
  </si>
  <si>
    <t>Temp/Shared Variables</t>
  </si>
  <si>
    <t>Var</t>
  </si>
  <si>
    <t>Type</t>
  </si>
  <si>
    <t>KB</t>
  </si>
  <si>
    <t>Screen Size</t>
  </si>
  <si>
    <t>Begin</t>
  </si>
  <si>
    <t>End</t>
  </si>
  <si>
    <t>Constants</t>
  </si>
  <si>
    <t>Plane Size</t>
  </si>
  <si>
    <t>Register Configuration</t>
  </si>
  <si>
    <t>MMU_MAPn_SRC_LOWER</t>
  </si>
  <si>
    <t>MMU_MAPn_SRC_UPPER</t>
  </si>
  <si>
    <t>MMU_MAPn_TARGET</t>
  </si>
  <si>
    <t>Total Graphics Size</t>
  </si>
  <si>
    <t>Page Size</t>
  </si>
  <si>
    <t>Plane Start</t>
  </si>
  <si>
    <t>Stack Start</t>
  </si>
  <si>
    <t>$</t>
  </si>
  <si>
    <t>Target</t>
  </si>
  <si>
    <t>Virtual</t>
  </si>
  <si>
    <t>Real</t>
  </si>
  <si>
    <t>TEST</t>
  </si>
  <si>
    <t>Accessable RAM</t>
  </si>
  <si>
    <t>Number of Pages</t>
  </si>
  <si>
    <t>Pages</t>
  </si>
  <si>
    <t>Test</t>
  </si>
  <si>
    <t>Virtual Addresses Common</t>
  </si>
  <si>
    <t>Page</t>
  </si>
  <si>
    <t>Registers</t>
  </si>
  <si>
    <t>Rom</t>
  </si>
  <si>
    <t>(Rom Copy)</t>
  </si>
  <si>
    <t>Program Start</t>
  </si>
  <si>
    <t>GPU Plane 1 (Default)</t>
  </si>
  <si>
    <t>C00 Onwards</t>
  </si>
  <si>
    <t>D800</t>
  </si>
  <si>
    <t>E000</t>
  </si>
  <si>
    <t>GPU Begin</t>
  </si>
  <si>
    <t>GPU End</t>
  </si>
  <si>
    <t>Real Mode is addressing when the virtual memory isn't on</t>
  </si>
  <si>
    <t>In real mode, only the chip ram and ROM is accessible.</t>
  </si>
  <si>
    <t>In virtual mode, all of the ram is accessible through page addressing. The ROM is not accessible (so has to be copied)</t>
  </si>
  <si>
    <t>Chip Ram starts at 0 and ends at 8000</t>
  </si>
  <si>
    <t>The GPU has direct access to the fast ram, but the CPU does not - it goes through the MMU.</t>
  </si>
  <si>
    <t>Rom starts at 8000.</t>
  </si>
  <si>
    <t>Anything after the ROM returns FEFE</t>
  </si>
  <si>
    <t>FFFF</t>
  </si>
  <si>
    <t>(Repeats over and over)</t>
  </si>
  <si>
    <t>Real Addressing</t>
  </si>
  <si>
    <t>Fast</t>
  </si>
  <si>
    <t>Not accessible directly via CPU</t>
  </si>
  <si>
    <t>PLANE_SIZE</t>
  </si>
  <si>
    <t>Fast Page Finder</t>
  </si>
  <si>
    <t>Fast Address</t>
  </si>
  <si>
    <t>16-bit Page Finder</t>
  </si>
  <si>
    <t>16-bit address</t>
  </si>
  <si>
    <t>D400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</si>
</sst>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3F48A-4545-44AF-8465-714E7B30E76A}">
  <dimension ref="A1:I18"/>
  <sheetViews>
    <sheetView workbookViewId="0">
      <selection activeCell="I18" sqref="A1:I18"/>
    </sheetView>
  </sheetViews>
  <sheetFormatPr defaultRowHeight="15" x14ac:dyDescent="0.25"/>
  <cols>
    <col min="1" max="1" width="16.85546875" customWidth="1"/>
    <col min="5" max="5" width="7.7109375" customWidth="1"/>
    <col min="6" max="6" width="26.85546875" customWidth="1"/>
  </cols>
  <sheetData>
    <row r="1" spans="1:9" x14ac:dyDescent="0.25">
      <c r="A1" t="s">
        <v>4</v>
      </c>
      <c r="C1" t="s">
        <v>5</v>
      </c>
      <c r="E1" t="s">
        <v>1</v>
      </c>
      <c r="F1" t="s">
        <v>6</v>
      </c>
    </row>
    <row r="2" spans="1:9" x14ac:dyDescent="0.25">
      <c r="A2" t="s">
        <v>2</v>
      </c>
      <c r="B2" t="s">
        <v>3</v>
      </c>
      <c r="C2" t="s">
        <v>2</v>
      </c>
      <c r="D2" t="s">
        <v>3</v>
      </c>
    </row>
    <row r="3" spans="1:9" x14ac:dyDescent="0.25">
      <c r="A3">
        <v>0</v>
      </c>
      <c r="B3" t="str">
        <f>"$" &amp; DEC2HEX(A3, 4)</f>
        <v>$0000</v>
      </c>
      <c r="C3">
        <f>A3+4096-1</f>
        <v>4095</v>
      </c>
      <c r="D3" t="str">
        <f>"$" &amp; DEC2HEX(C3, 4)</f>
        <v>$0FFF</v>
      </c>
      <c r="F3" t="s">
        <v>7</v>
      </c>
      <c r="I3" t="s">
        <v>8</v>
      </c>
    </row>
    <row r="4" spans="1:9" x14ac:dyDescent="0.25">
      <c r="A4">
        <f>A3+4096</f>
        <v>4096</v>
      </c>
      <c r="B4" t="str">
        <f t="shared" ref="B4:B18" si="0">"$" &amp; DEC2HEX(A4, 4)</f>
        <v>$1000</v>
      </c>
      <c r="C4">
        <f t="shared" ref="C4:C18" si="1">A4+4096-1</f>
        <v>8191</v>
      </c>
      <c r="D4" t="str">
        <f t="shared" ref="D4:D18" si="2">"$" &amp; DEC2HEX(C4, 4)</f>
        <v>$1FFF</v>
      </c>
      <c r="F4" t="s">
        <v>8</v>
      </c>
      <c r="I4" t="s">
        <v>8</v>
      </c>
    </row>
    <row r="5" spans="1:9" x14ac:dyDescent="0.25">
      <c r="A5">
        <f t="shared" ref="A5:A18" si="3">A4+4096</f>
        <v>8192</v>
      </c>
      <c r="B5" t="str">
        <f t="shared" si="0"/>
        <v>$2000</v>
      </c>
      <c r="C5">
        <f t="shared" si="1"/>
        <v>12287</v>
      </c>
      <c r="D5" t="str">
        <f t="shared" si="2"/>
        <v>$2FFF</v>
      </c>
      <c r="F5" t="s">
        <v>8</v>
      </c>
      <c r="I5" t="s">
        <v>8</v>
      </c>
    </row>
    <row r="6" spans="1:9" x14ac:dyDescent="0.25">
      <c r="A6">
        <f t="shared" si="3"/>
        <v>12288</v>
      </c>
      <c r="B6" t="str">
        <f t="shared" si="0"/>
        <v>$3000</v>
      </c>
      <c r="C6">
        <f t="shared" si="1"/>
        <v>16383</v>
      </c>
      <c r="D6" t="str">
        <f t="shared" si="2"/>
        <v>$3FFF</v>
      </c>
      <c r="F6" t="s">
        <v>8</v>
      </c>
      <c r="I6" t="s">
        <v>8</v>
      </c>
    </row>
    <row r="7" spans="1:9" x14ac:dyDescent="0.25">
      <c r="A7">
        <f t="shared" si="3"/>
        <v>16384</v>
      </c>
      <c r="B7" t="str">
        <f t="shared" si="0"/>
        <v>$4000</v>
      </c>
      <c r="C7">
        <f t="shared" si="1"/>
        <v>20479</v>
      </c>
      <c r="D7" t="str">
        <f t="shared" si="2"/>
        <v>$4FFF</v>
      </c>
      <c r="F7" t="s">
        <v>0</v>
      </c>
      <c r="I7" t="s">
        <v>36</v>
      </c>
    </row>
    <row r="8" spans="1:9" x14ac:dyDescent="0.25">
      <c r="A8">
        <f t="shared" si="3"/>
        <v>20480</v>
      </c>
      <c r="B8" t="str">
        <f t="shared" si="0"/>
        <v>$5000</v>
      </c>
      <c r="C8">
        <f t="shared" si="1"/>
        <v>24575</v>
      </c>
      <c r="D8" t="str">
        <f t="shared" si="2"/>
        <v>$5FFF</v>
      </c>
      <c r="F8" t="s">
        <v>9</v>
      </c>
      <c r="I8" t="s">
        <v>36</v>
      </c>
    </row>
    <row r="9" spans="1:9" x14ac:dyDescent="0.25">
      <c r="A9">
        <f t="shared" si="3"/>
        <v>24576</v>
      </c>
      <c r="B9" t="str">
        <f t="shared" si="0"/>
        <v>$6000</v>
      </c>
      <c r="C9">
        <f t="shared" si="1"/>
        <v>28671</v>
      </c>
      <c r="D9" t="str">
        <f t="shared" si="2"/>
        <v>$6FFF</v>
      </c>
      <c r="F9" t="s">
        <v>11</v>
      </c>
      <c r="I9" t="s">
        <v>36</v>
      </c>
    </row>
    <row r="10" spans="1:9" x14ac:dyDescent="0.25">
      <c r="A10">
        <f t="shared" si="3"/>
        <v>28672</v>
      </c>
      <c r="B10" t="str">
        <f t="shared" si="0"/>
        <v>$7000</v>
      </c>
      <c r="C10">
        <f t="shared" si="1"/>
        <v>32767</v>
      </c>
      <c r="D10" t="str">
        <f t="shared" si="2"/>
        <v>$7FFF</v>
      </c>
      <c r="F10" t="s">
        <v>10</v>
      </c>
      <c r="I10" t="s">
        <v>36</v>
      </c>
    </row>
    <row r="11" spans="1:9" x14ac:dyDescent="0.25">
      <c r="A11">
        <f t="shared" si="3"/>
        <v>32768</v>
      </c>
      <c r="B11" t="str">
        <f t="shared" si="0"/>
        <v>$8000</v>
      </c>
      <c r="C11">
        <f t="shared" si="1"/>
        <v>36863</v>
      </c>
      <c r="D11" t="str">
        <f t="shared" si="2"/>
        <v>$8FFF</v>
      </c>
      <c r="E11">
        <v>0</v>
      </c>
      <c r="F11" t="s">
        <v>12</v>
      </c>
      <c r="I11" t="s">
        <v>37</v>
      </c>
    </row>
    <row r="12" spans="1:9" x14ac:dyDescent="0.25">
      <c r="A12">
        <f t="shared" si="3"/>
        <v>36864</v>
      </c>
      <c r="B12" t="str">
        <f t="shared" si="0"/>
        <v>$9000</v>
      </c>
      <c r="C12">
        <f t="shared" si="1"/>
        <v>40959</v>
      </c>
      <c r="D12" t="str">
        <f t="shared" si="2"/>
        <v>$9FFF</v>
      </c>
      <c r="E12">
        <v>1</v>
      </c>
      <c r="F12" t="s">
        <v>12</v>
      </c>
      <c r="I12" t="s">
        <v>37</v>
      </c>
    </row>
    <row r="13" spans="1:9" x14ac:dyDescent="0.25">
      <c r="A13">
        <f t="shared" si="3"/>
        <v>40960</v>
      </c>
      <c r="B13" t="str">
        <f t="shared" si="0"/>
        <v>$A000</v>
      </c>
      <c r="C13">
        <f t="shared" si="1"/>
        <v>45055</v>
      </c>
      <c r="D13" t="str">
        <f t="shared" si="2"/>
        <v>$AFFF</v>
      </c>
      <c r="E13">
        <v>2</v>
      </c>
      <c r="F13" t="s">
        <v>12</v>
      </c>
      <c r="I13" t="s">
        <v>37</v>
      </c>
    </row>
    <row r="14" spans="1:9" x14ac:dyDescent="0.25">
      <c r="A14">
        <f t="shared" si="3"/>
        <v>45056</v>
      </c>
      <c r="B14" t="str">
        <f t="shared" si="0"/>
        <v>$B000</v>
      </c>
      <c r="C14">
        <f t="shared" si="1"/>
        <v>49151</v>
      </c>
      <c r="D14" t="str">
        <f t="shared" si="2"/>
        <v>$BFFF</v>
      </c>
      <c r="E14">
        <v>3</v>
      </c>
      <c r="F14" t="s">
        <v>12</v>
      </c>
      <c r="I14" t="s">
        <v>37</v>
      </c>
    </row>
    <row r="15" spans="1:9" x14ac:dyDescent="0.25">
      <c r="A15">
        <f t="shared" si="3"/>
        <v>49152</v>
      </c>
      <c r="B15" t="str">
        <f t="shared" si="0"/>
        <v>$C000</v>
      </c>
      <c r="C15">
        <f t="shared" si="1"/>
        <v>53247</v>
      </c>
      <c r="D15" t="str">
        <f t="shared" si="2"/>
        <v>$CFFF</v>
      </c>
      <c r="E15">
        <v>4</v>
      </c>
      <c r="F15" t="s">
        <v>12</v>
      </c>
      <c r="I15" t="s">
        <v>37</v>
      </c>
    </row>
    <row r="16" spans="1:9" x14ac:dyDescent="0.25">
      <c r="A16">
        <f t="shared" si="3"/>
        <v>53248</v>
      </c>
      <c r="B16" t="str">
        <f t="shared" si="0"/>
        <v>$D000</v>
      </c>
      <c r="C16">
        <f t="shared" si="1"/>
        <v>57343</v>
      </c>
      <c r="D16" t="str">
        <f t="shared" si="2"/>
        <v>$DFFF</v>
      </c>
      <c r="E16">
        <v>5</v>
      </c>
      <c r="F16" t="s">
        <v>12</v>
      </c>
      <c r="I16" t="s">
        <v>37</v>
      </c>
    </row>
    <row r="17" spans="1:6" x14ac:dyDescent="0.25">
      <c r="A17">
        <f t="shared" si="3"/>
        <v>57344</v>
      </c>
      <c r="B17" t="str">
        <f t="shared" si="0"/>
        <v>$E000</v>
      </c>
      <c r="C17">
        <f t="shared" si="1"/>
        <v>61439</v>
      </c>
      <c r="D17" t="str">
        <f t="shared" si="2"/>
        <v>$EFFF</v>
      </c>
      <c r="E17">
        <v>6</v>
      </c>
      <c r="F17" t="s">
        <v>12</v>
      </c>
    </row>
    <row r="18" spans="1:6" x14ac:dyDescent="0.25">
      <c r="A18">
        <f t="shared" si="3"/>
        <v>61440</v>
      </c>
      <c r="B18" t="str">
        <f t="shared" si="0"/>
        <v>$F000</v>
      </c>
      <c r="C18">
        <f t="shared" si="1"/>
        <v>65535</v>
      </c>
      <c r="D18" t="str">
        <f t="shared" si="2"/>
        <v>$FFFF</v>
      </c>
      <c r="E18">
        <v>7</v>
      </c>
      <c r="F1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689D-9543-405F-B6B3-E28019047877}">
  <dimension ref="A1:N19"/>
  <sheetViews>
    <sheetView workbookViewId="0">
      <selection activeCell="N21" sqref="N21"/>
    </sheetView>
  </sheetViews>
  <sheetFormatPr defaultRowHeight="15" x14ac:dyDescent="0.25"/>
  <cols>
    <col min="1" max="1" width="13.28515625" customWidth="1"/>
    <col min="2" max="2" width="6.28515625" customWidth="1"/>
    <col min="3" max="3" width="7.85546875" customWidth="1"/>
    <col min="4" max="4" width="5.5703125" customWidth="1"/>
    <col min="7" max="7" width="5.7109375" customWidth="1"/>
    <col min="8" max="8" width="28.5703125" customWidth="1"/>
    <col min="10" max="10" width="6.7109375" customWidth="1"/>
    <col min="11" max="11" width="5.85546875" customWidth="1"/>
  </cols>
  <sheetData>
    <row r="1" spans="1:14" x14ac:dyDescent="0.25">
      <c r="A1" s="14" t="s">
        <v>4</v>
      </c>
      <c r="B1" s="14"/>
      <c r="C1" s="14" t="s">
        <v>55</v>
      </c>
      <c r="D1" s="14"/>
      <c r="E1" s="14" t="s">
        <v>5</v>
      </c>
      <c r="F1" s="14"/>
      <c r="G1" s="3" t="s">
        <v>1</v>
      </c>
      <c r="H1" s="3" t="s">
        <v>6</v>
      </c>
      <c r="I1" s="3" t="s">
        <v>64</v>
      </c>
      <c r="J1" s="1" t="s">
        <v>29</v>
      </c>
      <c r="K1" s="3" t="s">
        <v>65</v>
      </c>
    </row>
    <row r="2" spans="1:14" x14ac:dyDescent="0.25">
      <c r="A2" s="2" t="s">
        <v>2</v>
      </c>
      <c r="B2" s="2" t="s">
        <v>3</v>
      </c>
      <c r="C2" s="2" t="s">
        <v>2</v>
      </c>
      <c r="D2" s="2" t="s">
        <v>3</v>
      </c>
      <c r="E2" s="2" t="s">
        <v>2</v>
      </c>
      <c r="F2" s="2" t="s">
        <v>3</v>
      </c>
    </row>
    <row r="3" spans="1:14" x14ac:dyDescent="0.25">
      <c r="A3">
        <v>0</v>
      </c>
      <c r="B3" t="str">
        <f>"$" &amp; DEC2HEX(A3, 4)</f>
        <v>$0000</v>
      </c>
      <c r="C3">
        <v>512</v>
      </c>
      <c r="D3" t="str">
        <f>DEC2HEX(C3)</f>
        <v>200</v>
      </c>
      <c r="E3">
        <f>A3+C3-1</f>
        <v>511</v>
      </c>
      <c r="F3" t="str">
        <f>"$" &amp; DEC2HEX(E3, 4)</f>
        <v>$01FF</v>
      </c>
      <c r="G3" s="2" t="s">
        <v>56</v>
      </c>
      <c r="H3" t="s">
        <v>59</v>
      </c>
      <c r="I3" t="s">
        <v>36</v>
      </c>
      <c r="J3" s="3">
        <f>E3-A3+1</f>
        <v>512</v>
      </c>
      <c r="K3" s="3">
        <f>J3/1024</f>
        <v>0.5</v>
      </c>
    </row>
    <row r="4" spans="1:14" x14ac:dyDescent="0.25">
      <c r="A4">
        <f>E3+1</f>
        <v>512</v>
      </c>
      <c r="B4" t="str">
        <f t="shared" ref="B4:B19" si="0">"$" &amp; DEC2HEX(A4, 4)</f>
        <v>$0200</v>
      </c>
      <c r="C4">
        <f>4096-C3</f>
        <v>3584</v>
      </c>
      <c r="D4" t="str">
        <f t="shared" ref="D4:D19" si="1">DEC2HEX(C4)</f>
        <v>E00</v>
      </c>
      <c r="E4">
        <f t="shared" ref="E4:E19" si="2">A4+C4-1</f>
        <v>4095</v>
      </c>
      <c r="F4" t="str">
        <f t="shared" ref="F4:F19" si="3">"$" &amp; DEC2HEX(E4, 4)</f>
        <v>$0FFF</v>
      </c>
      <c r="G4" s="2" t="s">
        <v>58</v>
      </c>
      <c r="H4" t="s">
        <v>62</v>
      </c>
      <c r="I4" t="s">
        <v>63</v>
      </c>
      <c r="J4" s="3">
        <f>E4-A4+1</f>
        <v>3584</v>
      </c>
      <c r="K4" s="3">
        <f>J4/1024</f>
        <v>3.5</v>
      </c>
    </row>
    <row r="5" spans="1:14" x14ac:dyDescent="0.25">
      <c r="A5">
        <f t="shared" ref="A5:A19" si="4">E4+1</f>
        <v>4096</v>
      </c>
      <c r="B5" t="str">
        <f t="shared" si="0"/>
        <v>$1000</v>
      </c>
      <c r="C5">
        <v>4096</v>
      </c>
      <c r="D5" t="str">
        <f t="shared" si="1"/>
        <v>1000</v>
      </c>
      <c r="E5">
        <f t="shared" si="2"/>
        <v>8191</v>
      </c>
      <c r="F5" t="str">
        <f t="shared" si="3"/>
        <v>$1FFF</v>
      </c>
      <c r="G5" s="2" t="s">
        <v>57</v>
      </c>
      <c r="H5" t="s">
        <v>60</v>
      </c>
      <c r="I5" t="s">
        <v>8</v>
      </c>
      <c r="J5" s="2"/>
      <c r="K5" s="2"/>
    </row>
    <row r="6" spans="1:14" x14ac:dyDescent="0.25">
      <c r="A6">
        <f t="shared" si="4"/>
        <v>8192</v>
      </c>
      <c r="B6" t="str">
        <f t="shared" si="0"/>
        <v>$2000</v>
      </c>
      <c r="C6">
        <v>4096</v>
      </c>
      <c r="D6" t="str">
        <f t="shared" si="1"/>
        <v>1000</v>
      </c>
      <c r="E6">
        <f t="shared" si="2"/>
        <v>12287</v>
      </c>
      <c r="F6" t="str">
        <f t="shared" si="3"/>
        <v>$2FFF</v>
      </c>
      <c r="G6" s="2" t="s">
        <v>57</v>
      </c>
      <c r="H6" t="s">
        <v>60</v>
      </c>
      <c r="I6" t="s">
        <v>8</v>
      </c>
      <c r="J6" s="2"/>
      <c r="K6" s="2"/>
    </row>
    <row r="7" spans="1:14" x14ac:dyDescent="0.25">
      <c r="A7">
        <f t="shared" si="4"/>
        <v>12288</v>
      </c>
      <c r="B7" t="str">
        <f t="shared" si="0"/>
        <v>$3000</v>
      </c>
      <c r="C7">
        <v>4096</v>
      </c>
      <c r="D7" t="str">
        <f t="shared" si="1"/>
        <v>1000</v>
      </c>
      <c r="E7">
        <f t="shared" si="2"/>
        <v>16383</v>
      </c>
      <c r="F7" t="str">
        <f t="shared" si="3"/>
        <v>$3FFF</v>
      </c>
      <c r="G7" s="2" t="s">
        <v>57</v>
      </c>
      <c r="H7" t="s">
        <v>60</v>
      </c>
      <c r="I7" t="s">
        <v>8</v>
      </c>
      <c r="J7" s="2"/>
      <c r="K7" s="2"/>
    </row>
    <row r="8" spans="1:14" x14ac:dyDescent="0.25">
      <c r="A8">
        <f t="shared" si="4"/>
        <v>16384</v>
      </c>
      <c r="B8" t="str">
        <f t="shared" si="0"/>
        <v>$4000</v>
      </c>
      <c r="C8">
        <v>4096</v>
      </c>
      <c r="D8" t="str">
        <f t="shared" si="1"/>
        <v>1000</v>
      </c>
      <c r="E8">
        <f t="shared" si="2"/>
        <v>20479</v>
      </c>
      <c r="F8" t="str">
        <f t="shared" si="3"/>
        <v>$4FFF</v>
      </c>
      <c r="G8" s="2" t="s">
        <v>57</v>
      </c>
      <c r="H8" t="s">
        <v>60</v>
      </c>
      <c r="I8" t="s">
        <v>8</v>
      </c>
      <c r="J8" s="2"/>
      <c r="K8" s="2"/>
    </row>
    <row r="9" spans="1:14" x14ac:dyDescent="0.25">
      <c r="A9">
        <f t="shared" si="4"/>
        <v>20480</v>
      </c>
      <c r="B9" t="str">
        <f t="shared" si="0"/>
        <v>$5000</v>
      </c>
      <c r="C9">
        <v>4096</v>
      </c>
      <c r="D9" t="str">
        <f t="shared" si="1"/>
        <v>1000</v>
      </c>
      <c r="E9">
        <f t="shared" si="2"/>
        <v>24575</v>
      </c>
      <c r="F9" t="str">
        <f t="shared" si="3"/>
        <v>$5FFF</v>
      </c>
      <c r="G9" s="2" t="s">
        <v>57</v>
      </c>
      <c r="H9" t="s">
        <v>60</v>
      </c>
      <c r="I9" t="s">
        <v>8</v>
      </c>
      <c r="J9" s="2"/>
      <c r="K9" s="2"/>
    </row>
    <row r="10" spans="1:14" x14ac:dyDescent="0.25">
      <c r="A10">
        <f t="shared" si="4"/>
        <v>24576</v>
      </c>
      <c r="B10" t="str">
        <f t="shared" si="0"/>
        <v>$6000</v>
      </c>
      <c r="C10">
        <v>4096</v>
      </c>
      <c r="D10" t="str">
        <f t="shared" si="1"/>
        <v>1000</v>
      </c>
      <c r="E10">
        <f t="shared" si="2"/>
        <v>28671</v>
      </c>
      <c r="F10" t="str">
        <f t="shared" si="3"/>
        <v>$6FFF</v>
      </c>
      <c r="G10" s="2" t="s">
        <v>57</v>
      </c>
      <c r="H10" t="s">
        <v>60</v>
      </c>
      <c r="I10" t="s">
        <v>8</v>
      </c>
      <c r="J10" s="2"/>
      <c r="K10" s="2"/>
    </row>
    <row r="11" spans="1:14" x14ac:dyDescent="0.25">
      <c r="A11">
        <f t="shared" si="4"/>
        <v>28672</v>
      </c>
      <c r="B11" t="str">
        <f t="shared" si="0"/>
        <v>$7000</v>
      </c>
      <c r="C11">
        <v>4096</v>
      </c>
      <c r="D11" t="str">
        <f t="shared" si="1"/>
        <v>1000</v>
      </c>
      <c r="E11">
        <f t="shared" si="2"/>
        <v>32767</v>
      </c>
      <c r="F11" t="str">
        <f t="shared" si="3"/>
        <v>$7FFF</v>
      </c>
      <c r="G11" s="2" t="s">
        <v>57</v>
      </c>
      <c r="H11" t="s">
        <v>60</v>
      </c>
      <c r="I11" t="s">
        <v>8</v>
      </c>
      <c r="J11" s="3">
        <f>E11-A5+1</f>
        <v>28672</v>
      </c>
      <c r="K11" s="3">
        <f>J11/1024</f>
        <v>28</v>
      </c>
      <c r="M11">
        <f>(320*256)/8</f>
        <v>10240</v>
      </c>
      <c r="N11" t="s">
        <v>66</v>
      </c>
    </row>
    <row r="12" spans="1:14" x14ac:dyDescent="0.25">
      <c r="A12">
        <f t="shared" si="4"/>
        <v>32768</v>
      </c>
      <c r="B12" t="str">
        <f t="shared" si="0"/>
        <v>$8000</v>
      </c>
      <c r="C12">
        <v>4096</v>
      </c>
      <c r="D12" t="str">
        <f t="shared" si="1"/>
        <v>1000</v>
      </c>
      <c r="E12">
        <f t="shared" si="2"/>
        <v>36863</v>
      </c>
      <c r="F12" t="str">
        <f t="shared" si="3"/>
        <v>$8FFF</v>
      </c>
      <c r="G12" s="2">
        <v>0</v>
      </c>
      <c r="H12" t="s">
        <v>61</v>
      </c>
      <c r="I12" t="s">
        <v>37</v>
      </c>
      <c r="J12" s="2"/>
      <c r="K12" s="2"/>
      <c r="L12" t="str">
        <f>DEC2HEX(M12)</f>
        <v>8000</v>
      </c>
      <c r="M12">
        <f>$A$12+($M$11*N12)</f>
        <v>32768</v>
      </c>
      <c r="N12">
        <v>0</v>
      </c>
    </row>
    <row r="13" spans="1:14" x14ac:dyDescent="0.25">
      <c r="A13">
        <f t="shared" si="4"/>
        <v>36864</v>
      </c>
      <c r="B13" t="str">
        <f t="shared" si="0"/>
        <v>$9000</v>
      </c>
      <c r="C13">
        <v>4096</v>
      </c>
      <c r="D13" t="str">
        <f t="shared" si="1"/>
        <v>1000</v>
      </c>
      <c r="E13">
        <f t="shared" si="2"/>
        <v>40959</v>
      </c>
      <c r="F13" t="str">
        <f t="shared" si="3"/>
        <v>$9FFF</v>
      </c>
      <c r="G13" s="2">
        <v>1</v>
      </c>
      <c r="H13" t="s">
        <v>61</v>
      </c>
      <c r="I13" t="s">
        <v>37</v>
      </c>
      <c r="J13" s="2"/>
      <c r="K13" s="2"/>
      <c r="L13" t="str">
        <f t="shared" ref="L13:L15" si="5">DEC2HEX(M13)</f>
        <v>A800</v>
      </c>
      <c r="M13">
        <f t="shared" ref="M13:M15" si="6">$A$12+($M$11*N13)</f>
        <v>43008</v>
      </c>
      <c r="N13">
        <v>1</v>
      </c>
    </row>
    <row r="14" spans="1:14" x14ac:dyDescent="0.25">
      <c r="A14">
        <f t="shared" si="4"/>
        <v>40960</v>
      </c>
      <c r="B14" t="str">
        <f t="shared" si="0"/>
        <v>$A000</v>
      </c>
      <c r="C14">
        <v>4096</v>
      </c>
      <c r="D14" t="str">
        <f t="shared" si="1"/>
        <v>1000</v>
      </c>
      <c r="E14">
        <f t="shared" si="2"/>
        <v>45055</v>
      </c>
      <c r="F14" t="str">
        <f t="shared" si="3"/>
        <v>$AFFF</v>
      </c>
      <c r="G14" s="2">
        <v>2</v>
      </c>
      <c r="H14" t="s">
        <v>61</v>
      </c>
      <c r="I14" t="s">
        <v>37</v>
      </c>
      <c r="J14" s="2"/>
      <c r="K14" s="2"/>
      <c r="L14" t="str">
        <f t="shared" si="5"/>
        <v>D000</v>
      </c>
      <c r="M14">
        <f t="shared" si="6"/>
        <v>53248</v>
      </c>
      <c r="N14">
        <v>2</v>
      </c>
    </row>
    <row r="15" spans="1:14" x14ac:dyDescent="0.25">
      <c r="A15">
        <f t="shared" si="4"/>
        <v>45056</v>
      </c>
      <c r="B15" t="str">
        <f t="shared" si="0"/>
        <v>$B000</v>
      </c>
      <c r="C15">
        <v>4096</v>
      </c>
      <c r="D15" t="str">
        <f t="shared" si="1"/>
        <v>1000</v>
      </c>
      <c r="E15">
        <f t="shared" si="2"/>
        <v>49151</v>
      </c>
      <c r="F15" t="str">
        <f t="shared" si="3"/>
        <v>$BFFF</v>
      </c>
      <c r="G15" s="2">
        <v>3</v>
      </c>
      <c r="H15" t="s">
        <v>61</v>
      </c>
      <c r="I15" t="s">
        <v>37</v>
      </c>
      <c r="J15" s="2"/>
      <c r="K15" s="2"/>
      <c r="L15" t="str">
        <f t="shared" si="5"/>
        <v>F800</v>
      </c>
      <c r="M15">
        <f t="shared" si="6"/>
        <v>63488</v>
      </c>
      <c r="N15">
        <v>3</v>
      </c>
    </row>
    <row r="16" spans="1:14" x14ac:dyDescent="0.25">
      <c r="A16">
        <f t="shared" si="4"/>
        <v>49152</v>
      </c>
      <c r="B16" t="str">
        <f t="shared" si="0"/>
        <v>$C000</v>
      </c>
      <c r="C16">
        <v>4096</v>
      </c>
      <c r="D16" t="str">
        <f t="shared" si="1"/>
        <v>1000</v>
      </c>
      <c r="E16">
        <f t="shared" si="2"/>
        <v>53247</v>
      </c>
      <c r="F16" t="str">
        <f t="shared" si="3"/>
        <v>$CFFF</v>
      </c>
      <c r="G16" s="2">
        <v>4</v>
      </c>
      <c r="H16" t="s">
        <v>61</v>
      </c>
      <c r="I16" t="s">
        <v>37</v>
      </c>
      <c r="J16" s="2"/>
      <c r="K16" s="2"/>
    </row>
    <row r="17" spans="1:11" x14ac:dyDescent="0.25">
      <c r="A17">
        <f t="shared" si="4"/>
        <v>53248</v>
      </c>
      <c r="B17" t="str">
        <f t="shared" si="0"/>
        <v>$D000</v>
      </c>
      <c r="C17">
        <v>4096</v>
      </c>
      <c r="D17" t="str">
        <f t="shared" si="1"/>
        <v>1000</v>
      </c>
      <c r="E17">
        <f t="shared" si="2"/>
        <v>57343</v>
      </c>
      <c r="F17" t="str">
        <f t="shared" si="3"/>
        <v>$DFFF</v>
      </c>
      <c r="G17" s="2">
        <v>5</v>
      </c>
      <c r="H17" t="s">
        <v>61</v>
      </c>
      <c r="I17" t="s">
        <v>37</v>
      </c>
      <c r="J17" s="2"/>
      <c r="K17" s="2"/>
    </row>
    <row r="18" spans="1:11" x14ac:dyDescent="0.25">
      <c r="A18">
        <f t="shared" si="4"/>
        <v>57344</v>
      </c>
      <c r="B18" t="str">
        <f t="shared" si="0"/>
        <v>$E000</v>
      </c>
      <c r="C18">
        <v>4096</v>
      </c>
      <c r="D18" t="str">
        <f t="shared" si="1"/>
        <v>1000</v>
      </c>
      <c r="E18">
        <f t="shared" si="2"/>
        <v>61439</v>
      </c>
      <c r="F18" t="str">
        <f t="shared" si="3"/>
        <v>$EFFF</v>
      </c>
      <c r="G18" s="2">
        <v>6</v>
      </c>
      <c r="H18" t="s">
        <v>61</v>
      </c>
      <c r="I18" t="s">
        <v>37</v>
      </c>
      <c r="J18" s="2"/>
      <c r="K18" s="2"/>
    </row>
    <row r="19" spans="1:11" x14ac:dyDescent="0.25">
      <c r="A19">
        <f t="shared" si="4"/>
        <v>61440</v>
      </c>
      <c r="B19" t="str">
        <f t="shared" si="0"/>
        <v>$F000</v>
      </c>
      <c r="C19">
        <v>4096</v>
      </c>
      <c r="D19" t="str">
        <f t="shared" si="1"/>
        <v>1000</v>
      </c>
      <c r="E19">
        <f t="shared" si="2"/>
        <v>65535</v>
      </c>
      <c r="F19" t="str">
        <f t="shared" si="3"/>
        <v>$FFFF</v>
      </c>
      <c r="G19" s="2">
        <v>7</v>
      </c>
      <c r="H19" t="s">
        <v>61</v>
      </c>
      <c r="I19" t="s">
        <v>37</v>
      </c>
      <c r="J19" s="3">
        <f>E19-A12+1</f>
        <v>32768</v>
      </c>
      <c r="K19" s="3">
        <f>J19/1024</f>
        <v>32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84A42-D2D6-402E-9371-0695EFE869F6}">
  <dimension ref="D3:J18"/>
  <sheetViews>
    <sheetView workbookViewId="0">
      <selection activeCell="J3" sqref="J3"/>
    </sheetView>
  </sheetViews>
  <sheetFormatPr defaultRowHeight="15" x14ac:dyDescent="0.25"/>
  <cols>
    <col min="4" max="4" width="15.7109375" customWidth="1"/>
    <col min="7" max="7" width="13.85546875" customWidth="1"/>
  </cols>
  <sheetData>
    <row r="3" spans="4:10" x14ac:dyDescent="0.25">
      <c r="E3">
        <f>SUM(E4:E26)</f>
        <v>323</v>
      </c>
      <c r="J3">
        <v>384</v>
      </c>
    </row>
    <row r="4" spans="4:10" x14ac:dyDescent="0.25">
      <c r="D4" t="s">
        <v>38</v>
      </c>
      <c r="E4">
        <v>256</v>
      </c>
    </row>
    <row r="5" spans="4:10" x14ac:dyDescent="0.25">
      <c r="D5" t="s">
        <v>41</v>
      </c>
      <c r="E5">
        <v>1</v>
      </c>
    </row>
    <row r="6" spans="4:10" x14ac:dyDescent="0.25">
      <c r="D6" t="s">
        <v>39</v>
      </c>
      <c r="E6">
        <v>8</v>
      </c>
    </row>
    <row r="7" spans="4:10" x14ac:dyDescent="0.25">
      <c r="D7" t="s">
        <v>40</v>
      </c>
      <c r="E7">
        <v>1</v>
      </c>
    </row>
    <row r="8" spans="4:10" x14ac:dyDescent="0.25">
      <c r="D8" t="s">
        <v>42</v>
      </c>
      <c r="E8">
        <v>1</v>
      </c>
    </row>
    <row r="9" spans="4:10" x14ac:dyDescent="0.25">
      <c r="D9" t="s">
        <v>43</v>
      </c>
      <c r="E9">
        <f>3*5</f>
        <v>15</v>
      </c>
    </row>
    <row r="10" spans="4:10" x14ac:dyDescent="0.25">
      <c r="D10" t="s">
        <v>44</v>
      </c>
      <c r="E10">
        <v>1</v>
      </c>
    </row>
    <row r="11" spans="4:10" x14ac:dyDescent="0.25">
      <c r="D11" t="s">
        <v>45</v>
      </c>
      <c r="E11">
        <v>4</v>
      </c>
    </row>
    <row r="12" spans="4:10" x14ac:dyDescent="0.25">
      <c r="D12" t="s">
        <v>46</v>
      </c>
      <c r="E12">
        <v>1</v>
      </c>
    </row>
    <row r="13" spans="4:10" x14ac:dyDescent="0.25">
      <c r="D13" t="s">
        <v>47</v>
      </c>
      <c r="E13">
        <v>1</v>
      </c>
    </row>
    <row r="14" spans="4:10" x14ac:dyDescent="0.25">
      <c r="D14" t="s">
        <v>48</v>
      </c>
      <c r="E14">
        <v>1</v>
      </c>
      <c r="G14" t="s">
        <v>51</v>
      </c>
      <c r="H14">
        <v>2048</v>
      </c>
    </row>
    <row r="15" spans="4:10" x14ac:dyDescent="0.25">
      <c r="D15" t="s">
        <v>49</v>
      </c>
      <c r="E15">
        <v>1</v>
      </c>
      <c r="G15" t="s">
        <v>53</v>
      </c>
      <c r="H15">
        <v>40960</v>
      </c>
    </row>
    <row r="16" spans="4:10" x14ac:dyDescent="0.25">
      <c r="D16" t="s">
        <v>50</v>
      </c>
      <c r="E16">
        <v>8</v>
      </c>
    </row>
    <row r="17" spans="4:5" x14ac:dyDescent="0.25">
      <c r="D17" t="s">
        <v>52</v>
      </c>
      <c r="E17">
        <v>8</v>
      </c>
    </row>
    <row r="18" spans="4:5" x14ac:dyDescent="0.25">
      <c r="D18" t="s">
        <v>54</v>
      </c>
      <c r="E18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08FE-648B-4453-993C-DE8B315E1618}">
  <dimension ref="B2:J15"/>
  <sheetViews>
    <sheetView workbookViewId="0">
      <selection activeCell="D5" sqref="D5"/>
    </sheetView>
  </sheetViews>
  <sheetFormatPr defaultRowHeight="15" x14ac:dyDescent="0.25"/>
  <cols>
    <col min="3" max="3" width="9" customWidth="1"/>
  </cols>
  <sheetData>
    <row r="2" spans="2:10" x14ac:dyDescent="0.25">
      <c r="B2" t="s">
        <v>13</v>
      </c>
      <c r="C2">
        <v>320</v>
      </c>
      <c r="G2" t="s">
        <v>21</v>
      </c>
      <c r="H2">
        <v>256</v>
      </c>
    </row>
    <row r="3" spans="2:10" x14ac:dyDescent="0.25">
      <c r="B3" t="s">
        <v>14</v>
      </c>
      <c r="C3">
        <v>256</v>
      </c>
      <c r="G3" t="s">
        <v>22</v>
      </c>
      <c r="H3">
        <v>8</v>
      </c>
    </row>
    <row r="4" spans="2:10" x14ac:dyDescent="0.25">
      <c r="B4" t="s">
        <v>15</v>
      </c>
      <c r="C4">
        <v>8</v>
      </c>
    </row>
    <row r="5" spans="2:10" x14ac:dyDescent="0.25">
      <c r="B5" t="s">
        <v>20</v>
      </c>
      <c r="C5">
        <f>(C2*C3)/C4</f>
        <v>10240</v>
      </c>
      <c r="D5" t="str">
        <f>DEC2HEX(C5,4)</f>
        <v>2800</v>
      </c>
      <c r="G5" t="s">
        <v>23</v>
      </c>
      <c r="H5">
        <f>H2*H3</f>
        <v>2048</v>
      </c>
      <c r="I5" t="str">
        <f>DEC2HEX(H5)</f>
        <v>800</v>
      </c>
    </row>
    <row r="7" spans="2:10" x14ac:dyDescent="0.25">
      <c r="G7" t="s">
        <v>25</v>
      </c>
      <c r="H7">
        <v>8</v>
      </c>
    </row>
    <row r="8" spans="2:10" x14ac:dyDescent="0.25">
      <c r="B8" t="s">
        <v>16</v>
      </c>
      <c r="C8">
        <f>Addresses!A11</f>
        <v>32768</v>
      </c>
      <c r="D8" t="str">
        <f>DEC2HEX(C8,4)</f>
        <v>8000</v>
      </c>
      <c r="G8" t="s">
        <v>24</v>
      </c>
      <c r="H8">
        <f>C2</f>
        <v>320</v>
      </c>
      <c r="I8">
        <f>H8/H7</f>
        <v>40</v>
      </c>
    </row>
    <row r="9" spans="2:10" x14ac:dyDescent="0.25">
      <c r="B9" t="s">
        <v>17</v>
      </c>
      <c r="C9">
        <f>Addresses!A12</f>
        <v>36864</v>
      </c>
      <c r="D9" t="str">
        <f t="shared" ref="D9:D11" si="0">DEC2HEX(C9,4)</f>
        <v>9000</v>
      </c>
      <c r="H9">
        <f>C3</f>
        <v>256</v>
      </c>
      <c r="I9">
        <f>H9/H7</f>
        <v>32</v>
      </c>
    </row>
    <row r="10" spans="2:10" x14ac:dyDescent="0.25">
      <c r="B10" t="s">
        <v>18</v>
      </c>
      <c r="C10">
        <f>Addresses!A13</f>
        <v>40960</v>
      </c>
      <c r="D10" t="str">
        <f t="shared" si="0"/>
        <v>A000</v>
      </c>
      <c r="G10" t="s">
        <v>22</v>
      </c>
      <c r="I10">
        <v>8</v>
      </c>
    </row>
    <row r="11" spans="2:10" x14ac:dyDescent="0.25">
      <c r="B11" t="s">
        <v>19</v>
      </c>
      <c r="C11">
        <f>Addresses!A14</f>
        <v>45056</v>
      </c>
      <c r="D11" t="str">
        <f t="shared" si="0"/>
        <v>B000</v>
      </c>
      <c r="I11">
        <f>I8*I9*I10</f>
        <v>10240</v>
      </c>
      <c r="J11" t="str">
        <f>DEC2HEX(I11)</f>
        <v>2800</v>
      </c>
    </row>
    <row r="15" spans="2:10" x14ac:dyDescent="0.25">
      <c r="B15" t="s">
        <v>26</v>
      </c>
      <c r="C15">
        <f>C2/8</f>
        <v>40</v>
      </c>
      <c r="D15">
        <f>HEX2DEC(C15)</f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C495-F4F1-48E7-99EC-BC616FBB078F}">
  <dimension ref="A1:E13"/>
  <sheetViews>
    <sheetView workbookViewId="0">
      <selection activeCell="C13" sqref="C13"/>
    </sheetView>
  </sheetViews>
  <sheetFormatPr defaultRowHeight="15" x14ac:dyDescent="0.25"/>
  <cols>
    <col min="1" max="1" width="12.5703125" customWidth="1"/>
  </cols>
  <sheetData>
    <row r="1" spans="1:5" x14ac:dyDescent="0.25">
      <c r="A1" t="s">
        <v>27</v>
      </c>
      <c r="B1">
        <v>33</v>
      </c>
      <c r="D1" t="s">
        <v>29</v>
      </c>
      <c r="E1">
        <v>8</v>
      </c>
    </row>
    <row r="2" spans="1:5" x14ac:dyDescent="0.25">
      <c r="A2" t="s">
        <v>28</v>
      </c>
      <c r="B2">
        <v>91</v>
      </c>
    </row>
    <row r="5" spans="1:5" x14ac:dyDescent="0.25">
      <c r="A5" t="s">
        <v>30</v>
      </c>
      <c r="B5">
        <f>(E1*B1)/8</f>
        <v>33</v>
      </c>
      <c r="C5" t="str">
        <f>DEC2HEX(B5)</f>
        <v>21</v>
      </c>
    </row>
    <row r="8" spans="1:5" x14ac:dyDescent="0.25">
      <c r="A8" t="s">
        <v>31</v>
      </c>
      <c r="B8">
        <v>2048</v>
      </c>
    </row>
    <row r="9" spans="1:5" x14ac:dyDescent="0.25">
      <c r="A9" t="s">
        <v>32</v>
      </c>
      <c r="B9">
        <f>HEX2DEC(C9)</f>
        <v>20480</v>
      </c>
      <c r="C9">
        <v>5000</v>
      </c>
    </row>
    <row r="10" spans="1:5" x14ac:dyDescent="0.25">
      <c r="A10" t="s">
        <v>33</v>
      </c>
      <c r="B10">
        <f>B9+B8</f>
        <v>22528</v>
      </c>
      <c r="C10" t="str">
        <f>DEC2HEX(B10)</f>
        <v>5800</v>
      </c>
    </row>
    <row r="12" spans="1:5" x14ac:dyDescent="0.25">
      <c r="A12" t="s">
        <v>34</v>
      </c>
      <c r="B12">
        <f>B10+B5</f>
        <v>22561</v>
      </c>
      <c r="C12" t="str">
        <f>DEC2HEX(B12)</f>
        <v>5821</v>
      </c>
    </row>
    <row r="13" spans="1:5" x14ac:dyDescent="0.25">
      <c r="A13" t="s">
        <v>35</v>
      </c>
      <c r="B13">
        <f>B2*8</f>
        <v>728</v>
      </c>
      <c r="C13" t="str">
        <f>DEC2HEX(B13)</f>
        <v>2D8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D334-D357-41C3-82E6-BD25F0D9B351}">
  <dimension ref="A1:K13"/>
  <sheetViews>
    <sheetView workbookViewId="0">
      <selection activeCell="F4" sqref="F4"/>
    </sheetView>
  </sheetViews>
  <sheetFormatPr defaultRowHeight="15" x14ac:dyDescent="0.25"/>
  <cols>
    <col min="3" max="3" width="9.7109375" customWidth="1"/>
    <col min="4" max="4" width="13.5703125" customWidth="1"/>
    <col min="5" max="5" width="23.42578125" customWidth="1"/>
    <col min="6" max="6" width="9.140625" customWidth="1"/>
    <col min="7" max="7" width="12.28515625" customWidth="1"/>
    <col min="8" max="8" width="14.5703125" customWidth="1"/>
    <col min="9" max="9" width="12.42578125" customWidth="1"/>
  </cols>
  <sheetData>
    <row r="1" spans="1:11" x14ac:dyDescent="0.25">
      <c r="E1" s="1" t="s">
        <v>71</v>
      </c>
      <c r="H1" s="1" t="s">
        <v>76</v>
      </c>
      <c r="I1">
        <v>512</v>
      </c>
    </row>
    <row r="2" spans="1:11" x14ac:dyDescent="0.25">
      <c r="B2" s="1" t="s">
        <v>67</v>
      </c>
      <c r="C2" s="1" t="s">
        <v>68</v>
      </c>
      <c r="D2" t="s">
        <v>80</v>
      </c>
      <c r="E2" t="s">
        <v>72</v>
      </c>
      <c r="F2" t="str">
        <f>DEC2HEX(B4/I1)</f>
        <v>20</v>
      </c>
    </row>
    <row r="3" spans="1:11" x14ac:dyDescent="0.25">
      <c r="A3" s="5" t="s">
        <v>79</v>
      </c>
      <c r="B3">
        <v>4000</v>
      </c>
      <c r="C3">
        <v>6800</v>
      </c>
      <c r="D3">
        <v>18000</v>
      </c>
      <c r="E3" t="s">
        <v>73</v>
      </c>
      <c r="F3" t="str">
        <f>DEC2HEX(C4/I1)</f>
        <v>34</v>
      </c>
      <c r="H3" t="s">
        <v>36</v>
      </c>
      <c r="I3">
        <v>32</v>
      </c>
      <c r="J3" t="str">
        <f>"$" &amp; DEC2HEX(I3*1024)</f>
        <v>$8000</v>
      </c>
    </row>
    <row r="4" spans="1:11" x14ac:dyDescent="0.25">
      <c r="B4" s="6">
        <f>HEX2DEC(B3)</f>
        <v>16384</v>
      </c>
      <c r="C4" s="6">
        <f>HEX2DEC(C3)</f>
        <v>26624</v>
      </c>
      <c r="D4" s="6">
        <f>HEX2DEC(D3)</f>
        <v>98304</v>
      </c>
      <c r="E4" t="s">
        <v>74</v>
      </c>
      <c r="F4" t="str">
        <f>DEC2HEX(D4/I1)</f>
        <v>C0</v>
      </c>
      <c r="H4" t="s">
        <v>37</v>
      </c>
      <c r="I4">
        <v>64</v>
      </c>
      <c r="J4" t="str">
        <f>"$" &amp; DEC2HEX(I4*1024)</f>
        <v>$10000</v>
      </c>
    </row>
    <row r="5" spans="1:11" x14ac:dyDescent="0.25">
      <c r="G5" s="1"/>
      <c r="I5" s="4">
        <f>SUM(I3:I4)</f>
        <v>96</v>
      </c>
      <c r="J5" t="str">
        <f>"$" &amp; DEC2HEX(I5*1024)</f>
        <v>$18000</v>
      </c>
    </row>
    <row r="7" spans="1:11" x14ac:dyDescent="0.25">
      <c r="B7" s="1" t="s">
        <v>83</v>
      </c>
      <c r="D7" s="1"/>
      <c r="H7" s="1" t="s">
        <v>69</v>
      </c>
      <c r="I7">
        <f>320*256/8</f>
        <v>10240</v>
      </c>
      <c r="J7" t="str">
        <f>"$" &amp; DEC2HEX(I7)</f>
        <v>$2800</v>
      </c>
      <c r="K7" s="1" t="s">
        <v>70</v>
      </c>
    </row>
    <row r="8" spans="1:11" x14ac:dyDescent="0.25">
      <c r="D8" s="1" t="s">
        <v>81</v>
      </c>
      <c r="F8" s="1" t="s">
        <v>82</v>
      </c>
      <c r="I8">
        <f>I7*4</f>
        <v>40960</v>
      </c>
      <c r="J8" t="str">
        <f>"$" &amp; DEC2HEX(I8)</f>
        <v>$A000</v>
      </c>
      <c r="K8" s="1" t="s">
        <v>75</v>
      </c>
    </row>
    <row r="9" spans="1:11" x14ac:dyDescent="0.25">
      <c r="C9" s="5" t="s">
        <v>79</v>
      </c>
      <c r="D9" s="8">
        <v>391</v>
      </c>
      <c r="E9" s="7" t="s">
        <v>79</v>
      </c>
      <c r="F9" s="8">
        <f>DEC2HEX(F10+D4)*D11</f>
        <v>0</v>
      </c>
      <c r="I9">
        <v>32768</v>
      </c>
      <c r="J9" t="str">
        <f>"$" &amp; DEC2HEX(I9)</f>
        <v>$8000</v>
      </c>
      <c r="K9" s="1" t="s">
        <v>77</v>
      </c>
    </row>
    <row r="10" spans="1:11" x14ac:dyDescent="0.25">
      <c r="D10" s="9">
        <f>HEX2DEC(D9)</f>
        <v>913</v>
      </c>
      <c r="F10" s="9">
        <f>(D10-B4)*D11</f>
        <v>0</v>
      </c>
      <c r="I10">
        <v>256</v>
      </c>
      <c r="J10" t="str">
        <f>"$" &amp; DEC2HEX(I10)</f>
        <v>$100</v>
      </c>
      <c r="K10" s="1" t="s">
        <v>78</v>
      </c>
    </row>
    <row r="11" spans="1:11" x14ac:dyDescent="0.25">
      <c r="D11" s="9">
        <f>IF(AND((D9&gt;=B3), (D9 &lt; C3)), 1, 0)</f>
        <v>0</v>
      </c>
    </row>
    <row r="13" spans="1:11" x14ac:dyDescent="0.25">
      <c r="B13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675F-5021-4351-84F4-26A676604FC9}">
  <dimension ref="A1:P17"/>
  <sheetViews>
    <sheetView workbookViewId="0">
      <selection activeCell="O14" sqref="O14"/>
    </sheetView>
  </sheetViews>
  <sheetFormatPr defaultRowHeight="15" x14ac:dyDescent="0.25"/>
  <cols>
    <col min="5" max="5" width="35.140625" customWidth="1"/>
    <col min="6" max="6" width="11.5703125" customWidth="1"/>
  </cols>
  <sheetData>
    <row r="1" spans="1:16" x14ac:dyDescent="0.25">
      <c r="A1" s="1" t="s">
        <v>100</v>
      </c>
    </row>
    <row r="3" spans="1:16" x14ac:dyDescent="0.25">
      <c r="A3" s="1" t="s">
        <v>101</v>
      </c>
    </row>
    <row r="4" spans="1:16" x14ac:dyDescent="0.25">
      <c r="A4" s="1" t="s">
        <v>104</v>
      </c>
      <c r="I4" s="1" t="s">
        <v>109</v>
      </c>
    </row>
    <row r="6" spans="1:16" x14ac:dyDescent="0.25">
      <c r="E6" s="4" t="s">
        <v>103</v>
      </c>
      <c r="I6" s="1" t="s">
        <v>36</v>
      </c>
      <c r="J6">
        <v>16</v>
      </c>
      <c r="K6">
        <v>0</v>
      </c>
      <c r="L6" t="str">
        <f>DEC2HEX(J6*1024)</f>
        <v>4000</v>
      </c>
    </row>
    <row r="7" spans="1:16" x14ac:dyDescent="0.25">
      <c r="E7" s="4" t="s">
        <v>105</v>
      </c>
      <c r="I7" s="1" t="s">
        <v>91</v>
      </c>
      <c r="J7">
        <v>4</v>
      </c>
      <c r="K7">
        <v>8000</v>
      </c>
      <c r="L7" t="s">
        <v>107</v>
      </c>
      <c r="M7" t="s">
        <v>108</v>
      </c>
    </row>
    <row r="8" spans="1:16" x14ac:dyDescent="0.25">
      <c r="E8" s="4" t="s">
        <v>106</v>
      </c>
    </row>
    <row r="9" spans="1:16" x14ac:dyDescent="0.25">
      <c r="I9" s="11" t="s">
        <v>111</v>
      </c>
    </row>
    <row r="10" spans="1:16" x14ac:dyDescent="0.25">
      <c r="I10" s="1" t="s">
        <v>110</v>
      </c>
      <c r="J10" s="12">
        <f>64*1024</f>
        <v>65536</v>
      </c>
      <c r="K10" t="s">
        <v>65</v>
      </c>
    </row>
    <row r="11" spans="1:16" x14ac:dyDescent="0.25">
      <c r="I11" s="7" t="s">
        <v>79</v>
      </c>
      <c r="J11" s="12" t="str">
        <f>DEC2HEX(J10)</f>
        <v>10000</v>
      </c>
      <c r="K11" t="s">
        <v>65</v>
      </c>
    </row>
    <row r="13" spans="1:16" x14ac:dyDescent="0.25">
      <c r="F13" t="s">
        <v>112</v>
      </c>
      <c r="G13" s="8">
        <f>320*256/8</f>
        <v>10240</v>
      </c>
    </row>
    <row r="14" spans="1:16" x14ac:dyDescent="0.25">
      <c r="G14" s="8" t="str">
        <f>DEC2HEX(G13)</f>
        <v>2800</v>
      </c>
      <c r="J14" s="1">
        <v>0</v>
      </c>
      <c r="K14" s="13">
        <f>J10-G13</f>
        <v>55296</v>
      </c>
      <c r="L14" s="1" t="str">
        <f>DEC2HEX(K14)</f>
        <v>D800</v>
      </c>
      <c r="M14">
        <f>K14+$G$13-1</f>
        <v>65535</v>
      </c>
      <c r="N14" t="str">
        <f>DEC2HEX(M14)</f>
        <v>FFFF</v>
      </c>
      <c r="O14">
        <f>16+(K14/1024)</f>
        <v>70</v>
      </c>
      <c r="P14">
        <f>16+INT(M14/1024)</f>
        <v>79</v>
      </c>
    </row>
    <row r="15" spans="1:16" x14ac:dyDescent="0.25">
      <c r="G15">
        <f>G13*4</f>
        <v>40960</v>
      </c>
      <c r="J15" s="1">
        <v>1</v>
      </c>
      <c r="K15" s="13">
        <f>K14-$G$13</f>
        <v>45056</v>
      </c>
      <c r="L15" s="1" t="str">
        <f t="shared" ref="L15:L17" si="0">DEC2HEX(K15)</f>
        <v>B000</v>
      </c>
      <c r="M15">
        <f t="shared" ref="M15:M17" si="1">K15+$G$13-1</f>
        <v>55295</v>
      </c>
      <c r="N15" t="str">
        <f t="shared" ref="N15:N17" si="2">DEC2HEX(M15)</f>
        <v>D7FF</v>
      </c>
      <c r="O15">
        <f t="shared" ref="O15:O17" si="3">16+K15/1024</f>
        <v>60</v>
      </c>
      <c r="P15">
        <f t="shared" ref="P15:P17" si="4">16+INT(M15/1024)</f>
        <v>69</v>
      </c>
    </row>
    <row r="16" spans="1:16" x14ac:dyDescent="0.25">
      <c r="J16" s="1">
        <v>2</v>
      </c>
      <c r="K16" s="13">
        <f t="shared" ref="K16:K17" si="5">K15-$G$13</f>
        <v>34816</v>
      </c>
      <c r="L16" s="1" t="str">
        <f t="shared" si="0"/>
        <v>8800</v>
      </c>
      <c r="M16">
        <f t="shared" si="1"/>
        <v>45055</v>
      </c>
      <c r="N16" t="str">
        <f t="shared" si="2"/>
        <v>AFFF</v>
      </c>
      <c r="O16">
        <f t="shared" si="3"/>
        <v>50</v>
      </c>
      <c r="P16">
        <f t="shared" si="4"/>
        <v>59</v>
      </c>
    </row>
    <row r="17" spans="10:16" x14ac:dyDescent="0.25">
      <c r="J17" s="1">
        <v>3</v>
      </c>
      <c r="K17" s="13">
        <f t="shared" si="5"/>
        <v>24576</v>
      </c>
      <c r="L17" s="1" t="str">
        <f t="shared" si="0"/>
        <v>6000</v>
      </c>
      <c r="M17">
        <f t="shared" si="1"/>
        <v>34815</v>
      </c>
      <c r="N17" t="str">
        <f t="shared" si="2"/>
        <v>87FF</v>
      </c>
      <c r="O17">
        <f t="shared" si="3"/>
        <v>40</v>
      </c>
      <c r="P17">
        <f t="shared" si="4"/>
        <v>49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B4B7-4EBC-4356-AC3D-4D1D50087B26}">
  <dimension ref="A1:R24"/>
  <sheetViews>
    <sheetView tabSelected="1" workbookViewId="0">
      <selection activeCell="M19" sqref="M19"/>
    </sheetView>
  </sheetViews>
  <sheetFormatPr defaultRowHeight="15" x14ac:dyDescent="0.25"/>
  <cols>
    <col min="3" max="3" width="19.140625" customWidth="1"/>
    <col min="6" max="6" width="7.42578125" customWidth="1"/>
    <col min="7" max="7" width="28.42578125" customWidth="1"/>
    <col min="10" max="10" width="11" customWidth="1"/>
    <col min="12" max="12" width="5.42578125" customWidth="1"/>
    <col min="13" max="13" width="15.5703125" customWidth="1"/>
    <col min="14" max="14" width="8.85546875" customWidth="1"/>
    <col min="16" max="16" width="9.42578125" customWidth="1"/>
    <col min="17" max="17" width="13.42578125" customWidth="1"/>
  </cols>
  <sheetData>
    <row r="1" spans="1:16" x14ac:dyDescent="0.25">
      <c r="A1" s="1" t="s">
        <v>102</v>
      </c>
    </row>
    <row r="3" spans="1:16" x14ac:dyDescent="0.25">
      <c r="A3">
        <v>16</v>
      </c>
      <c r="B3">
        <f>SUM(A3:A4)*1024</f>
        <v>81920</v>
      </c>
      <c r="C3" t="s">
        <v>84</v>
      </c>
    </row>
    <row r="4" spans="1:16" x14ac:dyDescent="0.25">
      <c r="A4">
        <v>64</v>
      </c>
    </row>
    <row r="5" spans="1:16" x14ac:dyDescent="0.25">
      <c r="B5">
        <v>1024</v>
      </c>
      <c r="C5" t="s">
        <v>76</v>
      </c>
      <c r="F5">
        <f>320*256/8</f>
        <v>10240</v>
      </c>
      <c r="G5" t="s">
        <v>70</v>
      </c>
      <c r="J5">
        <f>F5*4</f>
        <v>40960</v>
      </c>
    </row>
    <row r="6" spans="1:16" x14ac:dyDescent="0.25">
      <c r="F6">
        <f>F5/B5</f>
        <v>10</v>
      </c>
      <c r="G6" t="s">
        <v>86</v>
      </c>
      <c r="J6">
        <f>B3-J5</f>
        <v>40960</v>
      </c>
      <c r="K6" t="str">
        <f>DEC2HEX(J6)</f>
        <v>A000</v>
      </c>
    </row>
    <row r="8" spans="1:16" x14ac:dyDescent="0.25">
      <c r="B8">
        <f>B3/B5</f>
        <v>80</v>
      </c>
      <c r="C8" t="s">
        <v>85</v>
      </c>
      <c r="J8" t="s">
        <v>98</v>
      </c>
      <c r="K8">
        <f>B3-J5</f>
        <v>40960</v>
      </c>
    </row>
    <row r="9" spans="1:16" x14ac:dyDescent="0.25">
      <c r="J9" t="s">
        <v>99</v>
      </c>
      <c r="K9">
        <f>K8+J5</f>
        <v>81920</v>
      </c>
    </row>
    <row r="11" spans="1:16" x14ac:dyDescent="0.25">
      <c r="J11" t="str">
        <f>DEC2HEX(32*1024)</f>
        <v>8000</v>
      </c>
    </row>
    <row r="12" spans="1:16" x14ac:dyDescent="0.25">
      <c r="D12" t="s">
        <v>87</v>
      </c>
      <c r="E12">
        <v>512</v>
      </c>
      <c r="F12">
        <f>INT(E12/B5)</f>
        <v>0</v>
      </c>
    </row>
    <row r="15" spans="1:16" x14ac:dyDescent="0.25">
      <c r="F15" t="s">
        <v>89</v>
      </c>
      <c r="H15" t="s">
        <v>82</v>
      </c>
    </row>
    <row r="16" spans="1:16" x14ac:dyDescent="0.25">
      <c r="C16" t="s">
        <v>88</v>
      </c>
      <c r="E16" t="str">
        <f t="shared" ref="E16:E18" si="0">DEC2HEX(F16*$B$5)</f>
        <v>0</v>
      </c>
      <c r="F16">
        <v>0</v>
      </c>
      <c r="G16" t="s">
        <v>90</v>
      </c>
      <c r="H16">
        <v>0</v>
      </c>
      <c r="L16" s="1" t="s">
        <v>115</v>
      </c>
      <c r="P16" s="1" t="s">
        <v>113</v>
      </c>
    </row>
    <row r="17" spans="5:18" x14ac:dyDescent="0.25">
      <c r="E17" t="str">
        <f t="shared" si="0"/>
        <v>400</v>
      </c>
      <c r="F17">
        <v>1</v>
      </c>
      <c r="G17" t="s">
        <v>92</v>
      </c>
      <c r="H17">
        <v>400</v>
      </c>
      <c r="M17" s="1" t="s">
        <v>116</v>
      </c>
      <c r="N17" s="1" t="s">
        <v>89</v>
      </c>
      <c r="Q17" s="1" t="s">
        <v>114</v>
      </c>
      <c r="R17" s="1" t="s">
        <v>89</v>
      </c>
    </row>
    <row r="18" spans="5:18" x14ac:dyDescent="0.25">
      <c r="E18" t="str">
        <f t="shared" si="0"/>
        <v>800</v>
      </c>
      <c r="F18">
        <v>2</v>
      </c>
      <c r="G18" t="s">
        <v>92</v>
      </c>
      <c r="H18">
        <v>800</v>
      </c>
      <c r="L18" s="5" t="s">
        <v>79</v>
      </c>
      <c r="M18" s="2" t="s">
        <v>117</v>
      </c>
      <c r="N18" s="2" t="str">
        <f>DEC2HEX(N19)</f>
        <v>35</v>
      </c>
      <c r="O18" s="5"/>
      <c r="P18" s="5" t="s">
        <v>79</v>
      </c>
      <c r="Q18" s="2" t="s">
        <v>96</v>
      </c>
      <c r="R18" s="2" t="str">
        <f>DEC2HEX(R19)</f>
        <v>46</v>
      </c>
    </row>
    <row r="19" spans="5:18" x14ac:dyDescent="0.25">
      <c r="E19" t="str">
        <f t="shared" ref="E19:E24" si="1">DEC2HEX(F19*$B$5)</f>
        <v>C00</v>
      </c>
      <c r="F19">
        <v>3</v>
      </c>
      <c r="G19" t="s">
        <v>93</v>
      </c>
      <c r="H19" t="s">
        <v>95</v>
      </c>
      <c r="M19" s="10">
        <f>HEX2DEC(M18)</f>
        <v>54272</v>
      </c>
      <c r="N19" s="10">
        <f>M19/B5</f>
        <v>53</v>
      </c>
      <c r="Q19" s="10">
        <f>(A3*1024)+HEX2DEC(Q18)</f>
        <v>71680</v>
      </c>
      <c r="R19" s="10">
        <f>Q19/B5</f>
        <v>70</v>
      </c>
    </row>
    <row r="20" spans="5:18" x14ac:dyDescent="0.25">
      <c r="E20" t="str">
        <f t="shared" si="1"/>
        <v>6000</v>
      </c>
      <c r="F20">
        <v>24</v>
      </c>
      <c r="G20" t="s">
        <v>94</v>
      </c>
      <c r="H20" t="s">
        <v>97</v>
      </c>
    </row>
    <row r="21" spans="5:18" x14ac:dyDescent="0.25">
      <c r="E21" t="str">
        <f t="shared" si="1"/>
        <v>8800</v>
      </c>
      <c r="F21">
        <f>F20+10</f>
        <v>34</v>
      </c>
      <c r="G21" t="s">
        <v>94</v>
      </c>
    </row>
    <row r="22" spans="5:18" x14ac:dyDescent="0.25">
      <c r="E22" t="str">
        <f t="shared" si="1"/>
        <v>B000</v>
      </c>
      <c r="F22">
        <f t="shared" ref="F22:F24" si="2">F21+10</f>
        <v>44</v>
      </c>
      <c r="G22" t="s">
        <v>94</v>
      </c>
    </row>
    <row r="23" spans="5:18" x14ac:dyDescent="0.25">
      <c r="E23" t="str">
        <f t="shared" si="1"/>
        <v>D800</v>
      </c>
      <c r="F23">
        <f t="shared" si="2"/>
        <v>54</v>
      </c>
      <c r="G23" t="s">
        <v>94</v>
      </c>
    </row>
    <row r="24" spans="5:18" x14ac:dyDescent="0.25">
      <c r="E24" t="str">
        <f t="shared" si="1"/>
        <v>10000</v>
      </c>
      <c r="F24">
        <f t="shared" si="2"/>
        <v>64</v>
      </c>
      <c r="G24" t="s"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Addresses</vt:lpstr>
      <vt:lpstr>AddressesIdea2</vt:lpstr>
      <vt:lpstr>Uses</vt:lpstr>
      <vt:lpstr>Graphics</vt:lpstr>
      <vt:lpstr>Tiles</vt:lpstr>
      <vt:lpstr>Software MMU Calculator</vt:lpstr>
      <vt:lpstr>Real Mode</vt:lpstr>
      <vt:lpstr>Virtual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dcterms:created xsi:type="dcterms:W3CDTF">2017-11-05T14:04:00Z</dcterms:created>
  <dcterms:modified xsi:type="dcterms:W3CDTF">2017-12-07T17:58:16Z</dcterms:modified>
</cp:coreProperties>
</file>