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pprentice Training\B. Mulliner\Portfolio\Mechanical Piped Services\"/>
    </mc:Choice>
  </mc:AlternateContent>
  <bookViews>
    <workbookView xWindow="0" yWindow="7800" windowWidth="28800" windowHeight="12285" tabRatio="903"/>
  </bookViews>
  <sheets>
    <sheet name="P101" sheetId="20" r:id="rId1"/>
    <sheet name="P102" sheetId="17" r:id="rId2"/>
    <sheet name="P103" sheetId="15" r:id="rId3"/>
    <sheet name="P104" sheetId="2" r:id="rId4"/>
    <sheet name="P105" sheetId="12" r:id="rId5"/>
    <sheet name="50-1HS01-DW-1,2,3" sheetId="5" r:id="rId6"/>
    <sheet name="50-2HS01-SW-4" sheetId="8" r:id="rId7"/>
    <sheet name="65-10HS01-DW-5" sheetId="6" r:id="rId8"/>
    <sheet name="50-10HS01-RW-6" sheetId="7" r:id="rId9"/>
    <sheet name="50-2HS01-SW-7" sheetId="9" r:id="rId10"/>
    <sheet name="150-2HS01-WW-8" sheetId="10" r:id="rId11"/>
    <sheet name="65-10HS01-DW-9" sheetId="11" r:id="rId12"/>
    <sheet name="80-10HS01-PW-11" sheetId="21" r:id="rId13"/>
    <sheet name="25-10HS01-SW-13" sheetId="18" r:id="rId14"/>
    <sheet name="Max Supply Req. Calculations" sheetId="1" r:id="rId15"/>
    <sheet name="Calorifier Calcs" sheetId="16" r:id="rId16"/>
    <sheet name="Miscellaneous Pressure Losses" sheetId="4" r:id="rId17"/>
  </sheets>
  <definedNames>
    <definedName name="xfd">'Max Supply Req. Calculations'!$L$26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L42" i="1"/>
  <c r="L45" i="1" s="1"/>
  <c r="P38" i="1" s="1"/>
  <c r="L32" i="1" l="1"/>
  <c r="L31" i="1"/>
  <c r="M28" i="1"/>
  <c r="L28" i="1"/>
  <c r="L24" i="1" l="1"/>
  <c r="F12" i="21" l="1"/>
  <c r="E12" i="21"/>
  <c r="D12" i="21"/>
  <c r="F10" i="21"/>
  <c r="E10" i="21"/>
  <c r="D10" i="21"/>
  <c r="F8" i="21"/>
  <c r="E8" i="21"/>
  <c r="D8" i="21"/>
  <c r="F6" i="21"/>
  <c r="L29" i="20"/>
  <c r="L31" i="20" s="1"/>
  <c r="E29" i="20"/>
  <c r="E31" i="20" s="1"/>
  <c r="E24" i="17"/>
  <c r="E23" i="17"/>
  <c r="L23" i="17" s="1"/>
  <c r="E29" i="17"/>
  <c r="E31" i="17" s="1"/>
  <c r="E26" i="12"/>
  <c r="E26" i="15"/>
  <c r="Q2" i="4"/>
  <c r="Q1" i="4"/>
  <c r="G9" i="18"/>
  <c r="G6" i="18"/>
  <c r="E9" i="18"/>
  <c r="F9" i="18"/>
  <c r="D9" i="18"/>
  <c r="E6" i="18"/>
  <c r="F6" i="18"/>
  <c r="D6" i="18"/>
  <c r="F3" i="18"/>
  <c r="E3" i="18"/>
  <c r="D3" i="18"/>
  <c r="G12" i="18"/>
  <c r="F12" i="18"/>
  <c r="E12" i="18"/>
  <c r="D12" i="18"/>
  <c r="G10" i="18"/>
  <c r="F10" i="18"/>
  <c r="E10" i="18"/>
  <c r="D10" i="18"/>
  <c r="G8" i="18"/>
  <c r="F8" i="18"/>
  <c r="E8" i="18"/>
  <c r="D8" i="18"/>
  <c r="V4" i="16"/>
  <c r="L29" i="17"/>
  <c r="L31" i="17" s="1"/>
  <c r="K18" i="17"/>
  <c r="L41" i="17" s="1"/>
  <c r="Q6" i="16"/>
  <c r="F7" i="16"/>
  <c r="E6" i="21" l="1"/>
  <c r="F9" i="21"/>
  <c r="E23" i="20" s="1"/>
  <c r="L23" i="20" s="1"/>
  <c r="E9" i="21"/>
  <c r="D9" i="21"/>
  <c r="K17" i="20"/>
  <c r="K18" i="20" s="1"/>
  <c r="L41" i="20" s="1"/>
  <c r="D3" i="21"/>
  <c r="F3" i="21"/>
  <c r="D6" i="21"/>
  <c r="E3" i="21"/>
  <c r="F13" i="21"/>
  <c r="E24" i="20" s="1"/>
  <c r="E26" i="20" s="1"/>
  <c r="E13" i="21"/>
  <c r="D13" i="21"/>
  <c r="E33" i="20"/>
  <c r="L24" i="20"/>
  <c r="E26" i="17"/>
  <c r="E33" i="17" s="1"/>
  <c r="L34" i="17" s="1"/>
  <c r="G13" i="18"/>
  <c r="F13" i="18"/>
  <c r="D13" i="18"/>
  <c r="E13" i="18"/>
  <c r="L24" i="17"/>
  <c r="B4" i="16"/>
  <c r="L26" i="15"/>
  <c r="E24" i="15"/>
  <c r="E33" i="15" s="1"/>
  <c r="E23" i="15"/>
  <c r="L41" i="15"/>
  <c r="E31" i="15"/>
  <c r="L29" i="15"/>
  <c r="L31" i="15" s="1"/>
  <c r="L23" i="15"/>
  <c r="K18" i="15"/>
  <c r="E16" i="15"/>
  <c r="H12" i="7"/>
  <c r="H13" i="7" s="1"/>
  <c r="G12" i="7"/>
  <c r="F12" i="7"/>
  <c r="F13" i="7" s="1"/>
  <c r="E12" i="7"/>
  <c r="D12" i="7"/>
  <c r="D13" i="7" s="1"/>
  <c r="H10" i="7"/>
  <c r="G10" i="7"/>
  <c r="F10" i="7"/>
  <c r="E10" i="7"/>
  <c r="D10" i="7"/>
  <c r="H9" i="7"/>
  <c r="F9" i="7"/>
  <c r="D9" i="7"/>
  <c r="H8" i="7"/>
  <c r="G8" i="7"/>
  <c r="G9" i="7" s="1"/>
  <c r="G13" i="7" s="1"/>
  <c r="F8" i="7"/>
  <c r="E8" i="7"/>
  <c r="E9" i="7" s="1"/>
  <c r="E13" i="7" s="1"/>
  <c r="D8" i="7"/>
  <c r="H6" i="7"/>
  <c r="G6" i="7"/>
  <c r="F6" i="7"/>
  <c r="E6" i="7"/>
  <c r="D6" i="7"/>
  <c r="F3" i="7"/>
  <c r="E3" i="7"/>
  <c r="D3" i="7"/>
  <c r="K18" i="12"/>
  <c r="G9" i="8"/>
  <c r="H9" i="8"/>
  <c r="G6" i="8"/>
  <c r="H6" i="8"/>
  <c r="E9" i="8"/>
  <c r="F9" i="8"/>
  <c r="D9" i="8"/>
  <c r="F6" i="8"/>
  <c r="E6" i="8"/>
  <c r="D6" i="8"/>
  <c r="F3" i="8"/>
  <c r="E3" i="8"/>
  <c r="D3" i="8"/>
  <c r="O2" i="4"/>
  <c r="L2" i="4"/>
  <c r="O1" i="4"/>
  <c r="D13" i="1"/>
  <c r="E31" i="12"/>
  <c r="L29" i="12"/>
  <c r="L31" i="12" s="1"/>
  <c r="E16" i="12"/>
  <c r="L29" i="2"/>
  <c r="L31" i="2" s="1"/>
  <c r="L1" i="4"/>
  <c r="E31" i="2"/>
  <c r="L26" i="20" l="1"/>
  <c r="L33" i="20" s="1"/>
  <c r="E35" i="20"/>
  <c r="E36" i="20" s="1"/>
  <c r="L34" i="20"/>
  <c r="L26" i="17"/>
  <c r="L33" i="17" s="1"/>
  <c r="L35" i="17" s="1"/>
  <c r="E41" i="17" s="1"/>
  <c r="E35" i="17"/>
  <c r="E36" i="17" s="1"/>
  <c r="E35" i="15"/>
  <c r="E36" i="15" s="1"/>
  <c r="L34" i="15"/>
  <c r="L24" i="15"/>
  <c r="L33" i="15" s="1"/>
  <c r="L41" i="12"/>
  <c r="G8" i="11"/>
  <c r="H8" i="11"/>
  <c r="G10" i="11"/>
  <c r="H10" i="11"/>
  <c r="G12" i="11"/>
  <c r="H12" i="11"/>
  <c r="F12" i="11"/>
  <c r="E12" i="11"/>
  <c r="D12" i="11"/>
  <c r="F10" i="11"/>
  <c r="E10" i="11"/>
  <c r="D10" i="11"/>
  <c r="F8" i="11"/>
  <c r="E8" i="11"/>
  <c r="D8" i="11"/>
  <c r="G10" i="10"/>
  <c r="H10" i="10"/>
  <c r="H12" i="10"/>
  <c r="G12" i="10"/>
  <c r="H8" i="10"/>
  <c r="G8" i="10"/>
  <c r="F12" i="10"/>
  <c r="E12" i="10"/>
  <c r="D12" i="10"/>
  <c r="F10" i="10"/>
  <c r="E10" i="10"/>
  <c r="D10" i="10"/>
  <c r="F8" i="10"/>
  <c r="E8" i="10"/>
  <c r="D8" i="10"/>
  <c r="D3" i="1"/>
  <c r="D4" i="1"/>
  <c r="L4" i="1"/>
  <c r="L11" i="1" s="1"/>
  <c r="L3" i="1"/>
  <c r="G12" i="9"/>
  <c r="H12" i="9"/>
  <c r="G10" i="9"/>
  <c r="H10" i="9"/>
  <c r="G8" i="9"/>
  <c r="H8" i="9"/>
  <c r="F12" i="9"/>
  <c r="E12" i="9"/>
  <c r="D12" i="9"/>
  <c r="F10" i="9"/>
  <c r="E10" i="9"/>
  <c r="D10" i="9"/>
  <c r="F8" i="9"/>
  <c r="E8" i="9"/>
  <c r="D8" i="9"/>
  <c r="T3" i="1"/>
  <c r="H12" i="8"/>
  <c r="G12" i="8"/>
  <c r="G10" i="8"/>
  <c r="H10" i="8"/>
  <c r="G8" i="8"/>
  <c r="H8" i="8"/>
  <c r="F12" i="8"/>
  <c r="E12" i="8"/>
  <c r="D12" i="8"/>
  <c r="F10" i="8"/>
  <c r="E10" i="8"/>
  <c r="D10" i="8"/>
  <c r="F8" i="8"/>
  <c r="E8" i="8"/>
  <c r="D8" i="8"/>
  <c r="L35" i="20" l="1"/>
  <c r="L36" i="20"/>
  <c r="E42" i="20" s="1"/>
  <c r="E41" i="20"/>
  <c r="L36" i="17"/>
  <c r="E42" i="17" s="1"/>
  <c r="L35" i="15"/>
  <c r="E41" i="15"/>
  <c r="L36" i="15"/>
  <c r="E42" i="15" s="1"/>
  <c r="G13" i="8"/>
  <c r="H13" i="8"/>
  <c r="E24" i="12" s="1"/>
  <c r="E23" i="12"/>
  <c r="F13" i="8"/>
  <c r="D13" i="8"/>
  <c r="E13" i="8"/>
  <c r="H12" i="6"/>
  <c r="H10" i="6"/>
  <c r="H8" i="6"/>
  <c r="G12" i="6"/>
  <c r="G10" i="6"/>
  <c r="G8" i="6"/>
  <c r="F12" i="6"/>
  <c r="E12" i="6"/>
  <c r="D12" i="6"/>
  <c r="F10" i="6"/>
  <c r="E10" i="6"/>
  <c r="D10" i="6"/>
  <c r="F8" i="6"/>
  <c r="E8" i="6"/>
  <c r="D8" i="6"/>
  <c r="G12" i="5"/>
  <c r="F12" i="5"/>
  <c r="E12" i="5"/>
  <c r="D12" i="5"/>
  <c r="G10" i="5"/>
  <c r="F10" i="5"/>
  <c r="E10" i="5"/>
  <c r="D10" i="5"/>
  <c r="G8" i="5"/>
  <c r="G9" i="5" s="1"/>
  <c r="G13" i="5" s="1"/>
  <c r="F8" i="5"/>
  <c r="F9" i="5" s="1"/>
  <c r="E8" i="5"/>
  <c r="E9" i="5" s="1"/>
  <c r="D8" i="5"/>
  <c r="D9" i="5" s="1"/>
  <c r="G6" i="5"/>
  <c r="F6" i="5"/>
  <c r="E6" i="5"/>
  <c r="D6" i="5"/>
  <c r="F3" i="5"/>
  <c r="E3" i="5"/>
  <c r="D3" i="5"/>
  <c r="P18" i="1"/>
  <c r="E16" i="2"/>
  <c r="E13" i="5" l="1"/>
  <c r="F13" i="5"/>
  <c r="D13" i="5"/>
  <c r="H3" i="1"/>
  <c r="H5" i="1"/>
  <c r="H4" i="1"/>
  <c r="D7" i="1"/>
  <c r="D6" i="1"/>
  <c r="D5" i="1"/>
  <c r="P3" i="1"/>
  <c r="P10" i="1" s="1"/>
  <c r="L10" i="1" l="1"/>
  <c r="S4" i="1"/>
  <c r="T4" i="1" s="1"/>
  <c r="H11" i="1"/>
  <c r="H13" i="1" s="1"/>
  <c r="H10" i="1"/>
  <c r="D10" i="1"/>
  <c r="D11" i="1"/>
  <c r="P11" i="1"/>
  <c r="P13" i="1" s="1"/>
  <c r="K18" i="2" l="1"/>
  <c r="L41" i="2" s="1"/>
  <c r="B28" i="1"/>
  <c r="H18" i="1"/>
  <c r="L13" i="1"/>
  <c r="D3" i="6"/>
  <c r="E6" i="6"/>
  <c r="H6" i="6"/>
  <c r="E3" i="6"/>
  <c r="F6" i="6"/>
  <c r="D6" i="6"/>
  <c r="F3" i="6"/>
  <c r="G6" i="6"/>
  <c r="F9" i="6"/>
  <c r="F13" i="6" s="1"/>
  <c r="D9" i="6"/>
  <c r="D13" i="6" s="1"/>
  <c r="H9" i="6"/>
  <c r="H13" i="6" s="1"/>
  <c r="E9" i="6"/>
  <c r="E13" i="6" s="1"/>
  <c r="G9" i="6"/>
  <c r="T11" i="1"/>
  <c r="T10" i="1"/>
  <c r="G9" i="11" l="1"/>
  <c r="G13" i="11" s="1"/>
  <c r="E3" i="11"/>
  <c r="H9" i="11"/>
  <c r="H13" i="11" s="1"/>
  <c r="F3" i="11"/>
  <c r="G6" i="11"/>
  <c r="E6" i="11"/>
  <c r="H6" i="11"/>
  <c r="F6" i="11"/>
  <c r="D6" i="11"/>
  <c r="D3" i="11"/>
  <c r="F9" i="11"/>
  <c r="F13" i="11" s="1"/>
  <c r="D9" i="11"/>
  <c r="D13" i="11" s="1"/>
  <c r="E9" i="11"/>
  <c r="E13" i="11" s="1"/>
  <c r="G13" i="6"/>
  <c r="L23" i="12"/>
  <c r="E23" i="2"/>
  <c r="L23" i="2" s="1"/>
  <c r="E3" i="10"/>
  <c r="E6" i="10"/>
  <c r="F6" i="10"/>
  <c r="D6" i="10"/>
  <c r="D3" i="10"/>
  <c r="F3" i="10"/>
  <c r="G9" i="10"/>
  <c r="G13" i="10" s="1"/>
  <c r="E9" i="10"/>
  <c r="E13" i="10" s="1"/>
  <c r="G6" i="10"/>
  <c r="H9" i="10"/>
  <c r="H13" i="10" s="1"/>
  <c r="H6" i="10"/>
  <c r="D9" i="10"/>
  <c r="D13" i="10" s="1"/>
  <c r="F9" i="10"/>
  <c r="F13" i="10" s="1"/>
  <c r="L18" i="1"/>
  <c r="D15" i="1"/>
  <c r="D18" i="1" s="1"/>
  <c r="F23" i="1" s="1"/>
  <c r="T13" i="1"/>
  <c r="E24" i="2" l="1"/>
  <c r="F6" i="9"/>
  <c r="H6" i="9"/>
  <c r="D9" i="9"/>
  <c r="D13" i="9" s="1"/>
  <c r="E6" i="9"/>
  <c r="D6" i="9"/>
  <c r="F3" i="9"/>
  <c r="E3" i="9"/>
  <c r="E9" i="9"/>
  <c r="E13" i="9" s="1"/>
  <c r="F9" i="9"/>
  <c r="F13" i="9" s="1"/>
  <c r="H9" i="9"/>
  <c r="H13" i="9" s="1"/>
  <c r="G6" i="9"/>
  <c r="D3" i="9"/>
  <c r="G9" i="9"/>
  <c r="G13" i="9" s="1"/>
  <c r="E33" i="12" l="1"/>
  <c r="L24" i="12"/>
  <c r="L26" i="12" s="1"/>
  <c r="L33" i="12" s="1"/>
  <c r="L24" i="2"/>
  <c r="L26" i="2" s="1"/>
  <c r="L33" i="2" s="1"/>
  <c r="E26" i="2"/>
  <c r="E33" i="2" s="1"/>
  <c r="E35" i="2" l="1"/>
  <c r="E36" i="2" s="1"/>
  <c r="L34" i="2"/>
  <c r="L35" i="2" s="1"/>
  <c r="E35" i="12"/>
  <c r="E36" i="12" s="1"/>
  <c r="L34" i="12"/>
  <c r="L35" i="12" s="1"/>
  <c r="E41" i="12" l="1"/>
  <c r="L36" i="12"/>
  <c r="E42" i="12" s="1"/>
  <c r="L36" i="2"/>
  <c r="E42" i="2" s="1"/>
  <c r="E41" i="2"/>
</calcChain>
</file>

<file path=xl/sharedStrings.xml><?xml version="1.0" encoding="utf-8"?>
<sst xmlns="http://schemas.openxmlformats.org/spreadsheetml/2006/main" count="1063" uniqueCount="223">
  <si>
    <t>Cold Water</t>
  </si>
  <si>
    <t>Furniture</t>
  </si>
  <si>
    <t>Number</t>
  </si>
  <si>
    <t>Cat 5 Cold Water</t>
  </si>
  <si>
    <t>Hot Water</t>
  </si>
  <si>
    <t>Grey Water</t>
  </si>
  <si>
    <t>Toilet</t>
  </si>
  <si>
    <t>Shower</t>
  </si>
  <si>
    <t>Tap</t>
  </si>
  <si>
    <t>Water Cooler</t>
  </si>
  <si>
    <t>Kennel Washing Machine</t>
  </si>
  <si>
    <t>Kennel Tap</t>
  </si>
  <si>
    <t>Kennel Boiler</t>
  </si>
  <si>
    <t>Urinals</t>
  </si>
  <si>
    <t>Tea Boiler</t>
  </si>
  <si>
    <t>Assumptions:</t>
  </si>
  <si>
    <t>COTS water efficient equipment is used.</t>
  </si>
  <si>
    <t>5 minute shower.</t>
  </si>
  <si>
    <t>Total Max Usage (l/s)</t>
  </si>
  <si>
    <t>Σqn</t>
  </si>
  <si>
    <t>qnl</t>
  </si>
  <si>
    <t>qet</t>
  </si>
  <si>
    <t>Peak Usage (l/s)</t>
  </si>
  <si>
    <t>Usage taken at peak flow.</t>
  </si>
  <si>
    <t>Total</t>
  </si>
  <si>
    <t>Storage time</t>
  </si>
  <si>
    <t>(mins)</t>
  </si>
  <si>
    <t>Total required storage (l)</t>
  </si>
  <si>
    <t>5% margin of error.</t>
  </si>
  <si>
    <t>Oil Refining Simple Method</t>
  </si>
  <si>
    <t>dioptimum = Q(gpm)^0.5</t>
  </si>
  <si>
    <t>Correlation (304SS, 2006)</t>
  </si>
  <si>
    <t>dioptimum = 0.55G^0.49 ρ^-0.35</t>
  </si>
  <si>
    <t>Closest NPS (")</t>
  </si>
  <si>
    <t>Pipe Thickness (Sch 40) (")</t>
  </si>
  <si>
    <t>l/s</t>
  </si>
  <si>
    <t>l</t>
  </si>
  <si>
    <t>NPS for non-viscous flow equation, Q&lt;=100 gal/min</t>
  </si>
  <si>
    <t>d=0.25√Q</t>
  </si>
  <si>
    <t>Equation</t>
  </si>
  <si>
    <t>Reynolds Number</t>
  </si>
  <si>
    <t>Flow Type</t>
  </si>
  <si>
    <t>Turbulent</t>
  </si>
  <si>
    <t xml:space="preserve"> Cross Sectional Area (m^2)</t>
  </si>
  <si>
    <t>Fluid Velocity (m/s)</t>
  </si>
  <si>
    <t>Pipes designed for 20% above max.</t>
  </si>
  <si>
    <t>mm</t>
  </si>
  <si>
    <t>Absolute roughness</t>
  </si>
  <si>
    <t>Relative Roughness (mm)</t>
  </si>
  <si>
    <t>Darcy Friction Factor</t>
  </si>
  <si>
    <t>Fanning Friction Factor</t>
  </si>
  <si>
    <t>Frictional Pressure Loss (kPa/m)</t>
  </si>
  <si>
    <t>Try:</t>
  </si>
  <si>
    <t>Total Max Potential Supply</t>
  </si>
  <si>
    <t>Pump and Line Calculation Sheet</t>
  </si>
  <si>
    <t>Unit 14, Bridge End Industrial Estate, Egremont, Cumbria, CA22 2RD</t>
  </si>
  <si>
    <t>EXXXXX</t>
  </si>
  <si>
    <t>REV</t>
  </si>
  <si>
    <t>DATE</t>
  </si>
  <si>
    <t>BY</t>
  </si>
  <si>
    <t>APVD</t>
  </si>
  <si>
    <t>Sheet 1 of 1</t>
  </si>
  <si>
    <t>Document Number:</t>
  </si>
  <si>
    <t>A</t>
  </si>
  <si>
    <t>B MULLINER</t>
  </si>
  <si>
    <t>Mechanical Piped Services</t>
  </si>
  <si>
    <t>Equipment Label</t>
  </si>
  <si>
    <t>Equipment Name</t>
  </si>
  <si>
    <t>Section</t>
  </si>
  <si>
    <t>Process Service</t>
  </si>
  <si>
    <t>Fluid</t>
  </si>
  <si>
    <t>Operating Temperature</t>
  </si>
  <si>
    <t>P103</t>
  </si>
  <si>
    <t>Water</t>
  </si>
  <si>
    <t>Normal</t>
  </si>
  <si>
    <t>Min</t>
  </si>
  <si>
    <t>Max</t>
  </si>
  <si>
    <t>°C</t>
  </si>
  <si>
    <t>Density</t>
  </si>
  <si>
    <t>Viscosity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</si>
  <si>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</si>
  <si>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Pas</t>
  </si>
  <si>
    <t>Normal Max Flowrate</t>
  </si>
  <si>
    <t>Design Max Flowrate</t>
  </si>
  <si>
    <t xml:space="preserve">     LINE PRESSURE DROP</t>
  </si>
  <si>
    <t>SUCTION</t>
  </si>
  <si>
    <t>DISCHARGE</t>
  </si>
  <si>
    <t>Line Size</t>
  </si>
  <si>
    <t>in</t>
  </si>
  <si>
    <t>Velocity</t>
  </si>
  <si>
    <t>Friction Loss</t>
  </si>
  <si>
    <t>Line Length</t>
  </si>
  <si>
    <t>Static Head</t>
  </si>
  <si>
    <t>Upstream Equipment Pressure</t>
  </si>
  <si>
    <t>Suction Pressure</t>
  </si>
  <si>
    <t>Sub-Total</t>
  </si>
  <si>
    <t>Vapor Pressure</t>
  </si>
  <si>
    <t>NPSHA</t>
  </si>
  <si>
    <t>Units</t>
  </si>
  <si>
    <t>m/s</t>
  </si>
  <si>
    <t>kPa/m</t>
  </si>
  <si>
    <t>m</t>
  </si>
  <si>
    <t>Fitting or Valve</t>
  </si>
  <si>
    <r>
      <t>45</t>
    </r>
    <r>
      <rPr>
        <sz val="11"/>
        <color theme="1"/>
        <rFont val="Calibri"/>
        <family val="2"/>
      </rPr>
      <t>° standard elbow</t>
    </r>
  </si>
  <si>
    <r>
      <t>45</t>
    </r>
    <r>
      <rPr>
        <sz val="11"/>
        <color theme="1"/>
        <rFont val="Calibri"/>
        <family val="2"/>
      </rPr>
      <t>° long radius elbow</t>
    </r>
  </si>
  <si>
    <r>
      <t>90</t>
    </r>
    <r>
      <rPr>
        <sz val="11"/>
        <color theme="1"/>
        <rFont val="Calibri"/>
        <family val="2"/>
      </rPr>
      <t>° standard radius elbow</t>
    </r>
  </si>
  <si>
    <r>
      <t>90</t>
    </r>
    <r>
      <rPr>
        <sz val="11"/>
        <color theme="1"/>
        <rFont val="Calibri"/>
        <family val="2"/>
      </rPr>
      <t>° standard long elbow</t>
    </r>
  </si>
  <si>
    <r>
      <t>90</t>
    </r>
    <r>
      <rPr>
        <sz val="11"/>
        <color theme="1"/>
        <rFont val="Calibri"/>
        <family val="2"/>
      </rPr>
      <t>° square elbow</t>
    </r>
  </si>
  <si>
    <t>Tee-entry from leg</t>
  </si>
  <si>
    <t>Tee-entry into leg</t>
  </si>
  <si>
    <t>Union and coupling</t>
  </si>
  <si>
    <t>Sharp reduction (tank outlet)</t>
  </si>
  <si>
    <t>Sudden expansion (tank inlet)</t>
  </si>
  <si>
    <t>Gate valve:</t>
  </si>
  <si>
    <t>fully open</t>
  </si>
  <si>
    <t>1/2 open</t>
  </si>
  <si>
    <t>1/4 open</t>
  </si>
  <si>
    <t>3/4 open</t>
  </si>
  <si>
    <t>Globe valve, bevel seat:</t>
  </si>
  <si>
    <t>Globe valve, plug disk:</t>
  </si>
  <si>
    <t>Plug valve, open:</t>
  </si>
  <si>
    <t>Number of Equivalent Pipe Diameters</t>
  </si>
  <si>
    <t>kPa</t>
  </si>
  <si>
    <t>Line &amp; Misc. Losses</t>
  </si>
  <si>
    <t>Incoming Flowrate</t>
  </si>
  <si>
    <t>Best option.</t>
  </si>
  <si>
    <t>Cold+hot+cat 5</t>
  </si>
  <si>
    <t>Grey Water Return</t>
  </si>
  <si>
    <t>Black Water</t>
  </si>
  <si>
    <t>NOTE: LARGE DIAMETER NEEDED DUE TO SOLIDS, VELOCITY WILL BE INCREASED BY GRAVITY</t>
  </si>
  <si>
    <t>50-1HS01-DW-1</t>
  </si>
  <si>
    <t>65-2HS01-DW-5</t>
  </si>
  <si>
    <t>50-2HS01-SW-7</t>
  </si>
  <si>
    <t>150-2HS01-WW-8</t>
  </si>
  <si>
    <t>65-2HS01-DW-9</t>
  </si>
  <si>
    <t>CWBS</t>
  </si>
  <si>
    <t>total</t>
  </si>
  <si>
    <t>Equipment Pressure</t>
  </si>
  <si>
    <t>Discharge Pressure</t>
  </si>
  <si>
    <t>Differential Pressure</t>
  </si>
  <si>
    <t>Pump Head</t>
  </si>
  <si>
    <t xml:space="preserve">     PUMP DATA</t>
  </si>
  <si>
    <t>Manufacturer</t>
  </si>
  <si>
    <t>Catalogue No.</t>
  </si>
  <si>
    <t>NPSHR</t>
  </si>
  <si>
    <t>Pump Type</t>
  </si>
  <si>
    <t>No. of Stages</t>
  </si>
  <si>
    <t>Impeller Type</t>
  </si>
  <si>
    <t>Mounting</t>
  </si>
  <si>
    <t>Dutypoint</t>
  </si>
  <si>
    <t>Max Pump Flow Rate</t>
  </si>
  <si>
    <t>Cold Water Booster Set</t>
  </si>
  <si>
    <t>Closed</t>
  </si>
  <si>
    <t>Driver Type</t>
  </si>
  <si>
    <t>Power Supply</t>
  </si>
  <si>
    <t>Seal Type</t>
  </si>
  <si>
    <t>Hydraulic Power</t>
  </si>
  <si>
    <t>Rated Power</t>
  </si>
  <si>
    <t>Efficiency</t>
  </si>
  <si>
    <t>Casing Design Pressure</t>
  </si>
  <si>
    <t>Casing Design Temperature</t>
  </si>
  <si>
    <t>Casing Material</t>
  </si>
  <si>
    <t>VT2-10-022T</t>
  </si>
  <si>
    <t>V</t>
  </si>
  <si>
    <t>Gaskets</t>
  </si>
  <si>
    <t>kW</t>
  </si>
  <si>
    <t>%</t>
  </si>
  <si>
    <t>bar</t>
  </si>
  <si>
    <t>Three-Phase Electrical</t>
  </si>
  <si>
    <t>304SS</t>
  </si>
  <si>
    <t>Twin</t>
  </si>
  <si>
    <t>Vertical</t>
  </si>
  <si>
    <t xml:space="preserve">     SKETCH</t>
  </si>
  <si>
    <t xml:space="preserve">     NOTES</t>
  </si>
  <si>
    <t>1.</t>
  </si>
  <si>
    <t>2.</t>
  </si>
  <si>
    <t>3.</t>
  </si>
  <si>
    <t>4.</t>
  </si>
  <si>
    <t>5.</t>
  </si>
  <si>
    <t>Plant Room</t>
  </si>
  <si>
    <t>James Fisher Nuclear Limited</t>
  </si>
  <si>
    <t>P104</t>
  </si>
  <si>
    <t>Grey Water Supply</t>
  </si>
  <si>
    <t>Grey Water Pump</t>
  </si>
  <si>
    <t>Note: Assume need for 1.5l/s for minimum acceptable flowrate.</t>
  </si>
  <si>
    <t>VR2-0511-LHM</t>
  </si>
  <si>
    <t>50-2HS01-SW-4</t>
  </si>
  <si>
    <t>P105</t>
  </si>
  <si>
    <t>T1</t>
  </si>
  <si>
    <t>T2</t>
  </si>
  <si>
    <t>(Min expected)</t>
  </si>
  <si>
    <t>Capacity:</t>
  </si>
  <si>
    <t>each</t>
  </si>
  <si>
    <t>Q</t>
  </si>
  <si>
    <t>c</t>
  </si>
  <si>
    <t>kJ/kg</t>
  </si>
  <si>
    <t>Max output</t>
  </si>
  <si>
    <t>@</t>
  </si>
  <si>
    <r>
      <t>kJ/kg</t>
    </r>
    <r>
      <rPr>
        <sz val="11"/>
        <color theme="1"/>
        <rFont val="Calibri"/>
        <family val="2"/>
      </rPr>
      <t>°C</t>
    </r>
  </si>
  <si>
    <t xml:space="preserve"> </t>
  </si>
  <si>
    <t>Assume each radiator requires 3kW</t>
  </si>
  <si>
    <t>P102</t>
  </si>
  <si>
    <t>Central Heating Circulation Pump</t>
  </si>
  <si>
    <t>Central Heating</t>
  </si>
  <si>
    <t>25-10HS01-SW-13</t>
  </si>
  <si>
    <t>Note: Seek to minimise pressure drop</t>
  </si>
  <si>
    <t>Grundfos</t>
  </si>
  <si>
    <t>MAGNA1 25-120 (N)</t>
  </si>
  <si>
    <t>Circulator Pump</t>
  </si>
  <si>
    <t>Single</t>
  </si>
  <si>
    <t>Either</t>
  </si>
  <si>
    <t>Cast Iron</t>
  </si>
  <si>
    <t>P101</t>
  </si>
  <si>
    <t>Solar Water Heater</t>
  </si>
  <si>
    <t>Solar Heater Pump</t>
  </si>
  <si>
    <t>m^2</t>
  </si>
  <si>
    <t>Assume 1/3 usable</t>
  </si>
  <si>
    <t>80-10HS01-PW-11</t>
  </si>
  <si>
    <t>MAGNA1 100-120 F</t>
  </si>
  <si>
    <t>50-10HS01-RW-6</t>
  </si>
  <si>
    <t>Note: Minimise pressure drop and diameter but not at the expense of high velocity/dp</t>
  </si>
  <si>
    <t>So 15000l</t>
  </si>
  <si>
    <t>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</si>
</sst>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7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22" fontId="0" fillId="0" borderId="0" xfId="0" applyNumberFormat="1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1" fillId="0" borderId="2" xfId="0" applyNumberFormat="1" applyFont="1" applyBorder="1"/>
    <xf numFmtId="0" fontId="1" fillId="0" borderId="3" xfId="0" applyFont="1" applyBorder="1"/>
    <xf numFmtId="0" fontId="1" fillId="0" borderId="13" xfId="0" applyFont="1" applyBorder="1"/>
    <xf numFmtId="22" fontId="1" fillId="0" borderId="10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0" fillId="0" borderId="8" xfId="0" applyFill="1" applyBorder="1"/>
    <xf numFmtId="0" fontId="0" fillId="0" borderId="9" xfId="0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8" xfId="0" applyNumberFormat="1" applyFont="1" applyBorder="1" applyAlignment="1">
      <alignment horizontal="right"/>
    </xf>
    <xf numFmtId="2" fontId="0" fillId="0" borderId="8" xfId="0" applyNumberFormat="1" applyFill="1" applyBorder="1"/>
    <xf numFmtId="164" fontId="0" fillId="0" borderId="0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164" fontId="0" fillId="0" borderId="10" xfId="0" applyNumberFormat="1" applyFont="1" applyBorder="1" applyAlignment="1">
      <alignment horizontal="right"/>
    </xf>
    <xf numFmtId="0" fontId="0" fillId="0" borderId="1" xfId="0" applyFill="1" applyBorder="1"/>
    <xf numFmtId="0" fontId="0" fillId="2" borderId="8" xfId="0" applyFill="1" applyBorder="1"/>
    <xf numFmtId="2" fontId="0" fillId="2" borderId="8" xfId="0" applyNumberFormat="1" applyFont="1" applyFill="1" applyBorder="1" applyAlignment="1">
      <alignment horizontal="right"/>
    </xf>
    <xf numFmtId="164" fontId="0" fillId="2" borderId="8" xfId="0" applyNumberFormat="1" applyFont="1" applyFill="1" applyBorder="1" applyAlignment="1">
      <alignment horizontal="right"/>
    </xf>
    <xf numFmtId="164" fontId="0" fillId="2" borderId="10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ont="1" applyFill="1" applyBorder="1" applyAlignment="1">
      <alignment horizontal="right"/>
    </xf>
    <xf numFmtId="2" fontId="0" fillId="0" borderId="8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64" fontId="0" fillId="0" borderId="8" xfId="0" applyNumberFormat="1" applyFont="1" applyFill="1" applyBorder="1" applyAlignment="1">
      <alignment horizontal="right"/>
    </xf>
    <xf numFmtId="164" fontId="0" fillId="0" borderId="1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14" xfId="0" applyFont="1" applyBorder="1"/>
    <xf numFmtId="0" fontId="0" fillId="0" borderId="14" xfId="0" applyBorder="1"/>
    <xf numFmtId="14" fontId="0" fillId="0" borderId="14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0" fillId="0" borderId="9" xfId="0" applyFill="1" applyBorder="1"/>
    <xf numFmtId="2" fontId="0" fillId="0" borderId="13" xfId="0" applyNumberFormat="1" applyFill="1" applyBorder="1"/>
    <xf numFmtId="0" fontId="1" fillId="0" borderId="6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165" fontId="0" fillId="0" borderId="1" xfId="0" applyNumberFormat="1" applyBorder="1"/>
    <xf numFmtId="2" fontId="0" fillId="0" borderId="1" xfId="0" applyNumberFormat="1" applyFill="1" applyBorder="1"/>
    <xf numFmtId="0" fontId="0" fillId="0" borderId="0" xfId="0" applyAlignment="1"/>
    <xf numFmtId="0" fontId="0" fillId="0" borderId="1" xfId="0" applyBorder="1" applyAlignment="1"/>
    <xf numFmtId="0" fontId="1" fillId="0" borderId="1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ill="1"/>
    <xf numFmtId="0" fontId="1" fillId="0" borderId="10" xfId="0" applyFont="1" applyFill="1" applyBorder="1" applyAlignment="1">
      <alignment horizontal="center"/>
    </xf>
    <xf numFmtId="165" fontId="0" fillId="0" borderId="1" xfId="0" applyNumberFormat="1" applyFill="1" applyBorder="1"/>
    <xf numFmtId="164" fontId="0" fillId="0" borderId="0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3" xfId="0" applyFill="1" applyBorder="1"/>
    <xf numFmtId="0" fontId="0" fillId="0" borderId="1" xfId="0" applyBorder="1"/>
    <xf numFmtId="0" fontId="0" fillId="0" borderId="1" xfId="0" applyFont="1" applyBorder="1" applyAlignment="1"/>
    <xf numFmtId="0" fontId="0" fillId="0" borderId="1" xfId="0" applyBorder="1" applyAlignment="1"/>
    <xf numFmtId="49" fontId="0" fillId="0" borderId="12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0" fontId="0" fillId="0" borderId="7" xfId="0" applyFill="1" applyBorder="1" applyAlignment="1"/>
    <xf numFmtId="0" fontId="0" fillId="0" borderId="0" xfId="0" applyFill="1" applyAlignment="1"/>
    <xf numFmtId="0" fontId="4" fillId="0" borderId="0" xfId="0" applyFont="1"/>
    <xf numFmtId="2" fontId="0" fillId="2" borderId="8" xfId="0" applyNumberFormat="1" applyFill="1" applyBorder="1"/>
    <xf numFmtId="0" fontId="0" fillId="2" borderId="9" xfId="0" applyFill="1" applyBorder="1"/>
    <xf numFmtId="2" fontId="0" fillId="0" borderId="0" xfId="0" applyNumberFormat="1"/>
    <xf numFmtId="2" fontId="0" fillId="0" borderId="9" xfId="0" applyNumberFormat="1" applyFont="1" applyFill="1" applyBorder="1" applyAlignment="1">
      <alignment horizontal="right"/>
    </xf>
    <xf numFmtId="164" fontId="0" fillId="0" borderId="9" xfId="0" applyNumberFormat="1" applyFont="1" applyFill="1" applyBorder="1" applyAlignment="1">
      <alignment horizontal="right"/>
    </xf>
    <xf numFmtId="2" fontId="0" fillId="0" borderId="9" xfId="0" applyNumberFormat="1" applyFill="1" applyBorder="1"/>
    <xf numFmtId="0" fontId="0" fillId="0" borderId="9" xfId="0" applyFill="1" applyBorder="1" applyAlignment="1"/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5" xfId="0" applyFont="1" applyFill="1" applyBorder="1"/>
    <xf numFmtId="0" fontId="1" fillId="3" borderId="5" xfId="0" applyFont="1" applyFill="1" applyBorder="1"/>
    <xf numFmtId="0" fontId="1" fillId="3" borderId="4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0" borderId="6" xfId="0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7" xfId="0" applyFont="1" applyBorder="1" applyAlignment="1"/>
    <xf numFmtId="0" fontId="1" fillId="0" borderId="6" xfId="0" applyFont="1" applyBorder="1" applyAlignment="1"/>
    <xf numFmtId="0" fontId="4" fillId="0" borderId="0" xfId="0" applyFont="1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0</xdr:rowOff>
    </xdr:from>
    <xdr:to>
      <xdr:col>5</xdr:col>
      <xdr:colOff>542925</xdr:colOff>
      <xdr:row>61</xdr:row>
      <xdr:rowOff>179241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72575"/>
          <a:ext cx="3590924" cy="2655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0</xdr:rowOff>
    </xdr:from>
    <xdr:to>
      <xdr:col>8</xdr:col>
      <xdr:colOff>323851</xdr:colOff>
      <xdr:row>61</xdr:row>
      <xdr:rowOff>189140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172575"/>
          <a:ext cx="5200650" cy="2665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28575</xdr:rowOff>
    </xdr:from>
    <xdr:to>
      <xdr:col>9</xdr:col>
      <xdr:colOff>722111</xdr:colOff>
      <xdr:row>61</xdr:row>
      <xdr:rowOff>187069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01150"/>
          <a:ext cx="6313286" cy="26349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9</xdr:col>
      <xdr:colOff>647700</xdr:colOff>
      <xdr:row>61</xdr:row>
      <xdr:rowOff>171975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172575"/>
          <a:ext cx="6238875" cy="2648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45661</xdr:rowOff>
    </xdr:from>
    <xdr:to>
      <xdr:col>11</xdr:col>
      <xdr:colOff>104776</xdr:colOff>
      <xdr:row>62</xdr:row>
      <xdr:rowOff>5935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9218236"/>
          <a:ext cx="7124700" cy="2627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561975</xdr:colOff>
      <xdr:row>9</xdr:row>
      <xdr:rowOff>0</xdr:rowOff>
    </xdr:from>
    <xdr:to>
      <xdr:col>31</xdr:col>
      <xdr:colOff>132495</xdr:colOff>
      <xdr:row>18</xdr:row>
      <xdr:rowOff>142643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54900" y="1714500"/>
          <a:ext cx="6838095" cy="1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zoomScaleNormal="100" workbookViewId="0">
      <selection activeCell="O16" sqref="O16"/>
    </sheetView>
  </sheetViews>
  <sheetFormatPr defaultRowHeight="15" x14ac:dyDescent="0.25"/>
  <cols>
    <col min="9" max="9" width="10.7109375" bestFit="1" customWidth="1"/>
    <col min="10" max="10" width="11.42578125" bestFit="1" customWidth="1"/>
    <col min="11" max="11" width="10" bestFit="1" customWidth="1"/>
  </cols>
  <sheetData>
    <row r="1" spans="1:14" x14ac:dyDescent="0.25">
      <c r="A1" s="138" t="s">
        <v>180</v>
      </c>
      <c r="B1" s="139"/>
      <c r="C1" s="139"/>
      <c r="D1" s="139"/>
      <c r="E1" s="139"/>
      <c r="F1" s="139"/>
      <c r="G1" s="140"/>
      <c r="H1" s="141"/>
      <c r="I1" s="142"/>
      <c r="J1" s="142"/>
      <c r="K1" s="142"/>
      <c r="L1" s="142"/>
      <c r="M1" s="142"/>
      <c r="N1" s="143"/>
    </row>
    <row r="2" spans="1:14" x14ac:dyDescent="0.25">
      <c r="A2" s="144" t="s">
        <v>55</v>
      </c>
      <c r="B2" s="145"/>
      <c r="C2" s="145"/>
      <c r="D2" s="145"/>
      <c r="E2" s="145"/>
      <c r="F2" s="145"/>
      <c r="G2" s="146"/>
      <c r="H2" s="147" t="s">
        <v>56</v>
      </c>
      <c r="I2" s="148"/>
      <c r="J2" s="148"/>
      <c r="K2" s="149" t="s">
        <v>61</v>
      </c>
      <c r="L2" s="149"/>
      <c r="M2" s="149"/>
      <c r="N2" s="150"/>
    </row>
    <row r="3" spans="1:14" x14ac:dyDescent="0.25">
      <c r="A3" s="151" t="s">
        <v>54</v>
      </c>
      <c r="B3" s="152"/>
      <c r="C3" s="152"/>
      <c r="D3" s="152"/>
      <c r="E3" s="152"/>
      <c r="F3" s="152"/>
      <c r="G3" s="153"/>
      <c r="H3" s="46" t="s">
        <v>57</v>
      </c>
      <c r="I3" s="46" t="s">
        <v>58</v>
      </c>
      <c r="J3" s="46" t="s">
        <v>59</v>
      </c>
      <c r="K3" s="46" t="s">
        <v>60</v>
      </c>
      <c r="L3" s="46" t="s">
        <v>58</v>
      </c>
      <c r="M3" s="46" t="s">
        <v>59</v>
      </c>
      <c r="N3" s="46" t="s">
        <v>60</v>
      </c>
    </row>
    <row r="4" spans="1:14" x14ac:dyDescent="0.25">
      <c r="A4" s="151"/>
      <c r="B4" s="152"/>
      <c r="C4" s="152"/>
      <c r="D4" s="152"/>
      <c r="E4" s="152"/>
      <c r="F4" s="152"/>
      <c r="G4" s="153"/>
      <c r="H4" s="47" t="s">
        <v>63</v>
      </c>
      <c r="I4" s="48">
        <v>43735</v>
      </c>
      <c r="J4" s="47" t="s">
        <v>64</v>
      </c>
      <c r="K4" s="47"/>
      <c r="L4" s="47"/>
      <c r="M4" s="47"/>
      <c r="N4" s="47"/>
    </row>
    <row r="5" spans="1:14" x14ac:dyDescent="0.25">
      <c r="A5" s="151"/>
      <c r="B5" s="152"/>
      <c r="C5" s="152"/>
      <c r="D5" s="152"/>
      <c r="E5" s="152"/>
      <c r="F5" s="152"/>
      <c r="G5" s="153"/>
      <c r="H5" s="47"/>
      <c r="I5" s="47"/>
      <c r="J5" s="47"/>
      <c r="K5" s="47"/>
      <c r="L5" s="47"/>
      <c r="M5" s="47"/>
      <c r="N5" s="47"/>
    </row>
    <row r="6" spans="1:14" x14ac:dyDescent="0.25">
      <c r="A6" s="151"/>
      <c r="B6" s="152"/>
      <c r="C6" s="152"/>
      <c r="D6" s="152"/>
      <c r="E6" s="152"/>
      <c r="F6" s="152"/>
      <c r="G6" s="153"/>
      <c r="H6" s="47"/>
      <c r="I6" s="47"/>
      <c r="J6" s="47"/>
      <c r="K6" s="47"/>
      <c r="L6" s="47"/>
      <c r="M6" s="47"/>
      <c r="N6" s="47"/>
    </row>
    <row r="7" spans="1:14" x14ac:dyDescent="0.25">
      <c r="A7" s="151"/>
      <c r="B7" s="152"/>
      <c r="C7" s="152"/>
      <c r="D7" s="152"/>
      <c r="E7" s="152"/>
      <c r="F7" s="152"/>
      <c r="G7" s="153"/>
      <c r="H7" s="47"/>
      <c r="I7" s="47"/>
      <c r="J7" s="47"/>
      <c r="K7" s="47"/>
      <c r="L7" s="47"/>
      <c r="M7" s="47"/>
      <c r="N7" s="47"/>
    </row>
    <row r="8" spans="1:14" x14ac:dyDescent="0.25">
      <c r="A8" s="158" t="s">
        <v>62</v>
      </c>
      <c r="B8" s="159"/>
      <c r="C8" s="159"/>
      <c r="D8" s="159"/>
      <c r="E8" s="159"/>
      <c r="F8" s="159"/>
      <c r="G8" s="160"/>
      <c r="H8" s="47"/>
      <c r="I8" s="47"/>
      <c r="J8" s="47"/>
      <c r="K8" s="47"/>
      <c r="L8" s="47"/>
      <c r="M8" s="47"/>
      <c r="N8" s="47"/>
    </row>
    <row r="9" spans="1:14" x14ac:dyDescent="0.25">
      <c r="A9" s="12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6"/>
    </row>
    <row r="10" spans="1:14" x14ac:dyDescent="0.25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61"/>
    </row>
    <row r="11" spans="1:14" x14ac:dyDescent="0.25">
      <c r="A11" s="162" t="s">
        <v>65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1:14" x14ac:dyDescent="0.25">
      <c r="A12" s="141" t="s">
        <v>66</v>
      </c>
      <c r="B12" s="142"/>
      <c r="C12" s="142"/>
      <c r="D12" s="142" t="s">
        <v>212</v>
      </c>
      <c r="E12" s="142"/>
      <c r="F12" s="142"/>
      <c r="G12" s="142"/>
      <c r="H12" s="142" t="s">
        <v>67</v>
      </c>
      <c r="I12" s="142"/>
      <c r="J12" s="108"/>
      <c r="K12" s="165" t="s">
        <v>214</v>
      </c>
      <c r="L12" s="165"/>
      <c r="M12" s="165"/>
      <c r="N12" s="166"/>
    </row>
    <row r="13" spans="1:14" x14ac:dyDescent="0.25">
      <c r="A13" s="118" t="s">
        <v>68</v>
      </c>
      <c r="B13" s="117"/>
      <c r="C13" s="117"/>
      <c r="D13" s="97" t="s">
        <v>179</v>
      </c>
      <c r="E13" s="97"/>
      <c r="F13" s="97"/>
      <c r="G13" s="97"/>
      <c r="H13" s="111"/>
      <c r="I13" s="111"/>
      <c r="J13" s="111"/>
      <c r="K13" s="111"/>
      <c r="L13" s="111"/>
      <c r="M13" s="111"/>
      <c r="N13" s="112"/>
    </row>
    <row r="14" spans="1:14" x14ac:dyDescent="0.25">
      <c r="A14" s="118" t="s">
        <v>69</v>
      </c>
      <c r="B14" s="117"/>
      <c r="C14" s="117"/>
      <c r="D14" s="97" t="s">
        <v>213</v>
      </c>
      <c r="E14" s="97"/>
      <c r="F14" s="97"/>
      <c r="G14" s="97"/>
      <c r="H14" s="111"/>
      <c r="I14" s="111"/>
      <c r="J14" s="111"/>
      <c r="K14" s="111"/>
      <c r="L14" s="111"/>
      <c r="M14" s="111"/>
      <c r="N14" s="112"/>
    </row>
    <row r="15" spans="1:14" ht="17.25" x14ac:dyDescent="0.25">
      <c r="A15" s="118" t="s">
        <v>70</v>
      </c>
      <c r="B15" s="117"/>
      <c r="C15" s="117"/>
      <c r="D15" s="97" t="s">
        <v>73</v>
      </c>
      <c r="E15" s="97"/>
      <c r="F15" s="97"/>
      <c r="G15" s="97"/>
      <c r="H15" s="115" t="s">
        <v>78</v>
      </c>
      <c r="I15" s="115"/>
      <c r="J15" s="111"/>
      <c r="K15" s="73">
        <v>985.7</v>
      </c>
      <c r="L15" s="73" t="s">
        <v>80</v>
      </c>
      <c r="M15" s="111"/>
      <c r="N15" s="112"/>
    </row>
    <row r="16" spans="1:14" x14ac:dyDescent="0.25">
      <c r="A16" s="154" t="s">
        <v>71</v>
      </c>
      <c r="B16" s="155"/>
      <c r="C16" s="155"/>
      <c r="D16" s="73" t="s">
        <v>74</v>
      </c>
      <c r="E16" s="73">
        <v>55</v>
      </c>
      <c r="F16" s="167" t="s">
        <v>77</v>
      </c>
      <c r="G16" s="167"/>
      <c r="H16" s="97" t="s">
        <v>79</v>
      </c>
      <c r="I16" s="97"/>
      <c r="J16" s="111"/>
      <c r="K16" s="73">
        <v>5.0390000000000005E-4</v>
      </c>
      <c r="L16" s="73" t="s">
        <v>81</v>
      </c>
      <c r="M16" s="111"/>
      <c r="N16" s="112"/>
    </row>
    <row r="17" spans="1:14" x14ac:dyDescent="0.25">
      <c r="A17" s="154"/>
      <c r="B17" s="155"/>
      <c r="C17" s="155"/>
      <c r="D17" s="73" t="s">
        <v>75</v>
      </c>
      <c r="E17" s="73">
        <v>1</v>
      </c>
      <c r="F17" s="136" t="s">
        <v>77</v>
      </c>
      <c r="G17" s="136"/>
      <c r="H17" s="97" t="s">
        <v>82</v>
      </c>
      <c r="I17" s="97"/>
      <c r="J17" s="111"/>
      <c r="K17" s="50">
        <f>'Max Supply Req. Calculations'!P38</f>
        <v>8.8430233500000011</v>
      </c>
      <c r="L17" s="73" t="s">
        <v>35</v>
      </c>
      <c r="M17" s="111"/>
      <c r="N17" s="112"/>
    </row>
    <row r="18" spans="1:14" x14ac:dyDescent="0.25">
      <c r="A18" s="156"/>
      <c r="B18" s="157"/>
      <c r="C18" s="157"/>
      <c r="D18" s="72" t="s">
        <v>76</v>
      </c>
      <c r="E18" s="72">
        <v>90</v>
      </c>
      <c r="F18" s="137" t="s">
        <v>77</v>
      </c>
      <c r="G18" s="137"/>
      <c r="H18" s="99" t="s">
        <v>83</v>
      </c>
      <c r="I18" s="99"/>
      <c r="J18" s="102"/>
      <c r="K18" s="52">
        <f>K17*1.05</f>
        <v>9.2851745175000016</v>
      </c>
      <c r="L18" s="72" t="s">
        <v>35</v>
      </c>
      <c r="M18" s="102"/>
      <c r="N18" s="103"/>
    </row>
    <row r="19" spans="1:14" x14ac:dyDescent="0.25">
      <c r="A19" s="104" t="s">
        <v>84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</row>
    <row r="20" spans="1:14" x14ac:dyDescent="0.25">
      <c r="A20" s="132" t="s">
        <v>85</v>
      </c>
      <c r="B20" s="132"/>
      <c r="C20" s="132"/>
      <c r="D20" s="132"/>
      <c r="E20" s="132"/>
      <c r="F20" s="132"/>
      <c r="G20" s="133"/>
      <c r="H20" s="134" t="s">
        <v>86</v>
      </c>
      <c r="I20" s="132"/>
      <c r="J20" s="132"/>
      <c r="K20" s="132"/>
      <c r="L20" s="132"/>
      <c r="M20" s="132"/>
      <c r="N20" s="133"/>
    </row>
    <row r="21" spans="1:14" x14ac:dyDescent="0.25">
      <c r="A21" s="95" t="s">
        <v>87</v>
      </c>
      <c r="B21" s="95"/>
      <c r="C21" s="95"/>
      <c r="D21" s="95"/>
      <c r="E21" s="95"/>
      <c r="F21" s="73">
        <v>3</v>
      </c>
      <c r="G21" s="77" t="s">
        <v>88</v>
      </c>
      <c r="H21" s="122" t="s">
        <v>87</v>
      </c>
      <c r="I21" s="95"/>
      <c r="J21" s="95"/>
      <c r="K21" s="95"/>
      <c r="L21" s="95"/>
      <c r="M21" s="73">
        <v>3</v>
      </c>
      <c r="N21" s="77" t="s">
        <v>88</v>
      </c>
    </row>
    <row r="22" spans="1:14" x14ac:dyDescent="0.25">
      <c r="A22" s="135"/>
      <c r="B22" s="135"/>
      <c r="C22" s="135"/>
      <c r="D22" s="135"/>
      <c r="E22" s="135"/>
      <c r="F22" s="135"/>
      <c r="G22" s="77" t="s">
        <v>98</v>
      </c>
      <c r="H22" s="110"/>
      <c r="I22" s="135"/>
      <c r="J22" s="135"/>
      <c r="K22" s="135"/>
      <c r="L22" s="135"/>
      <c r="M22" s="135"/>
      <c r="N22" s="77" t="s">
        <v>98</v>
      </c>
    </row>
    <row r="23" spans="1:14" x14ac:dyDescent="0.25">
      <c r="A23" s="97" t="s">
        <v>89</v>
      </c>
      <c r="B23" s="97"/>
      <c r="C23" s="97"/>
      <c r="D23" s="97"/>
      <c r="E23" s="97">
        <f>'80-10HS01-PW-11'!F9</f>
        <v>1.9391033101584474</v>
      </c>
      <c r="F23" s="97"/>
      <c r="G23" s="77" t="s">
        <v>99</v>
      </c>
      <c r="H23" s="97" t="s">
        <v>89</v>
      </c>
      <c r="I23" s="97"/>
      <c r="J23" s="97"/>
      <c r="K23" s="97"/>
      <c r="L23" s="126">
        <f>E23</f>
        <v>1.9391033101584474</v>
      </c>
      <c r="M23" s="126"/>
      <c r="N23" s="77" t="s">
        <v>99</v>
      </c>
    </row>
    <row r="24" spans="1:14" x14ac:dyDescent="0.25">
      <c r="A24" s="97" t="s">
        <v>90</v>
      </c>
      <c r="B24" s="97"/>
      <c r="C24" s="97"/>
      <c r="D24" s="97"/>
      <c r="E24" s="97">
        <f>'80-10HS01-PW-11'!F13</f>
        <v>0.63890921172512483</v>
      </c>
      <c r="F24" s="97"/>
      <c r="G24" s="77" t="s">
        <v>100</v>
      </c>
      <c r="H24" s="97" t="s">
        <v>90</v>
      </c>
      <c r="I24" s="97"/>
      <c r="J24" s="97"/>
      <c r="K24" s="97"/>
      <c r="L24" s="126">
        <f>E24</f>
        <v>0.63890921172512483</v>
      </c>
      <c r="M24" s="126"/>
      <c r="N24" s="77" t="s">
        <v>100</v>
      </c>
    </row>
    <row r="25" spans="1:14" x14ac:dyDescent="0.25">
      <c r="A25" s="131" t="s">
        <v>91</v>
      </c>
      <c r="B25" s="131"/>
      <c r="C25" s="131"/>
      <c r="D25" s="131"/>
      <c r="E25" s="125">
        <v>1</v>
      </c>
      <c r="F25" s="125"/>
      <c r="G25" s="77" t="s">
        <v>101</v>
      </c>
      <c r="H25" s="131" t="s">
        <v>91</v>
      </c>
      <c r="I25" s="131"/>
      <c r="J25" s="131"/>
      <c r="K25" s="131"/>
      <c r="L25" s="126">
        <v>100</v>
      </c>
      <c r="M25" s="126"/>
      <c r="N25" s="77" t="s">
        <v>101</v>
      </c>
    </row>
    <row r="26" spans="1:14" x14ac:dyDescent="0.25">
      <c r="A26" s="125" t="s">
        <v>123</v>
      </c>
      <c r="B26" s="125"/>
      <c r="C26" s="125"/>
      <c r="D26" s="125"/>
      <c r="E26" s="97">
        <f>(E24+'Miscellaneous Pressure Losses'!Q2)*E25</f>
        <v>3.001109211725125</v>
      </c>
      <c r="F26" s="97"/>
      <c r="G26" s="77" t="s">
        <v>122</v>
      </c>
      <c r="H26" s="125" t="s">
        <v>123</v>
      </c>
      <c r="I26" s="125"/>
      <c r="J26" s="125"/>
      <c r="K26" s="125"/>
      <c r="L26" s="126">
        <f>L25*L24*1.3</f>
        <v>83.058197524266234</v>
      </c>
      <c r="M26" s="126"/>
      <c r="N26" s="77" t="s">
        <v>122</v>
      </c>
    </row>
    <row r="27" spans="1:14" x14ac:dyDescent="0.25">
      <c r="A27" s="111"/>
      <c r="B27" s="111"/>
      <c r="C27" s="111"/>
      <c r="D27" s="111"/>
      <c r="E27" s="111"/>
      <c r="F27" s="111"/>
      <c r="G27" s="112"/>
      <c r="H27" s="110"/>
      <c r="I27" s="111"/>
      <c r="J27" s="111"/>
      <c r="K27" s="111"/>
      <c r="L27" s="111"/>
      <c r="M27" s="111"/>
      <c r="N27" s="112"/>
    </row>
    <row r="28" spans="1:14" x14ac:dyDescent="0.25">
      <c r="A28" s="128" t="s">
        <v>92</v>
      </c>
      <c r="B28" s="128"/>
      <c r="C28" s="128"/>
      <c r="D28" s="128"/>
      <c r="E28" s="97">
        <v>8</v>
      </c>
      <c r="F28" s="97"/>
      <c r="G28" s="77" t="s">
        <v>101</v>
      </c>
      <c r="H28" s="128" t="s">
        <v>92</v>
      </c>
      <c r="I28" s="128"/>
      <c r="J28" s="128"/>
      <c r="K28" s="128"/>
      <c r="L28" s="119">
        <v>8</v>
      </c>
      <c r="M28" s="119"/>
      <c r="N28" s="77" t="s">
        <v>101</v>
      </c>
    </row>
    <row r="29" spans="1:14" x14ac:dyDescent="0.25">
      <c r="A29" s="128"/>
      <c r="B29" s="128"/>
      <c r="C29" s="128"/>
      <c r="D29" s="128"/>
      <c r="E29" s="97">
        <f>(K15*9.81*E28)/1000</f>
        <v>77.357736000000003</v>
      </c>
      <c r="F29" s="97"/>
      <c r="G29" s="77" t="s">
        <v>122</v>
      </c>
      <c r="H29" s="128"/>
      <c r="I29" s="128"/>
      <c r="J29" s="128"/>
      <c r="K29" s="128"/>
      <c r="L29" s="119">
        <f>K15*9.81*L28/1000</f>
        <v>77.357736000000003</v>
      </c>
      <c r="M29" s="119"/>
      <c r="N29" s="77" t="s">
        <v>122</v>
      </c>
    </row>
    <row r="30" spans="1:14" x14ac:dyDescent="0.25">
      <c r="A30" s="125" t="s">
        <v>93</v>
      </c>
      <c r="B30" s="125"/>
      <c r="C30" s="125"/>
      <c r="D30" s="125"/>
      <c r="E30" s="97">
        <v>600</v>
      </c>
      <c r="F30" s="97"/>
      <c r="G30" s="77" t="s">
        <v>122</v>
      </c>
      <c r="H30" s="125" t="s">
        <v>137</v>
      </c>
      <c r="I30" s="125"/>
      <c r="J30" s="125"/>
      <c r="K30" s="125"/>
      <c r="L30" s="127">
        <v>600</v>
      </c>
      <c r="M30" s="127"/>
      <c r="N30" s="77" t="s">
        <v>122</v>
      </c>
    </row>
    <row r="31" spans="1:14" x14ac:dyDescent="0.25">
      <c r="A31" s="125" t="s">
        <v>95</v>
      </c>
      <c r="B31" s="125"/>
      <c r="C31" s="125"/>
      <c r="D31" s="125"/>
      <c r="E31" s="125">
        <f>E29+E30</f>
        <v>677.35773600000005</v>
      </c>
      <c r="F31" s="125"/>
      <c r="G31" s="77" t="s">
        <v>122</v>
      </c>
      <c r="H31" s="125" t="s">
        <v>95</v>
      </c>
      <c r="I31" s="125"/>
      <c r="J31" s="125"/>
      <c r="K31" s="125"/>
      <c r="L31" s="130">
        <f>L29+L30</f>
        <v>677.35773600000005</v>
      </c>
      <c r="M31" s="130"/>
      <c r="N31" s="77" t="s">
        <v>122</v>
      </c>
    </row>
    <row r="32" spans="1:14" x14ac:dyDescent="0.25">
      <c r="A32" s="111"/>
      <c r="B32" s="111"/>
      <c r="C32" s="111"/>
      <c r="D32" s="111"/>
      <c r="E32" s="111"/>
      <c r="F32" s="111"/>
      <c r="G32" s="112"/>
      <c r="H32" s="110"/>
      <c r="I32" s="111"/>
      <c r="J32" s="111"/>
      <c r="K32" s="111"/>
      <c r="L32" s="111"/>
      <c r="M32" s="111"/>
      <c r="N32" s="112"/>
    </row>
    <row r="33" spans="1:14" x14ac:dyDescent="0.25">
      <c r="A33" s="125" t="s">
        <v>94</v>
      </c>
      <c r="B33" s="125"/>
      <c r="C33" s="125"/>
      <c r="D33" s="125"/>
      <c r="E33" s="126">
        <f>E31-E26</f>
        <v>674.35662678827487</v>
      </c>
      <c r="F33" s="126"/>
      <c r="G33" s="33" t="s">
        <v>122</v>
      </c>
      <c r="H33" s="114" t="s">
        <v>138</v>
      </c>
      <c r="I33" s="126"/>
      <c r="J33" s="126"/>
      <c r="K33" s="126"/>
      <c r="L33" s="127">
        <f>L31+L26</f>
        <v>760.41593352426628</v>
      </c>
      <c r="M33" s="127"/>
      <c r="N33" s="33" t="s">
        <v>122</v>
      </c>
    </row>
    <row r="34" spans="1:14" x14ac:dyDescent="0.25">
      <c r="A34" s="125" t="s">
        <v>96</v>
      </c>
      <c r="B34" s="125"/>
      <c r="C34" s="125"/>
      <c r="D34" s="125"/>
      <c r="E34" s="126">
        <v>15.760999999999999</v>
      </c>
      <c r="F34" s="126"/>
      <c r="G34" s="33" t="s">
        <v>122</v>
      </c>
      <c r="H34" s="114" t="s">
        <v>94</v>
      </c>
      <c r="I34" s="126"/>
      <c r="J34" s="126"/>
      <c r="K34" s="126"/>
      <c r="L34" s="127">
        <f>E33</f>
        <v>674.35662678827487</v>
      </c>
      <c r="M34" s="127"/>
      <c r="N34" s="33" t="s">
        <v>122</v>
      </c>
    </row>
    <row r="35" spans="1:14" x14ac:dyDescent="0.25">
      <c r="A35" s="128" t="s">
        <v>97</v>
      </c>
      <c r="B35" s="128"/>
      <c r="C35" s="128"/>
      <c r="D35" s="128"/>
      <c r="E35" s="126">
        <f>E33-E34</f>
        <v>658.5956267882749</v>
      </c>
      <c r="F35" s="126"/>
      <c r="G35" s="33" t="s">
        <v>122</v>
      </c>
      <c r="H35" s="114" t="s">
        <v>139</v>
      </c>
      <c r="I35" s="126"/>
      <c r="J35" s="126"/>
      <c r="K35" s="126"/>
      <c r="L35" s="127">
        <f>L33-L34</f>
        <v>86.059306735991413</v>
      </c>
      <c r="M35" s="127"/>
      <c r="N35" s="33" t="s">
        <v>122</v>
      </c>
    </row>
    <row r="36" spans="1:14" x14ac:dyDescent="0.25">
      <c r="A36" s="129"/>
      <c r="B36" s="129"/>
      <c r="C36" s="129"/>
      <c r="D36" s="129"/>
      <c r="E36" s="99">
        <f>(E35*10^3)/($K$15*9.81)</f>
        <v>68.109090140722301</v>
      </c>
      <c r="F36" s="99"/>
      <c r="G36" s="76" t="s">
        <v>101</v>
      </c>
      <c r="H36" s="101" t="s">
        <v>140</v>
      </c>
      <c r="I36" s="99"/>
      <c r="J36" s="99"/>
      <c r="K36" s="99"/>
      <c r="L36" s="121">
        <f>L35*1000/(K15*9.81)</f>
        <v>8.8998785317079498</v>
      </c>
      <c r="M36" s="121"/>
      <c r="N36" s="76" t="s">
        <v>101</v>
      </c>
    </row>
    <row r="37" spans="1:14" x14ac:dyDescent="0.25">
      <c r="A37" s="104" t="s">
        <v>141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</row>
    <row r="38" spans="1:14" x14ac:dyDescent="0.25">
      <c r="A38" s="122" t="s">
        <v>142</v>
      </c>
      <c r="B38" s="95"/>
      <c r="C38" s="95"/>
      <c r="D38" s="95"/>
      <c r="E38" s="123" t="s">
        <v>206</v>
      </c>
      <c r="F38" s="123"/>
      <c r="G38" s="123"/>
      <c r="H38" s="123" t="s">
        <v>153</v>
      </c>
      <c r="I38" s="123"/>
      <c r="J38" s="123"/>
      <c r="K38" s="123"/>
      <c r="L38" s="123" t="s">
        <v>168</v>
      </c>
      <c r="M38" s="123"/>
      <c r="N38" s="124"/>
    </row>
    <row r="39" spans="1:14" x14ac:dyDescent="0.25">
      <c r="A39" s="114" t="s">
        <v>143</v>
      </c>
      <c r="B39" s="97"/>
      <c r="C39" s="97"/>
      <c r="D39" s="97"/>
      <c r="E39" s="117" t="s">
        <v>218</v>
      </c>
      <c r="F39" s="117"/>
      <c r="G39" s="117"/>
      <c r="H39" s="97" t="s">
        <v>154</v>
      </c>
      <c r="I39" s="97"/>
      <c r="J39" s="97"/>
      <c r="K39" s="97"/>
      <c r="L39" s="119">
        <v>230</v>
      </c>
      <c r="M39" s="119"/>
      <c r="N39" s="77" t="s">
        <v>163</v>
      </c>
    </row>
    <row r="40" spans="1:14" x14ac:dyDescent="0.25">
      <c r="A40" s="114" t="s">
        <v>150</v>
      </c>
      <c r="B40" s="97"/>
      <c r="C40" s="97"/>
      <c r="D40" s="97"/>
      <c r="E40" s="120">
        <v>29</v>
      </c>
      <c r="F40" s="120"/>
      <c r="G40" s="73" t="s">
        <v>35</v>
      </c>
      <c r="H40" s="97" t="s">
        <v>155</v>
      </c>
      <c r="I40" s="97"/>
      <c r="J40" s="97"/>
      <c r="K40" s="97"/>
      <c r="L40" s="97" t="s">
        <v>164</v>
      </c>
      <c r="M40" s="97"/>
      <c r="N40" s="98"/>
    </row>
    <row r="41" spans="1:14" x14ac:dyDescent="0.25">
      <c r="A41" s="118" t="s">
        <v>139</v>
      </c>
      <c r="B41" s="117"/>
      <c r="C41" s="117"/>
      <c r="D41" s="117"/>
      <c r="E41" s="97">
        <f>L35</f>
        <v>86.059306735991413</v>
      </c>
      <c r="F41" s="97"/>
      <c r="G41" s="73" t="s">
        <v>122</v>
      </c>
      <c r="H41" s="97" t="s">
        <v>156</v>
      </c>
      <c r="I41" s="97"/>
      <c r="J41" s="97"/>
      <c r="K41" s="97"/>
      <c r="L41" s="97">
        <f>(6*K18*60)/600</f>
        <v>5.5711047105000002</v>
      </c>
      <c r="M41" s="97"/>
      <c r="N41" s="77" t="s">
        <v>165</v>
      </c>
    </row>
    <row r="42" spans="1:14" x14ac:dyDescent="0.25">
      <c r="A42" s="110"/>
      <c r="B42" s="111"/>
      <c r="C42" s="111"/>
      <c r="D42" s="111"/>
      <c r="E42" s="119">
        <f>L36</f>
        <v>8.8998785317079498</v>
      </c>
      <c r="F42" s="119"/>
      <c r="G42" s="73" t="s">
        <v>101</v>
      </c>
      <c r="H42" s="97" t="s">
        <v>157</v>
      </c>
      <c r="I42" s="97"/>
      <c r="J42" s="97"/>
      <c r="K42" s="97"/>
      <c r="L42" s="97"/>
      <c r="M42" s="97"/>
      <c r="N42" s="77" t="s">
        <v>165</v>
      </c>
    </row>
    <row r="43" spans="1:14" x14ac:dyDescent="0.25">
      <c r="A43" s="114" t="s">
        <v>144</v>
      </c>
      <c r="B43" s="97"/>
      <c r="C43" s="97"/>
      <c r="D43" s="97"/>
      <c r="E43" s="97"/>
      <c r="F43" s="97"/>
      <c r="G43" s="73" t="s">
        <v>101</v>
      </c>
      <c r="H43" s="97" t="s">
        <v>158</v>
      </c>
      <c r="I43" s="97"/>
      <c r="J43" s="97"/>
      <c r="K43" s="97"/>
      <c r="L43" s="97"/>
      <c r="M43" s="97"/>
      <c r="N43" s="77" t="s">
        <v>166</v>
      </c>
    </row>
    <row r="44" spans="1:14" x14ac:dyDescent="0.25">
      <c r="A44" s="114" t="s">
        <v>145</v>
      </c>
      <c r="B44" s="97"/>
      <c r="C44" s="97"/>
      <c r="D44" s="97"/>
      <c r="E44" s="117" t="s">
        <v>208</v>
      </c>
      <c r="F44" s="117"/>
      <c r="G44" s="117"/>
      <c r="H44" s="97" t="s">
        <v>159</v>
      </c>
      <c r="I44" s="97"/>
      <c r="J44" s="97"/>
      <c r="K44" s="97"/>
      <c r="L44" s="115">
        <v>10</v>
      </c>
      <c r="M44" s="115"/>
      <c r="N44" s="79" t="s">
        <v>167</v>
      </c>
    </row>
    <row r="45" spans="1:14" x14ac:dyDescent="0.25">
      <c r="A45" s="114" t="s">
        <v>146</v>
      </c>
      <c r="B45" s="97"/>
      <c r="C45" s="97"/>
      <c r="D45" s="97"/>
      <c r="E45" s="97" t="s">
        <v>209</v>
      </c>
      <c r="F45" s="97"/>
      <c r="G45" s="97"/>
      <c r="H45" s="97" t="s">
        <v>160</v>
      </c>
      <c r="I45" s="97"/>
      <c r="J45" s="97"/>
      <c r="K45" s="97"/>
      <c r="L45" s="115">
        <v>110</v>
      </c>
      <c r="M45" s="115"/>
      <c r="N45" s="78" t="s">
        <v>77</v>
      </c>
    </row>
    <row r="46" spans="1:14" x14ac:dyDescent="0.25">
      <c r="A46" s="114" t="s">
        <v>147</v>
      </c>
      <c r="B46" s="97"/>
      <c r="C46" s="97"/>
      <c r="D46" s="97"/>
      <c r="E46" s="97" t="s">
        <v>152</v>
      </c>
      <c r="F46" s="97"/>
      <c r="G46" s="97"/>
      <c r="H46" s="97" t="s">
        <v>161</v>
      </c>
      <c r="I46" s="97"/>
      <c r="J46" s="97"/>
      <c r="K46" s="97"/>
      <c r="L46" s="115" t="s">
        <v>211</v>
      </c>
      <c r="M46" s="115"/>
      <c r="N46" s="116"/>
    </row>
    <row r="47" spans="1:14" x14ac:dyDescent="0.25">
      <c r="A47" s="101" t="s">
        <v>148</v>
      </c>
      <c r="B47" s="99"/>
      <c r="C47" s="99"/>
      <c r="D47" s="99"/>
      <c r="E47" s="99" t="s">
        <v>210</v>
      </c>
      <c r="F47" s="99"/>
      <c r="G47" s="99"/>
      <c r="H47" s="102"/>
      <c r="I47" s="102"/>
      <c r="J47" s="102"/>
      <c r="K47" s="102"/>
      <c r="L47" s="102"/>
      <c r="M47" s="102"/>
      <c r="N47" s="103"/>
    </row>
    <row r="48" spans="1:14" x14ac:dyDescent="0.25">
      <c r="A48" s="104" t="s">
        <v>172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</row>
    <row r="49" spans="1:14" x14ac:dyDescent="0.2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9"/>
    </row>
    <row r="50" spans="1:14" x14ac:dyDescent="0.25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2"/>
    </row>
    <row r="51" spans="1:14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</row>
    <row r="52" spans="1:14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2"/>
    </row>
    <row r="53" spans="1:14" x14ac:dyDescent="0.25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2"/>
    </row>
    <row r="54" spans="1:14" x14ac:dyDescent="0.25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2"/>
    </row>
    <row r="55" spans="1:14" x14ac:dyDescent="0.25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2"/>
    </row>
    <row r="56" spans="1:14" x14ac:dyDescent="0.25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2"/>
    </row>
    <row r="57" spans="1:14" x14ac:dyDescent="0.25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2"/>
    </row>
    <row r="58" spans="1:14" x14ac:dyDescent="0.25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2"/>
    </row>
    <row r="59" spans="1:14" x14ac:dyDescent="0.25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/>
    </row>
    <row r="60" spans="1:14" x14ac:dyDescent="0.25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1:14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2"/>
    </row>
    <row r="62" spans="1:14" x14ac:dyDescent="0.25">
      <c r="A62" s="113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1:14" x14ac:dyDescent="0.25">
      <c r="A63" s="104" t="s">
        <v>173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6"/>
    </row>
    <row r="64" spans="1:14" x14ac:dyDescent="0.25">
      <c r="A64" s="80" t="s">
        <v>174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5">
      <c r="A65" s="81" t="s">
        <v>175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</row>
    <row r="66" spans="1:14" x14ac:dyDescent="0.25">
      <c r="A66" s="81" t="s">
        <v>176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</row>
    <row r="67" spans="1:14" x14ac:dyDescent="0.25">
      <c r="A67" s="81" t="s">
        <v>177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</row>
    <row r="68" spans="1:14" x14ac:dyDescent="0.25">
      <c r="A68" s="82" t="s">
        <v>178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100"/>
    </row>
  </sheetData>
  <mergeCells count="136">
    <mergeCell ref="A1:G1"/>
    <mergeCell ref="H1:N1"/>
    <mergeCell ref="A2:G2"/>
    <mergeCell ref="H2:J2"/>
    <mergeCell ref="K2:N2"/>
    <mergeCell ref="A3:G7"/>
    <mergeCell ref="M13:N18"/>
    <mergeCell ref="A14:C14"/>
    <mergeCell ref="D14:G14"/>
    <mergeCell ref="A15:C15"/>
    <mergeCell ref="D15:G15"/>
    <mergeCell ref="H15:I15"/>
    <mergeCell ref="A16:C18"/>
    <mergeCell ref="A8:G8"/>
    <mergeCell ref="A9:N9"/>
    <mergeCell ref="A10:N10"/>
    <mergeCell ref="A11:N11"/>
    <mergeCell ref="A12:C12"/>
    <mergeCell ref="D12:G12"/>
    <mergeCell ref="H12:I12"/>
    <mergeCell ref="J12:J18"/>
    <mergeCell ref="K12:N12"/>
    <mergeCell ref="A13:C13"/>
    <mergeCell ref="F16:G16"/>
    <mergeCell ref="H16:I16"/>
    <mergeCell ref="F17:G17"/>
    <mergeCell ref="H17:I17"/>
    <mergeCell ref="F18:G18"/>
    <mergeCell ref="H18:I18"/>
    <mergeCell ref="D13:G13"/>
    <mergeCell ref="H13:I14"/>
    <mergeCell ref="K13:L14"/>
    <mergeCell ref="A23:D23"/>
    <mergeCell ref="E23:F23"/>
    <mergeCell ref="H23:K23"/>
    <mergeCell ref="L23:M23"/>
    <mergeCell ref="A24:D24"/>
    <mergeCell ref="E24:F24"/>
    <mergeCell ref="H24:K24"/>
    <mergeCell ref="L24:M24"/>
    <mergeCell ref="A19:N19"/>
    <mergeCell ref="A20:G20"/>
    <mergeCell ref="H20:N20"/>
    <mergeCell ref="A21:E21"/>
    <mergeCell ref="H21:L21"/>
    <mergeCell ref="A22:F22"/>
    <mergeCell ref="H22:M22"/>
    <mergeCell ref="A27:G27"/>
    <mergeCell ref="H27:N27"/>
    <mergeCell ref="A28:D29"/>
    <mergeCell ref="E28:F28"/>
    <mergeCell ref="H28:K29"/>
    <mergeCell ref="L28:M28"/>
    <mergeCell ref="E29:F29"/>
    <mergeCell ref="L29:M29"/>
    <mergeCell ref="A25:D25"/>
    <mergeCell ref="E25:F25"/>
    <mergeCell ref="H25:K25"/>
    <mergeCell ref="L25:M25"/>
    <mergeCell ref="A26:D26"/>
    <mergeCell ref="E26:F26"/>
    <mergeCell ref="H26:K26"/>
    <mergeCell ref="L26:M26"/>
    <mergeCell ref="A32:G32"/>
    <mergeCell ref="H32:N32"/>
    <mergeCell ref="A33:D33"/>
    <mergeCell ref="E33:F33"/>
    <mergeCell ref="H33:K33"/>
    <mergeCell ref="L33:M33"/>
    <mergeCell ref="A30:D30"/>
    <mergeCell ref="E30:F30"/>
    <mergeCell ref="H30:K30"/>
    <mergeCell ref="L30:M30"/>
    <mergeCell ref="A31:D31"/>
    <mergeCell ref="E31:F31"/>
    <mergeCell ref="H31:K31"/>
    <mergeCell ref="L31:M31"/>
    <mergeCell ref="L36:M36"/>
    <mergeCell ref="A37:N37"/>
    <mergeCell ref="A38:D38"/>
    <mergeCell ref="E38:G38"/>
    <mergeCell ref="H38:K38"/>
    <mergeCell ref="L38:N38"/>
    <mergeCell ref="A34:D34"/>
    <mergeCell ref="E34:F34"/>
    <mergeCell ref="H34:K34"/>
    <mergeCell ref="L34:M34"/>
    <mergeCell ref="A35:D36"/>
    <mergeCell ref="E35:F35"/>
    <mergeCell ref="H35:K35"/>
    <mergeCell ref="L35:M35"/>
    <mergeCell ref="E36:F36"/>
    <mergeCell ref="H36:K36"/>
    <mergeCell ref="A41:D41"/>
    <mergeCell ref="E41:F41"/>
    <mergeCell ref="H41:K41"/>
    <mergeCell ref="L41:M41"/>
    <mergeCell ref="A42:D42"/>
    <mergeCell ref="E42:F42"/>
    <mergeCell ref="H42:K42"/>
    <mergeCell ref="L42:M42"/>
    <mergeCell ref="A39:D39"/>
    <mergeCell ref="E39:G39"/>
    <mergeCell ref="H39:K39"/>
    <mergeCell ref="L39:M39"/>
    <mergeCell ref="A40:D40"/>
    <mergeCell ref="E40:F40"/>
    <mergeCell ref="H40:K40"/>
    <mergeCell ref="L40:N40"/>
    <mergeCell ref="A45:D45"/>
    <mergeCell ref="E45:G45"/>
    <mergeCell ref="H45:K45"/>
    <mergeCell ref="L45:M45"/>
    <mergeCell ref="A46:D46"/>
    <mergeCell ref="E46:G46"/>
    <mergeCell ref="H46:K46"/>
    <mergeCell ref="L46:N46"/>
    <mergeCell ref="A43:D43"/>
    <mergeCell ref="E43:F43"/>
    <mergeCell ref="H43:K43"/>
    <mergeCell ref="L43:M43"/>
    <mergeCell ref="A44:D44"/>
    <mergeCell ref="E44:G44"/>
    <mergeCell ref="H44:K44"/>
    <mergeCell ref="L44:M44"/>
    <mergeCell ref="B64:N64"/>
    <mergeCell ref="B65:N65"/>
    <mergeCell ref="B66:N66"/>
    <mergeCell ref="B67:N67"/>
    <mergeCell ref="B68:N68"/>
    <mergeCell ref="A47:D47"/>
    <mergeCell ref="E47:G47"/>
    <mergeCell ref="H47:N47"/>
    <mergeCell ref="A48:N48"/>
    <mergeCell ref="A49:N62"/>
    <mergeCell ref="A63:N63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A25" sqref="A25"/>
    </sheetView>
  </sheetViews>
  <sheetFormatPr defaultRowHeight="15" x14ac:dyDescent="0.25"/>
  <cols>
    <col min="1" max="2" width="9.140625" style="65"/>
    <col min="3" max="3" width="11.5703125" style="65" customWidth="1"/>
    <col min="4" max="4" width="26.140625" style="65" bestFit="1" customWidth="1"/>
    <col min="5" max="5" width="29.85546875" style="65" bestFit="1" customWidth="1"/>
    <col min="6" max="6" width="47.42578125" style="65" bestFit="1" customWidth="1"/>
    <col min="7" max="8" width="9.7109375" style="65" bestFit="1" customWidth="1"/>
    <col min="9" max="16384" width="9.140625" style="65"/>
  </cols>
  <sheetData>
    <row r="1" spans="1:8" x14ac:dyDescent="0.25">
      <c r="A1" s="187" t="s">
        <v>39</v>
      </c>
      <c r="B1" s="188"/>
      <c r="C1" s="189"/>
      <c r="D1" s="63" t="s">
        <v>29</v>
      </c>
      <c r="E1" s="63" t="s">
        <v>31</v>
      </c>
      <c r="F1" s="64" t="s">
        <v>37</v>
      </c>
    </row>
    <row r="2" spans="1:8" x14ac:dyDescent="0.25">
      <c r="A2" s="190"/>
      <c r="B2" s="191"/>
      <c r="C2" s="192"/>
      <c r="D2" s="66" t="s">
        <v>30</v>
      </c>
      <c r="E2" s="66" t="s">
        <v>32</v>
      </c>
      <c r="F2" s="13" t="s">
        <v>38</v>
      </c>
      <c r="G2" s="182" t="s">
        <v>52</v>
      </c>
      <c r="H2" s="182" t="s">
        <v>52</v>
      </c>
    </row>
    <row r="3" spans="1:8" x14ac:dyDescent="0.25">
      <c r="A3" s="184" t="s">
        <v>132</v>
      </c>
      <c r="B3" s="185"/>
      <c r="C3" s="186"/>
      <c r="D3" s="23">
        <f>('Max Supply Req. Calculations'!$T$13*13.198)^0.5</f>
        <v>4.6953103411808685</v>
      </c>
      <c r="E3" s="23">
        <f>(((0.55*('Max Supply Req. Calculations'!T13^0.49))*(1000^-0.35))*1000)/25.4</f>
        <v>2.4814813110971889</v>
      </c>
      <c r="F3" s="33">
        <f>0.25*SQRT('Max Supply Req. Calculations'!T13*13.198)</f>
        <v>1.1738275852952171</v>
      </c>
      <c r="G3" s="183"/>
      <c r="H3" s="183"/>
    </row>
    <row r="4" spans="1:8" x14ac:dyDescent="0.25">
      <c r="A4" s="184" t="s">
        <v>33</v>
      </c>
      <c r="B4" s="185"/>
      <c r="C4" s="186"/>
      <c r="D4" s="28">
        <v>6</v>
      </c>
      <c r="E4" s="28">
        <v>3</v>
      </c>
      <c r="F4" s="67">
        <v>1.5</v>
      </c>
      <c r="G4" s="38">
        <v>2</v>
      </c>
      <c r="H4" s="60">
        <v>2.5</v>
      </c>
    </row>
    <row r="5" spans="1:8" x14ac:dyDescent="0.25">
      <c r="A5" s="184" t="s">
        <v>34</v>
      </c>
      <c r="B5" s="185"/>
      <c r="C5" s="186"/>
      <c r="D5" s="23">
        <v>0.28000000000000003</v>
      </c>
      <c r="E5" s="23">
        <v>0.216</v>
      </c>
      <c r="F5" s="33">
        <v>0.14499999999999999</v>
      </c>
      <c r="G5" s="39">
        <v>0.154</v>
      </c>
      <c r="H5" s="33">
        <v>0.20300000000000001</v>
      </c>
    </row>
    <row r="6" spans="1:8" x14ac:dyDescent="0.25">
      <c r="A6" s="184" t="s">
        <v>40</v>
      </c>
      <c r="B6" s="185"/>
      <c r="C6" s="186"/>
      <c r="D6" s="41">
        <f>(4*'Max Supply Req. Calculations'!$T$13)/(PI()*1.3059*10^-3*D4*25.4*10^-3)</f>
        <v>10686.505437595133</v>
      </c>
      <c r="E6" s="41">
        <f>(4*'Max Supply Req. Calculations'!$T$13)/(PI()*1.3059*10^-3*E4*25.4*10^-3)</f>
        <v>21373.010875190266</v>
      </c>
      <c r="F6" s="41">
        <f>(4*'Max Supply Req. Calculations'!$T$13)/(PI()*1.3059*10^-3*F4*25.4*10^-3)</f>
        <v>42746.021750380532</v>
      </c>
      <c r="G6" s="35">
        <f>(4*'Max Supply Req. Calculations'!$T$13)/(PI()*1.3059*10^-3*G4*25.4*10^-3)</f>
        <v>32059.516312785399</v>
      </c>
      <c r="H6" s="41">
        <f>(4*'Max Supply Req. Calculations'!$T$13)/(PI()*1.3059*10^-3*H4*25.4*10^-3)</f>
        <v>25647.613050228323</v>
      </c>
    </row>
    <row r="7" spans="1:8" x14ac:dyDescent="0.25">
      <c r="A7" s="184" t="s">
        <v>41</v>
      </c>
      <c r="B7" s="185"/>
      <c r="C7" s="186"/>
      <c r="D7" s="41" t="s">
        <v>42</v>
      </c>
      <c r="E7" s="41" t="s">
        <v>42</v>
      </c>
      <c r="F7" s="41" t="s">
        <v>42</v>
      </c>
      <c r="G7" s="35" t="s">
        <v>42</v>
      </c>
      <c r="H7" s="41" t="s">
        <v>42</v>
      </c>
    </row>
    <row r="8" spans="1:8" x14ac:dyDescent="0.25">
      <c r="A8" s="184" t="s">
        <v>43</v>
      </c>
      <c r="B8" s="185"/>
      <c r="C8" s="186"/>
      <c r="D8" s="68">
        <f>PI()*(0.5*D4*10^-3*25.4)^2</f>
        <v>1.8241469247509919E-2</v>
      </c>
      <c r="E8" s="43">
        <f>PI()*(0.5*E4*10^-3*25.4)^2</f>
        <v>4.5603673118774796E-3</v>
      </c>
      <c r="F8" s="43">
        <f>PI()*(0.5*F4*10^-3*25.4)^2</f>
        <v>1.1400918279693699E-3</v>
      </c>
      <c r="G8" s="36">
        <f t="shared" ref="G8:H8" si="0">PI()*(0.5*G4*10^-3*25.4)^2</f>
        <v>2.0268299163899908E-3</v>
      </c>
      <c r="H8" s="43">
        <f t="shared" si="0"/>
        <v>3.1669217443593611E-3</v>
      </c>
    </row>
    <row r="9" spans="1:8" x14ac:dyDescent="0.25">
      <c r="A9" s="184" t="s">
        <v>44</v>
      </c>
      <c r="B9" s="185"/>
      <c r="C9" s="186"/>
      <c r="D9" s="43">
        <f>'Max Supply Req. Calculations'!$T$13*10^-3/D8</f>
        <v>9.1571571200495305E-2</v>
      </c>
      <c r="E9" s="43">
        <f>'Max Supply Req. Calculations'!$T$13*10^-3/E8</f>
        <v>0.36628628480198122</v>
      </c>
      <c r="F9" s="43">
        <f>'Max Supply Req. Calculations'!$T$13*10^-3/F8</f>
        <v>1.4651451392079249</v>
      </c>
      <c r="G9" s="36">
        <f>'Max Supply Req. Calculations'!$T$13*10^-3/G8</f>
        <v>0.82414414080445786</v>
      </c>
      <c r="H9" s="43">
        <f>'Max Supply Req. Calculations'!$T$13*10^-3/H8</f>
        <v>0.52745225011485297</v>
      </c>
    </row>
    <row r="10" spans="1:8" x14ac:dyDescent="0.25">
      <c r="A10" s="184" t="s">
        <v>48</v>
      </c>
      <c r="B10" s="185"/>
      <c r="C10" s="186"/>
      <c r="D10" s="43">
        <f>'Max Supply Req. Calculations'!$X$8/(D4*25.4)</f>
        <v>3.0183727034120738E-4</v>
      </c>
      <c r="E10" s="43">
        <f>'Max Supply Req. Calculations'!$X$8/(E4*25.4)</f>
        <v>6.0367454068241475E-4</v>
      </c>
      <c r="F10" s="43">
        <f>'Max Supply Req. Calculations'!$X$8/(F4*25.4)</f>
        <v>1.2073490813648295E-3</v>
      </c>
      <c r="G10" s="36">
        <f>'Max Supply Req. Calculations'!$X$8/(G4*25.4)</f>
        <v>9.0551181102362208E-4</v>
      </c>
      <c r="H10" s="43">
        <f>'Max Supply Req. Calculations'!$X$8/(H4*25.4)</f>
        <v>7.244094488188976E-4</v>
      </c>
    </row>
    <row r="11" spans="1:8" x14ac:dyDescent="0.25">
      <c r="A11" s="184" t="s">
        <v>49</v>
      </c>
      <c r="B11" s="185"/>
      <c r="C11" s="186"/>
      <c r="D11" s="53">
        <v>2.7732400000000001E-2</v>
      </c>
      <c r="E11" s="54">
        <v>2.34439E-2</v>
      </c>
      <c r="F11" s="23">
        <v>2.0145E-2</v>
      </c>
      <c r="G11" s="34">
        <v>2.1398899999999998E-2</v>
      </c>
      <c r="H11" s="23">
        <v>2.24847E-2</v>
      </c>
    </row>
    <row r="12" spans="1:8" x14ac:dyDescent="0.25">
      <c r="A12" s="184" t="s">
        <v>50</v>
      </c>
      <c r="B12" s="185"/>
      <c r="C12" s="186"/>
      <c r="D12" s="43">
        <f>0.25*D11</f>
        <v>6.9331000000000002E-3</v>
      </c>
      <c r="E12" s="43">
        <f>0.25*E11</f>
        <v>5.860975E-3</v>
      </c>
      <c r="F12" s="43">
        <f>0.25*F11</f>
        <v>5.0362499999999999E-3</v>
      </c>
      <c r="G12" s="36">
        <f t="shared" ref="G12:H12" si="1">0.25*G11</f>
        <v>5.3497249999999996E-3</v>
      </c>
      <c r="H12" s="43">
        <f t="shared" si="1"/>
        <v>5.621175E-3</v>
      </c>
    </row>
    <row r="13" spans="1:8" x14ac:dyDescent="0.25">
      <c r="A13" s="179" t="s">
        <v>51</v>
      </c>
      <c r="B13" s="180"/>
      <c r="C13" s="181"/>
      <c r="D13" s="44">
        <f>(4*D12*(1/(D4*25.4))*0.5*1000*D9^2)*1.2^2</f>
        <v>1.0986423018418462E-3</v>
      </c>
      <c r="E13" s="44">
        <f>(4*E12*(1/(E4*25.4))*0.5*1000*E9^2)*1.2^2</f>
        <v>2.9719992799930834E-2</v>
      </c>
      <c r="F13" s="44">
        <f>(4*F12*(1/(F4*25.4))*0.5*1000*F9^2)*1.2^2</f>
        <v>0.81721454871192123</v>
      </c>
      <c r="G13" s="37">
        <f t="shared" ref="G13:H13" si="2">(4*G12*(1/(G4*25.4))*0.5*1000*G9^2)*1.2^2</f>
        <v>0.20599969822123892</v>
      </c>
      <c r="H13" s="44">
        <f t="shared" si="2"/>
        <v>7.0927094137292993E-2</v>
      </c>
    </row>
    <row r="14" spans="1:8" x14ac:dyDescent="0.25">
      <c r="A14" s="83"/>
      <c r="B14" s="83"/>
      <c r="C14" s="83"/>
      <c r="D14" s="83"/>
      <c r="E14" s="83"/>
      <c r="F14" s="83"/>
      <c r="G14" s="83"/>
      <c r="H14" s="83"/>
    </row>
    <row r="15" spans="1:8" x14ac:dyDescent="0.25">
      <c r="A15" s="84"/>
      <c r="B15" s="84"/>
      <c r="C15" s="84"/>
      <c r="D15" s="84"/>
      <c r="E15" s="84"/>
      <c r="F15" s="84"/>
      <c r="G15" s="84"/>
      <c r="H15" s="84"/>
    </row>
    <row r="16" spans="1:8" x14ac:dyDescent="0.25">
      <c r="A16" s="84"/>
      <c r="B16" s="84"/>
      <c r="C16" s="84"/>
      <c r="D16" s="84"/>
      <c r="E16" s="84"/>
      <c r="F16" s="84"/>
      <c r="G16" s="84"/>
      <c r="H16" s="84"/>
    </row>
  </sheetData>
  <mergeCells count="14">
    <mergeCell ref="A13:C13"/>
    <mergeCell ref="H2:H3"/>
    <mergeCell ref="A7:C7"/>
    <mergeCell ref="A8:C8"/>
    <mergeCell ref="A9:C9"/>
    <mergeCell ref="A10:C10"/>
    <mergeCell ref="A11:C11"/>
    <mergeCell ref="A12:C12"/>
    <mergeCell ref="A1:C2"/>
    <mergeCell ref="G2:G3"/>
    <mergeCell ref="A3:C3"/>
    <mergeCell ref="A4:C4"/>
    <mergeCell ref="A5:C5"/>
    <mergeCell ref="A6:C6"/>
  </mergeCells>
  <pageMargins left="0.7" right="0.7" top="0.75" bottom="0.75" header="0.3" footer="0.3"/>
  <pageSetup paperSize="9" scale="8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workbookViewId="0">
      <selection activeCell="O14" sqref="O14"/>
    </sheetView>
  </sheetViews>
  <sheetFormatPr defaultRowHeight="15" x14ac:dyDescent="0.25"/>
  <cols>
    <col min="3" max="3" width="12" customWidth="1"/>
    <col min="4" max="4" width="26.140625" bestFit="1" customWidth="1"/>
    <col min="5" max="5" width="29.85546875" bestFit="1" customWidth="1"/>
    <col min="6" max="6" width="47.42578125" bestFit="1" customWidth="1"/>
    <col min="7" max="7" width="10" bestFit="1" customWidth="1"/>
    <col min="8" max="8" width="9.7109375" bestFit="1" customWidth="1"/>
  </cols>
  <sheetData>
    <row r="1" spans="1:17" x14ac:dyDescent="0.25">
      <c r="A1" s="187" t="s">
        <v>39</v>
      </c>
      <c r="B1" s="188"/>
      <c r="C1" s="189"/>
      <c r="D1" s="63" t="s">
        <v>29</v>
      </c>
      <c r="E1" s="63" t="s">
        <v>31</v>
      </c>
      <c r="F1" s="64" t="s">
        <v>37</v>
      </c>
      <c r="H1" s="93"/>
      <c r="I1" s="93"/>
      <c r="J1" s="93"/>
      <c r="K1" s="93"/>
      <c r="L1" s="94" t="s">
        <v>129</v>
      </c>
      <c r="M1" s="93"/>
      <c r="N1" s="93"/>
      <c r="O1" s="93"/>
      <c r="P1" s="93"/>
      <c r="Q1" s="93"/>
    </row>
    <row r="2" spans="1:17" x14ac:dyDescent="0.25">
      <c r="A2" s="190"/>
      <c r="B2" s="191"/>
      <c r="C2" s="192"/>
      <c r="D2" s="66" t="s">
        <v>30</v>
      </c>
      <c r="E2" s="66" t="s">
        <v>32</v>
      </c>
      <c r="F2" s="13" t="s">
        <v>38</v>
      </c>
      <c r="G2" s="182" t="s">
        <v>52</v>
      </c>
      <c r="H2" s="182" t="s">
        <v>52</v>
      </c>
    </row>
    <row r="3" spans="1:17" x14ac:dyDescent="0.25">
      <c r="A3" s="184" t="s">
        <v>133</v>
      </c>
      <c r="B3" s="185"/>
      <c r="C3" s="186"/>
      <c r="D3" s="23">
        <f>('Max Supply Req. Calculations'!$B$28*13.198)^0.5</f>
        <v>6.7846395767505605</v>
      </c>
      <c r="E3" s="23">
        <f>(((0.55*('Max Supply Req. Calculations'!B28^0.49))*(1000^-0.35))*1000)/25.4</f>
        <v>3.5593954248463104</v>
      </c>
      <c r="F3" s="33">
        <f>0.25*SQRT('Max Supply Req. Calculations'!B28*13.198)</f>
        <v>1.6961598941876401</v>
      </c>
      <c r="G3" s="183"/>
      <c r="H3" s="183"/>
    </row>
    <row r="4" spans="1:17" x14ac:dyDescent="0.25">
      <c r="A4" s="184" t="s">
        <v>33</v>
      </c>
      <c r="B4" s="185"/>
      <c r="C4" s="186"/>
      <c r="D4" s="28">
        <v>7</v>
      </c>
      <c r="E4" s="28">
        <v>3.5</v>
      </c>
      <c r="F4" s="60">
        <v>2</v>
      </c>
      <c r="G4" s="38">
        <v>6</v>
      </c>
      <c r="H4" s="60">
        <v>5</v>
      </c>
    </row>
    <row r="5" spans="1:17" x14ac:dyDescent="0.25">
      <c r="A5" s="184" t="s">
        <v>34</v>
      </c>
      <c r="B5" s="185"/>
      <c r="C5" s="186"/>
      <c r="D5" s="23">
        <v>0.30099999999999999</v>
      </c>
      <c r="E5" s="23">
        <v>0.22600000000000001</v>
      </c>
      <c r="F5" s="33">
        <v>0.154</v>
      </c>
      <c r="G5" s="39">
        <v>0.28000000000000003</v>
      </c>
      <c r="H5" s="33">
        <v>0.25800000000000001</v>
      </c>
    </row>
    <row r="6" spans="1:17" x14ac:dyDescent="0.25">
      <c r="A6" s="184" t="s">
        <v>40</v>
      </c>
      <c r="B6" s="185"/>
      <c r="C6" s="186"/>
      <c r="D6" s="41">
        <f>(4*'Max Supply Req. Calculations'!$B$28)/(PI()*1.3059*10^-3*D4*25.4*10^-3)</f>
        <v>19125.547610386333</v>
      </c>
      <c r="E6" s="41">
        <f>(4*'Max Supply Req. Calculations'!$B$28)/(PI()*1.3059*10^-3*E4*25.4*10^-3)</f>
        <v>38251.095220772666</v>
      </c>
      <c r="F6" s="41">
        <f>(4*'Max Supply Req. Calculations'!$B$28)/(PI()*1.3059*10^-3*F4*25.4*10^-3)</f>
        <v>66939.416636352165</v>
      </c>
      <c r="G6" s="35">
        <f>(4*'Max Supply Req. Calculations'!$B$28)/(PI()*1.3059*10^-3*G4*25.4*10^-3)</f>
        <v>22313.138878784055</v>
      </c>
      <c r="H6" s="41">
        <f>(4*'Max Supply Req. Calculations'!$B$28)/(PI()*1.3059*10^-3*H4*25.4*10^-3)</f>
        <v>26775.766654540872</v>
      </c>
    </row>
    <row r="7" spans="1:17" x14ac:dyDescent="0.25">
      <c r="A7" s="184" t="s">
        <v>41</v>
      </c>
      <c r="B7" s="185"/>
      <c r="C7" s="186"/>
      <c r="D7" s="41" t="s">
        <v>42</v>
      </c>
      <c r="E7" s="41" t="s">
        <v>42</v>
      </c>
      <c r="F7" s="41" t="s">
        <v>42</v>
      </c>
      <c r="G7" s="35" t="s">
        <v>42</v>
      </c>
      <c r="H7" s="41" t="s">
        <v>42</v>
      </c>
    </row>
    <row r="8" spans="1:17" x14ac:dyDescent="0.25">
      <c r="A8" s="184" t="s">
        <v>43</v>
      </c>
      <c r="B8" s="185"/>
      <c r="C8" s="186"/>
      <c r="D8" s="68">
        <f>PI()*(0.5*D4*10^-3*25.4)^2</f>
        <v>2.4828666475777385E-2</v>
      </c>
      <c r="E8" s="43">
        <f>PI()*(0.5*E4*10^-3*25.4)^2</f>
        <v>6.2071666189443464E-3</v>
      </c>
      <c r="F8" s="43">
        <f>PI()*(0.5*F4*10^-3*25.4)^2</f>
        <v>2.0268299163899908E-3</v>
      </c>
      <c r="G8" s="36">
        <f t="shared" ref="G8:H8" si="0">PI()*(0.5*G4*10^-3*25.4)^2</f>
        <v>1.8241469247509919E-2</v>
      </c>
      <c r="H8" s="43">
        <f t="shared" si="0"/>
        <v>1.2667686977437444E-2</v>
      </c>
    </row>
    <row r="9" spans="1:17" x14ac:dyDescent="0.25">
      <c r="A9" s="184" t="s">
        <v>44</v>
      </c>
      <c r="B9" s="185"/>
      <c r="C9" s="186"/>
      <c r="D9" s="43">
        <f>'Max Supply Req. Calculations'!$B$28*10^-3/D8</f>
        <v>0.14047273692015477</v>
      </c>
      <c r="E9" s="43">
        <f>'Max Supply Req. Calculations'!$B$28*10^-3/E8</f>
        <v>0.56189094768061909</v>
      </c>
      <c r="F9" s="43">
        <f>'Max Supply Req. Calculations'!$B$28*10^-3/F8</f>
        <v>1.720791027271896</v>
      </c>
      <c r="G9" s="36">
        <f>'Max Supply Req. Calculations'!$B$28*10^-3/G8</f>
        <v>0.19119900303021065</v>
      </c>
      <c r="H9" s="43">
        <f>'Max Supply Req. Calculations'!$B$28*10^-3/H8</f>
        <v>0.27532656436350328</v>
      </c>
    </row>
    <row r="10" spans="1:17" x14ac:dyDescent="0.25">
      <c r="A10" s="184" t="s">
        <v>48</v>
      </c>
      <c r="B10" s="185"/>
      <c r="C10" s="186"/>
      <c r="D10" s="43">
        <f>'Max Supply Req. Calculations'!$X$8/(D4*25.4)</f>
        <v>2.5871766029246344E-4</v>
      </c>
      <c r="E10" s="43">
        <f>'Max Supply Req. Calculations'!$X$8/(E4*25.4)</f>
        <v>5.1743532058492689E-4</v>
      </c>
      <c r="F10" s="43">
        <f>'Max Supply Req. Calculations'!$X$8/(F4*25.4)</f>
        <v>9.0551181102362208E-4</v>
      </c>
      <c r="G10" s="36">
        <f>'Max Supply Req. Calculations'!$X$8/(G4*25.4)</f>
        <v>3.0183727034120738E-4</v>
      </c>
      <c r="H10" s="43">
        <f>'Max Supply Req. Calculations'!$X$8/(H4*25.4)</f>
        <v>3.622047244094488E-4</v>
      </c>
    </row>
    <row r="11" spans="1:17" x14ac:dyDescent="0.25">
      <c r="A11" s="184" t="s">
        <v>49</v>
      </c>
      <c r="B11" s="185"/>
      <c r="C11" s="186"/>
      <c r="D11" s="53">
        <v>2.6462800000000002E-2</v>
      </c>
      <c r="E11" s="54">
        <v>2.2442400000000001E-2</v>
      </c>
      <c r="F11" s="23">
        <v>1.9858399999999998E-2</v>
      </c>
      <c r="G11" s="34">
        <v>2.5481400000000001E-2</v>
      </c>
      <c r="H11" s="23">
        <v>2.4388E-2</v>
      </c>
    </row>
    <row r="12" spans="1:17" x14ac:dyDescent="0.25">
      <c r="A12" s="184" t="s">
        <v>50</v>
      </c>
      <c r="B12" s="185"/>
      <c r="C12" s="186"/>
      <c r="D12" s="43">
        <f>0.25*D11</f>
        <v>6.6157000000000004E-3</v>
      </c>
      <c r="E12" s="43">
        <f>0.25*E11</f>
        <v>5.6106000000000003E-3</v>
      </c>
      <c r="F12" s="43">
        <f>0.25*F11</f>
        <v>4.9645999999999996E-3</v>
      </c>
      <c r="G12" s="36">
        <f t="shared" ref="G12:H12" si="1">0.25*G11</f>
        <v>6.3703500000000003E-3</v>
      </c>
      <c r="H12" s="43">
        <f t="shared" si="1"/>
        <v>6.097E-3</v>
      </c>
    </row>
    <row r="13" spans="1:17" x14ac:dyDescent="0.25">
      <c r="A13" s="179" t="s">
        <v>51</v>
      </c>
      <c r="B13" s="180"/>
      <c r="C13" s="181"/>
      <c r="D13" s="44">
        <f>(4*D12*(1/(D4*25.4))*0.5*1000*D9^2)*1.2^2</f>
        <v>2.1145629698463859E-3</v>
      </c>
      <c r="E13" s="44">
        <f>(4*E12*(1/(E4*25.4))*0.5*1000*E9^2)*1.2^2</f>
        <v>5.7385755695670032E-2</v>
      </c>
      <c r="F13" s="44">
        <f>(4*F12*(1/(F4*25.4))*0.5*1000*F9^2)*1.2^2</f>
        <v>0.83343033566416846</v>
      </c>
      <c r="G13" s="37">
        <f t="shared" ref="G13:H13" si="2">(4*G12*(1/(G4*25.4))*0.5*1000*G9^2)*1.2^2</f>
        <v>4.4009056869949818E-3</v>
      </c>
      <c r="H13" s="44">
        <f t="shared" si="2"/>
        <v>1.0480963120294682E-2</v>
      </c>
    </row>
  </sheetData>
  <mergeCells count="14">
    <mergeCell ref="A12:C12"/>
    <mergeCell ref="A13:C13"/>
    <mergeCell ref="G2:G3"/>
    <mergeCell ref="H2:H3"/>
    <mergeCell ref="A6:C6"/>
    <mergeCell ref="A7:C7"/>
    <mergeCell ref="A8:C8"/>
    <mergeCell ref="A9:C9"/>
    <mergeCell ref="A10:C10"/>
    <mergeCell ref="A11:C11"/>
    <mergeCell ref="A1:C2"/>
    <mergeCell ref="A3:C3"/>
    <mergeCell ref="A4:C4"/>
    <mergeCell ref="A5:C5"/>
  </mergeCells>
  <pageMargins left="0.7" right="0.7" top="0.75" bottom="0.75" header="0.3" footer="0.3"/>
  <pageSetup paperSize="9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workbookViewId="0">
      <selection activeCell="F13" sqref="F13"/>
    </sheetView>
  </sheetViews>
  <sheetFormatPr defaultRowHeight="15" x14ac:dyDescent="0.25"/>
  <cols>
    <col min="3" max="3" width="11.42578125" customWidth="1"/>
    <col min="4" max="4" width="26.140625" bestFit="1" customWidth="1"/>
    <col min="5" max="5" width="29.85546875" bestFit="1" customWidth="1"/>
    <col min="6" max="6" width="47.42578125" bestFit="1" customWidth="1"/>
    <col min="7" max="7" width="10" bestFit="1" customWidth="1"/>
    <col min="8" max="8" width="9.7109375" bestFit="1" customWidth="1"/>
  </cols>
  <sheetData>
    <row r="1" spans="1:8" x14ac:dyDescent="0.25">
      <c r="A1" s="187" t="s">
        <v>39</v>
      </c>
      <c r="B1" s="188"/>
      <c r="C1" s="189"/>
      <c r="D1" s="63" t="s">
        <v>29</v>
      </c>
      <c r="E1" s="63" t="s">
        <v>31</v>
      </c>
      <c r="F1" s="64" t="s">
        <v>37</v>
      </c>
    </row>
    <row r="2" spans="1:8" x14ac:dyDescent="0.25">
      <c r="A2" s="190"/>
      <c r="B2" s="191"/>
      <c r="C2" s="192"/>
      <c r="D2" s="66" t="s">
        <v>30</v>
      </c>
      <c r="E2" s="66" t="s">
        <v>32</v>
      </c>
      <c r="F2" s="13" t="s">
        <v>38</v>
      </c>
      <c r="G2" s="182" t="s">
        <v>52</v>
      </c>
      <c r="H2" s="182" t="s">
        <v>52</v>
      </c>
    </row>
    <row r="3" spans="1:8" x14ac:dyDescent="0.25">
      <c r="A3" s="184" t="s">
        <v>134</v>
      </c>
      <c r="B3" s="185"/>
      <c r="C3" s="186"/>
      <c r="D3" s="23">
        <f>('Max Supply Req. Calculations'!$L$13*13.198)^0.5</f>
        <v>6.2913641094762074</v>
      </c>
      <c r="E3" s="23">
        <f>(((0.55*('Max Supply Req. Calculations'!L13^0.49))*(1000^-0.35))*1000)/25.4</f>
        <v>3.3055970797671281</v>
      </c>
      <c r="F3" s="33">
        <f>0.25*SQRT('Max Supply Req. Calculations'!L13*13.198)</f>
        <v>1.5728410273690518</v>
      </c>
      <c r="G3" s="183"/>
      <c r="H3" s="183"/>
    </row>
    <row r="4" spans="1:8" x14ac:dyDescent="0.25">
      <c r="A4" s="184" t="s">
        <v>33</v>
      </c>
      <c r="B4" s="185"/>
      <c r="C4" s="186"/>
      <c r="D4" s="28">
        <v>7</v>
      </c>
      <c r="E4" s="28">
        <v>3.5</v>
      </c>
      <c r="F4" s="60">
        <v>2</v>
      </c>
      <c r="G4" s="38">
        <v>2.5</v>
      </c>
      <c r="H4" s="60">
        <v>3</v>
      </c>
    </row>
    <row r="5" spans="1:8" x14ac:dyDescent="0.25">
      <c r="A5" s="184" t="s">
        <v>34</v>
      </c>
      <c r="B5" s="185"/>
      <c r="C5" s="186"/>
      <c r="D5" s="23">
        <v>0.30099999999999999</v>
      </c>
      <c r="E5" s="23">
        <v>0.22600000000000001</v>
      </c>
      <c r="F5" s="33">
        <v>0.154</v>
      </c>
      <c r="G5" s="39">
        <v>0.20300000000000001</v>
      </c>
      <c r="H5" s="33">
        <v>0.216</v>
      </c>
    </row>
    <row r="6" spans="1:8" x14ac:dyDescent="0.25">
      <c r="A6" s="184" t="s">
        <v>40</v>
      </c>
      <c r="B6" s="185"/>
      <c r="C6" s="186"/>
      <c r="D6" s="41">
        <f>(4*'Max Supply Req. Calculations'!$L$13)/(PI()*1.3059*10^-3*D4*25.4*10^-3)</f>
        <v>16445.608868115738</v>
      </c>
      <c r="E6" s="41">
        <f>(4*'Max Supply Req. Calculations'!$L$13)/(PI()*1.3059*10^-3*E4*25.4*10^-3)</f>
        <v>32891.217736231476</v>
      </c>
      <c r="F6" s="41">
        <f>(4*'Max Supply Req. Calculations'!$L$13)/(PI()*1.3059*10^-3*F4*25.4*10^-3)</f>
        <v>57559.631038405081</v>
      </c>
      <c r="G6" s="35">
        <f>(4*'Max Supply Req. Calculations'!$L$13)/(PI()*1.3059*10^-3*G4*25.4*10^-3)</f>
        <v>46047.704830724069</v>
      </c>
      <c r="H6" s="41">
        <f>(4*'Max Supply Req. Calculations'!$L$13)/(PI()*1.3059*10^-3*H4*25.4*10^-3)</f>
        <v>38373.087358936718</v>
      </c>
    </row>
    <row r="7" spans="1:8" x14ac:dyDescent="0.25">
      <c r="A7" s="184" t="s">
        <v>41</v>
      </c>
      <c r="B7" s="185"/>
      <c r="C7" s="186"/>
      <c r="D7" s="41" t="s">
        <v>42</v>
      </c>
      <c r="E7" s="41" t="s">
        <v>42</v>
      </c>
      <c r="F7" s="41" t="s">
        <v>42</v>
      </c>
      <c r="G7" s="35" t="s">
        <v>42</v>
      </c>
      <c r="H7" s="41" t="s">
        <v>42</v>
      </c>
    </row>
    <row r="8" spans="1:8" x14ac:dyDescent="0.25">
      <c r="A8" s="184" t="s">
        <v>43</v>
      </c>
      <c r="B8" s="185"/>
      <c r="C8" s="186"/>
      <c r="D8" s="68">
        <f>PI()*(0.5*D4*10^-3*25.4)^2</f>
        <v>2.4828666475777385E-2</v>
      </c>
      <c r="E8" s="43">
        <f>PI()*(0.5*E4*10^-3*25.4)^2</f>
        <v>6.2071666189443464E-3</v>
      </c>
      <c r="F8" s="43">
        <f>PI()*(0.5*F4*10^-3*25.4)^2</f>
        <v>2.0268299163899908E-3</v>
      </c>
      <c r="G8" s="36">
        <f t="shared" ref="G8:H8" si="0">PI()*(0.5*G4*10^-3*25.4)^2</f>
        <v>3.1669217443593611E-3</v>
      </c>
      <c r="H8" s="43">
        <f t="shared" si="0"/>
        <v>4.5603673118774796E-3</v>
      </c>
    </row>
    <row r="9" spans="1:8" x14ac:dyDescent="0.25">
      <c r="A9" s="184" t="s">
        <v>44</v>
      </c>
      <c r="B9" s="185"/>
      <c r="C9" s="186"/>
      <c r="D9" s="43">
        <f>'Max Supply Req. Calculations'!$L$13*10^-3/D8</f>
        <v>0.12078920484180171</v>
      </c>
      <c r="E9" s="43">
        <f>'Max Supply Req. Calculations'!$L$13*10^-3/E8</f>
        <v>0.48315681936720684</v>
      </c>
      <c r="F9" s="43">
        <f>'Max Supply Req. Calculations'!$L$13*10^-3/F8</f>
        <v>1.4796677593120708</v>
      </c>
      <c r="G9" s="36">
        <f>'Max Supply Req. Calculations'!$L$13*10^-3/G8</f>
        <v>0.9469873659597251</v>
      </c>
      <c r="H9" s="43">
        <f>'Max Supply Req. Calculations'!$L$13*10^-3/H8</f>
        <v>0.65763011524980919</v>
      </c>
    </row>
    <row r="10" spans="1:8" x14ac:dyDescent="0.25">
      <c r="A10" s="184" t="s">
        <v>48</v>
      </c>
      <c r="B10" s="185"/>
      <c r="C10" s="186"/>
      <c r="D10" s="43">
        <f>'Max Supply Req. Calculations'!$X$8/(D4*25.4)</f>
        <v>2.5871766029246344E-4</v>
      </c>
      <c r="E10" s="43">
        <f>'Max Supply Req. Calculations'!$X$8/(E4*25.4)</f>
        <v>5.1743532058492689E-4</v>
      </c>
      <c r="F10" s="43">
        <f>'Max Supply Req. Calculations'!$X$8/(F4*25.4)</f>
        <v>9.0551181102362208E-4</v>
      </c>
      <c r="G10" s="36">
        <f>'Max Supply Req. Calculations'!$X$8/(G4*25.4)</f>
        <v>7.244094488188976E-4</v>
      </c>
      <c r="H10" s="43">
        <f>'Max Supply Req. Calculations'!$X$8/(H4*25.4)</f>
        <v>6.0367454068241475E-4</v>
      </c>
    </row>
    <row r="11" spans="1:8" x14ac:dyDescent="0.25">
      <c r="A11" s="184" t="s">
        <v>49</v>
      </c>
      <c r="B11" s="185"/>
      <c r="C11" s="186"/>
      <c r="D11" s="53">
        <v>2.7052099999999999E-2</v>
      </c>
      <c r="E11" s="54">
        <v>2.2905499999999999E-2</v>
      </c>
      <c r="F11" s="23">
        <v>2.0241599999999998E-2</v>
      </c>
      <c r="G11" s="34">
        <v>2.1235500000000001E-2</v>
      </c>
      <c r="H11" s="23">
        <v>2.2114700000000001E-2</v>
      </c>
    </row>
    <row r="12" spans="1:8" x14ac:dyDescent="0.25">
      <c r="A12" s="184" t="s">
        <v>50</v>
      </c>
      <c r="B12" s="185"/>
      <c r="C12" s="186"/>
      <c r="D12" s="43">
        <f>0.25*D11</f>
        <v>6.7630249999999998E-3</v>
      </c>
      <c r="E12" s="43">
        <f>0.25*E11</f>
        <v>5.7263749999999997E-3</v>
      </c>
      <c r="F12" s="43">
        <f>0.25*F11</f>
        <v>5.0603999999999996E-3</v>
      </c>
      <c r="G12" s="36">
        <f t="shared" ref="G12:H12" si="1">0.25*G11</f>
        <v>5.3088750000000002E-3</v>
      </c>
      <c r="H12" s="43">
        <f t="shared" si="1"/>
        <v>5.5286750000000003E-3</v>
      </c>
    </row>
    <row r="13" spans="1:8" x14ac:dyDescent="0.25">
      <c r="A13" s="179" t="s">
        <v>51</v>
      </c>
      <c r="B13" s="180"/>
      <c r="C13" s="181"/>
      <c r="D13" s="44">
        <f>(4*D12*(1/(D4*25.4))*0.5*1000*D9^2)*1.2^2</f>
        <v>1.5982987822462278E-3</v>
      </c>
      <c r="E13" s="44">
        <f>(4*E12*(1/(E4*25.4))*0.5*1000*E9^2)*1.2^2</f>
        <v>4.3305867131043833E-2</v>
      </c>
      <c r="F13" s="44">
        <f>(4*F12*(1/(F4*25.4))*0.5*1000*F9^2)*1.2^2</f>
        <v>0.62811916481117791</v>
      </c>
      <c r="G13" s="37">
        <f t="shared" ref="G13:H13" si="2">(4*G12*(1/(G4*25.4))*0.5*1000*G9^2)*1.2^2</f>
        <v>0.21592833314255175</v>
      </c>
      <c r="H13" s="44">
        <f t="shared" si="2"/>
        <v>9.03695174248966E-2</v>
      </c>
    </row>
  </sheetData>
  <mergeCells count="14">
    <mergeCell ref="A11:C11"/>
    <mergeCell ref="A12:C12"/>
    <mergeCell ref="A13:C13"/>
    <mergeCell ref="A1:C2"/>
    <mergeCell ref="A3:C3"/>
    <mergeCell ref="A4:C4"/>
    <mergeCell ref="A5:C5"/>
    <mergeCell ref="A6:C6"/>
    <mergeCell ref="A7:C7"/>
    <mergeCell ref="G2:G3"/>
    <mergeCell ref="H2:H3"/>
    <mergeCell ref="A8:C8"/>
    <mergeCell ref="A9:C9"/>
    <mergeCell ref="A10:C10"/>
  </mergeCells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workbookViewId="0">
      <selection activeCell="H4" sqref="H4"/>
    </sheetView>
  </sheetViews>
  <sheetFormatPr defaultRowHeight="15" x14ac:dyDescent="0.25"/>
  <cols>
    <col min="3" max="3" width="12" customWidth="1"/>
    <col min="4" max="4" width="26.140625" bestFit="1" customWidth="1"/>
    <col min="5" max="5" width="29.85546875" bestFit="1" customWidth="1"/>
    <col min="6" max="6" width="47.42578125" bestFit="1" customWidth="1"/>
    <col min="7" max="7" width="10" bestFit="1" customWidth="1"/>
  </cols>
  <sheetData>
    <row r="1" spans="1:8" x14ac:dyDescent="0.25">
      <c r="A1" s="187" t="s">
        <v>39</v>
      </c>
      <c r="B1" s="188"/>
      <c r="C1" s="189"/>
      <c r="D1" s="63" t="s">
        <v>29</v>
      </c>
      <c r="E1" s="63" t="s">
        <v>31</v>
      </c>
      <c r="F1" s="64" t="s">
        <v>37</v>
      </c>
      <c r="G1" s="75"/>
    </row>
    <row r="2" spans="1:8" x14ac:dyDescent="0.25">
      <c r="A2" s="190"/>
      <c r="B2" s="191"/>
      <c r="C2" s="192"/>
      <c r="D2" s="66" t="s">
        <v>30</v>
      </c>
      <c r="E2" s="66" t="s">
        <v>32</v>
      </c>
      <c r="F2" s="70" t="s">
        <v>38</v>
      </c>
      <c r="G2" s="92"/>
    </row>
    <row r="3" spans="1:8" x14ac:dyDescent="0.25">
      <c r="A3" s="184" t="s">
        <v>217</v>
      </c>
      <c r="B3" s="185"/>
      <c r="C3" s="186"/>
      <c r="D3" s="23">
        <f>('Max Supply Req. Calculations'!P38*13.198)^0.5</f>
        <v>10.803250537375314</v>
      </c>
      <c r="E3" s="23">
        <f>(((0.55*('Max Supply Req. Calculations'!P38^0.49))*(1000^-0.35))*1000)/25.4</f>
        <v>5.6151757138161358</v>
      </c>
      <c r="F3" s="39">
        <f>0.25*SQRT('Max Supply Req. Calculations'!P38*13.198)</f>
        <v>2.7008126343438286</v>
      </c>
      <c r="G3" s="92"/>
      <c r="H3" s="73" t="s">
        <v>220</v>
      </c>
    </row>
    <row r="4" spans="1:8" x14ac:dyDescent="0.25">
      <c r="A4" s="184" t="s">
        <v>33</v>
      </c>
      <c r="B4" s="185"/>
      <c r="C4" s="186"/>
      <c r="D4" s="28">
        <v>12</v>
      </c>
      <c r="E4" s="28">
        <v>6</v>
      </c>
      <c r="F4" s="38">
        <v>3</v>
      </c>
      <c r="G4" s="91"/>
      <c r="H4" s="73"/>
    </row>
    <row r="5" spans="1:8" x14ac:dyDescent="0.25">
      <c r="A5" s="184" t="s">
        <v>34</v>
      </c>
      <c r="B5" s="185"/>
      <c r="C5" s="186"/>
      <c r="D5" s="23">
        <v>0.375</v>
      </c>
      <c r="E5" s="23">
        <v>0.28000000000000003</v>
      </c>
      <c r="F5" s="39">
        <v>0.216</v>
      </c>
      <c r="G5" s="74"/>
      <c r="H5" s="73"/>
    </row>
    <row r="6" spans="1:8" x14ac:dyDescent="0.25">
      <c r="A6" s="184" t="s">
        <v>40</v>
      </c>
      <c r="B6" s="185"/>
      <c r="C6" s="186"/>
      <c r="D6" s="41">
        <f>(4*'Max Supply Req. Calculations'!$P$38)/(PI()*1.3059*10^-3*D4*25.4*10^-3)</f>
        <v>28286.942383427842</v>
      </c>
      <c r="E6" s="41">
        <f>(4*'Max Supply Req. Calculations'!$P$38)/(PI()*1.3059*10^-3*E4*25.4*10^-3)</f>
        <v>56573.884766855685</v>
      </c>
      <c r="F6" s="35">
        <f>(4*'Max Supply Req. Calculations'!$P$38)/(PI()*1.3059*10^-3*F4*25.4*10^-3)</f>
        <v>113147.76953371137</v>
      </c>
      <c r="G6" s="89"/>
      <c r="H6" s="73"/>
    </row>
    <row r="7" spans="1:8" x14ac:dyDescent="0.25">
      <c r="A7" s="184" t="s">
        <v>41</v>
      </c>
      <c r="B7" s="185"/>
      <c r="C7" s="186"/>
      <c r="D7" s="41" t="s">
        <v>42</v>
      </c>
      <c r="E7" s="41" t="s">
        <v>42</v>
      </c>
      <c r="F7" s="35" t="s">
        <v>42</v>
      </c>
      <c r="G7" s="89"/>
      <c r="H7" s="73"/>
    </row>
    <row r="8" spans="1:8" x14ac:dyDescent="0.25">
      <c r="A8" s="184" t="s">
        <v>43</v>
      </c>
      <c r="B8" s="185"/>
      <c r="C8" s="186"/>
      <c r="D8" s="68">
        <f>PI()*(0.5*D4*10^-3*25.4)^2</f>
        <v>7.2965876990039674E-2</v>
      </c>
      <c r="E8" s="43">
        <f>PI()*(0.5*E4*10^-3*25.4)^2</f>
        <v>1.8241469247509919E-2</v>
      </c>
      <c r="F8" s="36">
        <f>PI()*(0.5*F4*10^-3*25.4)^2</f>
        <v>4.5603673118774796E-3</v>
      </c>
      <c r="G8" s="90"/>
      <c r="H8" s="73"/>
    </row>
    <row r="9" spans="1:8" x14ac:dyDescent="0.25">
      <c r="A9" s="184" t="s">
        <v>44</v>
      </c>
      <c r="B9" s="185"/>
      <c r="C9" s="186"/>
      <c r="D9" s="43">
        <f>'Max Supply Req. Calculations'!$P$38*10^-3/D8</f>
        <v>0.12119395688490296</v>
      </c>
      <c r="E9" s="43">
        <f>'Max Supply Req. Calculations'!$P$38*10^-3/E8</f>
        <v>0.48477582753961185</v>
      </c>
      <c r="F9" s="36">
        <f>'Max Supply Req. Calculations'!$P$38*10^-3/F8</f>
        <v>1.9391033101584474</v>
      </c>
      <c r="G9" s="90"/>
      <c r="H9" s="73"/>
    </row>
    <row r="10" spans="1:8" x14ac:dyDescent="0.25">
      <c r="A10" s="184" t="s">
        <v>48</v>
      </c>
      <c r="B10" s="185"/>
      <c r="C10" s="186"/>
      <c r="D10" s="43">
        <f>'Max Supply Req. Calculations'!$X$8/(D4*25.4)</f>
        <v>1.5091863517060369E-4</v>
      </c>
      <c r="E10" s="43">
        <f>'Max Supply Req. Calculations'!$X$8/(E4*25.4)</f>
        <v>3.0183727034120738E-4</v>
      </c>
      <c r="F10" s="36">
        <f>'Max Supply Req. Calculations'!$X$8/(F4*25.4)</f>
        <v>6.0367454068241475E-4</v>
      </c>
      <c r="G10" s="90"/>
      <c r="H10" s="73"/>
    </row>
    <row r="11" spans="1:8" x14ac:dyDescent="0.25">
      <c r="A11" s="184" t="s">
        <v>49</v>
      </c>
      <c r="B11" s="185"/>
      <c r="C11" s="186"/>
      <c r="D11" s="74">
        <v>2.3811300000000001E-2</v>
      </c>
      <c r="E11" s="54">
        <v>2.0334100000000001E-2</v>
      </c>
      <c r="F11" s="34">
        <v>1.79829E-2</v>
      </c>
      <c r="G11" s="54"/>
      <c r="H11" s="73"/>
    </row>
    <row r="12" spans="1:8" x14ac:dyDescent="0.25">
      <c r="A12" s="184" t="s">
        <v>50</v>
      </c>
      <c r="B12" s="185"/>
      <c r="C12" s="186"/>
      <c r="D12" s="43">
        <f>0.25*D11</f>
        <v>5.9528250000000001E-3</v>
      </c>
      <c r="E12" s="43">
        <f>0.25*E11</f>
        <v>5.0835250000000002E-3</v>
      </c>
      <c r="F12" s="36">
        <f>0.25*F11</f>
        <v>4.4957249999999999E-3</v>
      </c>
      <c r="G12" s="90"/>
      <c r="H12" s="73"/>
    </row>
    <row r="13" spans="1:8" x14ac:dyDescent="0.25">
      <c r="A13" s="179" t="s">
        <v>51</v>
      </c>
      <c r="B13" s="180"/>
      <c r="C13" s="181"/>
      <c r="D13" s="44">
        <f>(4*D12*(1/(D4*25.4))*0.5*1000*D9^2)*1.2^2</f>
        <v>8.261569689746093E-4</v>
      </c>
      <c r="E13" s="44">
        <f>(4*E12*(1/(E4*25.4))*0.5*1000*E9^2)*1.2^2</f>
        <v>2.2576384721978694E-2</v>
      </c>
      <c r="F13" s="37">
        <f>(4*F12*(1/(F4*25.4))*0.5*1000*F9^2)*1.2^2</f>
        <v>0.63890921172512483</v>
      </c>
      <c r="G13" s="90"/>
      <c r="H13" s="73"/>
    </row>
  </sheetData>
  <mergeCells count="12">
    <mergeCell ref="A1:C2"/>
    <mergeCell ref="A3:C3"/>
    <mergeCell ref="A4:C4"/>
    <mergeCell ref="A5:C5"/>
    <mergeCell ref="A6:C6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scale="6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P39" sqref="P39"/>
    </sheetView>
  </sheetViews>
  <sheetFormatPr defaultRowHeight="15" x14ac:dyDescent="0.25"/>
  <cols>
    <col min="3" max="3" width="10.7109375" customWidth="1"/>
    <col min="4" max="4" width="26.140625" bestFit="1" customWidth="1"/>
    <col min="5" max="5" width="29.85546875" bestFit="1" customWidth="1"/>
    <col min="6" max="6" width="47.42578125" bestFit="1" customWidth="1"/>
    <col min="7" max="7" width="10" bestFit="1" customWidth="1"/>
  </cols>
  <sheetData>
    <row r="1" spans="1:11" x14ac:dyDescent="0.25">
      <c r="A1" s="187" t="s">
        <v>39</v>
      </c>
      <c r="B1" s="188"/>
      <c r="C1" s="189"/>
      <c r="D1" s="63" t="s">
        <v>29</v>
      </c>
      <c r="E1" s="63" t="s">
        <v>31</v>
      </c>
      <c r="F1" s="64" t="s">
        <v>37</v>
      </c>
      <c r="G1" s="75"/>
    </row>
    <row r="2" spans="1:11" x14ac:dyDescent="0.25">
      <c r="A2" s="190"/>
      <c r="B2" s="191"/>
      <c r="C2" s="192"/>
      <c r="D2" s="66" t="s">
        <v>30</v>
      </c>
      <c r="E2" s="66" t="s">
        <v>32</v>
      </c>
      <c r="F2" s="70" t="s">
        <v>38</v>
      </c>
      <c r="G2" s="182" t="s">
        <v>52</v>
      </c>
    </row>
    <row r="3" spans="1:11" x14ac:dyDescent="0.25">
      <c r="A3" s="184" t="s">
        <v>204</v>
      </c>
      <c r="B3" s="185"/>
      <c r="C3" s="186"/>
      <c r="D3" s="23">
        <f>('Calorifier Calcs'!V4*13.198)^0.5</f>
        <v>2.1831043136882955</v>
      </c>
      <c r="E3" s="34">
        <f>(((0.55*('Calorifier Calcs'!V4^0.49))*(1000^-0.35))*1000)/25.4</f>
        <v>1.1715828079499886</v>
      </c>
      <c r="F3" s="33">
        <f>0.25*SQRT('Calorifier Calcs'!V4*13.198)</f>
        <v>0.54577607842207387</v>
      </c>
      <c r="G3" s="183"/>
    </row>
    <row r="4" spans="1:11" x14ac:dyDescent="0.25">
      <c r="A4" s="184" t="s">
        <v>33</v>
      </c>
      <c r="B4" s="185"/>
      <c r="C4" s="186"/>
      <c r="D4" s="28">
        <v>2.5</v>
      </c>
      <c r="E4" s="86">
        <v>1.25</v>
      </c>
      <c r="F4" s="60">
        <v>0.75</v>
      </c>
      <c r="G4" s="60">
        <v>1</v>
      </c>
      <c r="K4" s="71" t="s">
        <v>205</v>
      </c>
    </row>
    <row r="5" spans="1:11" x14ac:dyDescent="0.25">
      <c r="A5" s="184" t="s">
        <v>34</v>
      </c>
      <c r="B5" s="185"/>
      <c r="C5" s="186"/>
      <c r="D5" s="23">
        <v>0.20300000000000001</v>
      </c>
      <c r="E5" s="34">
        <v>0.14499999999999999</v>
      </c>
      <c r="F5" s="33">
        <v>0.113</v>
      </c>
      <c r="G5" s="33">
        <v>0.13300000000000001</v>
      </c>
    </row>
    <row r="6" spans="1:11" x14ac:dyDescent="0.25">
      <c r="A6" s="184" t="s">
        <v>40</v>
      </c>
      <c r="B6" s="185"/>
      <c r="C6" s="186"/>
      <c r="D6" s="41">
        <f>(4*'Calorifier Calcs'!$V$4)/(PI()*1.3059*10^-3*D4*25.4*10^-3)</f>
        <v>5544.5630064151001</v>
      </c>
      <c r="E6" s="35">
        <f>(4*'Calorifier Calcs'!$V$4)/(PI()*1.3059*10^-3*E4*25.4*10^-3)</f>
        <v>11089.1260128302</v>
      </c>
      <c r="F6" s="41">
        <f>(4*'Calorifier Calcs'!$V$4)/(PI()*1.3059*10^-3*F4*25.4*10^-3)</f>
        <v>18481.876688050328</v>
      </c>
      <c r="G6" s="41">
        <f>(4*'Calorifier Calcs'!$V$4)/(PI()*1.3059*10^-3*G4*25.4*10^-3)</f>
        <v>13861.407516037749</v>
      </c>
    </row>
    <row r="7" spans="1:11" x14ac:dyDescent="0.25">
      <c r="A7" s="184" t="s">
        <v>41</v>
      </c>
      <c r="B7" s="185"/>
      <c r="C7" s="186"/>
      <c r="D7" s="41" t="s">
        <v>42</v>
      </c>
      <c r="E7" s="35" t="s">
        <v>42</v>
      </c>
      <c r="F7" s="41" t="s">
        <v>42</v>
      </c>
      <c r="G7" s="41" t="s">
        <v>42</v>
      </c>
    </row>
    <row r="8" spans="1:11" x14ac:dyDescent="0.25">
      <c r="A8" s="184" t="s">
        <v>43</v>
      </c>
      <c r="B8" s="185"/>
      <c r="C8" s="186"/>
      <c r="D8" s="68">
        <f>PI()*(0.5*D4*10^-3*25.4)^2</f>
        <v>3.1669217443593611E-3</v>
      </c>
      <c r="E8" s="36">
        <f>PI()*(0.5*E4*10^-3*25.4)^2</f>
        <v>7.9173043608984028E-4</v>
      </c>
      <c r="F8" s="43">
        <f>PI()*(0.5*F4*10^-3*25.4)^2</f>
        <v>2.8502295699234248E-4</v>
      </c>
      <c r="G8" s="43">
        <f t="shared" ref="G8" si="0">PI()*(0.5*G4*10^-3*25.4)^2</f>
        <v>5.0670747909749769E-4</v>
      </c>
    </row>
    <row r="9" spans="1:11" x14ac:dyDescent="0.25">
      <c r="A9" s="184" t="s">
        <v>44</v>
      </c>
      <c r="B9" s="185"/>
      <c r="C9" s="186"/>
      <c r="D9" s="43">
        <f>'Calorifier Calcs'!$V$4*10^-3/D8</f>
        <v>0.11402590283586579</v>
      </c>
      <c r="E9" s="36">
        <f>'Calorifier Calcs'!$V$4*10^-3/E8</f>
        <v>0.45610361134346317</v>
      </c>
      <c r="F9" s="43">
        <f>'Calorifier Calcs'!$V$4*10^-3/F8</f>
        <v>1.2669544759540643</v>
      </c>
      <c r="G9" s="43">
        <f>'Calorifier Calcs'!$V$4*10^-3/G8</f>
        <v>0.71266189272416125</v>
      </c>
    </row>
    <row r="10" spans="1:11" x14ac:dyDescent="0.25">
      <c r="A10" s="184" t="s">
        <v>48</v>
      </c>
      <c r="B10" s="185"/>
      <c r="C10" s="186"/>
      <c r="D10" s="43">
        <f>'Max Supply Req. Calculations'!$X$8/(D4*25.4)</f>
        <v>7.244094488188976E-4</v>
      </c>
      <c r="E10" s="36">
        <f>'Max Supply Req. Calculations'!$X$8/(E4*25.4)</f>
        <v>1.4488188976377952E-3</v>
      </c>
      <c r="F10" s="43">
        <f>'Max Supply Req. Calculations'!$X$8/(F4*25.4)</f>
        <v>2.414698162729659E-3</v>
      </c>
      <c r="G10" s="43">
        <f>'Max Supply Req. Calculations'!$X$8/(G4*25.4)</f>
        <v>1.8110236220472442E-3</v>
      </c>
    </row>
    <row r="11" spans="1:11" x14ac:dyDescent="0.25">
      <c r="A11" s="184" t="s">
        <v>49</v>
      </c>
      <c r="B11" s="185"/>
      <c r="C11" s="186"/>
      <c r="D11" s="74">
        <v>3.6317299999999997E-2</v>
      </c>
      <c r="E11" s="87">
        <v>3.0127399999999999E-2</v>
      </c>
      <c r="F11" s="23">
        <v>2.6656099999999999E-2</v>
      </c>
      <c r="G11" s="23">
        <v>2.8498200000000001E-2</v>
      </c>
    </row>
    <row r="12" spans="1:11" x14ac:dyDescent="0.25">
      <c r="A12" s="184" t="s">
        <v>50</v>
      </c>
      <c r="B12" s="185"/>
      <c r="C12" s="186"/>
      <c r="D12" s="43">
        <f>0.25*D11</f>
        <v>9.0793249999999992E-3</v>
      </c>
      <c r="E12" s="36">
        <f>0.25*E11</f>
        <v>7.5318499999999997E-3</v>
      </c>
      <c r="F12" s="43">
        <f>0.25*F11</f>
        <v>6.6640249999999996E-3</v>
      </c>
      <c r="G12" s="43">
        <f t="shared" ref="G12" si="1">0.25*G11</f>
        <v>7.1245500000000003E-3</v>
      </c>
    </row>
    <row r="13" spans="1:11" x14ac:dyDescent="0.25">
      <c r="A13" s="179" t="s">
        <v>51</v>
      </c>
      <c r="B13" s="180"/>
      <c r="C13" s="181"/>
      <c r="D13" s="44">
        <f>(4*D12*(1/(D4*25.4))*0.5*1000*D9^2)*1.2^2</f>
        <v>5.3540122911788822E-3</v>
      </c>
      <c r="E13" s="37">
        <f>(4*E12*(1/(E4*25.4))*0.5*1000*E9^2)*1.2^2</f>
        <v>0.14212727919862997</v>
      </c>
      <c r="F13" s="44">
        <f>(4*F12*(1/(F4*25.4))*0.5*1000*F9^2)*1.2^2</f>
        <v>1.61717174836767</v>
      </c>
      <c r="G13" s="44">
        <f t="shared" ref="G13" si="2">(4*G12*(1/(G4*25.4))*0.5*1000*G9^2)*1.2^2</f>
        <v>0.41028277446628514</v>
      </c>
    </row>
  </sheetData>
  <mergeCells count="13">
    <mergeCell ref="A6:C6"/>
    <mergeCell ref="A1:C2"/>
    <mergeCell ref="G2:G3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03"/>
  <sheetViews>
    <sheetView topLeftCell="A12" zoomScaleNormal="100" workbookViewId="0">
      <selection activeCell="L39" sqref="L39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8.28515625" bestFit="1" customWidth="1"/>
    <col min="4" max="4" width="19.7109375" style="1" bestFit="1" customWidth="1"/>
    <col min="5" max="5" width="30" bestFit="1" customWidth="1"/>
    <col min="6" max="6" width="15.85546875" bestFit="1" customWidth="1"/>
    <col min="7" max="7" width="8.28515625" bestFit="1" customWidth="1"/>
    <col min="8" max="8" width="19.7109375" style="1" bestFit="1" customWidth="1"/>
    <col min="9" max="9" width="9.28515625" bestFit="1" customWidth="1"/>
    <col min="10" max="10" width="15.28515625" bestFit="1" customWidth="1"/>
    <col min="11" max="11" width="8.28515625" bestFit="1" customWidth="1"/>
    <col min="12" max="12" width="26" style="1" bestFit="1" customWidth="1"/>
    <col min="13" max="13" width="29.7109375" bestFit="1" customWidth="1"/>
    <col min="14" max="14" width="47.42578125" bestFit="1" customWidth="1"/>
    <col min="15" max="15" width="10" bestFit="1" customWidth="1"/>
    <col min="16" max="16" width="20" style="1" bestFit="1" customWidth="1"/>
    <col min="17" max="20" width="20" style="49" customWidth="1"/>
    <col min="21" max="21" width="10" bestFit="1" customWidth="1"/>
    <col min="22" max="22" width="16.7109375" customWidth="1"/>
  </cols>
  <sheetData>
    <row r="1" spans="1:25" x14ac:dyDescent="0.25">
      <c r="A1" s="149" t="s">
        <v>0</v>
      </c>
      <c r="B1" s="149"/>
      <c r="C1" s="149"/>
      <c r="D1" s="150"/>
      <c r="E1" s="149" t="s">
        <v>3</v>
      </c>
      <c r="F1" s="149"/>
      <c r="G1" s="149"/>
      <c r="H1" s="150"/>
      <c r="I1" s="149" t="s">
        <v>4</v>
      </c>
      <c r="J1" s="149"/>
      <c r="K1" s="149"/>
      <c r="L1" s="150"/>
      <c r="M1" s="149" t="s">
        <v>5</v>
      </c>
      <c r="N1" s="149"/>
      <c r="O1" s="149"/>
      <c r="P1" s="150"/>
      <c r="Q1" s="149" t="s">
        <v>127</v>
      </c>
      <c r="R1" s="149"/>
      <c r="S1" s="149"/>
      <c r="T1" s="150"/>
      <c r="V1" t="s">
        <v>15</v>
      </c>
    </row>
    <row r="2" spans="1:25" x14ac:dyDescent="0.25">
      <c r="A2" s="20" t="s">
        <v>1</v>
      </c>
      <c r="B2" s="20" t="s">
        <v>22</v>
      </c>
      <c r="C2" s="20" t="s">
        <v>2</v>
      </c>
      <c r="D2" s="21" t="s">
        <v>18</v>
      </c>
      <c r="E2" s="20" t="s">
        <v>1</v>
      </c>
      <c r="F2" s="20" t="s">
        <v>22</v>
      </c>
      <c r="G2" s="20" t="s">
        <v>2</v>
      </c>
      <c r="H2" s="21" t="s">
        <v>18</v>
      </c>
      <c r="I2" s="20" t="s">
        <v>1</v>
      </c>
      <c r="J2" s="20" t="s">
        <v>22</v>
      </c>
      <c r="K2" s="20" t="s">
        <v>2</v>
      </c>
      <c r="L2" s="21" t="s">
        <v>18</v>
      </c>
      <c r="M2" s="20" t="s">
        <v>1</v>
      </c>
      <c r="N2" s="20" t="s">
        <v>22</v>
      </c>
      <c r="O2" s="20" t="s">
        <v>2</v>
      </c>
      <c r="P2" s="21" t="s">
        <v>18</v>
      </c>
      <c r="Q2" s="20" t="s">
        <v>1</v>
      </c>
      <c r="R2" s="20" t="s">
        <v>22</v>
      </c>
      <c r="S2" s="20" t="s">
        <v>2</v>
      </c>
      <c r="T2" s="21" t="s">
        <v>18</v>
      </c>
      <c r="V2" t="s">
        <v>16</v>
      </c>
    </row>
    <row r="3" spans="1:25" x14ac:dyDescent="0.25">
      <c r="A3" t="s">
        <v>7</v>
      </c>
      <c r="B3">
        <v>0.12</v>
      </c>
      <c r="C3">
        <v>23</v>
      </c>
      <c r="D3" s="1">
        <f>C3*B3</f>
        <v>2.76</v>
      </c>
      <c r="E3" t="s">
        <v>10</v>
      </c>
      <c r="F3">
        <v>0.01</v>
      </c>
      <c r="G3">
        <v>1</v>
      </c>
      <c r="H3" s="1">
        <f>G3*F3</f>
        <v>0.01</v>
      </c>
      <c r="I3" t="s">
        <v>7</v>
      </c>
      <c r="J3">
        <v>0.12</v>
      </c>
      <c r="K3">
        <v>23</v>
      </c>
      <c r="L3" s="1">
        <f>K3*J3</f>
        <v>2.76</v>
      </c>
      <c r="M3" t="s">
        <v>6</v>
      </c>
      <c r="N3">
        <v>0.01</v>
      </c>
      <c r="O3">
        <v>16</v>
      </c>
      <c r="P3" s="1">
        <f>N3*O3</f>
        <v>0.16</v>
      </c>
      <c r="Q3" t="s">
        <v>7</v>
      </c>
      <c r="R3">
        <v>0.01</v>
      </c>
      <c r="S3">
        <v>16</v>
      </c>
      <c r="T3" s="1">
        <f>R3*S3</f>
        <v>0.16</v>
      </c>
      <c r="V3" t="s">
        <v>17</v>
      </c>
    </row>
    <row r="4" spans="1:25" x14ac:dyDescent="0.25">
      <c r="A4" t="s">
        <v>8</v>
      </c>
      <c r="B4">
        <v>0.1</v>
      </c>
      <c r="C4">
        <v>23</v>
      </c>
      <c r="D4" s="1">
        <f>C4*B4</f>
        <v>2.3000000000000003</v>
      </c>
      <c r="E4" t="s">
        <v>11</v>
      </c>
      <c r="F4">
        <v>0.1</v>
      </c>
      <c r="G4">
        <v>1</v>
      </c>
      <c r="H4" s="1">
        <f>G4*F4</f>
        <v>0.1</v>
      </c>
      <c r="I4" t="s">
        <v>8</v>
      </c>
      <c r="J4">
        <v>0.1</v>
      </c>
      <c r="K4">
        <v>16</v>
      </c>
      <c r="L4" s="1">
        <f>K4*J4</f>
        <v>1.6</v>
      </c>
      <c r="M4" s="110"/>
      <c r="N4" s="135"/>
      <c r="O4" s="135"/>
      <c r="P4" s="112"/>
      <c r="Q4" t="s">
        <v>8</v>
      </c>
      <c r="R4">
        <v>0.1</v>
      </c>
      <c r="S4">
        <f>K4</f>
        <v>16</v>
      </c>
      <c r="T4" s="1">
        <f>S4*R4</f>
        <v>1.6</v>
      </c>
      <c r="V4" t="s">
        <v>23</v>
      </c>
    </row>
    <row r="5" spans="1:25" x14ac:dyDescent="0.25">
      <c r="A5" t="s">
        <v>9</v>
      </c>
      <c r="B5">
        <v>1E-3</v>
      </c>
      <c r="C5">
        <v>3</v>
      </c>
      <c r="D5" s="1">
        <f>C5*B5</f>
        <v>3.0000000000000001E-3</v>
      </c>
      <c r="E5" t="s">
        <v>12</v>
      </c>
      <c r="F5">
        <v>1E-3</v>
      </c>
      <c r="G5">
        <v>1</v>
      </c>
      <c r="H5" s="1">
        <f>G5*F5</f>
        <v>1E-3</v>
      </c>
      <c r="I5" s="110"/>
      <c r="J5" s="135"/>
      <c r="K5" s="135"/>
      <c r="L5" s="112"/>
      <c r="M5" s="110"/>
      <c r="N5" s="135"/>
      <c r="O5" s="135"/>
      <c r="P5" s="112"/>
      <c r="Q5" s="110"/>
      <c r="R5" s="111"/>
      <c r="S5" s="111"/>
      <c r="T5" s="112"/>
      <c r="V5" t="s">
        <v>28</v>
      </c>
    </row>
    <row r="6" spans="1:25" x14ac:dyDescent="0.25">
      <c r="A6" t="s">
        <v>13</v>
      </c>
      <c r="B6">
        <v>0.01</v>
      </c>
      <c r="C6">
        <v>6</v>
      </c>
      <c r="D6" s="1">
        <f>C6*B6</f>
        <v>0.06</v>
      </c>
      <c r="E6" s="110"/>
      <c r="F6" s="135"/>
      <c r="G6" s="135"/>
      <c r="H6" s="112"/>
      <c r="I6" s="110"/>
      <c r="J6" s="135"/>
      <c r="K6" s="135"/>
      <c r="L6" s="112"/>
      <c r="M6" s="110"/>
      <c r="N6" s="135"/>
      <c r="O6" s="135"/>
      <c r="P6" s="112"/>
      <c r="Q6" s="110"/>
      <c r="R6" s="111"/>
      <c r="S6" s="111"/>
      <c r="T6" s="112"/>
    </row>
    <row r="7" spans="1:25" x14ac:dyDescent="0.25">
      <c r="A7" t="s">
        <v>14</v>
      </c>
      <c r="B7">
        <v>1E-3</v>
      </c>
      <c r="C7">
        <v>2</v>
      </c>
      <c r="D7" s="1">
        <f>C7*B7</f>
        <v>2E-3</v>
      </c>
      <c r="E7" s="110"/>
      <c r="F7" s="135"/>
      <c r="G7" s="135"/>
      <c r="H7" s="112"/>
      <c r="I7" s="110"/>
      <c r="J7" s="135"/>
      <c r="K7" s="135"/>
      <c r="L7" s="112"/>
      <c r="M7" s="110"/>
      <c r="N7" s="135"/>
      <c r="O7" s="135"/>
      <c r="P7" s="112"/>
      <c r="Q7" s="110"/>
      <c r="R7" s="111"/>
      <c r="S7" s="111"/>
      <c r="T7" s="112"/>
      <c r="V7" t="s">
        <v>45</v>
      </c>
    </row>
    <row r="8" spans="1:25" x14ac:dyDescent="0.25">
      <c r="A8" s="135"/>
      <c r="B8" s="135"/>
      <c r="C8" s="135"/>
      <c r="D8" s="112"/>
      <c r="E8" s="110"/>
      <c r="F8" s="135"/>
      <c r="G8" s="135"/>
      <c r="H8" s="112"/>
      <c r="I8" s="110"/>
      <c r="J8" s="135"/>
      <c r="K8" s="135"/>
      <c r="L8" s="112"/>
      <c r="M8" s="110"/>
      <c r="N8" s="135"/>
      <c r="O8" s="135"/>
      <c r="P8" s="112"/>
      <c r="Q8" s="110"/>
      <c r="R8" s="111"/>
      <c r="S8" s="111"/>
      <c r="T8" s="112"/>
      <c r="V8" t="s">
        <v>47</v>
      </c>
      <c r="X8">
        <v>4.5999999999999999E-2</v>
      </c>
      <c r="Y8" t="s">
        <v>46</v>
      </c>
    </row>
    <row r="9" spans="1:25" x14ac:dyDescent="0.25">
      <c r="A9" s="102"/>
      <c r="B9" s="102"/>
      <c r="C9" s="102"/>
      <c r="D9" s="103"/>
      <c r="E9" s="113"/>
      <c r="F9" s="102"/>
      <c r="G9" s="102"/>
      <c r="H9" s="103"/>
      <c r="I9" s="113"/>
      <c r="J9" s="102"/>
      <c r="K9" s="102"/>
      <c r="L9" s="103"/>
      <c r="M9" s="113"/>
      <c r="N9" s="102"/>
      <c r="O9" s="102"/>
      <c r="P9" s="103"/>
      <c r="Q9" s="113"/>
      <c r="R9" s="102"/>
      <c r="S9" s="102"/>
      <c r="T9" s="103"/>
    </row>
    <row r="10" spans="1:25" x14ac:dyDescent="0.25">
      <c r="A10" s="6" t="s">
        <v>19</v>
      </c>
      <c r="B10" s="4"/>
      <c r="C10" s="4"/>
      <c r="D10" s="5">
        <f>SUM(D3:D7)</f>
        <v>5.125</v>
      </c>
      <c r="E10" s="6" t="s">
        <v>19</v>
      </c>
      <c r="F10" s="4"/>
      <c r="G10" s="4"/>
      <c r="H10" s="5">
        <f>SUM(H3:H7)</f>
        <v>0.111</v>
      </c>
      <c r="I10" s="6" t="s">
        <v>19</v>
      </c>
      <c r="J10" s="4"/>
      <c r="K10" s="4"/>
      <c r="L10" s="5">
        <f>SUM(L3:L7)</f>
        <v>4.3599999999999994</v>
      </c>
      <c r="M10" s="6" t="s">
        <v>19</v>
      </c>
      <c r="N10" s="4"/>
      <c r="O10" s="4"/>
      <c r="P10" s="5">
        <f>SUM(P3:P7)</f>
        <v>0.16</v>
      </c>
      <c r="Q10" s="6" t="s">
        <v>19</v>
      </c>
      <c r="R10" s="4"/>
      <c r="S10" s="4"/>
      <c r="T10" s="5">
        <f>SUM(T3:T7)</f>
        <v>1.76</v>
      </c>
    </row>
    <row r="11" spans="1:25" x14ac:dyDescent="0.25">
      <c r="A11" s="2" t="s">
        <v>20</v>
      </c>
      <c r="D11" s="3">
        <f>MAX(D3:D7)</f>
        <v>2.76</v>
      </c>
      <c r="E11" s="2" t="s">
        <v>20</v>
      </c>
      <c r="H11" s="3">
        <f>MAX(H3:H7)</f>
        <v>0.1</v>
      </c>
      <c r="I11" s="2" t="s">
        <v>20</v>
      </c>
      <c r="L11" s="3">
        <f>MAX(L3:L7)</f>
        <v>2.76</v>
      </c>
      <c r="M11" s="2" t="s">
        <v>20</v>
      </c>
      <c r="P11" s="3">
        <f>MAX(P3:P7)</f>
        <v>0.16</v>
      </c>
      <c r="Q11" s="2" t="s">
        <v>20</v>
      </c>
      <c r="R11"/>
      <c r="S11"/>
      <c r="T11" s="3">
        <f>MAX(T3:T7)</f>
        <v>1.6</v>
      </c>
    </row>
    <row r="12" spans="1:25" x14ac:dyDescent="0.25">
      <c r="Q12"/>
      <c r="R12"/>
      <c r="S12"/>
      <c r="T12" s="1"/>
    </row>
    <row r="13" spans="1:25" x14ac:dyDescent="0.25">
      <c r="A13" s="2" t="s">
        <v>21</v>
      </c>
      <c r="B13" s="2"/>
      <c r="C13" s="2"/>
      <c r="D13" s="3">
        <f>(D11+(0.015*(D10-D11))+(0.17*((D10-D11)^0.5)))*1.05</f>
        <v>3.2097559835112501</v>
      </c>
      <c r="E13" s="2" t="s">
        <v>21</v>
      </c>
      <c r="F13" s="2"/>
      <c r="G13" s="2"/>
      <c r="H13" s="3">
        <f>H11+(0.015*(H10-H11))+(0.17*((H10-H11)^0.5))</f>
        <v>0.11799475041889257</v>
      </c>
      <c r="I13" s="2" t="s">
        <v>21</v>
      </c>
      <c r="J13" s="2"/>
      <c r="K13" s="2"/>
      <c r="L13" s="3">
        <f>L11+(0.015*(L10-L11))+(0.17*((L10-L11)^0.5))</f>
        <v>2.9990348808914495</v>
      </c>
      <c r="M13" s="2" t="s">
        <v>21</v>
      </c>
      <c r="N13" s="2"/>
      <c r="O13" s="2"/>
      <c r="P13" s="3">
        <f>P11+(0.015*(P10-P11))+(0.17*((P10-P11)^0.5))</f>
        <v>0.16</v>
      </c>
      <c r="Q13" s="2" t="s">
        <v>21</v>
      </c>
      <c r="R13" s="2"/>
      <c r="S13" s="2"/>
      <c r="T13" s="3">
        <f>T11+(0.015*(T10-T11))+(0.17*((T10-T11)^0.5))</f>
        <v>1.6704000000000001</v>
      </c>
    </row>
    <row r="14" spans="1:25" x14ac:dyDescent="0.25">
      <c r="Q14"/>
      <c r="R14"/>
      <c r="S14"/>
      <c r="T14" s="1"/>
    </row>
    <row r="15" spans="1:25" x14ac:dyDescent="0.25">
      <c r="A15" t="s">
        <v>24</v>
      </c>
      <c r="B15" t="s">
        <v>126</v>
      </c>
      <c r="D15" s="1">
        <f>D13+L13+H13</f>
        <v>6.326785614821592</v>
      </c>
      <c r="E15" t="s">
        <v>25</v>
      </c>
      <c r="F15" t="s">
        <v>26</v>
      </c>
      <c r="H15" s="1">
        <v>15</v>
      </c>
      <c r="I15" t="s">
        <v>25</v>
      </c>
      <c r="J15" t="s">
        <v>26</v>
      </c>
      <c r="L15" s="1">
        <v>15</v>
      </c>
      <c r="M15" t="s">
        <v>25</v>
      </c>
      <c r="N15" t="s">
        <v>26</v>
      </c>
      <c r="P15" s="1">
        <v>15</v>
      </c>
      <c r="Q15" t="s">
        <v>25</v>
      </c>
      <c r="R15" t="s">
        <v>26</v>
      </c>
      <c r="S15"/>
      <c r="T15" s="1">
        <v>15</v>
      </c>
    </row>
    <row r="16" spans="1:25" x14ac:dyDescent="0.25">
      <c r="A16" t="s">
        <v>25</v>
      </c>
      <c r="B16" t="s">
        <v>26</v>
      </c>
      <c r="D16" s="1">
        <v>15</v>
      </c>
      <c r="Q16"/>
      <c r="R16"/>
      <c r="S16"/>
      <c r="T16" s="1"/>
    </row>
    <row r="17" spans="1:20" x14ac:dyDescent="0.25">
      <c r="Q17"/>
      <c r="R17"/>
      <c r="S17"/>
      <c r="T17" s="1"/>
    </row>
    <row r="18" spans="1:20" x14ac:dyDescent="0.25">
      <c r="A18" t="s">
        <v>136</v>
      </c>
      <c r="D18" s="1">
        <f>(D15*D16*60)*1.05</f>
        <v>5978.8124060064047</v>
      </c>
      <c r="E18" t="s">
        <v>27</v>
      </c>
      <c r="H18" s="1">
        <f>(H13*H15*60)*1.05</f>
        <v>111.50503914585349</v>
      </c>
      <c r="I18" t="s">
        <v>27</v>
      </c>
      <c r="L18" s="1">
        <f>L13*L15*60*1.05</f>
        <v>2834.0879624424201</v>
      </c>
      <c r="M18" t="s">
        <v>27</v>
      </c>
      <c r="P18" s="1">
        <f>(P13*P15*60)*1.05</f>
        <v>151.20000000000002</v>
      </c>
      <c r="Q18"/>
      <c r="R18"/>
      <c r="S18"/>
      <c r="T18" s="1"/>
    </row>
    <row r="19" spans="1:20" x14ac:dyDescent="0.25">
      <c r="Q19"/>
      <c r="R19"/>
      <c r="S19"/>
      <c r="T19" s="1"/>
    </row>
    <row r="20" spans="1:20" x14ac:dyDescent="0.25">
      <c r="A20" s="8"/>
      <c r="B20" s="8"/>
      <c r="C20" s="8"/>
      <c r="D20" s="9"/>
      <c r="E20" s="8"/>
      <c r="F20" s="8"/>
      <c r="G20" s="8"/>
      <c r="H20" s="9"/>
      <c r="I20" s="8"/>
      <c r="J20" s="8"/>
      <c r="K20" s="8"/>
      <c r="L20" s="9"/>
      <c r="M20" s="8"/>
      <c r="N20" s="8"/>
      <c r="O20" s="8"/>
      <c r="P20" s="9"/>
      <c r="Q20" s="51"/>
      <c r="R20" s="51"/>
      <c r="S20" s="51"/>
      <c r="T20" s="9"/>
    </row>
    <row r="21" spans="1:2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2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20" x14ac:dyDescent="0.25">
      <c r="A23" s="7"/>
      <c r="B23" s="7"/>
      <c r="C23" s="7"/>
      <c r="D23" s="7"/>
      <c r="E23" s="16" t="s">
        <v>53</v>
      </c>
      <c r="F23" s="4">
        <f>D18+H18+P18-L18</f>
        <v>3407.4294827098379</v>
      </c>
      <c r="G23" s="5" t="s">
        <v>36</v>
      </c>
      <c r="H23" s="57"/>
      <c r="I23" s="57"/>
      <c r="J23" s="7">
        <v>100</v>
      </c>
      <c r="K23" s="7"/>
      <c r="L23" s="7">
        <v>13500</v>
      </c>
      <c r="M23" s="7"/>
      <c r="N23" s="7"/>
      <c r="O23" s="7"/>
      <c r="P23" s="7"/>
    </row>
    <row r="24" spans="1:20" x14ac:dyDescent="0.25">
      <c r="A24" s="7"/>
      <c r="B24" s="7"/>
      <c r="C24" s="7"/>
      <c r="D24" s="7"/>
      <c r="E24" s="17" t="s">
        <v>124</v>
      </c>
      <c r="F24" s="14">
        <v>1.5</v>
      </c>
      <c r="G24" s="15" t="s">
        <v>35</v>
      </c>
      <c r="H24" s="7"/>
      <c r="I24" s="7"/>
      <c r="J24" s="7">
        <v>45</v>
      </c>
      <c r="K24" s="7"/>
      <c r="L24" s="7">
        <f>L23*1.1</f>
        <v>14850.000000000002</v>
      </c>
      <c r="M24" s="7"/>
      <c r="N24" s="7"/>
      <c r="O24" s="7"/>
      <c r="P24" s="7"/>
    </row>
    <row r="25" spans="1:20" x14ac:dyDescent="0.25">
      <c r="A25" s="7"/>
      <c r="B25" s="7"/>
      <c r="C25" s="7"/>
      <c r="D25" s="7"/>
      <c r="E25" s="10"/>
      <c r="F25" s="10"/>
      <c r="G25" s="7"/>
      <c r="H25" s="7"/>
      <c r="I25" s="7"/>
      <c r="J25" s="7">
        <v>3</v>
      </c>
      <c r="K25" s="7"/>
      <c r="L25" s="7" t="s">
        <v>221</v>
      </c>
      <c r="M25" s="7"/>
      <c r="N25" s="7"/>
      <c r="O25" s="7"/>
      <c r="P25" s="7"/>
    </row>
    <row r="26" spans="1:20" x14ac:dyDescent="0.25">
      <c r="A26" s="7"/>
      <c r="B26" s="7"/>
      <c r="C26" s="7"/>
      <c r="D26" s="7"/>
      <c r="E26" s="10"/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20" x14ac:dyDescent="0.25">
      <c r="A27" s="7"/>
      <c r="B27" s="7"/>
      <c r="C27" s="7"/>
      <c r="D27" s="7"/>
      <c r="E27" s="10"/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20" x14ac:dyDescent="0.25">
      <c r="A28" s="7" t="s">
        <v>128</v>
      </c>
      <c r="B28" s="7">
        <f>D13+H13+P13</f>
        <v>3.487750733930143</v>
      </c>
      <c r="C28" s="7"/>
      <c r="D28" s="7"/>
      <c r="E28" s="10"/>
      <c r="F28" s="10"/>
      <c r="G28" s="7"/>
      <c r="H28" s="7"/>
      <c r="I28" s="7"/>
      <c r="J28" s="7"/>
      <c r="K28" s="7"/>
      <c r="L28" s="7">
        <f>(0.12*0.6*60*8*100)+(0.1*0.6*10*100)</f>
        <v>3515.9999999999995</v>
      </c>
      <c r="M28" s="7">
        <f>((L28/30)/60)</f>
        <v>1.9533333333333331</v>
      </c>
      <c r="N28" s="7" t="s">
        <v>35</v>
      </c>
      <c r="O28" s="7"/>
      <c r="P28" s="7"/>
    </row>
    <row r="29" spans="1:20" x14ac:dyDescent="0.25">
      <c r="A29" s="7"/>
      <c r="B29" s="57"/>
      <c r="C29" s="7"/>
      <c r="D29" s="7"/>
      <c r="E29" s="10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20" x14ac:dyDescent="0.25">
      <c r="A30" s="7"/>
      <c r="B30" s="7"/>
      <c r="C30" s="7"/>
      <c r="D30" s="7"/>
      <c r="E30" s="10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20" x14ac:dyDescent="0.25">
      <c r="A31" s="7"/>
      <c r="B31" s="7"/>
      <c r="C31" s="7"/>
      <c r="D31" s="7"/>
      <c r="E31" s="10"/>
      <c r="F31" s="10"/>
      <c r="G31" s="7"/>
      <c r="H31" s="7"/>
      <c r="I31" s="7"/>
      <c r="J31" s="7"/>
      <c r="K31" s="7"/>
      <c r="L31" s="7">
        <f>M28*4.18*1.1*60</f>
        <v>538.88559999999995</v>
      </c>
      <c r="M31" s="7" t="s">
        <v>165</v>
      </c>
      <c r="N31" s="7"/>
      <c r="O31" s="7"/>
      <c r="P31" s="7"/>
    </row>
    <row r="32" spans="1:20" x14ac:dyDescent="0.25">
      <c r="A32" s="7"/>
      <c r="B32" s="7"/>
      <c r="C32" s="7"/>
      <c r="D32" s="7"/>
      <c r="E32" s="10"/>
      <c r="F32" s="10"/>
      <c r="G32" s="7"/>
      <c r="H32" s="7"/>
      <c r="I32" s="7"/>
      <c r="J32" s="7"/>
      <c r="K32" s="7"/>
      <c r="L32" s="7">
        <f>M28*1.1*3600</f>
        <v>7735.2</v>
      </c>
      <c r="M32" s="7" t="s">
        <v>222</v>
      </c>
      <c r="N32" s="7"/>
      <c r="O32" s="7"/>
      <c r="P32" s="7"/>
    </row>
    <row r="33" spans="1:20" x14ac:dyDescent="0.25">
      <c r="A33" s="7"/>
      <c r="B33" s="7"/>
      <c r="C33" s="7"/>
      <c r="D33" s="7"/>
      <c r="E33" s="10"/>
      <c r="F33" s="10"/>
      <c r="G33" s="7"/>
      <c r="H33" s="7"/>
      <c r="I33" s="7"/>
      <c r="J33" s="7"/>
      <c r="K33" s="7"/>
      <c r="L33" s="7">
        <v>8000</v>
      </c>
      <c r="M33" s="7" t="s">
        <v>36</v>
      </c>
      <c r="N33" s="7"/>
      <c r="O33" s="7"/>
      <c r="P33" s="7"/>
    </row>
    <row r="34" spans="1:20" x14ac:dyDescent="0.25">
      <c r="A34" s="7"/>
      <c r="B34" s="7"/>
      <c r="C34" s="7"/>
      <c r="D34" s="7"/>
      <c r="E34" s="10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20" x14ac:dyDescent="0.25">
      <c r="A35" s="7"/>
      <c r="B35" s="7"/>
      <c r="C35" s="7"/>
      <c r="D35" s="7"/>
      <c r="E35" s="10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20" x14ac:dyDescent="0.25">
      <c r="A36" s="7"/>
      <c r="B36" s="7"/>
      <c r="C36" s="7"/>
      <c r="D36" s="7"/>
      <c r="E36" s="10"/>
      <c r="F36" s="10"/>
      <c r="G36" s="7"/>
      <c r="H36" s="7"/>
      <c r="I36" s="45"/>
      <c r="J36" s="45"/>
      <c r="K36" s="45"/>
      <c r="L36" s="29"/>
      <c r="M36" s="29"/>
      <c r="N36" s="29"/>
      <c r="O36" s="7"/>
      <c r="P36"/>
      <c r="Q36"/>
      <c r="R36"/>
      <c r="S36"/>
      <c r="T36"/>
    </row>
    <row r="37" spans="1:20" x14ac:dyDescent="0.25">
      <c r="A37" s="7"/>
      <c r="B37" s="7"/>
      <c r="C37" s="7"/>
      <c r="D37" s="7"/>
      <c r="E37" s="7"/>
      <c r="F37" s="7"/>
      <c r="G37" s="7"/>
      <c r="H37" s="7"/>
      <c r="L37" s="7"/>
      <c r="P37" s="7"/>
    </row>
    <row r="38" spans="1:20" x14ac:dyDescent="0.25">
      <c r="A38" s="7"/>
      <c r="B38" s="7"/>
      <c r="C38" s="7"/>
      <c r="D38" s="7"/>
      <c r="E38" s="7"/>
      <c r="F38" s="7"/>
      <c r="G38" s="7"/>
      <c r="H38" s="7"/>
      <c r="L38"/>
      <c r="O38" s="88">
        <f>1/60</f>
        <v>1.6666666666666666E-2</v>
      </c>
      <c r="P38">
        <f>O38*L45</f>
        <v>8.8430233500000011</v>
      </c>
      <c r="Q38" t="s">
        <v>35</v>
      </c>
    </row>
    <row r="39" spans="1:20" x14ac:dyDescent="0.25">
      <c r="A39" s="7"/>
      <c r="B39" s="7"/>
      <c r="C39" s="7"/>
      <c r="D39" s="7"/>
      <c r="E39" s="7"/>
      <c r="F39" s="7"/>
      <c r="G39" s="7"/>
      <c r="H39" s="7"/>
      <c r="L39"/>
      <c r="P39"/>
      <c r="Q39"/>
    </row>
    <row r="40" spans="1:20" x14ac:dyDescent="0.25">
      <c r="A40" s="7"/>
      <c r="B40" s="7"/>
      <c r="C40" s="7"/>
      <c r="D40" s="7"/>
      <c r="E40" s="7"/>
      <c r="F40" s="7"/>
      <c r="G40" s="7"/>
      <c r="H40" s="7"/>
      <c r="L40"/>
      <c r="P40"/>
      <c r="Q40"/>
    </row>
    <row r="41" spans="1:20" x14ac:dyDescent="0.25">
      <c r="A41" s="7"/>
      <c r="B41" s="7"/>
      <c r="C41" s="7"/>
      <c r="D41" s="7"/>
      <c r="E41" s="7"/>
      <c r="F41" s="7"/>
      <c r="G41" s="7"/>
      <c r="H41" s="7"/>
      <c r="L41"/>
      <c r="P41"/>
      <c r="Q41"/>
    </row>
    <row r="42" spans="1:20" x14ac:dyDescent="0.25">
      <c r="A42" s="7"/>
      <c r="B42" s="7"/>
      <c r="C42" s="7"/>
      <c r="D42" s="7"/>
      <c r="E42" s="7"/>
      <c r="F42" s="7"/>
      <c r="G42" s="7"/>
      <c r="H42" s="7"/>
      <c r="J42">
        <v>56.523000000000003</v>
      </c>
      <c r="K42" t="s">
        <v>101</v>
      </c>
      <c r="L42">
        <f>J42*J43</f>
        <v>1591.7442030000002</v>
      </c>
      <c r="M42" t="s">
        <v>215</v>
      </c>
      <c r="P42"/>
      <c r="Q42"/>
    </row>
    <row r="43" spans="1:20" x14ac:dyDescent="0.25">
      <c r="A43" s="7"/>
      <c r="B43" s="7"/>
      <c r="C43" s="7"/>
      <c r="D43" s="7"/>
      <c r="E43" s="7"/>
      <c r="F43" s="7"/>
      <c r="G43" s="7"/>
      <c r="H43" s="7"/>
      <c r="J43">
        <v>28.161000000000001</v>
      </c>
      <c r="K43" t="s">
        <v>101</v>
      </c>
      <c r="L43"/>
      <c r="P43"/>
      <c r="Q43"/>
    </row>
    <row r="44" spans="1:20" x14ac:dyDescent="0.25">
      <c r="A44" s="7"/>
      <c r="B44" s="7"/>
      <c r="C44" s="7"/>
      <c r="D44" s="7"/>
      <c r="E44" s="7"/>
      <c r="F44" s="7"/>
      <c r="G44" s="7"/>
      <c r="H44" s="7"/>
      <c r="L44" t="s">
        <v>216</v>
      </c>
      <c r="P44"/>
      <c r="Q44"/>
    </row>
    <row r="45" spans="1:20" x14ac:dyDescent="0.25">
      <c r="A45" s="7"/>
      <c r="B45" s="7"/>
      <c r="C45" s="7"/>
      <c r="D45" s="7"/>
      <c r="E45" s="7"/>
      <c r="F45" s="7"/>
      <c r="G45" s="7"/>
      <c r="H45" s="7"/>
      <c r="L45">
        <f>1/3 *L42</f>
        <v>530.58140100000003</v>
      </c>
      <c r="M45" t="s">
        <v>215</v>
      </c>
      <c r="P45"/>
      <c r="Q45"/>
    </row>
    <row r="46" spans="1:20" x14ac:dyDescent="0.25">
      <c r="A46" s="7"/>
      <c r="B46" s="7"/>
      <c r="C46" s="7"/>
      <c r="D46" s="7"/>
      <c r="E46" s="7"/>
      <c r="F46" s="7"/>
      <c r="G46" s="7"/>
      <c r="H46" s="7"/>
      <c r="L46"/>
      <c r="P46"/>
      <c r="Q46"/>
    </row>
    <row r="47" spans="1:20" x14ac:dyDescent="0.25">
      <c r="A47" s="7"/>
      <c r="B47" s="7"/>
      <c r="C47" s="7"/>
      <c r="D47" s="7"/>
      <c r="E47" s="7"/>
      <c r="F47" s="7"/>
      <c r="G47" s="7"/>
      <c r="H47" s="7"/>
      <c r="L47"/>
      <c r="P47"/>
      <c r="Q47"/>
    </row>
    <row r="48" spans="1:20" x14ac:dyDescent="0.25">
      <c r="A48" s="7"/>
      <c r="B48" s="7"/>
      <c r="C48" s="7"/>
      <c r="D48" s="7"/>
      <c r="E48" s="7"/>
      <c r="F48" s="7"/>
      <c r="G48" s="7"/>
      <c r="H48" s="7"/>
      <c r="L48" s="7"/>
      <c r="P48" s="7"/>
    </row>
    <row r="49" spans="1:1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</sheetData>
  <mergeCells count="10">
    <mergeCell ref="M1:P1"/>
    <mergeCell ref="M4:P9"/>
    <mergeCell ref="Q1:T1"/>
    <mergeCell ref="A8:D9"/>
    <mergeCell ref="E6:H9"/>
    <mergeCell ref="I5:L9"/>
    <mergeCell ref="A1:D1"/>
    <mergeCell ref="E1:H1"/>
    <mergeCell ref="I1:L1"/>
    <mergeCell ref="Q5:T9"/>
  </mergeCells>
  <pageMargins left="0.7" right="0.7" top="0.75" bottom="0.75" header="0.3" footer="0.3"/>
  <pageSetup paperSize="8" scale="3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"/>
  <sheetViews>
    <sheetView workbookViewId="0">
      <selection activeCell="L34" sqref="L34"/>
    </sheetView>
  </sheetViews>
  <sheetFormatPr defaultRowHeight="15" x14ac:dyDescent="0.25"/>
  <cols>
    <col min="6" max="6" width="11.140625" bestFit="1" customWidth="1"/>
  </cols>
  <sheetData>
    <row r="1" spans="1:22" x14ac:dyDescent="0.25">
      <c r="A1" t="s">
        <v>188</v>
      </c>
      <c r="B1">
        <v>6</v>
      </c>
      <c r="C1" s="85" t="s">
        <v>77</v>
      </c>
      <c r="D1" t="s">
        <v>190</v>
      </c>
      <c r="F1" t="s">
        <v>191</v>
      </c>
      <c r="G1">
        <v>1450</v>
      </c>
      <c r="H1" t="s">
        <v>36</v>
      </c>
      <c r="I1" t="s">
        <v>192</v>
      </c>
    </row>
    <row r="2" spans="1:22" x14ac:dyDescent="0.25">
      <c r="A2" t="s">
        <v>189</v>
      </c>
      <c r="B2">
        <v>65</v>
      </c>
      <c r="C2" s="85" t="s">
        <v>77</v>
      </c>
      <c r="F2" t="s">
        <v>194</v>
      </c>
      <c r="G2">
        <v>4.2</v>
      </c>
      <c r="H2" t="s">
        <v>195</v>
      </c>
    </row>
    <row r="3" spans="1:22" x14ac:dyDescent="0.25">
      <c r="F3" t="s">
        <v>196</v>
      </c>
      <c r="G3">
        <v>61.2</v>
      </c>
      <c r="H3" t="s">
        <v>165</v>
      </c>
      <c r="I3" t="s">
        <v>197</v>
      </c>
      <c r="J3">
        <v>0.5</v>
      </c>
      <c r="K3" t="s">
        <v>35</v>
      </c>
      <c r="P3" t="s">
        <v>200</v>
      </c>
    </row>
    <row r="4" spans="1:22" x14ac:dyDescent="0.25">
      <c r="A4" t="s">
        <v>193</v>
      </c>
      <c r="B4">
        <f>G2*(B2-B1)</f>
        <v>247.8</v>
      </c>
      <c r="C4" t="s">
        <v>198</v>
      </c>
      <c r="V4">
        <f>1300/3600</f>
        <v>0.3611111111111111</v>
      </c>
    </row>
    <row r="5" spans="1:22" x14ac:dyDescent="0.25">
      <c r="O5">
        <v>3</v>
      </c>
    </row>
    <row r="6" spans="1:22" x14ac:dyDescent="0.25">
      <c r="Q6">
        <f>3/4.25/5</f>
        <v>0.14117647058823529</v>
      </c>
    </row>
    <row r="7" spans="1:22" x14ac:dyDescent="0.25">
      <c r="F7">
        <f>G3/B4</f>
        <v>0.24697336561743341</v>
      </c>
    </row>
    <row r="10" spans="1:22" x14ac:dyDescent="0.25">
      <c r="V10" t="s">
        <v>199</v>
      </c>
    </row>
  </sheetData>
  <pageMargins left="0.7" right="0.7" top="0.75" bottom="0.75" header="0.3" footer="0.3"/>
  <pageSetup paperSize="9" scale="6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workbookViewId="0">
      <selection activeCell="L9" sqref="L9"/>
    </sheetView>
  </sheetViews>
  <sheetFormatPr defaultRowHeight="15" x14ac:dyDescent="0.25"/>
  <sheetData>
    <row r="1" spans="1:18" x14ac:dyDescent="0.25">
      <c r="A1" t="s">
        <v>102</v>
      </c>
      <c r="D1" t="s">
        <v>121</v>
      </c>
      <c r="K1" t="s">
        <v>24</v>
      </c>
      <c r="L1">
        <f>(2*E24)+(2*E6)+(2*E8)</f>
        <v>366</v>
      </c>
      <c r="O1">
        <f>E24</f>
        <v>18</v>
      </c>
      <c r="Q1">
        <f>E6+E24</f>
        <v>93</v>
      </c>
    </row>
    <row r="2" spans="1:18" x14ac:dyDescent="0.25">
      <c r="A2" t="s">
        <v>103</v>
      </c>
      <c r="E2">
        <v>15</v>
      </c>
      <c r="L2">
        <f>L1*'65-10HS01-DW-5'!G4*25.4*10^-3</f>
        <v>23.241</v>
      </c>
      <c r="M2" t="s">
        <v>101</v>
      </c>
      <c r="O2">
        <f>O1*'50-2HS01-SW-4'!G4*25.4*10^-3</f>
        <v>0.68579999999999997</v>
      </c>
      <c r="P2" t="s">
        <v>101</v>
      </c>
      <c r="Q2">
        <f>Q1*'25-10HS01-SW-13'!G4*25.4*10^-3</f>
        <v>2.3622000000000001</v>
      </c>
      <c r="R2" t="s">
        <v>101</v>
      </c>
    </row>
    <row r="3" spans="1:18" x14ac:dyDescent="0.25">
      <c r="A3" t="s">
        <v>104</v>
      </c>
      <c r="E3">
        <v>10</v>
      </c>
      <c r="L3">
        <v>5</v>
      </c>
      <c r="O3">
        <v>4</v>
      </c>
      <c r="Q3">
        <v>13</v>
      </c>
    </row>
    <row r="4" spans="1:18" x14ac:dyDescent="0.25">
      <c r="A4" t="s">
        <v>105</v>
      </c>
      <c r="E4">
        <v>35</v>
      </c>
    </row>
    <row r="5" spans="1:18" x14ac:dyDescent="0.25">
      <c r="A5" t="s">
        <v>106</v>
      </c>
      <c r="E5">
        <v>23</v>
      </c>
    </row>
    <row r="6" spans="1:18" x14ac:dyDescent="0.25">
      <c r="A6" t="s">
        <v>107</v>
      </c>
      <c r="E6">
        <v>75</v>
      </c>
    </row>
    <row r="7" spans="1:18" x14ac:dyDescent="0.25">
      <c r="A7" t="s">
        <v>108</v>
      </c>
      <c r="E7">
        <v>60</v>
      </c>
    </row>
    <row r="8" spans="1:18" x14ac:dyDescent="0.25">
      <c r="A8" t="s">
        <v>109</v>
      </c>
      <c r="E8">
        <v>90</v>
      </c>
    </row>
    <row r="9" spans="1:18" x14ac:dyDescent="0.25">
      <c r="A9" t="s">
        <v>110</v>
      </c>
      <c r="E9">
        <v>2</v>
      </c>
    </row>
    <row r="10" spans="1:18" x14ac:dyDescent="0.25">
      <c r="A10" t="s">
        <v>111</v>
      </c>
      <c r="E10">
        <v>25</v>
      </c>
    </row>
    <row r="11" spans="1:18" x14ac:dyDescent="0.25">
      <c r="A11" t="s">
        <v>112</v>
      </c>
      <c r="E11">
        <v>50</v>
      </c>
    </row>
    <row r="12" spans="1:18" x14ac:dyDescent="0.25">
      <c r="A12" t="s">
        <v>113</v>
      </c>
    </row>
    <row r="13" spans="1:18" x14ac:dyDescent="0.25">
      <c r="B13" t="s">
        <v>114</v>
      </c>
      <c r="E13">
        <v>7.5</v>
      </c>
    </row>
    <row r="14" spans="1:18" x14ac:dyDescent="0.25">
      <c r="B14" t="s">
        <v>116</v>
      </c>
      <c r="E14">
        <v>800</v>
      </c>
    </row>
    <row r="15" spans="1:18" x14ac:dyDescent="0.25">
      <c r="B15" t="s">
        <v>115</v>
      </c>
      <c r="E15">
        <v>200</v>
      </c>
    </row>
    <row r="16" spans="1:18" x14ac:dyDescent="0.25">
      <c r="B16" t="s">
        <v>117</v>
      </c>
      <c r="E16">
        <v>40</v>
      </c>
    </row>
    <row r="17" spans="1:5" x14ac:dyDescent="0.25">
      <c r="A17" t="s">
        <v>118</v>
      </c>
    </row>
    <row r="18" spans="1:5" x14ac:dyDescent="0.25">
      <c r="B18" t="s">
        <v>114</v>
      </c>
      <c r="E18">
        <v>300</v>
      </c>
    </row>
    <row r="19" spans="1:5" x14ac:dyDescent="0.25">
      <c r="B19" t="s">
        <v>115</v>
      </c>
      <c r="E19">
        <v>450</v>
      </c>
    </row>
    <row r="20" spans="1:5" x14ac:dyDescent="0.25">
      <c r="A20" t="s">
        <v>119</v>
      </c>
    </row>
    <row r="21" spans="1:5" x14ac:dyDescent="0.25">
      <c r="B21" t="s">
        <v>114</v>
      </c>
      <c r="E21">
        <v>450</v>
      </c>
    </row>
    <row r="22" spans="1:5" x14ac:dyDescent="0.25">
      <c r="B22" t="s">
        <v>115</v>
      </c>
      <c r="E22">
        <v>1800</v>
      </c>
    </row>
    <row r="23" spans="1:5" x14ac:dyDescent="0.25">
      <c r="B23" t="s">
        <v>116</v>
      </c>
      <c r="E23">
        <v>5600</v>
      </c>
    </row>
    <row r="24" spans="1:5" x14ac:dyDescent="0.25">
      <c r="A24" t="s">
        <v>120</v>
      </c>
      <c r="E24">
        <v>18</v>
      </c>
    </row>
  </sheetData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workbookViewId="0">
      <selection activeCell="P4" sqref="P4"/>
    </sheetView>
  </sheetViews>
  <sheetFormatPr defaultRowHeight="15" x14ac:dyDescent="0.25"/>
  <cols>
    <col min="9" max="9" width="10.7109375" bestFit="1" customWidth="1"/>
    <col min="10" max="10" width="11.42578125" bestFit="1" customWidth="1"/>
    <col min="11" max="11" width="9" bestFit="1" customWidth="1"/>
  </cols>
  <sheetData>
    <row r="1" spans="1:14" x14ac:dyDescent="0.25">
      <c r="A1" s="138" t="s">
        <v>180</v>
      </c>
      <c r="B1" s="139"/>
      <c r="C1" s="139"/>
      <c r="D1" s="139"/>
      <c r="E1" s="139"/>
      <c r="F1" s="139"/>
      <c r="G1" s="140"/>
      <c r="H1" s="141"/>
      <c r="I1" s="142"/>
      <c r="J1" s="142"/>
      <c r="K1" s="142"/>
      <c r="L1" s="142"/>
      <c r="M1" s="142"/>
      <c r="N1" s="143"/>
    </row>
    <row r="2" spans="1:14" x14ac:dyDescent="0.25">
      <c r="A2" s="144" t="s">
        <v>55</v>
      </c>
      <c r="B2" s="145"/>
      <c r="C2" s="145"/>
      <c r="D2" s="145"/>
      <c r="E2" s="145"/>
      <c r="F2" s="145"/>
      <c r="G2" s="146"/>
      <c r="H2" s="147" t="s">
        <v>56</v>
      </c>
      <c r="I2" s="148"/>
      <c r="J2" s="148"/>
      <c r="K2" s="149" t="s">
        <v>61</v>
      </c>
      <c r="L2" s="149"/>
      <c r="M2" s="149"/>
      <c r="N2" s="150"/>
    </row>
    <row r="3" spans="1:14" x14ac:dyDescent="0.25">
      <c r="A3" s="151" t="s">
        <v>54</v>
      </c>
      <c r="B3" s="152"/>
      <c r="C3" s="152"/>
      <c r="D3" s="152"/>
      <c r="E3" s="152"/>
      <c r="F3" s="152"/>
      <c r="G3" s="153"/>
      <c r="H3" s="46" t="s">
        <v>57</v>
      </c>
      <c r="I3" s="46" t="s">
        <v>58</v>
      </c>
      <c r="J3" s="46" t="s">
        <v>59</v>
      </c>
      <c r="K3" s="46" t="s">
        <v>60</v>
      </c>
      <c r="L3" s="46" t="s">
        <v>58</v>
      </c>
      <c r="M3" s="46" t="s">
        <v>59</v>
      </c>
      <c r="N3" s="46" t="s">
        <v>60</v>
      </c>
    </row>
    <row r="4" spans="1:14" x14ac:dyDescent="0.25">
      <c r="A4" s="151"/>
      <c r="B4" s="152"/>
      <c r="C4" s="152"/>
      <c r="D4" s="152"/>
      <c r="E4" s="152"/>
      <c r="F4" s="152"/>
      <c r="G4" s="153"/>
      <c r="H4" s="47" t="s">
        <v>63</v>
      </c>
      <c r="I4" s="48">
        <v>43735</v>
      </c>
      <c r="J4" s="47" t="s">
        <v>64</v>
      </c>
      <c r="K4" s="47"/>
      <c r="L4" s="47"/>
      <c r="M4" s="47"/>
      <c r="N4" s="47"/>
    </row>
    <row r="5" spans="1:14" x14ac:dyDescent="0.25">
      <c r="A5" s="151"/>
      <c r="B5" s="152"/>
      <c r="C5" s="152"/>
      <c r="D5" s="152"/>
      <c r="E5" s="152"/>
      <c r="F5" s="152"/>
      <c r="G5" s="153"/>
      <c r="H5" s="47"/>
      <c r="I5" s="47"/>
      <c r="J5" s="47"/>
      <c r="K5" s="47"/>
      <c r="L5" s="47"/>
      <c r="M5" s="47"/>
      <c r="N5" s="47"/>
    </row>
    <row r="6" spans="1:14" x14ac:dyDescent="0.25">
      <c r="A6" s="151"/>
      <c r="B6" s="152"/>
      <c r="C6" s="152"/>
      <c r="D6" s="152"/>
      <c r="E6" s="152"/>
      <c r="F6" s="152"/>
      <c r="G6" s="153"/>
      <c r="H6" s="47"/>
      <c r="I6" s="47"/>
      <c r="J6" s="47"/>
      <c r="K6" s="47"/>
      <c r="L6" s="47"/>
      <c r="M6" s="47"/>
      <c r="N6" s="47"/>
    </row>
    <row r="7" spans="1:14" x14ac:dyDescent="0.25">
      <c r="A7" s="151"/>
      <c r="B7" s="152"/>
      <c r="C7" s="152"/>
      <c r="D7" s="152"/>
      <c r="E7" s="152"/>
      <c r="F7" s="152"/>
      <c r="G7" s="153"/>
      <c r="H7" s="47"/>
      <c r="I7" s="47"/>
      <c r="J7" s="47"/>
      <c r="K7" s="47"/>
      <c r="L7" s="47"/>
      <c r="M7" s="47"/>
      <c r="N7" s="47"/>
    </row>
    <row r="8" spans="1:14" x14ac:dyDescent="0.25">
      <c r="A8" s="158" t="s">
        <v>62</v>
      </c>
      <c r="B8" s="159"/>
      <c r="C8" s="159"/>
      <c r="D8" s="159"/>
      <c r="E8" s="159"/>
      <c r="F8" s="159"/>
      <c r="G8" s="160"/>
      <c r="H8" s="47"/>
      <c r="I8" s="47"/>
      <c r="J8" s="47"/>
      <c r="K8" s="47"/>
      <c r="L8" s="47"/>
      <c r="M8" s="47"/>
      <c r="N8" s="47"/>
    </row>
    <row r="9" spans="1:14" x14ac:dyDescent="0.25">
      <c r="A9" s="12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6"/>
    </row>
    <row r="10" spans="1:14" x14ac:dyDescent="0.25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61"/>
    </row>
    <row r="11" spans="1:14" x14ac:dyDescent="0.25">
      <c r="A11" s="162" t="s">
        <v>65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1:14" x14ac:dyDescent="0.25">
      <c r="A12" s="141" t="s">
        <v>66</v>
      </c>
      <c r="B12" s="142"/>
      <c r="C12" s="142"/>
      <c r="D12" s="142" t="s">
        <v>201</v>
      </c>
      <c r="E12" s="142"/>
      <c r="F12" s="142"/>
      <c r="G12" s="142"/>
      <c r="H12" s="142" t="s">
        <v>67</v>
      </c>
      <c r="I12" s="142"/>
      <c r="J12" s="108"/>
      <c r="K12" s="165" t="s">
        <v>202</v>
      </c>
      <c r="L12" s="165"/>
      <c r="M12" s="165"/>
      <c r="N12" s="166"/>
    </row>
    <row r="13" spans="1:14" x14ac:dyDescent="0.25">
      <c r="A13" s="118" t="s">
        <v>68</v>
      </c>
      <c r="B13" s="117"/>
      <c r="C13" s="117"/>
      <c r="D13" s="97" t="s">
        <v>179</v>
      </c>
      <c r="E13" s="97"/>
      <c r="F13" s="97"/>
      <c r="G13" s="97"/>
      <c r="H13" s="111"/>
      <c r="I13" s="111"/>
      <c r="J13" s="111"/>
      <c r="K13" s="111"/>
      <c r="L13" s="111"/>
      <c r="M13" s="111"/>
      <c r="N13" s="112"/>
    </row>
    <row r="14" spans="1:14" x14ac:dyDescent="0.25">
      <c r="A14" s="118" t="s">
        <v>69</v>
      </c>
      <c r="B14" s="117"/>
      <c r="C14" s="117"/>
      <c r="D14" s="97" t="s">
        <v>203</v>
      </c>
      <c r="E14" s="97"/>
      <c r="F14" s="97"/>
      <c r="G14" s="97"/>
      <c r="H14" s="111"/>
      <c r="I14" s="111"/>
      <c r="J14" s="111"/>
      <c r="K14" s="111"/>
      <c r="L14" s="111"/>
      <c r="M14" s="111"/>
      <c r="N14" s="112"/>
    </row>
    <row r="15" spans="1:14" ht="17.25" x14ac:dyDescent="0.25">
      <c r="A15" s="118" t="s">
        <v>70</v>
      </c>
      <c r="B15" s="117"/>
      <c r="C15" s="117"/>
      <c r="D15" s="97" t="s">
        <v>73</v>
      </c>
      <c r="E15" s="97"/>
      <c r="F15" s="97"/>
      <c r="G15" s="97"/>
      <c r="H15" s="115" t="s">
        <v>78</v>
      </c>
      <c r="I15" s="115"/>
      <c r="J15" s="111"/>
      <c r="K15" s="73">
        <v>980.53</v>
      </c>
      <c r="L15" s="73" t="s">
        <v>80</v>
      </c>
      <c r="M15" s="111"/>
      <c r="N15" s="112"/>
    </row>
    <row r="16" spans="1:14" x14ac:dyDescent="0.25">
      <c r="A16" s="154" t="s">
        <v>71</v>
      </c>
      <c r="B16" s="155"/>
      <c r="C16" s="155"/>
      <c r="D16" s="73" t="s">
        <v>74</v>
      </c>
      <c r="E16" s="73">
        <v>65</v>
      </c>
      <c r="F16" s="167" t="s">
        <v>77</v>
      </c>
      <c r="G16" s="167"/>
      <c r="H16" s="97" t="s">
        <v>79</v>
      </c>
      <c r="I16" s="97"/>
      <c r="J16" s="111"/>
      <c r="K16" s="73">
        <v>4.3199999999999998E-4</v>
      </c>
      <c r="L16" s="73" t="s">
        <v>81</v>
      </c>
      <c r="M16" s="111"/>
      <c r="N16" s="112"/>
    </row>
    <row r="17" spans="1:14" x14ac:dyDescent="0.25">
      <c r="A17" s="154"/>
      <c r="B17" s="155"/>
      <c r="C17" s="155"/>
      <c r="D17" s="73" t="s">
        <v>75</v>
      </c>
      <c r="E17" s="73">
        <v>6</v>
      </c>
      <c r="F17" s="136" t="s">
        <v>77</v>
      </c>
      <c r="G17" s="136"/>
      <c r="H17" s="97" t="s">
        <v>82</v>
      </c>
      <c r="I17" s="97"/>
      <c r="J17" s="111"/>
      <c r="K17" s="50">
        <v>0.36</v>
      </c>
      <c r="L17" s="73" t="s">
        <v>35</v>
      </c>
      <c r="M17" s="111"/>
      <c r="N17" s="112"/>
    </row>
    <row r="18" spans="1:14" x14ac:dyDescent="0.25">
      <c r="A18" s="156"/>
      <c r="B18" s="157"/>
      <c r="C18" s="157"/>
      <c r="D18" s="72" t="s">
        <v>76</v>
      </c>
      <c r="E18" s="72">
        <v>80</v>
      </c>
      <c r="F18" s="137" t="s">
        <v>77</v>
      </c>
      <c r="G18" s="137"/>
      <c r="H18" s="99" t="s">
        <v>83</v>
      </c>
      <c r="I18" s="99"/>
      <c r="J18" s="102"/>
      <c r="K18" s="52">
        <f>K17*1.05</f>
        <v>0.378</v>
      </c>
      <c r="L18" s="72" t="s">
        <v>35</v>
      </c>
      <c r="M18" s="102"/>
      <c r="N18" s="103"/>
    </row>
    <row r="19" spans="1:14" x14ac:dyDescent="0.25">
      <c r="A19" s="104" t="s">
        <v>84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</row>
    <row r="20" spans="1:14" x14ac:dyDescent="0.25">
      <c r="A20" s="132" t="s">
        <v>85</v>
      </c>
      <c r="B20" s="132"/>
      <c r="C20" s="132"/>
      <c r="D20" s="132"/>
      <c r="E20" s="132"/>
      <c r="F20" s="132"/>
      <c r="G20" s="133"/>
      <c r="H20" s="134" t="s">
        <v>86</v>
      </c>
      <c r="I20" s="132"/>
      <c r="J20" s="132"/>
      <c r="K20" s="132"/>
      <c r="L20" s="132"/>
      <c r="M20" s="132"/>
      <c r="N20" s="133"/>
    </row>
    <row r="21" spans="1:14" x14ac:dyDescent="0.25">
      <c r="A21" s="95" t="s">
        <v>87</v>
      </c>
      <c r="B21" s="95"/>
      <c r="C21" s="95"/>
      <c r="D21" s="95"/>
      <c r="E21" s="95"/>
      <c r="F21" s="73">
        <v>1</v>
      </c>
      <c r="G21" s="77" t="s">
        <v>88</v>
      </c>
      <c r="H21" s="122" t="s">
        <v>87</v>
      </c>
      <c r="I21" s="95"/>
      <c r="J21" s="95"/>
      <c r="K21" s="95"/>
      <c r="L21" s="95"/>
      <c r="M21" s="73">
        <v>1</v>
      </c>
      <c r="N21" s="77" t="s">
        <v>88</v>
      </c>
    </row>
    <row r="22" spans="1:14" x14ac:dyDescent="0.25">
      <c r="A22" s="135"/>
      <c r="B22" s="135"/>
      <c r="C22" s="135"/>
      <c r="D22" s="135"/>
      <c r="E22" s="135"/>
      <c r="F22" s="135"/>
      <c r="G22" s="77" t="s">
        <v>98</v>
      </c>
      <c r="H22" s="110"/>
      <c r="I22" s="135"/>
      <c r="J22" s="135"/>
      <c r="K22" s="135"/>
      <c r="L22" s="135"/>
      <c r="M22" s="135"/>
      <c r="N22" s="77" t="s">
        <v>98</v>
      </c>
    </row>
    <row r="23" spans="1:14" x14ac:dyDescent="0.25">
      <c r="A23" s="97" t="s">
        <v>89</v>
      </c>
      <c r="B23" s="97"/>
      <c r="C23" s="97"/>
      <c r="D23" s="97"/>
      <c r="E23" s="97">
        <f>'25-10HS01-SW-13'!E9</f>
        <v>0.45610361134346317</v>
      </c>
      <c r="F23" s="97"/>
      <c r="G23" s="77" t="s">
        <v>99</v>
      </c>
      <c r="H23" s="97" t="s">
        <v>89</v>
      </c>
      <c r="I23" s="97"/>
      <c r="J23" s="97"/>
      <c r="K23" s="97"/>
      <c r="L23" s="126">
        <f>E23</f>
        <v>0.45610361134346317</v>
      </c>
      <c r="M23" s="126"/>
      <c r="N23" s="77" t="s">
        <v>99</v>
      </c>
    </row>
    <row r="24" spans="1:14" x14ac:dyDescent="0.25">
      <c r="A24" s="97" t="s">
        <v>90</v>
      </c>
      <c r="B24" s="97"/>
      <c r="C24" s="97"/>
      <c r="D24" s="97"/>
      <c r="E24" s="97">
        <f>'25-10HS01-SW-13'!E13</f>
        <v>0.14212727919862997</v>
      </c>
      <c r="F24" s="97"/>
      <c r="G24" s="77" t="s">
        <v>100</v>
      </c>
      <c r="H24" s="97" t="s">
        <v>90</v>
      </c>
      <c r="I24" s="97"/>
      <c r="J24" s="97"/>
      <c r="K24" s="97"/>
      <c r="L24" s="126">
        <f>E24</f>
        <v>0.14212727919862997</v>
      </c>
      <c r="M24" s="126"/>
      <c r="N24" s="77" t="s">
        <v>100</v>
      </c>
    </row>
    <row r="25" spans="1:14" x14ac:dyDescent="0.25">
      <c r="A25" s="131" t="s">
        <v>91</v>
      </c>
      <c r="B25" s="131"/>
      <c r="C25" s="131"/>
      <c r="D25" s="131"/>
      <c r="E25" s="125">
        <v>1</v>
      </c>
      <c r="F25" s="125"/>
      <c r="G25" s="77" t="s">
        <v>101</v>
      </c>
      <c r="H25" s="131" t="s">
        <v>91</v>
      </c>
      <c r="I25" s="131"/>
      <c r="J25" s="131"/>
      <c r="K25" s="131"/>
      <c r="L25" s="126">
        <v>100</v>
      </c>
      <c r="M25" s="126"/>
      <c r="N25" s="77" t="s">
        <v>101</v>
      </c>
    </row>
    <row r="26" spans="1:14" x14ac:dyDescent="0.25">
      <c r="A26" s="125" t="s">
        <v>123</v>
      </c>
      <c r="B26" s="125"/>
      <c r="C26" s="125"/>
      <c r="D26" s="125"/>
      <c r="E26" s="97">
        <f>(E24+'Miscellaneous Pressure Losses'!Q2)*E25</f>
        <v>2.50432727919863</v>
      </c>
      <c r="F26" s="97"/>
      <c r="G26" s="77" t="s">
        <v>122</v>
      </c>
      <c r="H26" s="125" t="s">
        <v>123</v>
      </c>
      <c r="I26" s="125"/>
      <c r="J26" s="125"/>
      <c r="K26" s="125"/>
      <c r="L26" s="126">
        <f>L25*L24*3</f>
        <v>42.638183759588991</v>
      </c>
      <c r="M26" s="126"/>
      <c r="N26" s="77" t="s">
        <v>122</v>
      </c>
    </row>
    <row r="27" spans="1:14" x14ac:dyDescent="0.25">
      <c r="A27" s="111"/>
      <c r="B27" s="111"/>
      <c r="C27" s="111"/>
      <c r="D27" s="111"/>
      <c r="E27" s="111"/>
      <c r="F27" s="111"/>
      <c r="G27" s="112"/>
      <c r="H27" s="110"/>
      <c r="I27" s="111"/>
      <c r="J27" s="111"/>
      <c r="K27" s="111"/>
      <c r="L27" s="111"/>
      <c r="M27" s="111"/>
      <c r="N27" s="112"/>
    </row>
    <row r="28" spans="1:14" x14ac:dyDescent="0.25">
      <c r="A28" s="128" t="s">
        <v>92</v>
      </c>
      <c r="B28" s="128"/>
      <c r="C28" s="128"/>
      <c r="D28" s="128"/>
      <c r="E28" s="97">
        <v>4</v>
      </c>
      <c r="F28" s="97"/>
      <c r="G28" s="77" t="s">
        <v>101</v>
      </c>
      <c r="H28" s="128" t="s">
        <v>92</v>
      </c>
      <c r="I28" s="128"/>
      <c r="J28" s="128"/>
      <c r="K28" s="128"/>
      <c r="L28" s="119">
        <v>8</v>
      </c>
      <c r="M28" s="119"/>
      <c r="N28" s="77" t="s">
        <v>101</v>
      </c>
    </row>
    <row r="29" spans="1:14" x14ac:dyDescent="0.25">
      <c r="A29" s="128"/>
      <c r="B29" s="128"/>
      <c r="C29" s="128"/>
      <c r="D29" s="128"/>
      <c r="E29" s="97">
        <f>(K15*9.81*E28)/1000</f>
        <v>38.475997199999995</v>
      </c>
      <c r="F29" s="97"/>
      <c r="G29" s="77" t="s">
        <v>122</v>
      </c>
      <c r="H29" s="128"/>
      <c r="I29" s="128"/>
      <c r="J29" s="128"/>
      <c r="K29" s="128"/>
      <c r="L29" s="119">
        <f>K15*9.81*L28/1000</f>
        <v>76.95199439999999</v>
      </c>
      <c r="M29" s="119"/>
      <c r="N29" s="77" t="s">
        <v>122</v>
      </c>
    </row>
    <row r="30" spans="1:14" x14ac:dyDescent="0.25">
      <c r="A30" s="125" t="s">
        <v>93</v>
      </c>
      <c r="B30" s="125"/>
      <c r="C30" s="125"/>
      <c r="D30" s="125"/>
      <c r="E30" s="97">
        <v>600</v>
      </c>
      <c r="F30" s="97"/>
      <c r="G30" s="77" t="s">
        <v>122</v>
      </c>
      <c r="H30" s="125" t="s">
        <v>137</v>
      </c>
      <c r="I30" s="125"/>
      <c r="J30" s="125"/>
      <c r="K30" s="125"/>
      <c r="L30" s="127">
        <v>600</v>
      </c>
      <c r="M30" s="127"/>
      <c r="N30" s="77" t="s">
        <v>122</v>
      </c>
    </row>
    <row r="31" spans="1:14" x14ac:dyDescent="0.25">
      <c r="A31" s="125" t="s">
        <v>95</v>
      </c>
      <c r="B31" s="125"/>
      <c r="C31" s="125"/>
      <c r="D31" s="125"/>
      <c r="E31" s="125">
        <f>E29+E30</f>
        <v>638.47599719999994</v>
      </c>
      <c r="F31" s="125"/>
      <c r="G31" s="77" t="s">
        <v>122</v>
      </c>
      <c r="H31" s="125" t="s">
        <v>95</v>
      </c>
      <c r="I31" s="125"/>
      <c r="J31" s="125"/>
      <c r="K31" s="125"/>
      <c r="L31" s="130">
        <f>L29+L30</f>
        <v>676.95199439999999</v>
      </c>
      <c r="M31" s="130"/>
      <c r="N31" s="77" t="s">
        <v>122</v>
      </c>
    </row>
    <row r="32" spans="1:14" x14ac:dyDescent="0.25">
      <c r="A32" s="111"/>
      <c r="B32" s="111"/>
      <c r="C32" s="111"/>
      <c r="D32" s="111"/>
      <c r="E32" s="111"/>
      <c r="F32" s="111"/>
      <c r="G32" s="112"/>
      <c r="H32" s="110"/>
      <c r="I32" s="111"/>
      <c r="J32" s="111"/>
      <c r="K32" s="111"/>
      <c r="L32" s="111"/>
      <c r="M32" s="111"/>
      <c r="N32" s="112"/>
    </row>
    <row r="33" spans="1:14" x14ac:dyDescent="0.25">
      <c r="A33" s="125" t="s">
        <v>94</v>
      </c>
      <c r="B33" s="125"/>
      <c r="C33" s="125"/>
      <c r="D33" s="125"/>
      <c r="E33" s="126">
        <f>E31-E26</f>
        <v>635.97166992080133</v>
      </c>
      <c r="F33" s="126"/>
      <c r="G33" s="33" t="s">
        <v>122</v>
      </c>
      <c r="H33" s="114" t="s">
        <v>138</v>
      </c>
      <c r="I33" s="126"/>
      <c r="J33" s="126"/>
      <c r="K33" s="126"/>
      <c r="L33" s="127">
        <f>L31+L26</f>
        <v>719.59017815958896</v>
      </c>
      <c r="M33" s="127"/>
      <c r="N33" s="33" t="s">
        <v>122</v>
      </c>
    </row>
    <row r="34" spans="1:14" x14ac:dyDescent="0.25">
      <c r="A34" s="125" t="s">
        <v>96</v>
      </c>
      <c r="B34" s="125"/>
      <c r="C34" s="125"/>
      <c r="D34" s="125"/>
      <c r="E34" s="126">
        <v>25.042000000000002</v>
      </c>
      <c r="F34" s="126"/>
      <c r="G34" s="33" t="s">
        <v>122</v>
      </c>
      <c r="H34" s="114" t="s">
        <v>94</v>
      </c>
      <c r="I34" s="126"/>
      <c r="J34" s="126"/>
      <c r="K34" s="126"/>
      <c r="L34" s="127">
        <f>E33</f>
        <v>635.97166992080133</v>
      </c>
      <c r="M34" s="127"/>
      <c r="N34" s="33" t="s">
        <v>122</v>
      </c>
    </row>
    <row r="35" spans="1:14" x14ac:dyDescent="0.25">
      <c r="A35" s="128" t="s">
        <v>97</v>
      </c>
      <c r="B35" s="128"/>
      <c r="C35" s="128"/>
      <c r="D35" s="128"/>
      <c r="E35" s="126">
        <f>E33-E34</f>
        <v>610.9296699208013</v>
      </c>
      <c r="F35" s="126"/>
      <c r="G35" s="33" t="s">
        <v>122</v>
      </c>
      <c r="H35" s="114" t="s">
        <v>139</v>
      </c>
      <c r="I35" s="126"/>
      <c r="J35" s="126"/>
      <c r="K35" s="126"/>
      <c r="L35" s="127">
        <f>L33-L34</f>
        <v>83.618508238787626</v>
      </c>
      <c r="M35" s="127"/>
      <c r="N35" s="33" t="s">
        <v>122</v>
      </c>
    </row>
    <row r="36" spans="1:14" x14ac:dyDescent="0.25">
      <c r="A36" s="129"/>
      <c r="B36" s="129"/>
      <c r="C36" s="129"/>
      <c r="D36" s="129"/>
      <c r="E36" s="99">
        <f>(E35*10^3)/($K$15*9.81)</f>
        <v>63.512809479131718</v>
      </c>
      <c r="F36" s="99"/>
      <c r="G36" s="76" t="s">
        <v>101</v>
      </c>
      <c r="H36" s="101" t="s">
        <v>140</v>
      </c>
      <c r="I36" s="99"/>
      <c r="J36" s="99"/>
      <c r="K36" s="99"/>
      <c r="L36" s="121">
        <f>L35*1000/(K15*9.81)</f>
        <v>8.6930569002939464</v>
      </c>
      <c r="M36" s="121"/>
      <c r="N36" s="76" t="s">
        <v>101</v>
      </c>
    </row>
    <row r="37" spans="1:14" x14ac:dyDescent="0.25">
      <c r="A37" s="104" t="s">
        <v>141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</row>
    <row r="38" spans="1:14" x14ac:dyDescent="0.25">
      <c r="A38" s="122" t="s">
        <v>142</v>
      </c>
      <c r="B38" s="95"/>
      <c r="C38" s="95"/>
      <c r="D38" s="95"/>
      <c r="E38" s="123" t="s">
        <v>206</v>
      </c>
      <c r="F38" s="123"/>
      <c r="G38" s="123"/>
      <c r="H38" s="123" t="s">
        <v>153</v>
      </c>
      <c r="I38" s="123"/>
      <c r="J38" s="123"/>
      <c r="K38" s="123"/>
      <c r="L38" s="123" t="s">
        <v>168</v>
      </c>
      <c r="M38" s="123"/>
      <c r="N38" s="124"/>
    </row>
    <row r="39" spans="1:14" x14ac:dyDescent="0.25">
      <c r="A39" s="114" t="s">
        <v>143</v>
      </c>
      <c r="B39" s="97"/>
      <c r="C39" s="97"/>
      <c r="D39" s="97"/>
      <c r="E39" s="117" t="s">
        <v>207</v>
      </c>
      <c r="F39" s="117"/>
      <c r="G39" s="117"/>
      <c r="H39" s="97" t="s">
        <v>154</v>
      </c>
      <c r="I39" s="97"/>
      <c r="J39" s="97"/>
      <c r="K39" s="97"/>
      <c r="L39" s="119">
        <v>230</v>
      </c>
      <c r="M39" s="119"/>
      <c r="N39" s="77" t="s">
        <v>163</v>
      </c>
    </row>
    <row r="40" spans="1:14" x14ac:dyDescent="0.25">
      <c r="A40" s="114" t="s">
        <v>150</v>
      </c>
      <c r="B40" s="97"/>
      <c r="C40" s="97"/>
      <c r="D40" s="97"/>
      <c r="E40" s="120">
        <v>2.6</v>
      </c>
      <c r="F40" s="120"/>
      <c r="G40" s="73" t="s">
        <v>35</v>
      </c>
      <c r="H40" s="97" t="s">
        <v>155</v>
      </c>
      <c r="I40" s="97"/>
      <c r="J40" s="97"/>
      <c r="K40" s="97"/>
      <c r="L40" s="97" t="s">
        <v>164</v>
      </c>
      <c r="M40" s="97"/>
      <c r="N40" s="98"/>
    </row>
    <row r="41" spans="1:14" x14ac:dyDescent="0.25">
      <c r="A41" s="118" t="s">
        <v>139</v>
      </c>
      <c r="B41" s="117"/>
      <c r="C41" s="117"/>
      <c r="D41" s="117"/>
      <c r="E41" s="97">
        <f>L35</f>
        <v>83.618508238787626</v>
      </c>
      <c r="F41" s="97"/>
      <c r="G41" s="73" t="s">
        <v>122</v>
      </c>
      <c r="H41" s="97" t="s">
        <v>156</v>
      </c>
      <c r="I41" s="97"/>
      <c r="J41" s="97"/>
      <c r="K41" s="97"/>
      <c r="L41" s="97">
        <f>(6*K18*60)/600</f>
        <v>0.22679999999999997</v>
      </c>
      <c r="M41" s="97"/>
      <c r="N41" s="77" t="s">
        <v>165</v>
      </c>
    </row>
    <row r="42" spans="1:14" x14ac:dyDescent="0.25">
      <c r="A42" s="110"/>
      <c r="B42" s="111"/>
      <c r="C42" s="111"/>
      <c r="D42" s="111"/>
      <c r="E42" s="119">
        <f>L36</f>
        <v>8.6930569002939464</v>
      </c>
      <c r="F42" s="119"/>
      <c r="G42" s="73" t="s">
        <v>101</v>
      </c>
      <c r="H42" s="97" t="s">
        <v>157</v>
      </c>
      <c r="I42" s="97"/>
      <c r="J42" s="97"/>
      <c r="K42" s="97"/>
      <c r="L42" s="97"/>
      <c r="M42" s="97"/>
      <c r="N42" s="77" t="s">
        <v>165</v>
      </c>
    </row>
    <row r="43" spans="1:14" x14ac:dyDescent="0.25">
      <c r="A43" s="114" t="s">
        <v>144</v>
      </c>
      <c r="B43" s="97"/>
      <c r="C43" s="97"/>
      <c r="D43" s="97"/>
      <c r="E43" s="97"/>
      <c r="F43" s="97"/>
      <c r="G43" s="73" t="s">
        <v>101</v>
      </c>
      <c r="H43" s="97" t="s">
        <v>158</v>
      </c>
      <c r="I43" s="97"/>
      <c r="J43" s="97"/>
      <c r="K43" s="97"/>
      <c r="L43" s="97"/>
      <c r="M43" s="97"/>
      <c r="N43" s="77" t="s">
        <v>166</v>
      </c>
    </row>
    <row r="44" spans="1:14" x14ac:dyDescent="0.25">
      <c r="A44" s="114" t="s">
        <v>145</v>
      </c>
      <c r="B44" s="97"/>
      <c r="C44" s="97"/>
      <c r="D44" s="97"/>
      <c r="E44" s="117" t="s">
        <v>208</v>
      </c>
      <c r="F44" s="117"/>
      <c r="G44" s="117"/>
      <c r="H44" s="97" t="s">
        <v>159</v>
      </c>
      <c r="I44" s="97"/>
      <c r="J44" s="97"/>
      <c r="K44" s="97"/>
      <c r="L44" s="115">
        <v>10</v>
      </c>
      <c r="M44" s="115"/>
      <c r="N44" s="79" t="s">
        <v>167</v>
      </c>
    </row>
    <row r="45" spans="1:14" x14ac:dyDescent="0.25">
      <c r="A45" s="114" t="s">
        <v>146</v>
      </c>
      <c r="B45" s="97"/>
      <c r="C45" s="97"/>
      <c r="D45" s="97"/>
      <c r="E45" s="97" t="s">
        <v>209</v>
      </c>
      <c r="F45" s="97"/>
      <c r="G45" s="97"/>
      <c r="H45" s="97" t="s">
        <v>160</v>
      </c>
      <c r="I45" s="97"/>
      <c r="J45" s="97"/>
      <c r="K45" s="97"/>
      <c r="L45" s="115">
        <v>110</v>
      </c>
      <c r="M45" s="115"/>
      <c r="N45" s="78" t="s">
        <v>77</v>
      </c>
    </row>
    <row r="46" spans="1:14" x14ac:dyDescent="0.25">
      <c r="A46" s="114" t="s">
        <v>147</v>
      </c>
      <c r="B46" s="97"/>
      <c r="C46" s="97"/>
      <c r="D46" s="97"/>
      <c r="E46" s="97" t="s">
        <v>152</v>
      </c>
      <c r="F46" s="97"/>
      <c r="G46" s="97"/>
      <c r="H46" s="97" t="s">
        <v>161</v>
      </c>
      <c r="I46" s="97"/>
      <c r="J46" s="97"/>
      <c r="K46" s="97"/>
      <c r="L46" s="115" t="s">
        <v>211</v>
      </c>
      <c r="M46" s="115"/>
      <c r="N46" s="116"/>
    </row>
    <row r="47" spans="1:14" x14ac:dyDescent="0.25">
      <c r="A47" s="101" t="s">
        <v>148</v>
      </c>
      <c r="B47" s="99"/>
      <c r="C47" s="99"/>
      <c r="D47" s="99"/>
      <c r="E47" s="99" t="s">
        <v>210</v>
      </c>
      <c r="F47" s="99"/>
      <c r="G47" s="99"/>
      <c r="H47" s="102"/>
      <c r="I47" s="102"/>
      <c r="J47" s="102"/>
      <c r="K47" s="102"/>
      <c r="L47" s="102"/>
      <c r="M47" s="102"/>
      <c r="N47" s="103"/>
    </row>
    <row r="48" spans="1:14" x14ac:dyDescent="0.25">
      <c r="A48" s="104" t="s">
        <v>172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</row>
    <row r="49" spans="1:14" x14ac:dyDescent="0.2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9"/>
    </row>
    <row r="50" spans="1:14" x14ac:dyDescent="0.25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2"/>
    </row>
    <row r="51" spans="1:14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</row>
    <row r="52" spans="1:14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2"/>
    </row>
    <row r="53" spans="1:14" x14ac:dyDescent="0.25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2"/>
    </row>
    <row r="54" spans="1:14" x14ac:dyDescent="0.25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2"/>
    </row>
    <row r="55" spans="1:14" x14ac:dyDescent="0.25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2"/>
    </row>
    <row r="56" spans="1:14" x14ac:dyDescent="0.25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2"/>
    </row>
    <row r="57" spans="1:14" x14ac:dyDescent="0.25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2"/>
    </row>
    <row r="58" spans="1:14" x14ac:dyDescent="0.25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2"/>
    </row>
    <row r="59" spans="1:14" x14ac:dyDescent="0.25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/>
    </row>
    <row r="60" spans="1:14" x14ac:dyDescent="0.25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1:14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2"/>
    </row>
    <row r="62" spans="1:14" x14ac:dyDescent="0.25">
      <c r="A62" s="113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1:14" x14ac:dyDescent="0.25">
      <c r="A63" s="104" t="s">
        <v>173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6"/>
    </row>
    <row r="64" spans="1:14" x14ac:dyDescent="0.25">
      <c r="A64" s="80" t="s">
        <v>174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5">
      <c r="A65" s="81" t="s">
        <v>175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</row>
    <row r="66" spans="1:14" x14ac:dyDescent="0.25">
      <c r="A66" s="81" t="s">
        <v>176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</row>
    <row r="67" spans="1:14" x14ac:dyDescent="0.25">
      <c r="A67" s="81" t="s">
        <v>177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</row>
    <row r="68" spans="1:14" x14ac:dyDescent="0.25">
      <c r="A68" s="82" t="s">
        <v>178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100"/>
    </row>
  </sheetData>
  <mergeCells count="136">
    <mergeCell ref="A1:G1"/>
    <mergeCell ref="H1:N1"/>
    <mergeCell ref="A2:G2"/>
    <mergeCell ref="H2:J2"/>
    <mergeCell ref="K2:N2"/>
    <mergeCell ref="A3:G7"/>
    <mergeCell ref="A13:C13"/>
    <mergeCell ref="D13:G13"/>
    <mergeCell ref="H13:I14"/>
    <mergeCell ref="K13:L14"/>
    <mergeCell ref="A14:C14"/>
    <mergeCell ref="D14:G14"/>
    <mergeCell ref="A8:G8"/>
    <mergeCell ref="A9:N9"/>
    <mergeCell ref="A10:N10"/>
    <mergeCell ref="A11:N11"/>
    <mergeCell ref="A12:C12"/>
    <mergeCell ref="D12:G12"/>
    <mergeCell ref="H12:I12"/>
    <mergeCell ref="J12:J18"/>
    <mergeCell ref="A15:C15"/>
    <mergeCell ref="D15:G15"/>
    <mergeCell ref="H15:I15"/>
    <mergeCell ref="A16:C18"/>
    <mergeCell ref="F16:G16"/>
    <mergeCell ref="H16:I16"/>
    <mergeCell ref="F17:G17"/>
    <mergeCell ref="H17:I17"/>
    <mergeCell ref="F18:G18"/>
    <mergeCell ref="H18:I18"/>
    <mergeCell ref="A23:D23"/>
    <mergeCell ref="E23:F23"/>
    <mergeCell ref="H23:K23"/>
    <mergeCell ref="L23:M23"/>
    <mergeCell ref="A24:D24"/>
    <mergeCell ref="E24:F24"/>
    <mergeCell ref="H24:K24"/>
    <mergeCell ref="L24:M24"/>
    <mergeCell ref="A19:N19"/>
    <mergeCell ref="A20:G20"/>
    <mergeCell ref="H20:N20"/>
    <mergeCell ref="A21:E21"/>
    <mergeCell ref="H21:L21"/>
    <mergeCell ref="A22:F22"/>
    <mergeCell ref="H22:M22"/>
    <mergeCell ref="A27:G27"/>
    <mergeCell ref="H27:N27"/>
    <mergeCell ref="A28:D29"/>
    <mergeCell ref="E28:F28"/>
    <mergeCell ref="H28:K29"/>
    <mergeCell ref="L28:M28"/>
    <mergeCell ref="E29:F29"/>
    <mergeCell ref="L29:M29"/>
    <mergeCell ref="A25:D25"/>
    <mergeCell ref="E25:F25"/>
    <mergeCell ref="H25:K25"/>
    <mergeCell ref="L25:M25"/>
    <mergeCell ref="A26:D26"/>
    <mergeCell ref="E26:F26"/>
    <mergeCell ref="H26:K26"/>
    <mergeCell ref="L26:M26"/>
    <mergeCell ref="A32:G32"/>
    <mergeCell ref="H32:N32"/>
    <mergeCell ref="A33:D33"/>
    <mergeCell ref="E33:F33"/>
    <mergeCell ref="H33:K33"/>
    <mergeCell ref="L33:M33"/>
    <mergeCell ref="A30:D30"/>
    <mergeCell ref="E30:F30"/>
    <mergeCell ref="H30:K30"/>
    <mergeCell ref="L30:M30"/>
    <mergeCell ref="A31:D31"/>
    <mergeCell ref="E31:F31"/>
    <mergeCell ref="H31:K31"/>
    <mergeCell ref="L31:M31"/>
    <mergeCell ref="A34:D34"/>
    <mergeCell ref="E34:F34"/>
    <mergeCell ref="H34:K34"/>
    <mergeCell ref="L34:M34"/>
    <mergeCell ref="A35:D36"/>
    <mergeCell ref="E35:F35"/>
    <mergeCell ref="H35:K35"/>
    <mergeCell ref="L35:M35"/>
    <mergeCell ref="E36:F36"/>
    <mergeCell ref="H36:K36"/>
    <mergeCell ref="A39:D39"/>
    <mergeCell ref="E39:G39"/>
    <mergeCell ref="H39:K39"/>
    <mergeCell ref="L39:M39"/>
    <mergeCell ref="A40:D40"/>
    <mergeCell ref="E40:F40"/>
    <mergeCell ref="H40:K40"/>
    <mergeCell ref="L40:N40"/>
    <mergeCell ref="L36:M36"/>
    <mergeCell ref="A37:N37"/>
    <mergeCell ref="A38:D38"/>
    <mergeCell ref="E38:G38"/>
    <mergeCell ref="H38:K38"/>
    <mergeCell ref="L38:N38"/>
    <mergeCell ref="L43:M43"/>
    <mergeCell ref="A44:D44"/>
    <mergeCell ref="E44:G44"/>
    <mergeCell ref="H44:K44"/>
    <mergeCell ref="L44:M44"/>
    <mergeCell ref="A41:D41"/>
    <mergeCell ref="E41:F41"/>
    <mergeCell ref="H41:K41"/>
    <mergeCell ref="L41:M41"/>
    <mergeCell ref="A42:D42"/>
    <mergeCell ref="E42:F42"/>
    <mergeCell ref="H42:K42"/>
    <mergeCell ref="L42:M42"/>
    <mergeCell ref="B64:N64"/>
    <mergeCell ref="B65:N65"/>
    <mergeCell ref="B66:N66"/>
    <mergeCell ref="B67:N67"/>
    <mergeCell ref="B68:N68"/>
    <mergeCell ref="K12:N12"/>
    <mergeCell ref="M13:N18"/>
    <mergeCell ref="A47:D47"/>
    <mergeCell ref="E47:G47"/>
    <mergeCell ref="H47:N47"/>
    <mergeCell ref="A48:N48"/>
    <mergeCell ref="A49:N62"/>
    <mergeCell ref="A63:N63"/>
    <mergeCell ref="A45:D45"/>
    <mergeCell ref="E45:G45"/>
    <mergeCell ref="H45:K45"/>
    <mergeCell ref="L45:M45"/>
    <mergeCell ref="A46:D46"/>
    <mergeCell ref="E46:G46"/>
    <mergeCell ref="H46:K46"/>
    <mergeCell ref="L46:N46"/>
    <mergeCell ref="A43:D43"/>
    <mergeCell ref="E43:F43"/>
    <mergeCell ref="H43:K43"/>
  </mergeCells>
  <pageMargins left="0.7" right="0.7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workbookViewId="0">
      <selection activeCell="O9" sqref="O9"/>
    </sheetView>
  </sheetViews>
  <sheetFormatPr defaultRowHeight="15" x14ac:dyDescent="0.25"/>
  <cols>
    <col min="9" max="9" width="10.7109375" bestFit="1" customWidth="1"/>
    <col min="10" max="10" width="11.42578125" bestFit="1" customWidth="1"/>
    <col min="11" max="11" width="10" bestFit="1" customWidth="1"/>
  </cols>
  <sheetData>
    <row r="1" spans="1:14" x14ac:dyDescent="0.25">
      <c r="A1" s="138" t="s">
        <v>180</v>
      </c>
      <c r="B1" s="139"/>
      <c r="C1" s="139"/>
      <c r="D1" s="139"/>
      <c r="E1" s="139"/>
      <c r="F1" s="139"/>
      <c r="G1" s="140"/>
      <c r="H1" s="141"/>
      <c r="I1" s="142"/>
      <c r="J1" s="142"/>
      <c r="K1" s="142"/>
      <c r="L1" s="142"/>
      <c r="M1" s="142"/>
      <c r="N1" s="143"/>
    </row>
    <row r="2" spans="1:14" x14ac:dyDescent="0.25">
      <c r="A2" s="144" t="s">
        <v>55</v>
      </c>
      <c r="B2" s="145"/>
      <c r="C2" s="145"/>
      <c r="D2" s="145"/>
      <c r="E2" s="145"/>
      <c r="F2" s="145"/>
      <c r="G2" s="146"/>
      <c r="H2" s="147" t="s">
        <v>56</v>
      </c>
      <c r="I2" s="148"/>
      <c r="J2" s="148"/>
      <c r="K2" s="149" t="s">
        <v>61</v>
      </c>
      <c r="L2" s="149"/>
      <c r="M2" s="149"/>
      <c r="N2" s="150"/>
    </row>
    <row r="3" spans="1:14" x14ac:dyDescent="0.25">
      <c r="A3" s="151" t="s">
        <v>54</v>
      </c>
      <c r="B3" s="152"/>
      <c r="C3" s="152"/>
      <c r="D3" s="152"/>
      <c r="E3" s="152"/>
      <c r="F3" s="152"/>
      <c r="G3" s="153"/>
      <c r="H3" s="46" t="s">
        <v>57</v>
      </c>
      <c r="I3" s="46" t="s">
        <v>58</v>
      </c>
      <c r="J3" s="46" t="s">
        <v>59</v>
      </c>
      <c r="K3" s="46" t="s">
        <v>60</v>
      </c>
      <c r="L3" s="46" t="s">
        <v>58</v>
      </c>
      <c r="M3" s="46" t="s">
        <v>59</v>
      </c>
      <c r="N3" s="46" t="s">
        <v>60</v>
      </c>
    </row>
    <row r="4" spans="1:14" x14ac:dyDescent="0.25">
      <c r="A4" s="151"/>
      <c r="B4" s="152"/>
      <c r="C4" s="152"/>
      <c r="D4" s="152"/>
      <c r="E4" s="152"/>
      <c r="F4" s="152"/>
      <c r="G4" s="153"/>
      <c r="H4" s="47" t="s">
        <v>63</v>
      </c>
      <c r="I4" s="48">
        <v>43734</v>
      </c>
      <c r="J4" s="47" t="s">
        <v>64</v>
      </c>
      <c r="K4" s="47"/>
      <c r="L4" s="47"/>
      <c r="M4" s="47"/>
      <c r="N4" s="47"/>
    </row>
    <row r="5" spans="1:14" x14ac:dyDescent="0.25">
      <c r="A5" s="151"/>
      <c r="B5" s="152"/>
      <c r="C5" s="152"/>
      <c r="D5" s="152"/>
      <c r="E5" s="152"/>
      <c r="F5" s="152"/>
      <c r="G5" s="153"/>
      <c r="H5" s="47"/>
      <c r="I5" s="47"/>
      <c r="J5" s="47"/>
      <c r="K5" s="47"/>
      <c r="L5" s="47"/>
      <c r="M5" s="47"/>
      <c r="N5" s="47"/>
    </row>
    <row r="6" spans="1:14" x14ac:dyDescent="0.25">
      <c r="A6" s="151"/>
      <c r="B6" s="152"/>
      <c r="C6" s="152"/>
      <c r="D6" s="152"/>
      <c r="E6" s="152"/>
      <c r="F6" s="152"/>
      <c r="G6" s="153"/>
      <c r="H6" s="47"/>
      <c r="I6" s="47"/>
      <c r="J6" s="47"/>
      <c r="K6" s="47"/>
      <c r="L6" s="47"/>
      <c r="M6" s="47"/>
      <c r="N6" s="47"/>
    </row>
    <row r="7" spans="1:14" x14ac:dyDescent="0.25">
      <c r="A7" s="151"/>
      <c r="B7" s="152"/>
      <c r="C7" s="152"/>
      <c r="D7" s="152"/>
      <c r="E7" s="152"/>
      <c r="F7" s="152"/>
      <c r="G7" s="153"/>
      <c r="H7" s="47"/>
      <c r="I7" s="47"/>
      <c r="J7" s="47"/>
      <c r="K7" s="47"/>
      <c r="L7" s="47"/>
      <c r="M7" s="47"/>
      <c r="N7" s="47"/>
    </row>
    <row r="8" spans="1:14" x14ac:dyDescent="0.25">
      <c r="A8" s="158" t="s">
        <v>62</v>
      </c>
      <c r="B8" s="159"/>
      <c r="C8" s="159"/>
      <c r="D8" s="159"/>
      <c r="E8" s="159"/>
      <c r="F8" s="159"/>
      <c r="G8" s="160"/>
      <c r="H8" s="47"/>
      <c r="I8" s="47"/>
      <c r="J8" s="47"/>
      <c r="K8" s="47"/>
      <c r="L8" s="47"/>
      <c r="M8" s="47"/>
      <c r="N8" s="47"/>
    </row>
    <row r="9" spans="1:14" x14ac:dyDescent="0.25">
      <c r="A9" s="12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6"/>
    </row>
    <row r="10" spans="1:14" x14ac:dyDescent="0.25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61"/>
    </row>
    <row r="11" spans="1:14" x14ac:dyDescent="0.25">
      <c r="A11" s="162" t="s">
        <v>65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1:14" x14ac:dyDescent="0.25">
      <c r="A12" s="141" t="s">
        <v>66</v>
      </c>
      <c r="B12" s="142"/>
      <c r="C12" s="142"/>
      <c r="D12" s="142" t="s">
        <v>72</v>
      </c>
      <c r="E12" s="142"/>
      <c r="F12" s="142"/>
      <c r="G12" s="142"/>
      <c r="H12" s="142" t="s">
        <v>67</v>
      </c>
      <c r="I12" s="142"/>
      <c r="J12" s="108"/>
      <c r="K12" s="142" t="s">
        <v>183</v>
      </c>
      <c r="L12" s="142"/>
      <c r="M12" s="108"/>
      <c r="N12" s="109"/>
    </row>
    <row r="13" spans="1:14" x14ac:dyDescent="0.25">
      <c r="A13" s="118" t="s">
        <v>68</v>
      </c>
      <c r="B13" s="117"/>
      <c r="C13" s="117"/>
      <c r="D13" s="97" t="s">
        <v>179</v>
      </c>
      <c r="E13" s="97"/>
      <c r="F13" s="97"/>
      <c r="G13" s="97"/>
      <c r="H13" s="111"/>
      <c r="I13" s="111"/>
      <c r="J13" s="111"/>
      <c r="K13" s="111"/>
      <c r="L13" s="111"/>
      <c r="M13" s="111"/>
      <c r="N13" s="112"/>
    </row>
    <row r="14" spans="1:14" x14ac:dyDescent="0.25">
      <c r="A14" s="118" t="s">
        <v>69</v>
      </c>
      <c r="B14" s="117"/>
      <c r="C14" s="117"/>
      <c r="D14" s="97" t="s">
        <v>3</v>
      </c>
      <c r="E14" s="97"/>
      <c r="F14" s="97"/>
      <c r="G14" s="97"/>
      <c r="H14" s="111"/>
      <c r="I14" s="111"/>
      <c r="J14" s="111"/>
      <c r="K14" s="111"/>
      <c r="L14" s="111"/>
      <c r="M14" s="111"/>
      <c r="N14" s="112"/>
    </row>
    <row r="15" spans="1:14" ht="17.25" x14ac:dyDescent="0.25">
      <c r="A15" s="118" t="s">
        <v>70</v>
      </c>
      <c r="B15" s="117"/>
      <c r="C15" s="117"/>
      <c r="D15" s="97" t="s">
        <v>73</v>
      </c>
      <c r="E15" s="97"/>
      <c r="F15" s="97"/>
      <c r="G15" s="97"/>
      <c r="H15" s="115" t="s">
        <v>78</v>
      </c>
      <c r="I15" s="115"/>
      <c r="J15" s="111"/>
      <c r="K15" s="57">
        <v>999.37699999999995</v>
      </c>
      <c r="L15" s="57" t="s">
        <v>80</v>
      </c>
      <c r="M15" s="111"/>
      <c r="N15" s="112"/>
    </row>
    <row r="16" spans="1:14" x14ac:dyDescent="0.25">
      <c r="A16" s="154" t="s">
        <v>71</v>
      </c>
      <c r="B16" s="155"/>
      <c r="C16" s="155"/>
      <c r="D16" s="57" t="s">
        <v>74</v>
      </c>
      <c r="E16" s="57">
        <f>AVERAGE(E17:E18)</f>
        <v>13</v>
      </c>
      <c r="F16" s="167" t="s">
        <v>77</v>
      </c>
      <c r="G16" s="167"/>
      <c r="H16" s="97" t="s">
        <v>79</v>
      </c>
      <c r="I16" s="97"/>
      <c r="J16" s="111"/>
      <c r="K16" s="57">
        <v>1.2009E-3</v>
      </c>
      <c r="L16" s="57" t="s">
        <v>81</v>
      </c>
      <c r="M16" s="111"/>
      <c r="N16" s="112"/>
    </row>
    <row r="17" spans="1:14" x14ac:dyDescent="0.25">
      <c r="A17" s="154"/>
      <c r="B17" s="155"/>
      <c r="C17" s="155"/>
      <c r="D17" s="57" t="s">
        <v>75</v>
      </c>
      <c r="E17" s="57">
        <v>6</v>
      </c>
      <c r="F17" s="136" t="s">
        <v>77</v>
      </c>
      <c r="G17" s="136"/>
      <c r="H17" s="97" t="s">
        <v>82</v>
      </c>
      <c r="I17" s="97"/>
      <c r="J17" s="111"/>
      <c r="K17" s="50">
        <v>1.5</v>
      </c>
      <c r="L17" s="57" t="s">
        <v>35</v>
      </c>
      <c r="M17" s="111"/>
      <c r="N17" s="112"/>
    </row>
    <row r="18" spans="1:14" x14ac:dyDescent="0.25">
      <c r="A18" s="156"/>
      <c r="B18" s="157"/>
      <c r="C18" s="157"/>
      <c r="D18" s="58" t="s">
        <v>76</v>
      </c>
      <c r="E18" s="58">
        <v>20</v>
      </c>
      <c r="F18" s="137" t="s">
        <v>77</v>
      </c>
      <c r="G18" s="137"/>
      <c r="H18" s="99" t="s">
        <v>83</v>
      </c>
      <c r="I18" s="99"/>
      <c r="J18" s="102"/>
      <c r="K18" s="52">
        <f>K17*1.05</f>
        <v>1.5750000000000002</v>
      </c>
      <c r="L18" s="58" t="s">
        <v>35</v>
      </c>
      <c r="M18" s="102"/>
      <c r="N18" s="103"/>
    </row>
    <row r="19" spans="1:14" x14ac:dyDescent="0.25">
      <c r="A19" s="104" t="s">
        <v>84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</row>
    <row r="20" spans="1:14" x14ac:dyDescent="0.25">
      <c r="A20" s="132" t="s">
        <v>85</v>
      </c>
      <c r="B20" s="132"/>
      <c r="C20" s="132"/>
      <c r="D20" s="132"/>
      <c r="E20" s="132"/>
      <c r="F20" s="132"/>
      <c r="G20" s="133"/>
      <c r="H20" s="134" t="s">
        <v>86</v>
      </c>
      <c r="I20" s="132"/>
      <c r="J20" s="132"/>
      <c r="K20" s="132"/>
      <c r="L20" s="132"/>
      <c r="M20" s="132"/>
      <c r="N20" s="133"/>
    </row>
    <row r="21" spans="1:14" x14ac:dyDescent="0.25">
      <c r="A21" s="95" t="s">
        <v>87</v>
      </c>
      <c r="B21" s="95"/>
      <c r="C21" s="95"/>
      <c r="D21" s="95"/>
      <c r="E21" s="95"/>
      <c r="F21" s="57">
        <v>2</v>
      </c>
      <c r="G21" s="1" t="s">
        <v>88</v>
      </c>
      <c r="H21" s="122" t="s">
        <v>87</v>
      </c>
      <c r="I21" s="95"/>
      <c r="J21" s="95"/>
      <c r="K21" s="95"/>
      <c r="L21" s="95"/>
      <c r="M21" s="57">
        <v>2</v>
      </c>
      <c r="N21" s="1" t="s">
        <v>88</v>
      </c>
    </row>
    <row r="22" spans="1:14" x14ac:dyDescent="0.25">
      <c r="A22" s="135"/>
      <c r="B22" s="135"/>
      <c r="C22" s="135"/>
      <c r="D22" s="135"/>
      <c r="E22" s="135"/>
      <c r="F22" s="135"/>
      <c r="G22" s="1" t="s">
        <v>98</v>
      </c>
      <c r="H22" s="110"/>
      <c r="I22" s="135"/>
      <c r="J22" s="135"/>
      <c r="K22" s="135"/>
      <c r="L22" s="135"/>
      <c r="M22" s="135"/>
      <c r="N22" s="1" t="s">
        <v>98</v>
      </c>
    </row>
    <row r="23" spans="1:14" x14ac:dyDescent="0.25">
      <c r="A23" s="97" t="s">
        <v>89</v>
      </c>
      <c r="B23" s="97"/>
      <c r="C23" s="97"/>
      <c r="D23" s="97"/>
      <c r="E23" s="97">
        <f>'50-10HS01-RW-6'!H9</f>
        <v>0.74007196552124443</v>
      </c>
      <c r="F23" s="97"/>
      <c r="G23" s="1" t="s">
        <v>99</v>
      </c>
      <c r="H23" s="97" t="s">
        <v>89</v>
      </c>
      <c r="I23" s="97"/>
      <c r="J23" s="97"/>
      <c r="K23" s="97"/>
      <c r="L23" s="126">
        <f>E23</f>
        <v>0.74007196552124443</v>
      </c>
      <c r="M23" s="126"/>
      <c r="N23" s="1" t="s">
        <v>99</v>
      </c>
    </row>
    <row r="24" spans="1:14" x14ac:dyDescent="0.25">
      <c r="A24" s="97" t="s">
        <v>90</v>
      </c>
      <c r="B24" s="97"/>
      <c r="C24" s="97"/>
      <c r="D24" s="97"/>
      <c r="E24" s="97">
        <f>'50-10HS01-RW-6'!H13</f>
        <v>0.18443408780407147</v>
      </c>
      <c r="F24" s="97"/>
      <c r="G24" s="1" t="s">
        <v>100</v>
      </c>
      <c r="H24" s="97" t="s">
        <v>90</v>
      </c>
      <c r="I24" s="97"/>
      <c r="J24" s="97"/>
      <c r="K24" s="97"/>
      <c r="L24" s="126">
        <f>E24</f>
        <v>0.18443408780407147</v>
      </c>
      <c r="M24" s="126"/>
      <c r="N24" s="1" t="s">
        <v>100</v>
      </c>
    </row>
    <row r="25" spans="1:14" x14ac:dyDescent="0.25">
      <c r="A25" s="131" t="s">
        <v>91</v>
      </c>
      <c r="B25" s="131"/>
      <c r="C25" s="131"/>
      <c r="D25" s="131"/>
      <c r="E25" s="125">
        <v>1</v>
      </c>
      <c r="F25" s="125"/>
      <c r="G25" s="1" t="s">
        <v>101</v>
      </c>
      <c r="H25" s="131" t="s">
        <v>91</v>
      </c>
      <c r="I25" s="131"/>
      <c r="J25" s="131"/>
      <c r="K25" s="131"/>
      <c r="L25" s="126">
        <v>20</v>
      </c>
      <c r="M25" s="126"/>
      <c r="N25" s="1" t="s">
        <v>101</v>
      </c>
    </row>
    <row r="26" spans="1:14" x14ac:dyDescent="0.25">
      <c r="A26" s="125" t="s">
        <v>123</v>
      </c>
      <c r="B26" s="125"/>
      <c r="C26" s="125"/>
      <c r="D26" s="125"/>
      <c r="E26" s="97">
        <f>(E24+'Miscellaneous Pressure Losses'!O2)*E25</f>
        <v>0.87023408780407141</v>
      </c>
      <c r="F26" s="97"/>
      <c r="G26" s="1" t="s">
        <v>122</v>
      </c>
      <c r="H26" s="125" t="s">
        <v>123</v>
      </c>
      <c r="I26" s="125"/>
      <c r="J26" s="125"/>
      <c r="K26" s="125"/>
      <c r="L26" s="126">
        <f>L25*L24*3</f>
        <v>11.066045268244288</v>
      </c>
      <c r="M26" s="126"/>
      <c r="N26" s="1" t="s">
        <v>122</v>
      </c>
    </row>
    <row r="27" spans="1:14" x14ac:dyDescent="0.25">
      <c r="A27" s="111"/>
      <c r="B27" s="111"/>
      <c r="C27" s="111"/>
      <c r="D27" s="111"/>
      <c r="E27" s="111"/>
      <c r="F27" s="111"/>
      <c r="G27" s="112"/>
      <c r="H27" s="110"/>
      <c r="I27" s="111"/>
      <c r="J27" s="111"/>
      <c r="K27" s="111"/>
      <c r="L27" s="111"/>
      <c r="M27" s="111"/>
      <c r="N27" s="112"/>
    </row>
    <row r="28" spans="1:14" x14ac:dyDescent="0.25">
      <c r="A28" s="128" t="s">
        <v>92</v>
      </c>
      <c r="B28" s="128"/>
      <c r="C28" s="128"/>
      <c r="D28" s="128"/>
      <c r="E28" s="97">
        <v>0</v>
      </c>
      <c r="F28" s="97"/>
      <c r="G28" s="1" t="s">
        <v>101</v>
      </c>
      <c r="H28" s="128" t="s">
        <v>92</v>
      </c>
      <c r="I28" s="128"/>
      <c r="J28" s="128"/>
      <c r="K28" s="128"/>
      <c r="L28" s="119">
        <v>4</v>
      </c>
      <c r="M28" s="119"/>
      <c r="N28" s="1" t="s">
        <v>101</v>
      </c>
    </row>
    <row r="29" spans="1:14" x14ac:dyDescent="0.25">
      <c r="A29" s="128"/>
      <c r="B29" s="128"/>
      <c r="C29" s="128"/>
      <c r="D29" s="128"/>
      <c r="E29" s="97">
        <v>0</v>
      </c>
      <c r="F29" s="97"/>
      <c r="G29" s="1" t="s">
        <v>122</v>
      </c>
      <c r="H29" s="128"/>
      <c r="I29" s="128"/>
      <c r="J29" s="128"/>
      <c r="K29" s="128"/>
      <c r="L29" s="119">
        <f>K15*9.81*L28/1000</f>
        <v>39.215553480000004</v>
      </c>
      <c r="M29" s="119"/>
      <c r="N29" s="1" t="s">
        <v>122</v>
      </c>
    </row>
    <row r="30" spans="1:14" x14ac:dyDescent="0.25">
      <c r="A30" s="125" t="s">
        <v>93</v>
      </c>
      <c r="B30" s="125"/>
      <c r="C30" s="125"/>
      <c r="D30" s="125"/>
      <c r="E30" s="97">
        <v>600</v>
      </c>
      <c r="F30" s="97"/>
      <c r="G30" s="1" t="s">
        <v>122</v>
      </c>
      <c r="H30" s="125" t="s">
        <v>137</v>
      </c>
      <c r="I30" s="125"/>
      <c r="J30" s="125"/>
      <c r="K30" s="125"/>
      <c r="L30" s="127">
        <v>600</v>
      </c>
      <c r="M30" s="127"/>
      <c r="N30" s="1" t="s">
        <v>122</v>
      </c>
    </row>
    <row r="31" spans="1:14" x14ac:dyDescent="0.25">
      <c r="A31" s="125" t="s">
        <v>95</v>
      </c>
      <c r="B31" s="125"/>
      <c r="C31" s="125"/>
      <c r="D31" s="125"/>
      <c r="E31" s="125">
        <f>E29+E30</f>
        <v>600</v>
      </c>
      <c r="F31" s="125"/>
      <c r="G31" s="1" t="s">
        <v>122</v>
      </c>
      <c r="H31" s="125" t="s">
        <v>95</v>
      </c>
      <c r="I31" s="125"/>
      <c r="J31" s="125"/>
      <c r="K31" s="125"/>
      <c r="L31" s="130">
        <f>L29+L30</f>
        <v>639.21555348000004</v>
      </c>
      <c r="M31" s="130"/>
      <c r="N31" s="1" t="s">
        <v>122</v>
      </c>
    </row>
    <row r="32" spans="1:14" x14ac:dyDescent="0.25">
      <c r="A32" s="111"/>
      <c r="B32" s="111"/>
      <c r="C32" s="111"/>
      <c r="D32" s="111"/>
      <c r="E32" s="111"/>
      <c r="F32" s="111"/>
      <c r="G32" s="112"/>
      <c r="H32" s="110"/>
      <c r="I32" s="111"/>
      <c r="J32" s="111"/>
      <c r="K32" s="111"/>
      <c r="L32" s="111"/>
      <c r="M32" s="111"/>
      <c r="N32" s="112"/>
    </row>
    <row r="33" spans="1:14" x14ac:dyDescent="0.25">
      <c r="A33" s="125" t="s">
        <v>94</v>
      </c>
      <c r="B33" s="125"/>
      <c r="C33" s="125"/>
      <c r="D33" s="125"/>
      <c r="E33" s="126">
        <f>E31-E26</f>
        <v>599.12976591219592</v>
      </c>
      <c r="F33" s="126"/>
      <c r="G33" s="33" t="s">
        <v>122</v>
      </c>
      <c r="H33" s="114" t="s">
        <v>138</v>
      </c>
      <c r="I33" s="126"/>
      <c r="J33" s="126"/>
      <c r="K33" s="126"/>
      <c r="L33" s="127">
        <f>L31+L26</f>
        <v>650.28159874824428</v>
      </c>
      <c r="M33" s="127"/>
      <c r="N33" s="33" t="s">
        <v>122</v>
      </c>
    </row>
    <row r="34" spans="1:14" x14ac:dyDescent="0.25">
      <c r="A34" s="125" t="s">
        <v>96</v>
      </c>
      <c r="B34" s="125"/>
      <c r="C34" s="125"/>
      <c r="D34" s="125"/>
      <c r="E34" s="126">
        <v>1.4970000000000001</v>
      </c>
      <c r="F34" s="126"/>
      <c r="G34" s="33" t="s">
        <v>122</v>
      </c>
      <c r="H34" s="114" t="s">
        <v>94</v>
      </c>
      <c r="I34" s="126"/>
      <c r="J34" s="126"/>
      <c r="K34" s="126"/>
      <c r="L34" s="127">
        <f>E33</f>
        <v>599.12976591219592</v>
      </c>
      <c r="M34" s="127"/>
      <c r="N34" s="33" t="s">
        <v>122</v>
      </c>
    </row>
    <row r="35" spans="1:14" x14ac:dyDescent="0.25">
      <c r="A35" s="128" t="s">
        <v>97</v>
      </c>
      <c r="B35" s="128"/>
      <c r="C35" s="128"/>
      <c r="D35" s="128"/>
      <c r="E35" s="126">
        <f>E33-E34</f>
        <v>597.63276591219596</v>
      </c>
      <c r="F35" s="126"/>
      <c r="G35" s="33" t="s">
        <v>122</v>
      </c>
      <c r="H35" s="114" t="s">
        <v>139</v>
      </c>
      <c r="I35" s="126"/>
      <c r="J35" s="126"/>
      <c r="K35" s="126"/>
      <c r="L35" s="127">
        <f>L33-L34</f>
        <v>51.151832836048357</v>
      </c>
      <c r="M35" s="127"/>
      <c r="N35" s="33" t="s">
        <v>122</v>
      </c>
    </row>
    <row r="36" spans="1:14" x14ac:dyDescent="0.25">
      <c r="A36" s="129"/>
      <c r="B36" s="129"/>
      <c r="C36" s="129"/>
      <c r="D36" s="129"/>
      <c r="E36" s="99">
        <f>(E35*10^3)/($K$15*9.81)</f>
        <v>60.95874854521584</v>
      </c>
      <c r="F36" s="99"/>
      <c r="G36" s="76" t="s">
        <v>101</v>
      </c>
      <c r="H36" s="101" t="s">
        <v>140</v>
      </c>
      <c r="I36" s="99"/>
      <c r="J36" s="99"/>
      <c r="K36" s="99"/>
      <c r="L36" s="121">
        <f>L35*1000/(K15*9.81)</f>
        <v>5.2175046171041171</v>
      </c>
      <c r="M36" s="121"/>
      <c r="N36" s="76" t="s">
        <v>101</v>
      </c>
    </row>
    <row r="37" spans="1:14" x14ac:dyDescent="0.25">
      <c r="A37" s="104" t="s">
        <v>141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</row>
    <row r="38" spans="1:14" x14ac:dyDescent="0.25">
      <c r="A38" s="122" t="s">
        <v>142</v>
      </c>
      <c r="B38" s="95"/>
      <c r="C38" s="95"/>
      <c r="D38" s="95"/>
      <c r="E38" s="123" t="s">
        <v>149</v>
      </c>
      <c r="F38" s="123"/>
      <c r="G38" s="123"/>
      <c r="H38" s="123" t="s">
        <v>153</v>
      </c>
      <c r="I38" s="123"/>
      <c r="J38" s="123"/>
      <c r="K38" s="123"/>
      <c r="L38" s="123" t="s">
        <v>168</v>
      </c>
      <c r="M38" s="123"/>
      <c r="N38" s="124"/>
    </row>
    <row r="39" spans="1:14" x14ac:dyDescent="0.25">
      <c r="A39" s="114" t="s">
        <v>143</v>
      </c>
      <c r="B39" s="97"/>
      <c r="C39" s="97"/>
      <c r="D39" s="97"/>
      <c r="E39" s="117" t="s">
        <v>185</v>
      </c>
      <c r="F39" s="117"/>
      <c r="G39" s="117"/>
      <c r="H39" s="97" t="s">
        <v>154</v>
      </c>
      <c r="I39" s="97"/>
      <c r="J39" s="97"/>
      <c r="K39" s="97"/>
      <c r="L39" s="119">
        <v>230</v>
      </c>
      <c r="M39" s="119"/>
      <c r="N39" s="1" t="s">
        <v>163</v>
      </c>
    </row>
    <row r="40" spans="1:14" x14ac:dyDescent="0.25">
      <c r="A40" s="114" t="s">
        <v>150</v>
      </c>
      <c r="B40" s="97"/>
      <c r="C40" s="97"/>
      <c r="D40" s="97"/>
      <c r="E40" s="120">
        <v>2.5</v>
      </c>
      <c r="F40" s="120"/>
      <c r="G40" s="57" t="s">
        <v>35</v>
      </c>
      <c r="H40" s="97" t="s">
        <v>155</v>
      </c>
      <c r="I40" s="97"/>
      <c r="J40" s="97"/>
      <c r="K40" s="97"/>
      <c r="L40" s="97" t="s">
        <v>164</v>
      </c>
      <c r="M40" s="97"/>
      <c r="N40" s="98"/>
    </row>
    <row r="41" spans="1:14" x14ac:dyDescent="0.25">
      <c r="A41" s="118" t="s">
        <v>139</v>
      </c>
      <c r="B41" s="117"/>
      <c r="C41" s="117"/>
      <c r="D41" s="117"/>
      <c r="E41" s="97">
        <f>L35</f>
        <v>51.151832836048357</v>
      </c>
      <c r="F41" s="97"/>
      <c r="G41" s="57" t="s">
        <v>122</v>
      </c>
      <c r="H41" s="97" t="s">
        <v>156</v>
      </c>
      <c r="I41" s="97"/>
      <c r="J41" s="97"/>
      <c r="K41" s="97"/>
      <c r="L41" s="97">
        <f>(6*K18*60)/600</f>
        <v>0.94500000000000017</v>
      </c>
      <c r="M41" s="97"/>
      <c r="N41" s="1" t="s">
        <v>165</v>
      </c>
    </row>
    <row r="42" spans="1:14" x14ac:dyDescent="0.25">
      <c r="A42" s="110"/>
      <c r="B42" s="111"/>
      <c r="C42" s="111"/>
      <c r="D42" s="111"/>
      <c r="E42" s="119">
        <f>L36</f>
        <v>5.2175046171041171</v>
      </c>
      <c r="F42" s="119"/>
      <c r="G42" s="57" t="s">
        <v>101</v>
      </c>
      <c r="H42" s="97" t="s">
        <v>157</v>
      </c>
      <c r="I42" s="97"/>
      <c r="J42" s="97"/>
      <c r="K42" s="97"/>
      <c r="L42" s="97">
        <v>1.5</v>
      </c>
      <c r="M42" s="97"/>
      <c r="N42" s="1" t="s">
        <v>165</v>
      </c>
    </row>
    <row r="43" spans="1:14" x14ac:dyDescent="0.25">
      <c r="A43" s="114" t="s">
        <v>144</v>
      </c>
      <c r="B43" s="97"/>
      <c r="C43" s="97"/>
      <c r="D43" s="97"/>
      <c r="E43" s="97">
        <v>1.75</v>
      </c>
      <c r="F43" s="97"/>
      <c r="G43" s="57" t="s">
        <v>101</v>
      </c>
      <c r="H43" s="97" t="s">
        <v>158</v>
      </c>
      <c r="I43" s="97"/>
      <c r="J43" s="97"/>
      <c r="K43" s="97"/>
      <c r="L43" s="97">
        <v>70</v>
      </c>
      <c r="M43" s="97"/>
      <c r="N43" s="1" t="s">
        <v>166</v>
      </c>
    </row>
    <row r="44" spans="1:14" x14ac:dyDescent="0.25">
      <c r="A44" s="114" t="s">
        <v>145</v>
      </c>
      <c r="B44" s="97"/>
      <c r="C44" s="97"/>
      <c r="D44" s="97"/>
      <c r="E44" s="117" t="s">
        <v>151</v>
      </c>
      <c r="F44" s="117"/>
      <c r="G44" s="117"/>
      <c r="H44" s="97" t="s">
        <v>159</v>
      </c>
      <c r="I44" s="97"/>
      <c r="J44" s="97"/>
      <c r="K44" s="97"/>
      <c r="L44" s="115">
        <v>10</v>
      </c>
      <c r="M44" s="115"/>
      <c r="N44" s="62" t="s">
        <v>167</v>
      </c>
    </row>
    <row r="45" spans="1:14" x14ac:dyDescent="0.25">
      <c r="A45" s="114" t="s">
        <v>146</v>
      </c>
      <c r="B45" s="97"/>
      <c r="C45" s="97"/>
      <c r="D45" s="97"/>
      <c r="E45" s="97" t="s">
        <v>170</v>
      </c>
      <c r="F45" s="97"/>
      <c r="G45" s="97"/>
      <c r="H45" s="97" t="s">
        <v>160</v>
      </c>
      <c r="I45" s="97"/>
      <c r="J45" s="97"/>
      <c r="K45" s="97"/>
      <c r="L45" s="115">
        <v>40</v>
      </c>
      <c r="M45" s="115"/>
      <c r="N45" s="78" t="s">
        <v>77</v>
      </c>
    </row>
    <row r="46" spans="1:14" x14ac:dyDescent="0.25">
      <c r="A46" s="114" t="s">
        <v>147</v>
      </c>
      <c r="B46" s="97"/>
      <c r="C46" s="97"/>
      <c r="D46" s="97"/>
      <c r="E46" s="97" t="s">
        <v>152</v>
      </c>
      <c r="F46" s="97"/>
      <c r="G46" s="97"/>
      <c r="H46" s="97" t="s">
        <v>161</v>
      </c>
      <c r="I46" s="97"/>
      <c r="J46" s="97"/>
      <c r="K46" s="97"/>
      <c r="L46" s="115" t="s">
        <v>169</v>
      </c>
      <c r="M46" s="115"/>
      <c r="N46" s="116"/>
    </row>
    <row r="47" spans="1:14" x14ac:dyDescent="0.25">
      <c r="A47" s="101" t="s">
        <v>148</v>
      </c>
      <c r="B47" s="99"/>
      <c r="C47" s="99"/>
      <c r="D47" s="99"/>
      <c r="E47" s="99" t="s">
        <v>171</v>
      </c>
      <c r="F47" s="99"/>
      <c r="G47" s="99"/>
      <c r="H47" s="102"/>
      <c r="I47" s="102"/>
      <c r="J47" s="102"/>
      <c r="K47" s="102"/>
      <c r="L47" s="102"/>
      <c r="M47" s="102"/>
      <c r="N47" s="103"/>
    </row>
    <row r="48" spans="1:14" x14ac:dyDescent="0.25">
      <c r="A48" s="104" t="s">
        <v>172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</row>
    <row r="49" spans="1:14" x14ac:dyDescent="0.2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9"/>
    </row>
    <row r="50" spans="1:14" x14ac:dyDescent="0.25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2"/>
    </row>
    <row r="51" spans="1:14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</row>
    <row r="52" spans="1:14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2"/>
    </row>
    <row r="53" spans="1:14" x14ac:dyDescent="0.25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2"/>
    </row>
    <row r="54" spans="1:14" x14ac:dyDescent="0.25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2"/>
    </row>
    <row r="55" spans="1:14" x14ac:dyDescent="0.25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2"/>
    </row>
    <row r="56" spans="1:14" x14ac:dyDescent="0.25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2"/>
    </row>
    <row r="57" spans="1:14" x14ac:dyDescent="0.25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2"/>
    </row>
    <row r="58" spans="1:14" x14ac:dyDescent="0.25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2"/>
    </row>
    <row r="59" spans="1:14" x14ac:dyDescent="0.25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/>
    </row>
    <row r="60" spans="1:14" x14ac:dyDescent="0.25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1:14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2"/>
    </row>
    <row r="62" spans="1:14" x14ac:dyDescent="0.25">
      <c r="A62" s="113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1:14" x14ac:dyDescent="0.25">
      <c r="A63" s="104" t="s">
        <v>173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6"/>
    </row>
    <row r="64" spans="1:14" x14ac:dyDescent="0.25">
      <c r="A64" s="80" t="s">
        <v>174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5">
      <c r="A65" s="81" t="s">
        <v>175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</row>
    <row r="66" spans="1:14" x14ac:dyDescent="0.25">
      <c r="A66" s="81" t="s">
        <v>176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</row>
    <row r="67" spans="1:14" x14ac:dyDescent="0.25">
      <c r="A67" s="81" t="s">
        <v>177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</row>
    <row r="68" spans="1:14" x14ac:dyDescent="0.25">
      <c r="A68" s="82" t="s">
        <v>178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100"/>
    </row>
  </sheetData>
  <mergeCells count="136">
    <mergeCell ref="B64:N64"/>
    <mergeCell ref="B65:N65"/>
    <mergeCell ref="B66:N66"/>
    <mergeCell ref="B67:N67"/>
    <mergeCell ref="B68:N68"/>
    <mergeCell ref="A47:D47"/>
    <mergeCell ref="E47:G47"/>
    <mergeCell ref="H47:N47"/>
    <mergeCell ref="A48:N48"/>
    <mergeCell ref="A49:N62"/>
    <mergeCell ref="A63:N63"/>
    <mergeCell ref="A45:D45"/>
    <mergeCell ref="E45:G45"/>
    <mergeCell ref="H45:K45"/>
    <mergeCell ref="L45:M45"/>
    <mergeCell ref="A46:D46"/>
    <mergeCell ref="E46:G46"/>
    <mergeCell ref="H46:K46"/>
    <mergeCell ref="L46:N46"/>
    <mergeCell ref="A43:D43"/>
    <mergeCell ref="E43:F43"/>
    <mergeCell ref="H43:K43"/>
    <mergeCell ref="L43:M43"/>
    <mergeCell ref="A44:D44"/>
    <mergeCell ref="E44:G44"/>
    <mergeCell ref="H44:K44"/>
    <mergeCell ref="L44:M44"/>
    <mergeCell ref="A41:D41"/>
    <mergeCell ref="E41:F41"/>
    <mergeCell ref="H41:K41"/>
    <mergeCell ref="L41:M41"/>
    <mergeCell ref="A42:D42"/>
    <mergeCell ref="E42:F42"/>
    <mergeCell ref="H42:K42"/>
    <mergeCell ref="L42:M42"/>
    <mergeCell ref="A39:D39"/>
    <mergeCell ref="E39:G39"/>
    <mergeCell ref="H39:K39"/>
    <mergeCell ref="L39:M39"/>
    <mergeCell ref="A40:D40"/>
    <mergeCell ref="E40:F40"/>
    <mergeCell ref="H40:K40"/>
    <mergeCell ref="L40:N40"/>
    <mergeCell ref="L36:M36"/>
    <mergeCell ref="A37:N37"/>
    <mergeCell ref="A38:D38"/>
    <mergeCell ref="E38:G38"/>
    <mergeCell ref="H38:K38"/>
    <mergeCell ref="L38:N38"/>
    <mergeCell ref="A34:D34"/>
    <mergeCell ref="E34:F34"/>
    <mergeCell ref="H34:K34"/>
    <mergeCell ref="L34:M34"/>
    <mergeCell ref="A35:D36"/>
    <mergeCell ref="E35:F35"/>
    <mergeCell ref="H35:K35"/>
    <mergeCell ref="L35:M35"/>
    <mergeCell ref="E36:F36"/>
    <mergeCell ref="H36:K36"/>
    <mergeCell ref="A32:G32"/>
    <mergeCell ref="H32:N32"/>
    <mergeCell ref="A33:D33"/>
    <mergeCell ref="E33:F33"/>
    <mergeCell ref="H33:K33"/>
    <mergeCell ref="L33:M33"/>
    <mergeCell ref="A30:D30"/>
    <mergeCell ref="E30:F30"/>
    <mergeCell ref="H30:K30"/>
    <mergeCell ref="L30:M30"/>
    <mergeCell ref="A31:D31"/>
    <mergeCell ref="E31:F31"/>
    <mergeCell ref="H31:K31"/>
    <mergeCell ref="L31:M31"/>
    <mergeCell ref="A27:G27"/>
    <mergeCell ref="H27:N27"/>
    <mergeCell ref="A28:D29"/>
    <mergeCell ref="E28:F28"/>
    <mergeCell ref="H28:K29"/>
    <mergeCell ref="L28:M28"/>
    <mergeCell ref="E29:F29"/>
    <mergeCell ref="L29:M29"/>
    <mergeCell ref="A25:D25"/>
    <mergeCell ref="E25:F25"/>
    <mergeCell ref="H25:K25"/>
    <mergeCell ref="L25:M25"/>
    <mergeCell ref="A26:D26"/>
    <mergeCell ref="E26:F26"/>
    <mergeCell ref="H26:K26"/>
    <mergeCell ref="L26:M26"/>
    <mergeCell ref="L23:M23"/>
    <mergeCell ref="A24:D24"/>
    <mergeCell ref="E24:F24"/>
    <mergeCell ref="H24:K24"/>
    <mergeCell ref="L24:M24"/>
    <mergeCell ref="A19:N19"/>
    <mergeCell ref="A20:G20"/>
    <mergeCell ref="H20:N20"/>
    <mergeCell ref="A21:E21"/>
    <mergeCell ref="H21:L21"/>
    <mergeCell ref="A22:F22"/>
    <mergeCell ref="H22:M22"/>
    <mergeCell ref="H15:I15"/>
    <mergeCell ref="A16:C18"/>
    <mergeCell ref="F16:G16"/>
    <mergeCell ref="H16:I16"/>
    <mergeCell ref="F17:G17"/>
    <mergeCell ref="H17:I17"/>
    <mergeCell ref="F18:G18"/>
    <mergeCell ref="H18:I18"/>
    <mergeCell ref="A23:D23"/>
    <mergeCell ref="E23:F23"/>
    <mergeCell ref="H23:K23"/>
    <mergeCell ref="A1:G1"/>
    <mergeCell ref="H1:N1"/>
    <mergeCell ref="A2:G2"/>
    <mergeCell ref="H2:J2"/>
    <mergeCell ref="K2:N2"/>
    <mergeCell ref="A3:G7"/>
    <mergeCell ref="A13:C13"/>
    <mergeCell ref="D13:G13"/>
    <mergeCell ref="H13:I14"/>
    <mergeCell ref="K13:L14"/>
    <mergeCell ref="A14:C14"/>
    <mergeCell ref="D14:G14"/>
    <mergeCell ref="A8:G8"/>
    <mergeCell ref="A9:N9"/>
    <mergeCell ref="A10:N10"/>
    <mergeCell ref="A11:N11"/>
    <mergeCell ref="A12:C12"/>
    <mergeCell ref="D12:G12"/>
    <mergeCell ref="H12:I12"/>
    <mergeCell ref="J12:J18"/>
    <mergeCell ref="K12:L12"/>
    <mergeCell ref="M12:N18"/>
    <mergeCell ref="A15:C15"/>
    <mergeCell ref="D15:G15"/>
  </mergeCells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workbookViewId="0">
      <selection activeCell="O5" sqref="O5"/>
    </sheetView>
  </sheetViews>
  <sheetFormatPr defaultRowHeight="15" x14ac:dyDescent="0.25"/>
  <cols>
    <col min="9" max="9" width="10.7109375" bestFit="1" customWidth="1"/>
    <col min="10" max="10" width="11.42578125" bestFit="1" customWidth="1"/>
    <col min="11" max="11" width="10.140625" customWidth="1"/>
  </cols>
  <sheetData>
    <row r="1" spans="1:14" x14ac:dyDescent="0.25">
      <c r="A1" s="138" t="s">
        <v>180</v>
      </c>
      <c r="B1" s="139"/>
      <c r="C1" s="139"/>
      <c r="D1" s="139"/>
      <c r="E1" s="139"/>
      <c r="F1" s="139"/>
      <c r="G1" s="140"/>
      <c r="H1" s="141"/>
      <c r="I1" s="142"/>
      <c r="J1" s="142"/>
      <c r="K1" s="142"/>
      <c r="L1" s="142"/>
      <c r="M1" s="142"/>
      <c r="N1" s="143"/>
    </row>
    <row r="2" spans="1:14" x14ac:dyDescent="0.25">
      <c r="A2" s="144" t="s">
        <v>55</v>
      </c>
      <c r="B2" s="145"/>
      <c r="C2" s="145"/>
      <c r="D2" s="145"/>
      <c r="E2" s="145"/>
      <c r="F2" s="145"/>
      <c r="G2" s="146"/>
      <c r="H2" s="147" t="s">
        <v>56</v>
      </c>
      <c r="I2" s="148"/>
      <c r="J2" s="148"/>
      <c r="K2" s="149" t="s">
        <v>61</v>
      </c>
      <c r="L2" s="149"/>
      <c r="M2" s="149"/>
      <c r="N2" s="150"/>
    </row>
    <row r="3" spans="1:14" ht="15" customHeight="1" x14ac:dyDescent="0.25">
      <c r="A3" s="151" t="s">
        <v>54</v>
      </c>
      <c r="B3" s="152"/>
      <c r="C3" s="152"/>
      <c r="D3" s="152"/>
      <c r="E3" s="152"/>
      <c r="F3" s="152"/>
      <c r="G3" s="153"/>
      <c r="H3" s="46" t="s">
        <v>57</v>
      </c>
      <c r="I3" s="46" t="s">
        <v>58</v>
      </c>
      <c r="J3" s="46" t="s">
        <v>59</v>
      </c>
      <c r="K3" s="46" t="s">
        <v>60</v>
      </c>
      <c r="L3" s="46" t="s">
        <v>58</v>
      </c>
      <c r="M3" s="46" t="s">
        <v>59</v>
      </c>
      <c r="N3" s="46" t="s">
        <v>60</v>
      </c>
    </row>
    <row r="4" spans="1:14" ht="15" customHeight="1" x14ac:dyDescent="0.25">
      <c r="A4" s="151"/>
      <c r="B4" s="152"/>
      <c r="C4" s="152"/>
      <c r="D4" s="152"/>
      <c r="E4" s="152"/>
      <c r="F4" s="152"/>
      <c r="G4" s="153"/>
      <c r="H4" s="47" t="s">
        <v>63</v>
      </c>
      <c r="I4" s="48">
        <v>43734</v>
      </c>
      <c r="J4" s="47" t="s">
        <v>64</v>
      </c>
      <c r="K4" s="47"/>
      <c r="L4" s="47"/>
      <c r="M4" s="47"/>
      <c r="N4" s="47"/>
    </row>
    <row r="5" spans="1:14" ht="15" customHeight="1" x14ac:dyDescent="0.25">
      <c r="A5" s="151"/>
      <c r="B5" s="152"/>
      <c r="C5" s="152"/>
      <c r="D5" s="152"/>
      <c r="E5" s="152"/>
      <c r="F5" s="152"/>
      <c r="G5" s="153"/>
      <c r="H5" s="47"/>
      <c r="I5" s="47"/>
      <c r="J5" s="47"/>
      <c r="K5" s="47"/>
      <c r="L5" s="47"/>
      <c r="M5" s="47"/>
      <c r="N5" s="47"/>
    </row>
    <row r="6" spans="1:14" ht="15" customHeight="1" x14ac:dyDescent="0.25">
      <c r="A6" s="151"/>
      <c r="B6" s="152"/>
      <c r="C6" s="152"/>
      <c r="D6" s="152"/>
      <c r="E6" s="152"/>
      <c r="F6" s="152"/>
      <c r="G6" s="153"/>
      <c r="H6" s="47"/>
      <c r="I6" s="47"/>
      <c r="J6" s="47"/>
      <c r="K6" s="47"/>
      <c r="L6" s="47"/>
      <c r="M6" s="47"/>
      <c r="N6" s="47"/>
    </row>
    <row r="7" spans="1:14" ht="15" customHeight="1" x14ac:dyDescent="0.25">
      <c r="A7" s="151"/>
      <c r="B7" s="152"/>
      <c r="C7" s="152"/>
      <c r="D7" s="152"/>
      <c r="E7" s="152"/>
      <c r="F7" s="152"/>
      <c r="G7" s="153"/>
      <c r="H7" s="47"/>
      <c r="I7" s="47"/>
      <c r="J7" s="47"/>
      <c r="K7" s="47"/>
      <c r="L7" s="47"/>
      <c r="M7" s="47"/>
      <c r="N7" s="47"/>
    </row>
    <row r="8" spans="1:14" ht="15" customHeight="1" x14ac:dyDescent="0.25">
      <c r="A8" s="158" t="s">
        <v>62</v>
      </c>
      <c r="B8" s="159"/>
      <c r="C8" s="159"/>
      <c r="D8" s="159"/>
      <c r="E8" s="159"/>
      <c r="F8" s="159"/>
      <c r="G8" s="160"/>
      <c r="H8" s="47"/>
      <c r="I8" s="47"/>
      <c r="J8" s="47"/>
      <c r="K8" s="47"/>
      <c r="L8" s="47"/>
      <c r="M8" s="47"/>
      <c r="N8" s="47"/>
    </row>
    <row r="9" spans="1:14" x14ac:dyDescent="0.25">
      <c r="A9" s="12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6"/>
    </row>
    <row r="10" spans="1:14" x14ac:dyDescent="0.25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61"/>
    </row>
    <row r="11" spans="1:14" x14ac:dyDescent="0.25">
      <c r="A11" s="162" t="s">
        <v>65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1:14" x14ac:dyDescent="0.25">
      <c r="A12" s="141" t="s">
        <v>66</v>
      </c>
      <c r="B12" s="142"/>
      <c r="C12" s="142"/>
      <c r="D12" s="142" t="s">
        <v>181</v>
      </c>
      <c r="E12" s="142"/>
      <c r="F12" s="142"/>
      <c r="G12" s="142"/>
      <c r="H12" s="142" t="s">
        <v>67</v>
      </c>
      <c r="I12" s="142"/>
      <c r="J12" s="108"/>
      <c r="K12" s="142" t="s">
        <v>135</v>
      </c>
      <c r="L12" s="142"/>
      <c r="M12" s="108"/>
      <c r="N12" s="109"/>
    </row>
    <row r="13" spans="1:14" x14ac:dyDescent="0.25">
      <c r="A13" s="118" t="s">
        <v>68</v>
      </c>
      <c r="B13" s="117"/>
      <c r="C13" s="117"/>
      <c r="D13" s="97" t="s">
        <v>179</v>
      </c>
      <c r="E13" s="97"/>
      <c r="F13" s="97"/>
      <c r="G13" s="97"/>
      <c r="H13" s="111"/>
      <c r="I13" s="111"/>
      <c r="J13" s="111"/>
      <c r="K13" s="111"/>
      <c r="L13" s="111"/>
      <c r="M13" s="111"/>
      <c r="N13" s="112"/>
    </row>
    <row r="14" spans="1:14" x14ac:dyDescent="0.25">
      <c r="A14" s="118" t="s">
        <v>69</v>
      </c>
      <c r="B14" s="117"/>
      <c r="C14" s="117"/>
      <c r="D14" s="97" t="s">
        <v>0</v>
      </c>
      <c r="E14" s="97"/>
      <c r="F14" s="97"/>
      <c r="G14" s="97"/>
      <c r="H14" s="111"/>
      <c r="I14" s="111"/>
      <c r="J14" s="111"/>
      <c r="K14" s="111"/>
      <c r="L14" s="111"/>
      <c r="M14" s="111"/>
      <c r="N14" s="112"/>
    </row>
    <row r="15" spans="1:14" ht="17.25" x14ac:dyDescent="0.25">
      <c r="A15" s="118" t="s">
        <v>70</v>
      </c>
      <c r="B15" s="117"/>
      <c r="C15" s="117"/>
      <c r="D15" s="97" t="s">
        <v>73</v>
      </c>
      <c r="E15" s="97"/>
      <c r="F15" s="97"/>
      <c r="G15" s="97"/>
      <c r="H15" s="115" t="s">
        <v>78</v>
      </c>
      <c r="I15" s="115"/>
      <c r="J15" s="111"/>
      <c r="K15" s="7">
        <v>999.37699999999995</v>
      </c>
      <c r="L15" s="7" t="s">
        <v>80</v>
      </c>
      <c r="M15" s="111"/>
      <c r="N15" s="112"/>
    </row>
    <row r="16" spans="1:14" x14ac:dyDescent="0.25">
      <c r="A16" s="154" t="s">
        <v>71</v>
      </c>
      <c r="B16" s="155"/>
      <c r="C16" s="155"/>
      <c r="D16" s="7" t="s">
        <v>74</v>
      </c>
      <c r="E16" s="7">
        <f>AVERAGE(E17:E18)</f>
        <v>13</v>
      </c>
      <c r="F16" s="167" t="s">
        <v>77</v>
      </c>
      <c r="G16" s="167"/>
      <c r="H16" s="97" t="s">
        <v>79</v>
      </c>
      <c r="I16" s="97"/>
      <c r="J16" s="111"/>
      <c r="K16" s="7">
        <v>1.2009E-3</v>
      </c>
      <c r="L16" s="7" t="s">
        <v>81</v>
      </c>
      <c r="M16" s="111"/>
      <c r="N16" s="112"/>
    </row>
    <row r="17" spans="1:14" x14ac:dyDescent="0.25">
      <c r="A17" s="154"/>
      <c r="B17" s="155"/>
      <c r="C17" s="155"/>
      <c r="D17" s="7" t="s">
        <v>75</v>
      </c>
      <c r="E17" s="7">
        <v>6</v>
      </c>
      <c r="F17" s="136" t="s">
        <v>77</v>
      </c>
      <c r="G17" s="136"/>
      <c r="H17" s="97" t="s">
        <v>82</v>
      </c>
      <c r="I17" s="97"/>
      <c r="J17" s="111"/>
      <c r="K17" s="50">
        <v>3.17</v>
      </c>
      <c r="L17" s="7" t="s">
        <v>35</v>
      </c>
      <c r="M17" s="111"/>
      <c r="N17" s="112"/>
    </row>
    <row r="18" spans="1:14" x14ac:dyDescent="0.25">
      <c r="A18" s="156"/>
      <c r="B18" s="157"/>
      <c r="C18" s="157"/>
      <c r="D18" s="8" t="s">
        <v>76</v>
      </c>
      <c r="E18" s="8">
        <v>20</v>
      </c>
      <c r="F18" s="137" t="s">
        <v>77</v>
      </c>
      <c r="G18" s="137"/>
      <c r="H18" s="99" t="s">
        <v>83</v>
      </c>
      <c r="I18" s="99"/>
      <c r="J18" s="102"/>
      <c r="K18" s="52">
        <f>K17*1.05</f>
        <v>3.3285</v>
      </c>
      <c r="L18" s="8" t="s">
        <v>35</v>
      </c>
      <c r="M18" s="102"/>
      <c r="N18" s="103"/>
    </row>
    <row r="19" spans="1:14" x14ac:dyDescent="0.25">
      <c r="A19" s="104" t="s">
        <v>84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</row>
    <row r="20" spans="1:14" x14ac:dyDescent="0.25">
      <c r="A20" s="132" t="s">
        <v>85</v>
      </c>
      <c r="B20" s="132"/>
      <c r="C20" s="132"/>
      <c r="D20" s="132"/>
      <c r="E20" s="132"/>
      <c r="F20" s="132"/>
      <c r="G20" s="133"/>
      <c r="H20" s="134" t="s">
        <v>86</v>
      </c>
      <c r="I20" s="132"/>
      <c r="J20" s="132"/>
      <c r="K20" s="132"/>
      <c r="L20" s="132"/>
      <c r="M20" s="132"/>
      <c r="N20" s="133"/>
    </row>
    <row r="21" spans="1:14" x14ac:dyDescent="0.25">
      <c r="A21" s="95" t="s">
        <v>87</v>
      </c>
      <c r="B21" s="95"/>
      <c r="C21" s="95"/>
      <c r="D21" s="95"/>
      <c r="E21" s="95"/>
      <c r="F21" s="7">
        <v>2.5</v>
      </c>
      <c r="G21" s="1" t="s">
        <v>88</v>
      </c>
      <c r="H21" s="122" t="s">
        <v>87</v>
      </c>
      <c r="I21" s="95"/>
      <c r="J21" s="95"/>
      <c r="K21" s="95"/>
      <c r="L21" s="95"/>
      <c r="M21" s="7">
        <v>2.5</v>
      </c>
      <c r="N21" s="1" t="s">
        <v>88</v>
      </c>
    </row>
    <row r="22" spans="1:14" x14ac:dyDescent="0.25">
      <c r="A22" s="135"/>
      <c r="B22" s="135"/>
      <c r="C22" s="135"/>
      <c r="D22" s="135"/>
      <c r="E22" s="135"/>
      <c r="F22" s="135"/>
      <c r="G22" s="1" t="s">
        <v>98</v>
      </c>
      <c r="H22" s="110"/>
      <c r="I22" s="135"/>
      <c r="J22" s="135"/>
      <c r="K22" s="135"/>
      <c r="L22" s="135"/>
      <c r="M22" s="135"/>
      <c r="N22" s="1" t="s">
        <v>98</v>
      </c>
    </row>
    <row r="23" spans="1:14" x14ac:dyDescent="0.25">
      <c r="A23" s="97" t="s">
        <v>89</v>
      </c>
      <c r="B23" s="97"/>
      <c r="C23" s="97"/>
      <c r="D23" s="97"/>
      <c r="E23" s="97">
        <f>'65-10HS01-DW-5'!G9</f>
        <v>1.0135255123459181</v>
      </c>
      <c r="F23" s="97"/>
      <c r="G23" s="1" t="s">
        <v>99</v>
      </c>
      <c r="H23" s="97" t="s">
        <v>89</v>
      </c>
      <c r="I23" s="97"/>
      <c r="J23" s="97"/>
      <c r="K23" s="97"/>
      <c r="L23" s="126">
        <f>E23</f>
        <v>1.0135255123459181</v>
      </c>
      <c r="M23" s="126"/>
      <c r="N23" s="1" t="s">
        <v>99</v>
      </c>
    </row>
    <row r="24" spans="1:14" x14ac:dyDescent="0.25">
      <c r="A24" s="97" t="s">
        <v>90</v>
      </c>
      <c r="B24" s="97"/>
      <c r="C24" s="97"/>
      <c r="D24" s="97"/>
      <c r="E24" s="97">
        <f>'65-10HS01-DW-5'!G13</f>
        <v>0.24725518282335104</v>
      </c>
      <c r="F24" s="97"/>
      <c r="G24" s="1" t="s">
        <v>100</v>
      </c>
      <c r="H24" s="97" t="s">
        <v>90</v>
      </c>
      <c r="I24" s="97"/>
      <c r="J24" s="97"/>
      <c r="K24" s="97"/>
      <c r="L24" s="126">
        <f>E24</f>
        <v>0.24725518282335104</v>
      </c>
      <c r="M24" s="126"/>
      <c r="N24" s="1" t="s">
        <v>100</v>
      </c>
    </row>
    <row r="25" spans="1:14" x14ac:dyDescent="0.25">
      <c r="A25" s="131" t="s">
        <v>91</v>
      </c>
      <c r="B25" s="131"/>
      <c r="C25" s="131"/>
      <c r="D25" s="131"/>
      <c r="E25" s="125">
        <v>1</v>
      </c>
      <c r="F25" s="125"/>
      <c r="G25" s="1" t="s">
        <v>101</v>
      </c>
      <c r="H25" s="131" t="s">
        <v>91</v>
      </c>
      <c r="I25" s="131"/>
      <c r="J25" s="131"/>
      <c r="K25" s="131"/>
      <c r="L25" s="126">
        <v>100</v>
      </c>
      <c r="M25" s="126"/>
      <c r="N25" s="1" t="s">
        <v>101</v>
      </c>
    </row>
    <row r="26" spans="1:14" x14ac:dyDescent="0.25">
      <c r="A26" s="125" t="s">
        <v>123</v>
      </c>
      <c r="B26" s="125"/>
      <c r="C26" s="125"/>
      <c r="D26" s="125"/>
      <c r="E26" s="97">
        <f>(E24+'Miscellaneous Pressure Losses'!$L$2)*'P104'!E25</f>
        <v>23.488255182823352</v>
      </c>
      <c r="F26" s="97"/>
      <c r="G26" s="1" t="s">
        <v>122</v>
      </c>
      <c r="H26" s="125" t="s">
        <v>123</v>
      </c>
      <c r="I26" s="125"/>
      <c r="J26" s="125"/>
      <c r="K26" s="125"/>
      <c r="L26" s="126">
        <f>L25*L24*10</f>
        <v>247.25518282335105</v>
      </c>
      <c r="M26" s="126"/>
      <c r="N26" s="1" t="s">
        <v>122</v>
      </c>
    </row>
    <row r="27" spans="1:14" x14ac:dyDescent="0.25">
      <c r="A27" s="111"/>
      <c r="B27" s="111"/>
      <c r="C27" s="111"/>
      <c r="D27" s="111"/>
      <c r="E27" s="111"/>
      <c r="F27" s="111"/>
      <c r="G27" s="112"/>
      <c r="H27" s="110"/>
      <c r="I27" s="111"/>
      <c r="J27" s="111"/>
      <c r="K27" s="111"/>
      <c r="L27" s="111"/>
      <c r="M27" s="111"/>
      <c r="N27" s="112"/>
    </row>
    <row r="28" spans="1:14" x14ac:dyDescent="0.25">
      <c r="A28" s="128" t="s">
        <v>92</v>
      </c>
      <c r="B28" s="128"/>
      <c r="C28" s="128"/>
      <c r="D28" s="128"/>
      <c r="E28" s="97">
        <v>0</v>
      </c>
      <c r="F28" s="97"/>
      <c r="G28" s="1" t="s">
        <v>101</v>
      </c>
      <c r="H28" s="128" t="s">
        <v>92</v>
      </c>
      <c r="I28" s="128"/>
      <c r="J28" s="128"/>
      <c r="K28" s="128"/>
      <c r="L28" s="119">
        <v>8</v>
      </c>
      <c r="M28" s="119"/>
      <c r="N28" s="1" t="s">
        <v>101</v>
      </c>
    </row>
    <row r="29" spans="1:14" x14ac:dyDescent="0.25">
      <c r="A29" s="128"/>
      <c r="B29" s="128"/>
      <c r="C29" s="128"/>
      <c r="D29" s="128"/>
      <c r="E29" s="97">
        <v>0</v>
      </c>
      <c r="F29" s="97"/>
      <c r="G29" s="1" t="s">
        <v>122</v>
      </c>
      <c r="H29" s="128"/>
      <c r="I29" s="128"/>
      <c r="J29" s="128"/>
      <c r="K29" s="128"/>
      <c r="L29" s="119">
        <f>K15*9.81*L28/1000</f>
        <v>78.431106960000008</v>
      </c>
      <c r="M29" s="119"/>
      <c r="N29" s="1" t="s">
        <v>122</v>
      </c>
    </row>
    <row r="30" spans="1:14" x14ac:dyDescent="0.25">
      <c r="A30" s="125" t="s">
        <v>93</v>
      </c>
      <c r="B30" s="125"/>
      <c r="C30" s="125"/>
      <c r="D30" s="125"/>
      <c r="E30" s="97">
        <v>600</v>
      </c>
      <c r="F30" s="97"/>
      <c r="G30" s="1" t="s">
        <v>122</v>
      </c>
      <c r="H30" s="125" t="s">
        <v>137</v>
      </c>
      <c r="I30" s="125"/>
      <c r="J30" s="125"/>
      <c r="K30" s="125"/>
      <c r="L30" s="127">
        <v>600</v>
      </c>
      <c r="M30" s="127"/>
      <c r="N30" s="1" t="s">
        <v>122</v>
      </c>
    </row>
    <row r="31" spans="1:14" x14ac:dyDescent="0.25">
      <c r="A31" s="125" t="s">
        <v>95</v>
      </c>
      <c r="B31" s="125"/>
      <c r="C31" s="125"/>
      <c r="D31" s="125"/>
      <c r="E31" s="125">
        <f>E29+E30</f>
        <v>600</v>
      </c>
      <c r="F31" s="125"/>
      <c r="G31" s="1" t="s">
        <v>122</v>
      </c>
      <c r="H31" s="125" t="s">
        <v>95</v>
      </c>
      <c r="I31" s="125"/>
      <c r="J31" s="125"/>
      <c r="K31" s="125"/>
      <c r="L31" s="130">
        <f>L29+L30</f>
        <v>678.43110695999997</v>
      </c>
      <c r="M31" s="130"/>
      <c r="N31" s="1" t="s">
        <v>122</v>
      </c>
    </row>
    <row r="32" spans="1:14" x14ac:dyDescent="0.25">
      <c r="A32" s="111"/>
      <c r="B32" s="111"/>
      <c r="C32" s="111"/>
      <c r="D32" s="111"/>
      <c r="E32" s="111"/>
      <c r="F32" s="111"/>
      <c r="G32" s="112"/>
      <c r="H32" s="110"/>
      <c r="I32" s="111"/>
      <c r="J32" s="111"/>
      <c r="K32" s="111"/>
      <c r="L32" s="111"/>
      <c r="M32" s="111"/>
      <c r="N32" s="112"/>
    </row>
    <row r="33" spans="1:15" x14ac:dyDescent="0.25">
      <c r="A33" s="125" t="s">
        <v>94</v>
      </c>
      <c r="B33" s="125"/>
      <c r="C33" s="125"/>
      <c r="D33" s="125"/>
      <c r="E33" s="126">
        <f>E31-E26</f>
        <v>576.51174481717669</v>
      </c>
      <c r="F33" s="126"/>
      <c r="G33" s="33" t="s">
        <v>122</v>
      </c>
      <c r="H33" s="114" t="s">
        <v>138</v>
      </c>
      <c r="I33" s="126"/>
      <c r="J33" s="126"/>
      <c r="K33" s="126"/>
      <c r="L33" s="127">
        <f>L31+L26</f>
        <v>925.68628978335096</v>
      </c>
      <c r="M33" s="127"/>
      <c r="N33" s="33" t="s">
        <v>122</v>
      </c>
    </row>
    <row r="34" spans="1:15" x14ac:dyDescent="0.25">
      <c r="A34" s="125" t="s">
        <v>96</v>
      </c>
      <c r="B34" s="125"/>
      <c r="C34" s="125"/>
      <c r="D34" s="125"/>
      <c r="E34" s="126">
        <v>1.4970000000000001</v>
      </c>
      <c r="F34" s="126"/>
      <c r="G34" s="33" t="s">
        <v>122</v>
      </c>
      <c r="H34" s="114" t="s">
        <v>94</v>
      </c>
      <c r="I34" s="126"/>
      <c r="J34" s="126"/>
      <c r="K34" s="126"/>
      <c r="L34" s="127">
        <f>E33</f>
        <v>576.51174481717669</v>
      </c>
      <c r="M34" s="127"/>
      <c r="N34" s="33" t="s">
        <v>122</v>
      </c>
    </row>
    <row r="35" spans="1:15" x14ac:dyDescent="0.25">
      <c r="A35" s="128" t="s">
        <v>97</v>
      </c>
      <c r="B35" s="128"/>
      <c r="C35" s="128"/>
      <c r="D35" s="128"/>
      <c r="E35" s="126">
        <f>E33-E34</f>
        <v>575.01474481717673</v>
      </c>
      <c r="F35" s="126"/>
      <c r="G35" s="33" t="s">
        <v>122</v>
      </c>
      <c r="H35" s="114" t="s">
        <v>139</v>
      </c>
      <c r="I35" s="126"/>
      <c r="J35" s="126"/>
      <c r="K35" s="126"/>
      <c r="L35" s="127">
        <f>L33-L34</f>
        <v>349.17454496617427</v>
      </c>
      <c r="M35" s="127"/>
      <c r="N35" s="33" t="s">
        <v>122</v>
      </c>
    </row>
    <row r="36" spans="1:15" x14ac:dyDescent="0.25">
      <c r="A36" s="129"/>
      <c r="B36" s="129"/>
      <c r="C36" s="129"/>
      <c r="D36" s="129"/>
      <c r="E36" s="99">
        <f>(E35*10^3)/($K$15*9.81)</f>
        <v>58.651702581266406</v>
      </c>
      <c r="F36" s="99"/>
      <c r="G36" s="76" t="s">
        <v>101</v>
      </c>
      <c r="H36" s="101" t="s">
        <v>140</v>
      </c>
      <c r="I36" s="99"/>
      <c r="J36" s="99"/>
      <c r="K36" s="99"/>
      <c r="L36" s="121">
        <f>L35*1000/(K15*9.81)</f>
        <v>35.615924191329228</v>
      </c>
      <c r="M36" s="121"/>
      <c r="N36" s="76" t="s">
        <v>101</v>
      </c>
    </row>
    <row r="37" spans="1:15" x14ac:dyDescent="0.25">
      <c r="A37" s="104" t="s">
        <v>141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</row>
    <row r="38" spans="1:15" x14ac:dyDescent="0.25">
      <c r="A38" s="122" t="s">
        <v>142</v>
      </c>
      <c r="B38" s="95"/>
      <c r="C38" s="95"/>
      <c r="D38" s="95"/>
      <c r="E38" s="123" t="s">
        <v>149</v>
      </c>
      <c r="F38" s="123"/>
      <c r="G38" s="123"/>
      <c r="H38" s="123" t="s">
        <v>153</v>
      </c>
      <c r="I38" s="123"/>
      <c r="J38" s="123"/>
      <c r="K38" s="123"/>
      <c r="L38" s="123" t="s">
        <v>168</v>
      </c>
      <c r="M38" s="123"/>
      <c r="N38" s="124"/>
    </row>
    <row r="39" spans="1:15" x14ac:dyDescent="0.25">
      <c r="A39" s="114" t="s">
        <v>143</v>
      </c>
      <c r="B39" s="97"/>
      <c r="C39" s="97"/>
      <c r="D39" s="97"/>
      <c r="E39" s="117" t="s">
        <v>162</v>
      </c>
      <c r="F39" s="117"/>
      <c r="G39" s="117"/>
      <c r="H39" s="97" t="s">
        <v>154</v>
      </c>
      <c r="I39" s="97"/>
      <c r="J39" s="97"/>
      <c r="K39" s="97"/>
      <c r="L39" s="119">
        <v>400</v>
      </c>
      <c r="M39" s="119"/>
      <c r="N39" s="1" t="s">
        <v>163</v>
      </c>
    </row>
    <row r="40" spans="1:15" x14ac:dyDescent="0.25">
      <c r="A40" s="114" t="s">
        <v>150</v>
      </c>
      <c r="B40" s="97"/>
      <c r="C40" s="97"/>
      <c r="D40" s="97"/>
      <c r="E40" s="120">
        <v>4.5</v>
      </c>
      <c r="F40" s="120"/>
      <c r="G40" s="57" t="s">
        <v>35</v>
      </c>
      <c r="H40" s="97" t="s">
        <v>155</v>
      </c>
      <c r="I40" s="97"/>
      <c r="J40" s="97"/>
      <c r="K40" s="97"/>
      <c r="L40" s="97" t="s">
        <v>164</v>
      </c>
      <c r="M40" s="97"/>
      <c r="N40" s="98"/>
    </row>
    <row r="41" spans="1:15" x14ac:dyDescent="0.25">
      <c r="A41" s="118" t="s">
        <v>139</v>
      </c>
      <c r="B41" s="117"/>
      <c r="C41" s="117"/>
      <c r="D41" s="117"/>
      <c r="E41" s="97">
        <f>L35</f>
        <v>349.17454496617427</v>
      </c>
      <c r="F41" s="97"/>
      <c r="G41" s="57" t="s">
        <v>122</v>
      </c>
      <c r="H41" s="97" t="s">
        <v>156</v>
      </c>
      <c r="I41" s="97"/>
      <c r="J41" s="97"/>
      <c r="K41" s="97"/>
      <c r="L41" s="97">
        <f>(6*K18*60)/600</f>
        <v>1.9970999999999999</v>
      </c>
      <c r="M41" s="97"/>
      <c r="N41" s="1" t="s">
        <v>165</v>
      </c>
    </row>
    <row r="42" spans="1:15" x14ac:dyDescent="0.25">
      <c r="A42" s="110"/>
      <c r="B42" s="111"/>
      <c r="C42" s="111"/>
      <c r="D42" s="111"/>
      <c r="E42" s="119">
        <f>L36</f>
        <v>35.615924191329228</v>
      </c>
      <c r="F42" s="119"/>
      <c r="G42" s="57" t="s">
        <v>101</v>
      </c>
      <c r="H42" s="97" t="s">
        <v>157</v>
      </c>
      <c r="I42" s="97"/>
      <c r="J42" s="97"/>
      <c r="K42" s="97"/>
      <c r="L42" s="97">
        <v>2.2000000000000002</v>
      </c>
      <c r="M42" s="97"/>
      <c r="N42" s="1" t="s">
        <v>165</v>
      </c>
    </row>
    <row r="43" spans="1:15" x14ac:dyDescent="0.25">
      <c r="A43" s="114" t="s">
        <v>144</v>
      </c>
      <c r="B43" s="97"/>
      <c r="C43" s="97"/>
      <c r="D43" s="97"/>
      <c r="E43" s="97">
        <v>3</v>
      </c>
      <c r="F43" s="97"/>
      <c r="G43" s="57" t="s">
        <v>101</v>
      </c>
      <c r="H43" s="97" t="s">
        <v>158</v>
      </c>
      <c r="I43" s="97"/>
      <c r="J43" s="97"/>
      <c r="K43" s="97"/>
      <c r="L43" s="97">
        <v>68</v>
      </c>
      <c r="M43" s="97"/>
      <c r="N43" s="1" t="s">
        <v>166</v>
      </c>
    </row>
    <row r="44" spans="1:15" x14ac:dyDescent="0.25">
      <c r="A44" s="114" t="s">
        <v>145</v>
      </c>
      <c r="B44" s="97"/>
      <c r="C44" s="97"/>
      <c r="D44" s="97"/>
      <c r="E44" s="117" t="s">
        <v>151</v>
      </c>
      <c r="F44" s="117"/>
      <c r="G44" s="117"/>
      <c r="H44" s="97" t="s">
        <v>159</v>
      </c>
      <c r="I44" s="97"/>
      <c r="J44" s="97"/>
      <c r="K44" s="97"/>
      <c r="L44" s="115">
        <v>10</v>
      </c>
      <c r="M44" s="115"/>
      <c r="N44" s="62" t="s">
        <v>167</v>
      </c>
      <c r="O44" s="61"/>
    </row>
    <row r="45" spans="1:15" x14ac:dyDescent="0.25">
      <c r="A45" s="114" t="s">
        <v>146</v>
      </c>
      <c r="B45" s="97"/>
      <c r="C45" s="97"/>
      <c r="D45" s="97"/>
      <c r="E45" s="97" t="s">
        <v>170</v>
      </c>
      <c r="F45" s="97"/>
      <c r="G45" s="97"/>
      <c r="H45" s="97" t="s">
        <v>160</v>
      </c>
      <c r="I45" s="97"/>
      <c r="J45" s="97"/>
      <c r="K45" s="97"/>
      <c r="L45" s="115">
        <v>40</v>
      </c>
      <c r="M45" s="115"/>
      <c r="N45" s="78" t="s">
        <v>77</v>
      </c>
      <c r="O45" s="61"/>
    </row>
    <row r="46" spans="1:15" x14ac:dyDescent="0.25">
      <c r="A46" s="114" t="s">
        <v>147</v>
      </c>
      <c r="B46" s="97"/>
      <c r="C46" s="97"/>
      <c r="D46" s="97"/>
      <c r="E46" s="97" t="s">
        <v>152</v>
      </c>
      <c r="F46" s="97"/>
      <c r="G46" s="97"/>
      <c r="H46" s="97" t="s">
        <v>161</v>
      </c>
      <c r="I46" s="97"/>
      <c r="J46" s="97"/>
      <c r="K46" s="97"/>
      <c r="L46" s="115" t="s">
        <v>169</v>
      </c>
      <c r="M46" s="115"/>
      <c r="N46" s="116"/>
      <c r="O46" s="61"/>
    </row>
    <row r="47" spans="1:15" x14ac:dyDescent="0.25">
      <c r="A47" s="101" t="s">
        <v>148</v>
      </c>
      <c r="B47" s="99"/>
      <c r="C47" s="99"/>
      <c r="D47" s="99"/>
      <c r="E47" s="99" t="s">
        <v>171</v>
      </c>
      <c r="F47" s="99"/>
      <c r="G47" s="99"/>
      <c r="H47" s="102"/>
      <c r="I47" s="102"/>
      <c r="J47" s="102"/>
      <c r="K47" s="102"/>
      <c r="L47" s="102"/>
      <c r="M47" s="102"/>
      <c r="N47" s="103"/>
      <c r="O47" s="61"/>
    </row>
    <row r="48" spans="1:15" x14ac:dyDescent="0.25">
      <c r="A48" s="104" t="s">
        <v>172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</row>
    <row r="49" spans="1:14" x14ac:dyDescent="0.2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9"/>
    </row>
    <row r="50" spans="1:14" x14ac:dyDescent="0.25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2"/>
    </row>
    <row r="51" spans="1:14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</row>
    <row r="52" spans="1:14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2"/>
    </row>
    <row r="53" spans="1:14" x14ac:dyDescent="0.25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2"/>
    </row>
    <row r="54" spans="1:14" x14ac:dyDescent="0.25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2"/>
    </row>
    <row r="55" spans="1:14" x14ac:dyDescent="0.25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2"/>
    </row>
    <row r="56" spans="1:14" x14ac:dyDescent="0.25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2"/>
    </row>
    <row r="57" spans="1:14" x14ac:dyDescent="0.25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2"/>
    </row>
    <row r="58" spans="1:14" x14ac:dyDescent="0.25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2"/>
    </row>
    <row r="59" spans="1:14" x14ac:dyDescent="0.25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/>
    </row>
    <row r="60" spans="1:14" x14ac:dyDescent="0.25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1:14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2"/>
    </row>
    <row r="62" spans="1:14" x14ac:dyDescent="0.25">
      <c r="A62" s="113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1:14" x14ac:dyDescent="0.25">
      <c r="A63" s="104" t="s">
        <v>173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6"/>
    </row>
    <row r="64" spans="1:14" x14ac:dyDescent="0.25">
      <c r="A64" s="80" t="s">
        <v>174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5">
      <c r="A65" s="81" t="s">
        <v>175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</row>
    <row r="66" spans="1:14" x14ac:dyDescent="0.25">
      <c r="A66" s="81" t="s">
        <v>176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</row>
    <row r="67" spans="1:14" x14ac:dyDescent="0.25">
      <c r="A67" s="81" t="s">
        <v>177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</row>
    <row r="68" spans="1:14" x14ac:dyDescent="0.25">
      <c r="A68" s="82" t="s">
        <v>178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100"/>
    </row>
  </sheetData>
  <mergeCells count="136">
    <mergeCell ref="B64:N64"/>
    <mergeCell ref="B65:N65"/>
    <mergeCell ref="B66:N66"/>
    <mergeCell ref="B67:N67"/>
    <mergeCell ref="B68:N68"/>
    <mergeCell ref="H47:N47"/>
    <mergeCell ref="A48:N48"/>
    <mergeCell ref="A49:N62"/>
    <mergeCell ref="A63:N63"/>
    <mergeCell ref="A47:D47"/>
    <mergeCell ref="L42:M42"/>
    <mergeCell ref="L41:M41"/>
    <mergeCell ref="L43:M43"/>
    <mergeCell ref="H45:K45"/>
    <mergeCell ref="L44:M44"/>
    <mergeCell ref="L45:M45"/>
    <mergeCell ref="L46:N46"/>
    <mergeCell ref="H44:K44"/>
    <mergeCell ref="H46:K46"/>
    <mergeCell ref="H41:K41"/>
    <mergeCell ref="H42:K42"/>
    <mergeCell ref="H43:K43"/>
    <mergeCell ref="A42:D42"/>
    <mergeCell ref="E42:F42"/>
    <mergeCell ref="E40:F40"/>
    <mergeCell ref="E41:F41"/>
    <mergeCell ref="E43:F43"/>
    <mergeCell ref="E44:G44"/>
    <mergeCell ref="E45:G45"/>
    <mergeCell ref="E46:G46"/>
    <mergeCell ref="E47:G47"/>
    <mergeCell ref="A41:D41"/>
    <mergeCell ref="A43:D43"/>
    <mergeCell ref="A44:D44"/>
    <mergeCell ref="A45:D45"/>
    <mergeCell ref="A46:D46"/>
    <mergeCell ref="A37:N37"/>
    <mergeCell ref="A38:D38"/>
    <mergeCell ref="A39:D39"/>
    <mergeCell ref="A40:D40"/>
    <mergeCell ref="E38:G38"/>
    <mergeCell ref="E39:G39"/>
    <mergeCell ref="L39:M39"/>
    <mergeCell ref="L38:N38"/>
    <mergeCell ref="L40:N40"/>
    <mergeCell ref="H38:K38"/>
    <mergeCell ref="H39:K39"/>
    <mergeCell ref="H40:K40"/>
    <mergeCell ref="L23:M23"/>
    <mergeCell ref="L24:M24"/>
    <mergeCell ref="L25:M25"/>
    <mergeCell ref="L26:M26"/>
    <mergeCell ref="H32:N32"/>
    <mergeCell ref="L30:M30"/>
    <mergeCell ref="L31:M31"/>
    <mergeCell ref="A22:F22"/>
    <mergeCell ref="A21:E21"/>
    <mergeCell ref="H22:M22"/>
    <mergeCell ref="H21:L21"/>
    <mergeCell ref="H23:K23"/>
    <mergeCell ref="H24:K24"/>
    <mergeCell ref="H25:K25"/>
    <mergeCell ref="H26:K26"/>
    <mergeCell ref="E23:F23"/>
    <mergeCell ref="E24:F24"/>
    <mergeCell ref="E25:F25"/>
    <mergeCell ref="E26:F26"/>
    <mergeCell ref="H27:N27"/>
    <mergeCell ref="H36:K36"/>
    <mergeCell ref="L33:M33"/>
    <mergeCell ref="L34:M34"/>
    <mergeCell ref="L35:M35"/>
    <mergeCell ref="E28:F28"/>
    <mergeCell ref="E29:F29"/>
    <mergeCell ref="E30:F30"/>
    <mergeCell ref="E31:F31"/>
    <mergeCell ref="E33:F33"/>
    <mergeCell ref="L36:M36"/>
    <mergeCell ref="H28:K29"/>
    <mergeCell ref="L28:M28"/>
    <mergeCell ref="L29:M29"/>
    <mergeCell ref="H30:K30"/>
    <mergeCell ref="H31:K31"/>
    <mergeCell ref="H33:K33"/>
    <mergeCell ref="H34:K34"/>
    <mergeCell ref="H35:K35"/>
    <mergeCell ref="A34:D34"/>
    <mergeCell ref="A35:D36"/>
    <mergeCell ref="A28:D29"/>
    <mergeCell ref="A27:G27"/>
    <mergeCell ref="A30:D30"/>
    <mergeCell ref="A31:D31"/>
    <mergeCell ref="A32:G32"/>
    <mergeCell ref="A33:D33"/>
    <mergeCell ref="A23:D23"/>
    <mergeCell ref="A24:D24"/>
    <mergeCell ref="A25:D25"/>
    <mergeCell ref="A26:D26"/>
    <mergeCell ref="E34:F34"/>
    <mergeCell ref="E36:F36"/>
    <mergeCell ref="E35:F35"/>
    <mergeCell ref="A19:N19"/>
    <mergeCell ref="A20:G20"/>
    <mergeCell ref="H20:N20"/>
    <mergeCell ref="F16:G16"/>
    <mergeCell ref="F17:G17"/>
    <mergeCell ref="F18:G18"/>
    <mergeCell ref="H12:I12"/>
    <mergeCell ref="J12:J18"/>
    <mergeCell ref="H13:I14"/>
    <mergeCell ref="H15:I15"/>
    <mergeCell ref="H16:I16"/>
    <mergeCell ref="H17:I17"/>
    <mergeCell ref="H18:I18"/>
    <mergeCell ref="A16:C18"/>
    <mergeCell ref="D12:G12"/>
    <mergeCell ref="A11:N11"/>
    <mergeCell ref="A12:C12"/>
    <mergeCell ref="A13:C13"/>
    <mergeCell ref="A14:C14"/>
    <mergeCell ref="A15:C15"/>
    <mergeCell ref="D13:G13"/>
    <mergeCell ref="D14:G14"/>
    <mergeCell ref="D15:G15"/>
    <mergeCell ref="K13:L14"/>
    <mergeCell ref="M12:N18"/>
    <mergeCell ref="K12:L12"/>
    <mergeCell ref="A1:G1"/>
    <mergeCell ref="A2:G2"/>
    <mergeCell ref="K2:N2"/>
    <mergeCell ref="H1:N1"/>
    <mergeCell ref="A3:G7"/>
    <mergeCell ref="A8:G8"/>
    <mergeCell ref="H2:J2"/>
    <mergeCell ref="A9:N9"/>
    <mergeCell ref="A10:N10"/>
  </mergeCells>
  <pageMargins left="0.7" right="0.7" top="0.75" bottom="0.75" header="0.3" footer="0.3"/>
  <pageSetup paperSize="9" scale="66" orientation="portrait" r:id="rId1"/>
  <ignoredErrors>
    <ignoredError sqref="A64:A68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workbookViewId="0">
      <selection activeCell="P8" sqref="P8"/>
    </sheetView>
  </sheetViews>
  <sheetFormatPr defaultRowHeight="15" x14ac:dyDescent="0.25"/>
  <cols>
    <col min="9" max="9" width="10.7109375" bestFit="1" customWidth="1"/>
    <col min="10" max="10" width="11.42578125" bestFit="1" customWidth="1"/>
    <col min="11" max="11" width="10" bestFit="1" customWidth="1"/>
  </cols>
  <sheetData>
    <row r="1" spans="1:14" x14ac:dyDescent="0.25">
      <c r="A1" s="138" t="s">
        <v>180</v>
      </c>
      <c r="B1" s="139"/>
      <c r="C1" s="139"/>
      <c r="D1" s="139"/>
      <c r="E1" s="139"/>
      <c r="F1" s="139"/>
      <c r="G1" s="140"/>
      <c r="H1" s="141"/>
      <c r="I1" s="142"/>
      <c r="J1" s="142"/>
      <c r="K1" s="142"/>
      <c r="L1" s="142"/>
      <c r="M1" s="142"/>
      <c r="N1" s="143"/>
    </row>
    <row r="2" spans="1:14" x14ac:dyDescent="0.25">
      <c r="A2" s="144" t="s">
        <v>55</v>
      </c>
      <c r="B2" s="145"/>
      <c r="C2" s="145"/>
      <c r="D2" s="145"/>
      <c r="E2" s="145"/>
      <c r="F2" s="145"/>
      <c r="G2" s="146"/>
      <c r="H2" s="147" t="s">
        <v>56</v>
      </c>
      <c r="I2" s="148"/>
      <c r="J2" s="148"/>
      <c r="K2" s="149" t="s">
        <v>61</v>
      </c>
      <c r="L2" s="149"/>
      <c r="M2" s="149"/>
      <c r="N2" s="150"/>
    </row>
    <row r="3" spans="1:14" x14ac:dyDescent="0.25">
      <c r="A3" s="151" t="s">
        <v>54</v>
      </c>
      <c r="B3" s="152"/>
      <c r="C3" s="152"/>
      <c r="D3" s="152"/>
      <c r="E3" s="152"/>
      <c r="F3" s="152"/>
      <c r="G3" s="153"/>
      <c r="H3" s="46" t="s">
        <v>57</v>
      </c>
      <c r="I3" s="46" t="s">
        <v>58</v>
      </c>
      <c r="J3" s="46" t="s">
        <v>59</v>
      </c>
      <c r="K3" s="46" t="s">
        <v>60</v>
      </c>
      <c r="L3" s="46" t="s">
        <v>58</v>
      </c>
      <c r="M3" s="46" t="s">
        <v>59</v>
      </c>
      <c r="N3" s="46" t="s">
        <v>60</v>
      </c>
    </row>
    <row r="4" spans="1:14" x14ac:dyDescent="0.25">
      <c r="A4" s="151"/>
      <c r="B4" s="152"/>
      <c r="C4" s="152"/>
      <c r="D4" s="152"/>
      <c r="E4" s="152"/>
      <c r="F4" s="152"/>
      <c r="G4" s="153"/>
      <c r="H4" s="47" t="s">
        <v>63</v>
      </c>
      <c r="I4" s="48">
        <v>43734</v>
      </c>
      <c r="J4" s="47" t="s">
        <v>64</v>
      </c>
      <c r="K4" s="47"/>
      <c r="L4" s="47"/>
      <c r="M4" s="47"/>
      <c r="N4" s="47"/>
    </row>
    <row r="5" spans="1:14" x14ac:dyDescent="0.25">
      <c r="A5" s="151"/>
      <c r="B5" s="152"/>
      <c r="C5" s="152"/>
      <c r="D5" s="152"/>
      <c r="E5" s="152"/>
      <c r="F5" s="152"/>
      <c r="G5" s="153"/>
      <c r="H5" s="47"/>
      <c r="I5" s="47"/>
      <c r="J5" s="47"/>
      <c r="K5" s="47"/>
      <c r="L5" s="47"/>
      <c r="M5" s="47"/>
      <c r="N5" s="47"/>
    </row>
    <row r="6" spans="1:14" x14ac:dyDescent="0.25">
      <c r="A6" s="151"/>
      <c r="B6" s="152"/>
      <c r="C6" s="152"/>
      <c r="D6" s="152"/>
      <c r="E6" s="152"/>
      <c r="F6" s="152"/>
      <c r="G6" s="153"/>
      <c r="H6" s="47"/>
      <c r="I6" s="47"/>
      <c r="J6" s="47"/>
      <c r="K6" s="47"/>
      <c r="L6" s="47"/>
      <c r="M6" s="47"/>
      <c r="N6" s="47"/>
    </row>
    <row r="7" spans="1:14" x14ac:dyDescent="0.25">
      <c r="A7" s="151"/>
      <c r="B7" s="152"/>
      <c r="C7" s="152"/>
      <c r="D7" s="152"/>
      <c r="E7" s="152"/>
      <c r="F7" s="152"/>
      <c r="G7" s="153"/>
      <c r="H7" s="47"/>
      <c r="I7" s="47"/>
      <c r="J7" s="47"/>
      <c r="K7" s="47"/>
      <c r="L7" s="47"/>
      <c r="M7" s="47"/>
      <c r="N7" s="47"/>
    </row>
    <row r="8" spans="1:14" x14ac:dyDescent="0.25">
      <c r="A8" s="158" t="s">
        <v>62</v>
      </c>
      <c r="B8" s="159"/>
      <c r="C8" s="159"/>
      <c r="D8" s="159"/>
      <c r="E8" s="159"/>
      <c r="F8" s="159"/>
      <c r="G8" s="160"/>
      <c r="H8" s="47"/>
      <c r="I8" s="47"/>
      <c r="J8" s="47"/>
      <c r="K8" s="47"/>
      <c r="L8" s="47"/>
      <c r="M8" s="47"/>
      <c r="N8" s="47"/>
    </row>
    <row r="9" spans="1:14" x14ac:dyDescent="0.25">
      <c r="A9" s="122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6"/>
    </row>
    <row r="10" spans="1:14" x14ac:dyDescent="0.25">
      <c r="A10" s="118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61"/>
    </row>
    <row r="11" spans="1:14" x14ac:dyDescent="0.25">
      <c r="A11" s="162" t="s">
        <v>65</v>
      </c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1:14" x14ac:dyDescent="0.25">
      <c r="A12" s="141" t="s">
        <v>66</v>
      </c>
      <c r="B12" s="142"/>
      <c r="C12" s="142"/>
      <c r="D12" s="142" t="s">
        <v>187</v>
      </c>
      <c r="E12" s="142"/>
      <c r="F12" s="142"/>
      <c r="G12" s="142"/>
      <c r="H12" s="142" t="s">
        <v>67</v>
      </c>
      <c r="I12" s="142"/>
      <c r="J12" s="108"/>
      <c r="K12" s="142" t="s">
        <v>183</v>
      </c>
      <c r="L12" s="142"/>
      <c r="M12" s="108"/>
      <c r="N12" s="109"/>
    </row>
    <row r="13" spans="1:14" x14ac:dyDescent="0.25">
      <c r="A13" s="118" t="s">
        <v>68</v>
      </c>
      <c r="B13" s="117"/>
      <c r="C13" s="117"/>
      <c r="D13" s="97" t="s">
        <v>179</v>
      </c>
      <c r="E13" s="97"/>
      <c r="F13" s="97"/>
      <c r="G13" s="97"/>
      <c r="H13" s="111"/>
      <c r="I13" s="111"/>
      <c r="J13" s="111"/>
      <c r="K13" s="111"/>
      <c r="L13" s="111"/>
      <c r="M13" s="111"/>
      <c r="N13" s="112"/>
    </row>
    <row r="14" spans="1:14" x14ac:dyDescent="0.25">
      <c r="A14" s="118" t="s">
        <v>69</v>
      </c>
      <c r="B14" s="117"/>
      <c r="C14" s="117"/>
      <c r="D14" s="97" t="s">
        <v>182</v>
      </c>
      <c r="E14" s="97"/>
      <c r="F14" s="97"/>
      <c r="G14" s="97"/>
      <c r="H14" s="111"/>
      <c r="I14" s="111"/>
      <c r="J14" s="111"/>
      <c r="K14" s="111"/>
      <c r="L14" s="111"/>
      <c r="M14" s="111"/>
      <c r="N14" s="112"/>
    </row>
    <row r="15" spans="1:14" ht="17.25" x14ac:dyDescent="0.25">
      <c r="A15" s="118" t="s">
        <v>70</v>
      </c>
      <c r="B15" s="117"/>
      <c r="C15" s="117"/>
      <c r="D15" s="97" t="s">
        <v>73</v>
      </c>
      <c r="E15" s="97"/>
      <c r="F15" s="97"/>
      <c r="G15" s="97"/>
      <c r="H15" s="115" t="s">
        <v>78</v>
      </c>
      <c r="I15" s="115"/>
      <c r="J15" s="111"/>
      <c r="K15" s="57">
        <v>999.37699999999995</v>
      </c>
      <c r="L15" s="57" t="s">
        <v>80</v>
      </c>
      <c r="M15" s="111"/>
      <c r="N15" s="112"/>
    </row>
    <row r="16" spans="1:14" x14ac:dyDescent="0.25">
      <c r="A16" s="154" t="s">
        <v>71</v>
      </c>
      <c r="B16" s="155"/>
      <c r="C16" s="155"/>
      <c r="D16" s="57" t="s">
        <v>74</v>
      </c>
      <c r="E16" s="57">
        <f>AVERAGE(E17:E18)</f>
        <v>13</v>
      </c>
      <c r="F16" s="167" t="s">
        <v>77</v>
      </c>
      <c r="G16" s="167"/>
      <c r="H16" s="97" t="s">
        <v>79</v>
      </c>
      <c r="I16" s="97"/>
      <c r="J16" s="111"/>
      <c r="K16" s="57">
        <v>1.2009E-3</v>
      </c>
      <c r="L16" s="57" t="s">
        <v>81</v>
      </c>
      <c r="M16" s="111"/>
      <c r="N16" s="112"/>
    </row>
    <row r="17" spans="1:14" x14ac:dyDescent="0.25">
      <c r="A17" s="154"/>
      <c r="B17" s="155"/>
      <c r="C17" s="155"/>
      <c r="D17" s="57" t="s">
        <v>75</v>
      </c>
      <c r="E17" s="57">
        <v>6</v>
      </c>
      <c r="F17" s="136" t="s">
        <v>77</v>
      </c>
      <c r="G17" s="136"/>
      <c r="H17" s="97" t="s">
        <v>82</v>
      </c>
      <c r="I17" s="97"/>
      <c r="J17" s="111"/>
      <c r="K17" s="50">
        <v>1.5</v>
      </c>
      <c r="L17" s="57" t="s">
        <v>35</v>
      </c>
      <c r="M17" s="111"/>
      <c r="N17" s="112"/>
    </row>
    <row r="18" spans="1:14" x14ac:dyDescent="0.25">
      <c r="A18" s="156"/>
      <c r="B18" s="157"/>
      <c r="C18" s="157"/>
      <c r="D18" s="58" t="s">
        <v>76</v>
      </c>
      <c r="E18" s="58">
        <v>20</v>
      </c>
      <c r="F18" s="137" t="s">
        <v>77</v>
      </c>
      <c r="G18" s="137"/>
      <c r="H18" s="99" t="s">
        <v>83</v>
      </c>
      <c r="I18" s="99"/>
      <c r="J18" s="102"/>
      <c r="K18" s="52">
        <f>K17*1.05</f>
        <v>1.5750000000000002</v>
      </c>
      <c r="L18" s="58" t="s">
        <v>35</v>
      </c>
      <c r="M18" s="102"/>
      <c r="N18" s="103"/>
    </row>
    <row r="19" spans="1:14" x14ac:dyDescent="0.25">
      <c r="A19" s="104" t="s">
        <v>84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6"/>
    </row>
    <row r="20" spans="1:14" x14ac:dyDescent="0.25">
      <c r="A20" s="132" t="s">
        <v>85</v>
      </c>
      <c r="B20" s="132"/>
      <c r="C20" s="132"/>
      <c r="D20" s="132"/>
      <c r="E20" s="132"/>
      <c r="F20" s="132"/>
      <c r="G20" s="133"/>
      <c r="H20" s="134" t="s">
        <v>86</v>
      </c>
      <c r="I20" s="132"/>
      <c r="J20" s="132"/>
      <c r="K20" s="132"/>
      <c r="L20" s="132"/>
      <c r="M20" s="132"/>
      <c r="N20" s="133"/>
    </row>
    <row r="21" spans="1:14" x14ac:dyDescent="0.25">
      <c r="A21" s="95" t="s">
        <v>87</v>
      </c>
      <c r="B21" s="95"/>
      <c r="C21" s="95"/>
      <c r="D21" s="95"/>
      <c r="E21" s="95"/>
      <c r="F21" s="57">
        <v>2</v>
      </c>
      <c r="G21" s="1" t="s">
        <v>88</v>
      </c>
      <c r="H21" s="122" t="s">
        <v>87</v>
      </c>
      <c r="I21" s="95"/>
      <c r="J21" s="95"/>
      <c r="K21" s="95"/>
      <c r="L21" s="95"/>
      <c r="M21" s="57">
        <v>2</v>
      </c>
      <c r="N21" s="1" t="s">
        <v>88</v>
      </c>
    </row>
    <row r="22" spans="1:14" x14ac:dyDescent="0.25">
      <c r="A22" s="135"/>
      <c r="B22" s="135"/>
      <c r="C22" s="135"/>
      <c r="D22" s="135"/>
      <c r="E22" s="135"/>
      <c r="F22" s="135"/>
      <c r="G22" s="1" t="s">
        <v>98</v>
      </c>
      <c r="H22" s="110"/>
      <c r="I22" s="135"/>
      <c r="J22" s="135"/>
      <c r="K22" s="135"/>
      <c r="L22" s="135"/>
      <c r="M22" s="135"/>
      <c r="N22" s="1" t="s">
        <v>98</v>
      </c>
    </row>
    <row r="23" spans="1:14" x14ac:dyDescent="0.25">
      <c r="A23" s="97" t="s">
        <v>89</v>
      </c>
      <c r="B23" s="97"/>
      <c r="C23" s="97"/>
      <c r="D23" s="97"/>
      <c r="E23" s="97">
        <f>'50-2HS01-SW-4'!H9</f>
        <v>0.74007196552124443</v>
      </c>
      <c r="F23" s="97"/>
      <c r="G23" s="1" t="s">
        <v>99</v>
      </c>
      <c r="H23" s="97" t="s">
        <v>89</v>
      </c>
      <c r="I23" s="97"/>
      <c r="J23" s="97"/>
      <c r="K23" s="97"/>
      <c r="L23" s="126">
        <f>E23</f>
        <v>0.74007196552124443</v>
      </c>
      <c r="M23" s="126"/>
      <c r="N23" s="1" t="s">
        <v>99</v>
      </c>
    </row>
    <row r="24" spans="1:14" x14ac:dyDescent="0.25">
      <c r="A24" s="97" t="s">
        <v>90</v>
      </c>
      <c r="B24" s="97"/>
      <c r="C24" s="97"/>
      <c r="D24" s="97"/>
      <c r="E24" s="97">
        <f>'50-2HS01-SW-4'!H13</f>
        <v>0.18443408780407147</v>
      </c>
      <c r="F24" s="97"/>
      <c r="G24" s="1" t="s">
        <v>100</v>
      </c>
      <c r="H24" s="97" t="s">
        <v>90</v>
      </c>
      <c r="I24" s="97"/>
      <c r="J24" s="97"/>
      <c r="K24" s="97"/>
      <c r="L24" s="126">
        <f>E24</f>
        <v>0.18443408780407147</v>
      </c>
      <c r="M24" s="126"/>
      <c r="N24" s="1" t="s">
        <v>100</v>
      </c>
    </row>
    <row r="25" spans="1:14" x14ac:dyDescent="0.25">
      <c r="A25" s="131" t="s">
        <v>91</v>
      </c>
      <c r="B25" s="131"/>
      <c r="C25" s="131"/>
      <c r="D25" s="131"/>
      <c r="E25" s="125">
        <v>1</v>
      </c>
      <c r="F25" s="125"/>
      <c r="G25" s="1" t="s">
        <v>101</v>
      </c>
      <c r="H25" s="131" t="s">
        <v>91</v>
      </c>
      <c r="I25" s="131"/>
      <c r="J25" s="131"/>
      <c r="K25" s="131"/>
      <c r="L25" s="126">
        <v>100</v>
      </c>
      <c r="M25" s="126"/>
      <c r="N25" s="1" t="s">
        <v>101</v>
      </c>
    </row>
    <row r="26" spans="1:14" x14ac:dyDescent="0.25">
      <c r="A26" s="125" t="s">
        <v>123</v>
      </c>
      <c r="B26" s="125"/>
      <c r="C26" s="125"/>
      <c r="D26" s="125"/>
      <c r="E26" s="97">
        <f>(E24+'Miscellaneous Pressure Losses'!O2)*E25</f>
        <v>0.87023408780407141</v>
      </c>
      <c r="F26" s="97"/>
      <c r="G26" s="1" t="s">
        <v>122</v>
      </c>
      <c r="H26" s="125" t="s">
        <v>123</v>
      </c>
      <c r="I26" s="125"/>
      <c r="J26" s="125"/>
      <c r="K26" s="125"/>
      <c r="L26" s="126">
        <f>L25*L24*10</f>
        <v>184.43408780407145</v>
      </c>
      <c r="M26" s="126"/>
      <c r="N26" s="1" t="s">
        <v>122</v>
      </c>
    </row>
    <row r="27" spans="1:14" x14ac:dyDescent="0.25">
      <c r="A27" s="111"/>
      <c r="B27" s="111"/>
      <c r="C27" s="111"/>
      <c r="D27" s="111"/>
      <c r="E27" s="111"/>
      <c r="F27" s="111"/>
      <c r="G27" s="112"/>
      <c r="H27" s="110"/>
      <c r="I27" s="111"/>
      <c r="J27" s="111"/>
      <c r="K27" s="111"/>
      <c r="L27" s="111"/>
      <c r="M27" s="111"/>
      <c r="N27" s="112"/>
    </row>
    <row r="28" spans="1:14" x14ac:dyDescent="0.25">
      <c r="A28" s="128" t="s">
        <v>92</v>
      </c>
      <c r="B28" s="128"/>
      <c r="C28" s="128"/>
      <c r="D28" s="128"/>
      <c r="E28" s="97">
        <v>0</v>
      </c>
      <c r="F28" s="97"/>
      <c r="G28" s="1" t="s">
        <v>101</v>
      </c>
      <c r="H28" s="128" t="s">
        <v>92</v>
      </c>
      <c r="I28" s="128"/>
      <c r="J28" s="128"/>
      <c r="K28" s="128"/>
      <c r="L28" s="119">
        <v>8</v>
      </c>
      <c r="M28" s="119"/>
      <c r="N28" s="1" t="s">
        <v>101</v>
      </c>
    </row>
    <row r="29" spans="1:14" x14ac:dyDescent="0.25">
      <c r="A29" s="128"/>
      <c r="B29" s="128"/>
      <c r="C29" s="128"/>
      <c r="D29" s="128"/>
      <c r="E29" s="97">
        <v>0</v>
      </c>
      <c r="F29" s="97"/>
      <c r="G29" s="1" t="s">
        <v>122</v>
      </c>
      <c r="H29" s="128"/>
      <c r="I29" s="128"/>
      <c r="J29" s="128"/>
      <c r="K29" s="128"/>
      <c r="L29" s="119">
        <f>K15*9.81*L28/1000</f>
        <v>78.431106960000008</v>
      </c>
      <c r="M29" s="119"/>
      <c r="N29" s="1" t="s">
        <v>122</v>
      </c>
    </row>
    <row r="30" spans="1:14" x14ac:dyDescent="0.25">
      <c r="A30" s="125" t="s">
        <v>93</v>
      </c>
      <c r="B30" s="125"/>
      <c r="C30" s="125"/>
      <c r="D30" s="125"/>
      <c r="E30" s="97">
        <v>600</v>
      </c>
      <c r="F30" s="97"/>
      <c r="G30" s="1" t="s">
        <v>122</v>
      </c>
      <c r="H30" s="125" t="s">
        <v>137</v>
      </c>
      <c r="I30" s="125"/>
      <c r="J30" s="125"/>
      <c r="K30" s="125"/>
      <c r="L30" s="127">
        <v>600</v>
      </c>
      <c r="M30" s="127"/>
      <c r="N30" s="1" t="s">
        <v>122</v>
      </c>
    </row>
    <row r="31" spans="1:14" x14ac:dyDescent="0.25">
      <c r="A31" s="125" t="s">
        <v>95</v>
      </c>
      <c r="B31" s="125"/>
      <c r="C31" s="125"/>
      <c r="D31" s="125"/>
      <c r="E31" s="125">
        <f>E29+E30</f>
        <v>600</v>
      </c>
      <c r="F31" s="125"/>
      <c r="G31" s="1" t="s">
        <v>122</v>
      </c>
      <c r="H31" s="125" t="s">
        <v>95</v>
      </c>
      <c r="I31" s="125"/>
      <c r="J31" s="125"/>
      <c r="K31" s="125"/>
      <c r="L31" s="130">
        <f>L29+L30</f>
        <v>678.43110695999997</v>
      </c>
      <c r="M31" s="130"/>
      <c r="N31" s="1" t="s">
        <v>122</v>
      </c>
    </row>
    <row r="32" spans="1:14" x14ac:dyDescent="0.25">
      <c r="A32" s="111"/>
      <c r="B32" s="111"/>
      <c r="C32" s="111"/>
      <c r="D32" s="111"/>
      <c r="E32" s="111"/>
      <c r="F32" s="111"/>
      <c r="G32" s="112"/>
      <c r="H32" s="110"/>
      <c r="I32" s="111"/>
      <c r="J32" s="111"/>
      <c r="K32" s="111"/>
      <c r="L32" s="111"/>
      <c r="M32" s="111"/>
      <c r="N32" s="112"/>
    </row>
    <row r="33" spans="1:14" x14ac:dyDescent="0.25">
      <c r="A33" s="125" t="s">
        <v>94</v>
      </c>
      <c r="B33" s="125"/>
      <c r="C33" s="125"/>
      <c r="D33" s="125"/>
      <c r="E33" s="126">
        <f>E31-E26</f>
        <v>599.12976591219592</v>
      </c>
      <c r="F33" s="126"/>
      <c r="G33" s="33" t="s">
        <v>122</v>
      </c>
      <c r="H33" s="114" t="s">
        <v>138</v>
      </c>
      <c r="I33" s="126"/>
      <c r="J33" s="126"/>
      <c r="K33" s="126"/>
      <c r="L33" s="127">
        <f>L31+L26</f>
        <v>862.86519476407148</v>
      </c>
      <c r="M33" s="127"/>
      <c r="N33" s="33" t="s">
        <v>122</v>
      </c>
    </row>
    <row r="34" spans="1:14" x14ac:dyDescent="0.25">
      <c r="A34" s="125" t="s">
        <v>96</v>
      </c>
      <c r="B34" s="125"/>
      <c r="C34" s="125"/>
      <c r="D34" s="125"/>
      <c r="E34" s="126">
        <v>1.4970000000000001</v>
      </c>
      <c r="F34" s="126"/>
      <c r="G34" s="33" t="s">
        <v>122</v>
      </c>
      <c r="H34" s="114" t="s">
        <v>94</v>
      </c>
      <c r="I34" s="126"/>
      <c r="J34" s="126"/>
      <c r="K34" s="126"/>
      <c r="L34" s="127">
        <f>E33</f>
        <v>599.12976591219592</v>
      </c>
      <c r="M34" s="127"/>
      <c r="N34" s="33" t="s">
        <v>122</v>
      </c>
    </row>
    <row r="35" spans="1:14" x14ac:dyDescent="0.25">
      <c r="A35" s="128" t="s">
        <v>97</v>
      </c>
      <c r="B35" s="128"/>
      <c r="C35" s="128"/>
      <c r="D35" s="128"/>
      <c r="E35" s="126">
        <f>E33-E34</f>
        <v>597.63276591219596</v>
      </c>
      <c r="F35" s="126"/>
      <c r="G35" s="33" t="s">
        <v>122</v>
      </c>
      <c r="H35" s="114" t="s">
        <v>139</v>
      </c>
      <c r="I35" s="126"/>
      <c r="J35" s="126"/>
      <c r="K35" s="126"/>
      <c r="L35" s="127">
        <f>L33-L34</f>
        <v>263.73542885187555</v>
      </c>
      <c r="M35" s="127"/>
      <c r="N35" s="33" t="s">
        <v>122</v>
      </c>
    </row>
    <row r="36" spans="1:14" x14ac:dyDescent="0.25">
      <c r="A36" s="129"/>
      <c r="B36" s="129"/>
      <c r="C36" s="129"/>
      <c r="D36" s="129"/>
      <c r="E36" s="99">
        <f>(E35*10^3)/($K$15*9.81)</f>
        <v>60.95874854521584</v>
      </c>
      <c r="F36" s="99"/>
      <c r="G36" s="76" t="s">
        <v>101</v>
      </c>
      <c r="H36" s="101" t="s">
        <v>140</v>
      </c>
      <c r="I36" s="99"/>
      <c r="J36" s="99"/>
      <c r="K36" s="99"/>
      <c r="L36" s="121">
        <f>L35*1000/(K15*9.81)</f>
        <v>26.901104837026569</v>
      </c>
      <c r="M36" s="121"/>
      <c r="N36" s="76" t="s">
        <v>101</v>
      </c>
    </row>
    <row r="37" spans="1:14" x14ac:dyDescent="0.25">
      <c r="A37" s="104" t="s">
        <v>141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6"/>
    </row>
    <row r="38" spans="1:14" x14ac:dyDescent="0.25">
      <c r="A38" s="122" t="s">
        <v>142</v>
      </c>
      <c r="B38" s="95"/>
      <c r="C38" s="95"/>
      <c r="D38" s="95"/>
      <c r="E38" s="123" t="s">
        <v>149</v>
      </c>
      <c r="F38" s="123"/>
      <c r="G38" s="123"/>
      <c r="H38" s="123" t="s">
        <v>153</v>
      </c>
      <c r="I38" s="123"/>
      <c r="J38" s="123"/>
      <c r="K38" s="123"/>
      <c r="L38" s="123" t="s">
        <v>168</v>
      </c>
      <c r="M38" s="123"/>
      <c r="N38" s="124"/>
    </row>
    <row r="39" spans="1:14" x14ac:dyDescent="0.25">
      <c r="A39" s="114" t="s">
        <v>143</v>
      </c>
      <c r="B39" s="97"/>
      <c r="C39" s="97"/>
      <c r="D39" s="97"/>
      <c r="E39" s="117" t="s">
        <v>185</v>
      </c>
      <c r="F39" s="117"/>
      <c r="G39" s="117"/>
      <c r="H39" s="97" t="s">
        <v>154</v>
      </c>
      <c r="I39" s="97"/>
      <c r="J39" s="97"/>
      <c r="K39" s="97"/>
      <c r="L39" s="119">
        <v>230</v>
      </c>
      <c r="M39" s="119"/>
      <c r="N39" s="1" t="s">
        <v>163</v>
      </c>
    </row>
    <row r="40" spans="1:14" x14ac:dyDescent="0.25">
      <c r="A40" s="114" t="s">
        <v>150</v>
      </c>
      <c r="B40" s="97"/>
      <c r="C40" s="97"/>
      <c r="D40" s="97"/>
      <c r="E40" s="120">
        <v>2.5</v>
      </c>
      <c r="F40" s="120"/>
      <c r="G40" s="57" t="s">
        <v>35</v>
      </c>
      <c r="H40" s="97" t="s">
        <v>155</v>
      </c>
      <c r="I40" s="97"/>
      <c r="J40" s="97"/>
      <c r="K40" s="97"/>
      <c r="L40" s="97" t="s">
        <v>164</v>
      </c>
      <c r="M40" s="97"/>
      <c r="N40" s="98"/>
    </row>
    <row r="41" spans="1:14" x14ac:dyDescent="0.25">
      <c r="A41" s="118" t="s">
        <v>139</v>
      </c>
      <c r="B41" s="117"/>
      <c r="C41" s="117"/>
      <c r="D41" s="117"/>
      <c r="E41" s="97">
        <f>L35</f>
        <v>263.73542885187555</v>
      </c>
      <c r="F41" s="97"/>
      <c r="G41" s="57" t="s">
        <v>122</v>
      </c>
      <c r="H41" s="97" t="s">
        <v>156</v>
      </c>
      <c r="I41" s="97"/>
      <c r="J41" s="97"/>
      <c r="K41" s="97"/>
      <c r="L41" s="97">
        <f>(6*K18*60)/600</f>
        <v>0.94500000000000017</v>
      </c>
      <c r="M41" s="97"/>
      <c r="N41" s="1" t="s">
        <v>165</v>
      </c>
    </row>
    <row r="42" spans="1:14" x14ac:dyDescent="0.25">
      <c r="A42" s="110"/>
      <c r="B42" s="111"/>
      <c r="C42" s="111"/>
      <c r="D42" s="111"/>
      <c r="E42" s="119">
        <f>L36</f>
        <v>26.901104837026569</v>
      </c>
      <c r="F42" s="119"/>
      <c r="G42" s="57" t="s">
        <v>101</v>
      </c>
      <c r="H42" s="97" t="s">
        <v>157</v>
      </c>
      <c r="I42" s="97"/>
      <c r="J42" s="97"/>
      <c r="K42" s="97"/>
      <c r="L42" s="97">
        <v>1.5</v>
      </c>
      <c r="M42" s="97"/>
      <c r="N42" s="1" t="s">
        <v>165</v>
      </c>
    </row>
    <row r="43" spans="1:14" x14ac:dyDescent="0.25">
      <c r="A43" s="114" t="s">
        <v>144</v>
      </c>
      <c r="B43" s="97"/>
      <c r="C43" s="97"/>
      <c r="D43" s="97"/>
      <c r="E43" s="97">
        <v>1.75</v>
      </c>
      <c r="F43" s="97"/>
      <c r="G43" s="57" t="s">
        <v>101</v>
      </c>
      <c r="H43" s="97" t="s">
        <v>158</v>
      </c>
      <c r="I43" s="97"/>
      <c r="J43" s="97"/>
      <c r="K43" s="97"/>
      <c r="L43" s="97">
        <v>70</v>
      </c>
      <c r="M43" s="97"/>
      <c r="N43" s="1" t="s">
        <v>166</v>
      </c>
    </row>
    <row r="44" spans="1:14" x14ac:dyDescent="0.25">
      <c r="A44" s="114" t="s">
        <v>145</v>
      </c>
      <c r="B44" s="97"/>
      <c r="C44" s="97"/>
      <c r="D44" s="97"/>
      <c r="E44" s="117" t="s">
        <v>151</v>
      </c>
      <c r="F44" s="117"/>
      <c r="G44" s="117"/>
      <c r="H44" s="97" t="s">
        <v>159</v>
      </c>
      <c r="I44" s="97"/>
      <c r="J44" s="97"/>
      <c r="K44" s="97"/>
      <c r="L44" s="115">
        <v>10</v>
      </c>
      <c r="M44" s="115"/>
      <c r="N44" s="62" t="s">
        <v>167</v>
      </c>
    </row>
    <row r="45" spans="1:14" x14ac:dyDescent="0.25">
      <c r="A45" s="114" t="s">
        <v>146</v>
      </c>
      <c r="B45" s="97"/>
      <c r="C45" s="97"/>
      <c r="D45" s="97"/>
      <c r="E45" s="97" t="s">
        <v>170</v>
      </c>
      <c r="F45" s="97"/>
      <c r="G45" s="97"/>
      <c r="H45" s="97" t="s">
        <v>160</v>
      </c>
      <c r="I45" s="97"/>
      <c r="J45" s="97"/>
      <c r="K45" s="97"/>
      <c r="L45" s="115">
        <v>40</v>
      </c>
      <c r="M45" s="115"/>
      <c r="N45" s="78" t="s">
        <v>77</v>
      </c>
    </row>
    <row r="46" spans="1:14" x14ac:dyDescent="0.25">
      <c r="A46" s="114" t="s">
        <v>147</v>
      </c>
      <c r="B46" s="97"/>
      <c r="C46" s="97"/>
      <c r="D46" s="97"/>
      <c r="E46" s="97" t="s">
        <v>152</v>
      </c>
      <c r="F46" s="97"/>
      <c r="G46" s="97"/>
      <c r="H46" s="97" t="s">
        <v>161</v>
      </c>
      <c r="I46" s="97"/>
      <c r="J46" s="97"/>
      <c r="K46" s="97"/>
      <c r="L46" s="115" t="s">
        <v>169</v>
      </c>
      <c r="M46" s="115"/>
      <c r="N46" s="116"/>
    </row>
    <row r="47" spans="1:14" x14ac:dyDescent="0.25">
      <c r="A47" s="101" t="s">
        <v>148</v>
      </c>
      <c r="B47" s="99"/>
      <c r="C47" s="99"/>
      <c r="D47" s="99"/>
      <c r="E47" s="99" t="s">
        <v>171</v>
      </c>
      <c r="F47" s="99"/>
      <c r="G47" s="99"/>
      <c r="H47" s="102"/>
      <c r="I47" s="102"/>
      <c r="J47" s="102"/>
      <c r="K47" s="102"/>
      <c r="L47" s="102"/>
      <c r="M47" s="102"/>
      <c r="N47" s="103"/>
    </row>
    <row r="48" spans="1:14" x14ac:dyDescent="0.25">
      <c r="A48" s="104" t="s">
        <v>172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6"/>
    </row>
    <row r="49" spans="1:14" x14ac:dyDescent="0.25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9"/>
    </row>
    <row r="50" spans="1:14" x14ac:dyDescent="0.25">
      <c r="A50" s="110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2"/>
    </row>
    <row r="51" spans="1:14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</row>
    <row r="52" spans="1:14" x14ac:dyDescent="0.25">
      <c r="A52" s="110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2"/>
    </row>
    <row r="53" spans="1:14" x14ac:dyDescent="0.25">
      <c r="A53" s="110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2"/>
    </row>
    <row r="54" spans="1:14" x14ac:dyDescent="0.25">
      <c r="A54" s="110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2"/>
    </row>
    <row r="55" spans="1:14" x14ac:dyDescent="0.25">
      <c r="A55" s="110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2"/>
    </row>
    <row r="56" spans="1:14" x14ac:dyDescent="0.25">
      <c r="A56" s="110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2"/>
    </row>
    <row r="57" spans="1:14" x14ac:dyDescent="0.25">
      <c r="A57" s="110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2"/>
    </row>
    <row r="58" spans="1:14" x14ac:dyDescent="0.25">
      <c r="A58" s="110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2"/>
    </row>
    <row r="59" spans="1:14" x14ac:dyDescent="0.25">
      <c r="A59" s="110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2"/>
    </row>
    <row r="60" spans="1:14" x14ac:dyDescent="0.25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2"/>
    </row>
    <row r="61" spans="1:14" x14ac:dyDescent="0.25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2"/>
    </row>
    <row r="62" spans="1:14" x14ac:dyDescent="0.25">
      <c r="A62" s="113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3"/>
    </row>
    <row r="63" spans="1:14" x14ac:dyDescent="0.25">
      <c r="A63" s="104" t="s">
        <v>173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6"/>
    </row>
    <row r="64" spans="1:14" x14ac:dyDescent="0.25">
      <c r="A64" s="80" t="s">
        <v>174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</row>
    <row r="65" spans="1:14" x14ac:dyDescent="0.25">
      <c r="A65" s="81" t="s">
        <v>175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8"/>
    </row>
    <row r="66" spans="1:14" x14ac:dyDescent="0.25">
      <c r="A66" s="81" t="s">
        <v>176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8"/>
    </row>
    <row r="67" spans="1:14" x14ac:dyDescent="0.25">
      <c r="A67" s="81" t="s">
        <v>177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8"/>
    </row>
    <row r="68" spans="1:14" x14ac:dyDescent="0.25">
      <c r="A68" s="82" t="s">
        <v>178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100"/>
    </row>
  </sheetData>
  <mergeCells count="136">
    <mergeCell ref="B64:N64"/>
    <mergeCell ref="B65:N65"/>
    <mergeCell ref="B66:N66"/>
    <mergeCell ref="B67:N67"/>
    <mergeCell ref="B68:N68"/>
    <mergeCell ref="A47:D47"/>
    <mergeCell ref="E47:G47"/>
    <mergeCell ref="H47:N47"/>
    <mergeCell ref="A48:N48"/>
    <mergeCell ref="A49:N62"/>
    <mergeCell ref="A63:N63"/>
    <mergeCell ref="A45:D45"/>
    <mergeCell ref="E45:G45"/>
    <mergeCell ref="H45:K45"/>
    <mergeCell ref="L45:M45"/>
    <mergeCell ref="A46:D46"/>
    <mergeCell ref="E46:G46"/>
    <mergeCell ref="H46:K46"/>
    <mergeCell ref="L46:N46"/>
    <mergeCell ref="A43:D43"/>
    <mergeCell ref="E43:F43"/>
    <mergeCell ref="H43:K43"/>
    <mergeCell ref="L43:M43"/>
    <mergeCell ref="A44:D44"/>
    <mergeCell ref="E44:G44"/>
    <mergeCell ref="H44:K44"/>
    <mergeCell ref="L44:M44"/>
    <mergeCell ref="A41:D41"/>
    <mergeCell ref="E41:F41"/>
    <mergeCell ref="H41:K41"/>
    <mergeCell ref="L41:M41"/>
    <mergeCell ref="A42:D42"/>
    <mergeCell ref="E42:F42"/>
    <mergeCell ref="H42:K42"/>
    <mergeCell ref="L42:M42"/>
    <mergeCell ref="A39:D39"/>
    <mergeCell ref="E39:G39"/>
    <mergeCell ref="H39:K39"/>
    <mergeCell ref="L39:M39"/>
    <mergeCell ref="A40:D40"/>
    <mergeCell ref="E40:F40"/>
    <mergeCell ref="H40:K40"/>
    <mergeCell ref="L40:N40"/>
    <mergeCell ref="L36:M36"/>
    <mergeCell ref="A37:N37"/>
    <mergeCell ref="A38:D38"/>
    <mergeCell ref="E38:G38"/>
    <mergeCell ref="H38:K38"/>
    <mergeCell ref="L38:N38"/>
    <mergeCell ref="A34:D34"/>
    <mergeCell ref="E34:F34"/>
    <mergeCell ref="H34:K34"/>
    <mergeCell ref="L34:M34"/>
    <mergeCell ref="A35:D36"/>
    <mergeCell ref="E35:F35"/>
    <mergeCell ref="H35:K35"/>
    <mergeCell ref="L35:M35"/>
    <mergeCell ref="E36:F36"/>
    <mergeCell ref="H36:K36"/>
    <mergeCell ref="A32:G32"/>
    <mergeCell ref="H32:N32"/>
    <mergeCell ref="A33:D33"/>
    <mergeCell ref="E33:F33"/>
    <mergeCell ref="H33:K33"/>
    <mergeCell ref="L33:M33"/>
    <mergeCell ref="A30:D30"/>
    <mergeCell ref="E30:F30"/>
    <mergeCell ref="H30:K30"/>
    <mergeCell ref="L30:M30"/>
    <mergeCell ref="A31:D31"/>
    <mergeCell ref="E31:F31"/>
    <mergeCell ref="H31:K31"/>
    <mergeCell ref="L31:M31"/>
    <mergeCell ref="A27:G27"/>
    <mergeCell ref="H27:N27"/>
    <mergeCell ref="A28:D29"/>
    <mergeCell ref="E28:F28"/>
    <mergeCell ref="H28:K29"/>
    <mergeCell ref="L28:M28"/>
    <mergeCell ref="E29:F29"/>
    <mergeCell ref="L29:M29"/>
    <mergeCell ref="A25:D25"/>
    <mergeCell ref="E25:F25"/>
    <mergeCell ref="H25:K25"/>
    <mergeCell ref="L25:M25"/>
    <mergeCell ref="A26:D26"/>
    <mergeCell ref="E26:F26"/>
    <mergeCell ref="H26:K26"/>
    <mergeCell ref="L26:M26"/>
    <mergeCell ref="L23:M23"/>
    <mergeCell ref="A24:D24"/>
    <mergeCell ref="E24:F24"/>
    <mergeCell ref="H24:K24"/>
    <mergeCell ref="L24:M24"/>
    <mergeCell ref="A19:N19"/>
    <mergeCell ref="A20:G20"/>
    <mergeCell ref="H20:N20"/>
    <mergeCell ref="A21:E21"/>
    <mergeCell ref="H21:L21"/>
    <mergeCell ref="A22:F22"/>
    <mergeCell ref="H22:M22"/>
    <mergeCell ref="H15:I15"/>
    <mergeCell ref="A16:C18"/>
    <mergeCell ref="F16:G16"/>
    <mergeCell ref="H16:I16"/>
    <mergeCell ref="F17:G17"/>
    <mergeCell ref="H17:I17"/>
    <mergeCell ref="F18:G18"/>
    <mergeCell ref="H18:I18"/>
    <mergeCell ref="A23:D23"/>
    <mergeCell ref="E23:F23"/>
    <mergeCell ref="H23:K23"/>
    <mergeCell ref="A1:G1"/>
    <mergeCell ref="H1:N1"/>
    <mergeCell ref="A2:G2"/>
    <mergeCell ref="H2:J2"/>
    <mergeCell ref="K2:N2"/>
    <mergeCell ref="A3:G7"/>
    <mergeCell ref="A13:C13"/>
    <mergeCell ref="D13:G13"/>
    <mergeCell ref="H13:I14"/>
    <mergeCell ref="K13:L14"/>
    <mergeCell ref="A14:C14"/>
    <mergeCell ref="D14:G14"/>
    <mergeCell ref="A8:G8"/>
    <mergeCell ref="A9:N9"/>
    <mergeCell ref="A10:N10"/>
    <mergeCell ref="A11:N11"/>
    <mergeCell ref="A12:C12"/>
    <mergeCell ref="D12:G12"/>
    <mergeCell ref="H12:I12"/>
    <mergeCell ref="J12:J18"/>
    <mergeCell ref="K12:L12"/>
    <mergeCell ref="M12:N18"/>
    <mergeCell ref="A15:C15"/>
    <mergeCell ref="D15:G15"/>
  </mergeCells>
  <pageMargins left="0.7" right="0.7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workbookViewId="0">
      <selection activeCell="F24" sqref="F24"/>
    </sheetView>
  </sheetViews>
  <sheetFormatPr defaultRowHeight="15" x14ac:dyDescent="0.25"/>
  <cols>
    <col min="3" max="3" width="11.28515625" customWidth="1"/>
    <col min="4" max="4" width="26.140625" bestFit="1" customWidth="1"/>
    <col min="5" max="5" width="29.85546875" bestFit="1" customWidth="1"/>
    <col min="6" max="6" width="47.42578125" bestFit="1" customWidth="1"/>
  </cols>
  <sheetData>
    <row r="1" spans="1:8" x14ac:dyDescent="0.25">
      <c r="A1" s="173" t="s">
        <v>39</v>
      </c>
      <c r="B1" s="173"/>
      <c r="C1" s="174"/>
      <c r="D1" s="18" t="s">
        <v>29</v>
      </c>
      <c r="E1" s="18" t="s">
        <v>31</v>
      </c>
      <c r="F1" s="19" t="s">
        <v>37</v>
      </c>
      <c r="G1" s="24"/>
      <c r="H1" s="7"/>
    </row>
    <row r="2" spans="1:8" x14ac:dyDescent="0.25">
      <c r="A2" s="175"/>
      <c r="B2" s="175"/>
      <c r="C2" s="176"/>
      <c r="D2" s="12" t="s">
        <v>30</v>
      </c>
      <c r="E2" s="12" t="s">
        <v>32</v>
      </c>
      <c r="F2" s="13" t="s">
        <v>38</v>
      </c>
      <c r="G2" s="168" t="s">
        <v>52</v>
      </c>
    </row>
    <row r="3" spans="1:8" x14ac:dyDescent="0.25">
      <c r="A3" s="170" t="s">
        <v>130</v>
      </c>
      <c r="B3" s="171"/>
      <c r="C3" s="172"/>
      <c r="D3" s="11">
        <f>('Max Supply Req. Calculations'!F24*13.198)^0.5</f>
        <v>4.4493819795562617</v>
      </c>
      <c r="E3" s="11">
        <f>(((0.55*('Max Supply Req. Calculations'!F24^0.49))*(1000^-0.35))*1000)/25.4</f>
        <v>2.354039196058098</v>
      </c>
      <c r="F3" s="1">
        <f>0.25*SQRT('Max Supply Req. Calculations'!F24*13.198)</f>
        <v>1.1123454948890654</v>
      </c>
      <c r="G3" s="169"/>
      <c r="H3" t="s">
        <v>125</v>
      </c>
    </row>
    <row r="4" spans="1:8" x14ac:dyDescent="0.25">
      <c r="A4" s="144" t="s">
        <v>33</v>
      </c>
      <c r="B4" s="145"/>
      <c r="C4" s="146"/>
      <c r="D4" s="25">
        <v>4.5</v>
      </c>
      <c r="E4" s="28">
        <v>2.5</v>
      </c>
      <c r="F4" s="26">
        <v>1.5</v>
      </c>
      <c r="G4" s="38">
        <v>2</v>
      </c>
    </row>
    <row r="5" spans="1:8" x14ac:dyDescent="0.25">
      <c r="A5" s="144" t="s">
        <v>34</v>
      </c>
      <c r="B5" s="145"/>
      <c r="C5" s="146"/>
      <c r="D5" s="23">
        <v>0.247</v>
      </c>
      <c r="E5" s="23">
        <v>0.20300000000000001</v>
      </c>
      <c r="F5" s="1">
        <v>0.14499999999999999</v>
      </c>
      <c r="G5" s="39">
        <v>0.154</v>
      </c>
    </row>
    <row r="6" spans="1:8" x14ac:dyDescent="0.25">
      <c r="A6" s="144" t="s">
        <v>40</v>
      </c>
      <c r="B6" s="145"/>
      <c r="C6" s="146"/>
      <c r="D6" s="27">
        <f>(4*'Max Supply Req. Calculations'!$F$24)/(PI()*1.3059*10^-3*D4*25.4*10^-3)</f>
        <v>12795.145399419462</v>
      </c>
      <c r="E6" s="41">
        <f>(4*'Max Supply Req. Calculations'!$F$24)/(PI()*1.3059*10^-3*E4*25.4*10^-3)</f>
        <v>23031.261718955029</v>
      </c>
      <c r="F6" s="27">
        <f>(4*'Max Supply Req. Calculations'!$F$24)/(PI()*1.3059*10^-3*F4*25.4*10^-3)</f>
        <v>38385.43619825838</v>
      </c>
      <c r="G6" s="35">
        <f>(4*'Max Supply Req. Calculations'!$F$24)/(PI()*1.3059*10^-3*G4*25.4*10^-3)</f>
        <v>28789.077148693785</v>
      </c>
    </row>
    <row r="7" spans="1:8" x14ac:dyDescent="0.25">
      <c r="A7" s="144" t="s">
        <v>41</v>
      </c>
      <c r="B7" s="145"/>
      <c r="C7" s="146"/>
      <c r="D7" s="27" t="s">
        <v>42</v>
      </c>
      <c r="E7" s="41" t="s">
        <v>42</v>
      </c>
      <c r="F7" s="27" t="s">
        <v>42</v>
      </c>
      <c r="G7" s="35" t="s">
        <v>42</v>
      </c>
    </row>
    <row r="8" spans="1:8" x14ac:dyDescent="0.25">
      <c r="A8" s="144" t="s">
        <v>43</v>
      </c>
      <c r="B8" s="145"/>
      <c r="C8" s="146"/>
      <c r="D8" s="29">
        <f>PI()*(0.5*D4*10^-3*25.4)^2</f>
        <v>1.0260826451724332E-2</v>
      </c>
      <c r="E8" s="43">
        <f>PI()*(0.5*E4*10^-3*25.4)^2</f>
        <v>3.1669217443593611E-3</v>
      </c>
      <c r="F8" s="30">
        <f>PI()*(0.5*F4*10^-3*25.4)^2</f>
        <v>1.1400918279693699E-3</v>
      </c>
      <c r="G8" s="40">
        <f>PI()*(0.5*G4*10^-3*25.4)^2</f>
        <v>2.0268299163899908E-3</v>
      </c>
    </row>
    <row r="9" spans="1:8" x14ac:dyDescent="0.25">
      <c r="A9" s="144" t="s">
        <v>44</v>
      </c>
      <c r="B9" s="145"/>
      <c r="C9" s="146"/>
      <c r="D9" s="30">
        <f>'Max Supply Req. Calculations'!$F$24*10^-3/D8</f>
        <v>0.14618705491777662</v>
      </c>
      <c r="E9" s="43">
        <f>'Max Supply Req. Calculations'!$F$24*10^-3/E8</f>
        <v>0.47364605793359638</v>
      </c>
      <c r="F9" s="30">
        <f>'Max Supply Req. Calculations'!$F$24*10^-3/F8</f>
        <v>1.31568349425999</v>
      </c>
      <c r="G9" s="36">
        <f>'Max Supply Req. Calculations'!$F$24*10^-3/G8</f>
        <v>0.74007196552124443</v>
      </c>
    </row>
    <row r="10" spans="1:8" x14ac:dyDescent="0.25">
      <c r="A10" s="144" t="s">
        <v>48</v>
      </c>
      <c r="B10" s="145"/>
      <c r="C10" s="146"/>
      <c r="D10" s="30">
        <f>'Max Supply Req. Calculations'!$X$8/(D4*25.4)</f>
        <v>4.0244969378827649E-4</v>
      </c>
      <c r="E10" s="43">
        <f>'Max Supply Req. Calculations'!$X$8/(E4*25.4)</f>
        <v>7.244094488188976E-4</v>
      </c>
      <c r="F10" s="30">
        <f>'Max Supply Req. Calculations'!$X$8/(F4*25.4)</f>
        <v>1.2073490813648295E-3</v>
      </c>
      <c r="G10" s="36">
        <f>'Max Supply Req. Calculations'!$X$8/(G4*25.4)</f>
        <v>9.0551181102362208E-4</v>
      </c>
    </row>
    <row r="11" spans="1:8" x14ac:dyDescent="0.25">
      <c r="A11" s="144" t="s">
        <v>49</v>
      </c>
      <c r="B11" s="145"/>
      <c r="C11" s="146"/>
      <c r="D11" s="7">
        <v>2.8963200000000001E-2</v>
      </c>
      <c r="E11" s="54">
        <v>2.5035600000000002E-2</v>
      </c>
      <c r="F11" s="24">
        <v>2.2276000000000001E-2</v>
      </c>
      <c r="G11" s="34">
        <v>2.37588E-2</v>
      </c>
    </row>
    <row r="12" spans="1:8" x14ac:dyDescent="0.25">
      <c r="A12" s="144" t="s">
        <v>50</v>
      </c>
      <c r="B12" s="145"/>
      <c r="C12" s="146"/>
      <c r="D12" s="30">
        <f>0.25*D11</f>
        <v>7.2408000000000004E-3</v>
      </c>
      <c r="E12" s="43">
        <f>0.25*E11</f>
        <v>6.2589000000000004E-3</v>
      </c>
      <c r="F12" s="30">
        <f>0.25*F11</f>
        <v>5.5690000000000002E-3</v>
      </c>
      <c r="G12" s="36">
        <f>0.25*G11</f>
        <v>5.9397E-3</v>
      </c>
    </row>
    <row r="13" spans="1:8" x14ac:dyDescent="0.25">
      <c r="A13" s="177" t="s">
        <v>51</v>
      </c>
      <c r="B13" s="149"/>
      <c r="C13" s="150"/>
      <c r="D13" s="32">
        <f>(4*D12*(1/(D4*25.4))*0.5*1000*D9^2)*1.2^2</f>
        <v>3.8989767284127149E-3</v>
      </c>
      <c r="E13" s="44">
        <f>(4*E12*(1/(E4*25.4))*0.5*1000*E9^2)*1.2^2</f>
        <v>6.3683163550949357E-2</v>
      </c>
      <c r="F13" s="32">
        <f>(4*F12*(1/(F4*25.4))*0.5*1000*F9^2)*1.2^2</f>
        <v>0.72869800855276945</v>
      </c>
      <c r="G13" s="37">
        <f>(4*G12*(1/(G4*25.4))*0.5*1000*G9^2)*1.2^2</f>
        <v>0.18443408780407147</v>
      </c>
    </row>
  </sheetData>
  <mergeCells count="13">
    <mergeCell ref="A9:C9"/>
    <mergeCell ref="A10:C10"/>
    <mergeCell ref="A6:C6"/>
    <mergeCell ref="A11:C11"/>
    <mergeCell ref="A13:C13"/>
    <mergeCell ref="A12:C12"/>
    <mergeCell ref="A8:C8"/>
    <mergeCell ref="G2:G3"/>
    <mergeCell ref="A3:C3"/>
    <mergeCell ref="A7:C7"/>
    <mergeCell ref="A4:C4"/>
    <mergeCell ref="A5:C5"/>
    <mergeCell ref="A1:C2"/>
  </mergeCells>
  <pageMargins left="0.7" right="0.7" top="0.75" bottom="0.75" header="0.3" footer="0.3"/>
  <pageSetup paperSize="9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M35" sqref="M35"/>
    </sheetView>
  </sheetViews>
  <sheetFormatPr defaultRowHeight="15" x14ac:dyDescent="0.25"/>
  <cols>
    <col min="3" max="3" width="11.28515625" customWidth="1"/>
    <col min="4" max="4" width="26.140625" bestFit="1" customWidth="1"/>
    <col min="5" max="5" width="29.85546875" bestFit="1" customWidth="1"/>
    <col min="6" max="6" width="47.42578125" bestFit="1" customWidth="1"/>
    <col min="7" max="8" width="9.7109375" bestFit="1" customWidth="1"/>
  </cols>
  <sheetData>
    <row r="1" spans="1:12" x14ac:dyDescent="0.25">
      <c r="A1" s="138" t="s">
        <v>39</v>
      </c>
      <c r="B1" s="139"/>
      <c r="C1" s="140"/>
      <c r="D1" s="18" t="s">
        <v>29</v>
      </c>
      <c r="E1" s="18" t="s">
        <v>31</v>
      </c>
      <c r="F1" s="31" t="s">
        <v>37</v>
      </c>
    </row>
    <row r="2" spans="1:12" x14ac:dyDescent="0.25">
      <c r="A2" s="178"/>
      <c r="B2" s="175"/>
      <c r="C2" s="176"/>
      <c r="D2" s="12" t="s">
        <v>30</v>
      </c>
      <c r="E2" s="12" t="s">
        <v>32</v>
      </c>
      <c r="F2" s="13" t="s">
        <v>38</v>
      </c>
      <c r="G2" s="168" t="s">
        <v>52</v>
      </c>
      <c r="H2" s="168" t="s">
        <v>52</v>
      </c>
      <c r="L2" t="s">
        <v>184</v>
      </c>
    </row>
    <row r="3" spans="1:12" x14ac:dyDescent="0.25">
      <c r="A3" s="144" t="s">
        <v>186</v>
      </c>
      <c r="B3" s="145"/>
      <c r="C3" s="146"/>
      <c r="D3" s="11">
        <f>(1.5*13.198)^0.5</f>
        <v>4.4493819795562617</v>
      </c>
      <c r="E3" s="11">
        <f>(((0.55*(1.5^0.49))*(1000^-0.35))*1000)/25.4</f>
        <v>2.354039196058098</v>
      </c>
      <c r="F3" s="1">
        <f>0.25*SQRT(1.5*13.198)</f>
        <v>1.1123454948890654</v>
      </c>
      <c r="G3" s="169"/>
      <c r="H3" s="169"/>
    </row>
    <row r="4" spans="1:12" x14ac:dyDescent="0.25">
      <c r="A4" s="144" t="s">
        <v>33</v>
      </c>
      <c r="B4" s="145"/>
      <c r="C4" s="146"/>
      <c r="D4" s="25">
        <v>4.5</v>
      </c>
      <c r="E4" s="28">
        <v>2.5</v>
      </c>
      <c r="F4" s="59">
        <v>1.25</v>
      </c>
      <c r="G4" s="60">
        <v>1.5</v>
      </c>
      <c r="H4" s="38">
        <v>2</v>
      </c>
    </row>
    <row r="5" spans="1:12" x14ac:dyDescent="0.25">
      <c r="A5" s="144" t="s">
        <v>34</v>
      </c>
      <c r="B5" s="145"/>
      <c r="C5" s="146"/>
      <c r="D5" s="23">
        <v>0.247</v>
      </c>
      <c r="E5" s="23">
        <v>0.20300000000000001</v>
      </c>
      <c r="F5" s="1">
        <v>0.14000000000000001</v>
      </c>
      <c r="G5" s="33">
        <v>0.109</v>
      </c>
      <c r="H5" s="39">
        <v>0.113</v>
      </c>
    </row>
    <row r="6" spans="1:12" x14ac:dyDescent="0.25">
      <c r="A6" s="144" t="s">
        <v>40</v>
      </c>
      <c r="B6" s="145"/>
      <c r="C6" s="146"/>
      <c r="D6" s="41">
        <f>(4*1.5)/(PI()*1.3059*10^-3*D4*25.4*10^-3)</f>
        <v>12795.145399419462</v>
      </c>
      <c r="E6" s="41">
        <f>(4*1.5)/(PI()*1.3059*10^-3*E4*25.4*10^-3)</f>
        <v>23031.261718955029</v>
      </c>
      <c r="F6" s="41">
        <f>(4*1.5)/(PI()*1.3059*10^-3*F4*25.4*10^-3)</f>
        <v>46062.523437910058</v>
      </c>
      <c r="G6" s="41">
        <f t="shared" ref="G6:H6" si="0">(4*1.5)/(PI()*1.3059*10^-3*G4*25.4*10^-3)</f>
        <v>38385.43619825838</v>
      </c>
      <c r="H6" s="35">
        <f t="shared" si="0"/>
        <v>28789.077148693785</v>
      </c>
    </row>
    <row r="7" spans="1:12" x14ac:dyDescent="0.25">
      <c r="A7" s="144" t="s">
        <v>41</v>
      </c>
      <c r="B7" s="145"/>
      <c r="C7" s="146"/>
      <c r="D7" s="41" t="s">
        <v>42</v>
      </c>
      <c r="E7" s="41" t="s">
        <v>42</v>
      </c>
      <c r="F7" s="27" t="s">
        <v>42</v>
      </c>
      <c r="G7" s="41" t="s">
        <v>42</v>
      </c>
      <c r="H7" s="35" t="s">
        <v>42</v>
      </c>
    </row>
    <row r="8" spans="1:12" x14ac:dyDescent="0.25">
      <c r="A8" s="144" t="s">
        <v>43</v>
      </c>
      <c r="B8" s="145"/>
      <c r="C8" s="146"/>
      <c r="D8" s="29">
        <f>PI()*(0.5*D4*10^-3*25.4)^2</f>
        <v>1.0260826451724332E-2</v>
      </c>
      <c r="E8" s="43">
        <f>PI()*(0.5*E4*10^-3*25.4)^2</f>
        <v>3.1669217443593611E-3</v>
      </c>
      <c r="F8" s="30">
        <f>PI()*(0.5*F4*10^-3*25.4)^2</f>
        <v>7.9173043608984028E-4</v>
      </c>
      <c r="G8" s="43">
        <f t="shared" ref="G8:H8" si="1">PI()*(0.5*G4*10^-3*25.4)^2</f>
        <v>1.1400918279693699E-3</v>
      </c>
      <c r="H8" s="36">
        <f t="shared" si="1"/>
        <v>2.0268299163899908E-3</v>
      </c>
    </row>
    <row r="9" spans="1:12" x14ac:dyDescent="0.25">
      <c r="A9" s="144" t="s">
        <v>44</v>
      </c>
      <c r="B9" s="145"/>
      <c r="C9" s="146"/>
      <c r="D9" s="30">
        <f>1.5*10^-3/D8</f>
        <v>0.14618705491777662</v>
      </c>
      <c r="E9" s="30">
        <f t="shared" ref="E9:F9" si="2">1.5*10^-3/E8</f>
        <v>0.47364605793359638</v>
      </c>
      <c r="F9" s="30">
        <f t="shared" si="2"/>
        <v>1.8945842317343855</v>
      </c>
      <c r="G9" s="30">
        <f t="shared" ref="G9" si="3">1.5*10^-3/G8</f>
        <v>1.31568349425999</v>
      </c>
      <c r="H9" s="36">
        <f t="shared" ref="H9" si="4">1.5*10^-3/H8</f>
        <v>0.74007196552124443</v>
      </c>
    </row>
    <row r="10" spans="1:12" x14ac:dyDescent="0.25">
      <c r="A10" s="144" t="s">
        <v>48</v>
      </c>
      <c r="B10" s="145"/>
      <c r="C10" s="146"/>
      <c r="D10" s="30">
        <f>'Max Supply Req. Calculations'!$X$8/(D4*25.4)</f>
        <v>4.0244969378827649E-4</v>
      </c>
      <c r="E10" s="43">
        <f>'Max Supply Req. Calculations'!$X$8/(E4*25.4)</f>
        <v>7.244094488188976E-4</v>
      </c>
      <c r="F10" s="30">
        <f>'Max Supply Req. Calculations'!$X$8/(F4*25.4)</f>
        <v>1.4488188976377952E-3</v>
      </c>
      <c r="G10" s="43">
        <f>'Max Supply Req. Calculations'!$X$8/(G4*25.4)</f>
        <v>1.2073490813648295E-3</v>
      </c>
      <c r="H10" s="36">
        <f>'Max Supply Req. Calculations'!$X$8/(H4*25.4)</f>
        <v>9.0551181102362208E-4</v>
      </c>
    </row>
    <row r="11" spans="1:12" x14ac:dyDescent="0.25">
      <c r="A11" s="144" t="s">
        <v>49</v>
      </c>
      <c r="B11" s="145"/>
      <c r="C11" s="146"/>
      <c r="D11" s="49">
        <v>2.8963200000000001E-2</v>
      </c>
      <c r="E11" s="54">
        <v>2.5034799999999999E-2</v>
      </c>
      <c r="F11" s="11">
        <v>2.1435200000000001E-2</v>
      </c>
      <c r="G11" s="23">
        <v>2.2276000000000001E-2</v>
      </c>
      <c r="H11" s="34">
        <v>2.37588E-2</v>
      </c>
    </row>
    <row r="12" spans="1:12" x14ac:dyDescent="0.25">
      <c r="A12" s="144" t="s">
        <v>50</v>
      </c>
      <c r="B12" s="145"/>
      <c r="C12" s="146"/>
      <c r="D12" s="30">
        <f>0.25*D11</f>
        <v>7.2408000000000004E-3</v>
      </c>
      <c r="E12" s="43">
        <f>0.25*E11</f>
        <v>6.2586999999999999E-3</v>
      </c>
      <c r="F12" s="30">
        <f>0.25*F11</f>
        <v>5.3588000000000004E-3</v>
      </c>
      <c r="G12" s="43">
        <f>0.25*G11</f>
        <v>5.5690000000000002E-3</v>
      </c>
      <c r="H12" s="36">
        <f>0.25*H11</f>
        <v>5.9397E-3</v>
      </c>
    </row>
    <row r="13" spans="1:12" x14ac:dyDescent="0.25">
      <c r="A13" s="177" t="s">
        <v>51</v>
      </c>
      <c r="B13" s="149"/>
      <c r="C13" s="150"/>
      <c r="D13" s="32">
        <f>(4*D12*(1/(D4*25.4))*0.5*1000*D9^2)*1.2^2</f>
        <v>3.8989767284127149E-3</v>
      </c>
      <c r="E13" s="44">
        <f>(4*E12*(1/(E4*25.4))*0.5*1000*E9^2)*1.2^2</f>
        <v>6.368112858750366E-2</v>
      </c>
      <c r="F13" s="32">
        <f>(4*F12*(1/(F4*25.4))*0.5*1000*F9^2)*1.2^2</f>
        <v>1.7447939380367918</v>
      </c>
      <c r="G13" s="44">
        <f>(4*G12*(1/(G4*25.4))*0.5*1000*G9^2)*1.2^2</f>
        <v>0.72869800855276945</v>
      </c>
      <c r="H13" s="37">
        <f>(4*H12*(1/(H4*25.4))*0.5*1000*H9^2)*1.2^2</f>
        <v>0.18443408780407147</v>
      </c>
    </row>
  </sheetData>
  <mergeCells count="14">
    <mergeCell ref="A13:C13"/>
    <mergeCell ref="H2:H3"/>
    <mergeCell ref="A7:C7"/>
    <mergeCell ref="A8:C8"/>
    <mergeCell ref="A9:C9"/>
    <mergeCell ref="A10:C10"/>
    <mergeCell ref="A11:C11"/>
    <mergeCell ref="A12:C12"/>
    <mergeCell ref="A1:C2"/>
    <mergeCell ref="G2:G3"/>
    <mergeCell ref="A3:C3"/>
    <mergeCell ref="A4:C4"/>
    <mergeCell ref="A5:C5"/>
    <mergeCell ref="A6:C6"/>
  </mergeCells>
  <pageMargins left="0.7" right="0.7" top="0.75" bottom="0.75" header="0.3" footer="0.3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zoomScaleNormal="100" workbookViewId="0">
      <selection activeCell="H24" sqref="H24"/>
    </sheetView>
  </sheetViews>
  <sheetFormatPr defaultRowHeight="15" x14ac:dyDescent="0.25"/>
  <cols>
    <col min="3" max="3" width="14.140625" customWidth="1"/>
    <col min="4" max="4" width="26.140625" bestFit="1" customWidth="1"/>
    <col min="5" max="5" width="29.85546875" bestFit="1" customWidth="1"/>
    <col min="6" max="6" width="47.42578125" bestFit="1" customWidth="1"/>
    <col min="7" max="8" width="10" bestFit="1" customWidth="1"/>
  </cols>
  <sheetData>
    <row r="1" spans="1:8" x14ac:dyDescent="0.25">
      <c r="A1" s="138" t="s">
        <v>39</v>
      </c>
      <c r="B1" s="139"/>
      <c r="C1" s="140"/>
      <c r="D1" s="18" t="s">
        <v>29</v>
      </c>
      <c r="E1" s="18" t="s">
        <v>31</v>
      </c>
      <c r="F1" s="22" t="s">
        <v>37</v>
      </c>
    </row>
    <row r="2" spans="1:8" x14ac:dyDescent="0.25">
      <c r="A2" s="178"/>
      <c r="B2" s="175"/>
      <c r="C2" s="176"/>
      <c r="D2" s="12" t="s">
        <v>30</v>
      </c>
      <c r="E2" s="12" t="s">
        <v>32</v>
      </c>
      <c r="F2" s="13" t="s">
        <v>38</v>
      </c>
      <c r="G2" s="168" t="s">
        <v>52</v>
      </c>
      <c r="H2" s="168" t="s">
        <v>52</v>
      </c>
    </row>
    <row r="3" spans="1:8" x14ac:dyDescent="0.25">
      <c r="A3" s="144" t="s">
        <v>131</v>
      </c>
      <c r="B3" s="145"/>
      <c r="C3" s="146"/>
      <c r="D3" s="11">
        <f>('Max Supply Req. Calculations'!D13*13.198)^0.5</f>
        <v>6.5086372974979545</v>
      </c>
      <c r="E3" s="11">
        <f>(((0.55*('Max Supply Req. Calculations'!D13^0.49))*(1000^-0.35))*1000)/25.4</f>
        <v>3.4174349864507971</v>
      </c>
      <c r="F3" s="1">
        <f>0.25*SQRT('Max Supply Req. Calculations'!D13*13.198)</f>
        <v>1.6271593243744886</v>
      </c>
      <c r="G3" s="169"/>
      <c r="H3" s="169"/>
    </row>
    <row r="4" spans="1:8" x14ac:dyDescent="0.25">
      <c r="A4" s="144" t="s">
        <v>33</v>
      </c>
      <c r="B4" s="145"/>
      <c r="C4" s="146"/>
      <c r="D4" s="25">
        <v>7</v>
      </c>
      <c r="E4" s="28">
        <v>3.5</v>
      </c>
      <c r="F4" s="26">
        <v>2</v>
      </c>
      <c r="G4" s="38">
        <v>2.5</v>
      </c>
      <c r="H4" s="55">
        <v>3</v>
      </c>
    </row>
    <row r="5" spans="1:8" x14ac:dyDescent="0.25">
      <c r="A5" s="144" t="s">
        <v>34</v>
      </c>
      <c r="B5" s="145"/>
      <c r="C5" s="146"/>
      <c r="D5" s="23">
        <v>0.30099999999999999</v>
      </c>
      <c r="E5" s="23">
        <v>0.22600000000000001</v>
      </c>
      <c r="F5" s="1">
        <v>0.154</v>
      </c>
      <c r="G5" s="39">
        <v>0.20300000000000001</v>
      </c>
      <c r="H5" s="23">
        <v>0.216</v>
      </c>
    </row>
    <row r="6" spans="1:8" x14ac:dyDescent="0.25">
      <c r="A6" s="144" t="s">
        <v>40</v>
      </c>
      <c r="B6" s="145"/>
      <c r="C6" s="146"/>
      <c r="D6" s="27">
        <f>(4*'Max Supply Req. Calculations'!$D$13)/(PI()*1.3059*10^-3*D4*25.4*10^-3)</f>
        <v>17601.12621672131</v>
      </c>
      <c r="E6" s="27">
        <f>(4*'Max Supply Req. Calculations'!$D$13)/(PI()*1.3059*10^-3*E4*25.4*10^-3)</f>
        <v>35202.25243344262</v>
      </c>
      <c r="F6" s="27">
        <f>(4*'Max Supply Req. Calculations'!$D$13)/(PI()*1.3059*10^-3*F4*25.4*10^-3)</f>
        <v>61603.941758524583</v>
      </c>
      <c r="G6" s="35">
        <f>(4*'Max Supply Req. Calculations'!$D$13)/(PI()*1.3059*10^-3*G4*25.4*10^-3)</f>
        <v>49283.153406819671</v>
      </c>
      <c r="H6" s="41">
        <f>(4*'Max Supply Req. Calculations'!$D$13)/(PI()*1.3059*10^-3*H4*25.4*10^-3)</f>
        <v>41069.294505683058</v>
      </c>
    </row>
    <row r="7" spans="1:8" x14ac:dyDescent="0.25">
      <c r="A7" s="144" t="s">
        <v>41</v>
      </c>
      <c r="B7" s="145"/>
      <c r="C7" s="146"/>
      <c r="D7" s="27" t="s">
        <v>42</v>
      </c>
      <c r="E7" s="41" t="s">
        <v>42</v>
      </c>
      <c r="F7" s="27" t="s">
        <v>42</v>
      </c>
      <c r="G7" s="35" t="s">
        <v>42</v>
      </c>
      <c r="H7" s="41" t="s">
        <v>42</v>
      </c>
    </row>
    <row r="8" spans="1:8" x14ac:dyDescent="0.25">
      <c r="A8" s="144" t="s">
        <v>43</v>
      </c>
      <c r="B8" s="145"/>
      <c r="C8" s="146"/>
      <c r="D8" s="29">
        <f>PI()*(0.5*D4*10^-3*25.4)^2</f>
        <v>2.4828666475777385E-2</v>
      </c>
      <c r="E8" s="43">
        <f>PI()*(0.5*E4*10^-3*25.4)^2</f>
        <v>6.2071666189443464E-3</v>
      </c>
      <c r="F8" s="30">
        <f>PI()*(0.5*F4*10^-3*25.4)^2</f>
        <v>2.0268299163899908E-3</v>
      </c>
      <c r="G8" s="40">
        <f>PI()*(0.5*G4*10^-3*25.4)^2</f>
        <v>3.1669217443593611E-3</v>
      </c>
      <c r="H8" s="42">
        <f>PI()*(0.5*H4*10^-3*25.4)^2</f>
        <v>4.5603673118774796E-3</v>
      </c>
    </row>
    <row r="9" spans="1:8" x14ac:dyDescent="0.25">
      <c r="A9" s="144" t="s">
        <v>44</v>
      </c>
      <c r="B9" s="145"/>
      <c r="C9" s="146"/>
      <c r="D9" s="30">
        <f>'Max Supply Req. Calculations'!$D$13*10^-3/D8</f>
        <v>0.12927621330942837</v>
      </c>
      <c r="E9" s="30">
        <f>'Max Supply Req. Calculations'!$D$13*10^-3/E8</f>
        <v>0.51710485323771349</v>
      </c>
      <c r="F9" s="30">
        <f>'Max Supply Req. Calculations'!$D$13*10^-3/F8</f>
        <v>1.5836336130404973</v>
      </c>
      <c r="G9" s="36">
        <f>'Max Supply Req. Calculations'!$D$13*10^-3/G8</f>
        <v>1.0135255123459181</v>
      </c>
      <c r="H9" s="43">
        <f>'Max Supply Req. Calculations'!$D$13*10^-3/H8</f>
        <v>0.70383716135133212</v>
      </c>
    </row>
    <row r="10" spans="1:8" x14ac:dyDescent="0.25">
      <c r="A10" s="144" t="s">
        <v>48</v>
      </c>
      <c r="B10" s="145"/>
      <c r="C10" s="146"/>
      <c r="D10" s="30">
        <f>'Max Supply Req. Calculations'!$X$8/(D4*25.4)</f>
        <v>2.5871766029246344E-4</v>
      </c>
      <c r="E10" s="43">
        <f>'Max Supply Req. Calculations'!$X$8/(E4*25.4)</f>
        <v>5.1743532058492689E-4</v>
      </c>
      <c r="F10" s="30">
        <f>'Max Supply Req. Calculations'!$X$8/(F4*25.4)</f>
        <v>9.0551181102362208E-4</v>
      </c>
      <c r="G10" s="36">
        <f>'Max Supply Req. Calculations'!$X$8/(G4*25.4)</f>
        <v>7.244094488188976E-4</v>
      </c>
      <c r="H10" s="43">
        <f>'Max Supply Req. Calculations'!$X$8/(H4*25.4)</f>
        <v>6.0367454068241475E-4</v>
      </c>
    </row>
    <row r="11" spans="1:8" x14ac:dyDescent="0.25">
      <c r="A11" s="144" t="s">
        <v>49</v>
      </c>
      <c r="B11" s="145"/>
      <c r="C11" s="146"/>
      <c r="D11" s="7">
        <v>2.7041900000000001E-2</v>
      </c>
      <c r="E11" s="54">
        <v>2.2897500000000001E-2</v>
      </c>
      <c r="F11" s="11">
        <v>2.0235E-2</v>
      </c>
      <c r="G11" s="34">
        <v>2.1228400000000001E-2</v>
      </c>
      <c r="H11" s="23">
        <v>2.2107100000000001E-2</v>
      </c>
    </row>
    <row r="12" spans="1:8" x14ac:dyDescent="0.25">
      <c r="A12" s="144" t="s">
        <v>50</v>
      </c>
      <c r="B12" s="145"/>
      <c r="C12" s="146"/>
      <c r="D12" s="30">
        <f>0.25*D11</f>
        <v>6.7604750000000002E-3</v>
      </c>
      <c r="E12" s="43">
        <f>0.25*E11</f>
        <v>5.7243750000000003E-3</v>
      </c>
      <c r="F12" s="30">
        <f>0.25*F11</f>
        <v>5.0587499999999999E-3</v>
      </c>
      <c r="G12" s="36">
        <f>0.25*G11</f>
        <v>5.3071000000000004E-3</v>
      </c>
      <c r="H12" s="43">
        <f>0.25*H11</f>
        <v>5.5267750000000003E-3</v>
      </c>
    </row>
    <row r="13" spans="1:8" x14ac:dyDescent="0.25">
      <c r="A13" s="177" t="s">
        <v>51</v>
      </c>
      <c r="B13" s="149"/>
      <c r="C13" s="150"/>
      <c r="D13" s="32">
        <f>(4*D12*(1/(D4*25.4))*0.5*1000*D9^2)*1.2^2</f>
        <v>1.8301015432050757E-3</v>
      </c>
      <c r="E13" s="44">
        <f>(4*E12*(1/(E4*25.4))*0.5*1000*E9^2)*1.2^2</f>
        <v>4.9587935860173397E-2</v>
      </c>
      <c r="F13" s="32">
        <f>(4*F12*(1/(F4*25.4))*0.5*1000*F9^2)*1.2^2</f>
        <v>0.71925255823204681</v>
      </c>
      <c r="G13" s="37">
        <f>(4*G12*(1/(G4*25.4))*0.5*1000*G9^2)*1.2^2</f>
        <v>0.24725518282335104</v>
      </c>
      <c r="H13" s="44">
        <f>(4*H12*(1/(H4*25.4))*0.5*1000*H9^2)*1.2^2</f>
        <v>0.1034793487962803</v>
      </c>
    </row>
  </sheetData>
  <mergeCells count="14">
    <mergeCell ref="H2:H3"/>
    <mergeCell ref="A12:C12"/>
    <mergeCell ref="A13:C13"/>
    <mergeCell ref="A1:C2"/>
    <mergeCell ref="G2:G3"/>
    <mergeCell ref="A6:C6"/>
    <mergeCell ref="A7:C7"/>
    <mergeCell ref="A8:C8"/>
    <mergeCell ref="A9:C9"/>
    <mergeCell ref="A10:C10"/>
    <mergeCell ref="A11:C11"/>
    <mergeCell ref="A3:C3"/>
    <mergeCell ref="A4:C4"/>
    <mergeCell ref="A5:C5"/>
  </mergeCells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J39" sqref="J39"/>
    </sheetView>
  </sheetViews>
  <sheetFormatPr defaultRowHeight="15" x14ac:dyDescent="0.25"/>
  <cols>
    <col min="3" max="3" width="13.140625" customWidth="1"/>
    <col min="4" max="4" width="26.140625" bestFit="1" customWidth="1"/>
    <col min="5" max="5" width="29.85546875" bestFit="1" customWidth="1"/>
    <col min="6" max="6" width="47.42578125" bestFit="1" customWidth="1"/>
    <col min="7" max="7" width="11.28515625" customWidth="1"/>
  </cols>
  <sheetData>
    <row r="1" spans="1:12" x14ac:dyDescent="0.25">
      <c r="A1" s="138" t="s">
        <v>39</v>
      </c>
      <c r="B1" s="139"/>
      <c r="C1" s="140"/>
      <c r="D1" s="18" t="s">
        <v>29</v>
      </c>
      <c r="E1" s="18" t="s">
        <v>31</v>
      </c>
      <c r="F1" s="56" t="s">
        <v>37</v>
      </c>
    </row>
    <row r="2" spans="1:12" x14ac:dyDescent="0.25">
      <c r="A2" s="178"/>
      <c r="B2" s="175"/>
      <c r="C2" s="176"/>
      <c r="D2" s="12" t="s">
        <v>30</v>
      </c>
      <c r="E2" s="12" t="s">
        <v>32</v>
      </c>
      <c r="F2" s="69" t="s">
        <v>38</v>
      </c>
      <c r="G2" s="168" t="s">
        <v>52</v>
      </c>
      <c r="H2" s="168" t="s">
        <v>52</v>
      </c>
      <c r="L2" t="s">
        <v>184</v>
      </c>
    </row>
    <row r="3" spans="1:12" x14ac:dyDescent="0.25">
      <c r="A3" s="144" t="s">
        <v>219</v>
      </c>
      <c r="B3" s="145"/>
      <c r="C3" s="146"/>
      <c r="D3" s="11">
        <f>(1.5*13.198)^0.5</f>
        <v>4.4493819795562617</v>
      </c>
      <c r="E3" s="11">
        <f>(((0.55*(1.5^0.49))*(1000^-0.35))*1000)/25.4</f>
        <v>2.354039196058098</v>
      </c>
      <c r="F3" s="1">
        <f>0.25*SQRT(1.5*13.198)</f>
        <v>1.1123454948890654</v>
      </c>
      <c r="G3" s="169"/>
      <c r="H3" s="169"/>
    </row>
    <row r="4" spans="1:12" x14ac:dyDescent="0.25">
      <c r="A4" s="144" t="s">
        <v>33</v>
      </c>
      <c r="B4" s="145"/>
      <c r="C4" s="146"/>
      <c r="D4" s="25">
        <v>4.5</v>
      </c>
      <c r="E4" s="28">
        <v>2.5</v>
      </c>
      <c r="F4" s="59">
        <v>1.25</v>
      </c>
      <c r="G4" s="60">
        <v>1.5</v>
      </c>
      <c r="H4" s="38">
        <v>2</v>
      </c>
    </row>
    <row r="5" spans="1:12" x14ac:dyDescent="0.25">
      <c r="A5" s="144" t="s">
        <v>34</v>
      </c>
      <c r="B5" s="145"/>
      <c r="C5" s="146"/>
      <c r="D5" s="23">
        <v>0.247</v>
      </c>
      <c r="E5" s="23">
        <v>0.20300000000000001</v>
      </c>
      <c r="F5" s="1">
        <v>0.14000000000000001</v>
      </c>
      <c r="G5" s="33">
        <v>0.109</v>
      </c>
      <c r="H5" s="39">
        <v>0.113</v>
      </c>
    </row>
    <row r="6" spans="1:12" x14ac:dyDescent="0.25">
      <c r="A6" s="144" t="s">
        <v>40</v>
      </c>
      <c r="B6" s="145"/>
      <c r="C6" s="146"/>
      <c r="D6" s="41">
        <f>(4*1.5)/(PI()*1.3059*10^-3*D4*25.4*10^-3)</f>
        <v>12795.145399419462</v>
      </c>
      <c r="E6" s="41">
        <f>(4*1.5)/(PI()*1.3059*10^-3*E4*25.4*10^-3)</f>
        <v>23031.261718955029</v>
      </c>
      <c r="F6" s="41">
        <f>(4*1.5)/(PI()*1.3059*10^-3*F4*25.4*10^-3)</f>
        <v>46062.523437910058</v>
      </c>
      <c r="G6" s="41">
        <f t="shared" ref="G6:H6" si="0">(4*1.5)/(PI()*1.3059*10^-3*G4*25.4*10^-3)</f>
        <v>38385.43619825838</v>
      </c>
      <c r="H6" s="35">
        <f t="shared" si="0"/>
        <v>28789.077148693785</v>
      </c>
    </row>
    <row r="7" spans="1:12" x14ac:dyDescent="0.25">
      <c r="A7" s="144" t="s">
        <v>41</v>
      </c>
      <c r="B7" s="145"/>
      <c r="C7" s="146"/>
      <c r="D7" s="41" t="s">
        <v>42</v>
      </c>
      <c r="E7" s="41" t="s">
        <v>42</v>
      </c>
      <c r="F7" s="27" t="s">
        <v>42</v>
      </c>
      <c r="G7" s="41" t="s">
        <v>42</v>
      </c>
      <c r="H7" s="35" t="s">
        <v>42</v>
      </c>
    </row>
    <row r="8" spans="1:12" x14ac:dyDescent="0.25">
      <c r="A8" s="144" t="s">
        <v>43</v>
      </c>
      <c r="B8" s="145"/>
      <c r="C8" s="146"/>
      <c r="D8" s="29">
        <f>PI()*(0.5*D4*10^-3*25.4)^2</f>
        <v>1.0260826451724332E-2</v>
      </c>
      <c r="E8" s="43">
        <f>PI()*(0.5*E4*10^-3*25.4)^2</f>
        <v>3.1669217443593611E-3</v>
      </c>
      <c r="F8" s="30">
        <f>PI()*(0.5*F4*10^-3*25.4)^2</f>
        <v>7.9173043608984028E-4</v>
      </c>
      <c r="G8" s="43">
        <f t="shared" ref="G8:H8" si="1">PI()*(0.5*G4*10^-3*25.4)^2</f>
        <v>1.1400918279693699E-3</v>
      </c>
      <c r="H8" s="36">
        <f t="shared" si="1"/>
        <v>2.0268299163899908E-3</v>
      </c>
    </row>
    <row r="9" spans="1:12" x14ac:dyDescent="0.25">
      <c r="A9" s="144" t="s">
        <v>44</v>
      </c>
      <c r="B9" s="145"/>
      <c r="C9" s="146"/>
      <c r="D9" s="30">
        <f>1.5*10^-3/D8</f>
        <v>0.14618705491777662</v>
      </c>
      <c r="E9" s="30">
        <f t="shared" ref="E9:H9" si="2">1.5*10^-3/E8</f>
        <v>0.47364605793359638</v>
      </c>
      <c r="F9" s="30">
        <f t="shared" si="2"/>
        <v>1.8945842317343855</v>
      </c>
      <c r="G9" s="30">
        <f t="shared" si="2"/>
        <v>1.31568349425999</v>
      </c>
      <c r="H9" s="36">
        <f t="shared" si="2"/>
        <v>0.74007196552124443</v>
      </c>
    </row>
    <row r="10" spans="1:12" x14ac:dyDescent="0.25">
      <c r="A10" s="144" t="s">
        <v>48</v>
      </c>
      <c r="B10" s="145"/>
      <c r="C10" s="146"/>
      <c r="D10" s="30">
        <f>'Max Supply Req. Calculations'!$X$8/(D4*25.4)</f>
        <v>4.0244969378827649E-4</v>
      </c>
      <c r="E10" s="43">
        <f>'Max Supply Req. Calculations'!$X$8/(E4*25.4)</f>
        <v>7.244094488188976E-4</v>
      </c>
      <c r="F10" s="30">
        <f>'Max Supply Req. Calculations'!$X$8/(F4*25.4)</f>
        <v>1.4488188976377952E-3</v>
      </c>
      <c r="G10" s="43">
        <f>'Max Supply Req. Calculations'!$X$8/(G4*25.4)</f>
        <v>1.2073490813648295E-3</v>
      </c>
      <c r="H10" s="36">
        <f>'Max Supply Req. Calculations'!$X$8/(H4*25.4)</f>
        <v>9.0551181102362208E-4</v>
      </c>
    </row>
    <row r="11" spans="1:12" x14ac:dyDescent="0.25">
      <c r="A11" s="144" t="s">
        <v>49</v>
      </c>
      <c r="B11" s="145"/>
      <c r="C11" s="146"/>
      <c r="D11" s="57">
        <v>2.8963200000000001E-2</v>
      </c>
      <c r="E11" s="54">
        <v>2.5034799999999999E-2</v>
      </c>
      <c r="F11" s="11">
        <v>2.1435200000000001E-2</v>
      </c>
      <c r="G11" s="23">
        <v>2.2276000000000001E-2</v>
      </c>
      <c r="H11" s="34">
        <v>2.37588E-2</v>
      </c>
    </row>
    <row r="12" spans="1:12" x14ac:dyDescent="0.25">
      <c r="A12" s="144" t="s">
        <v>50</v>
      </c>
      <c r="B12" s="145"/>
      <c r="C12" s="146"/>
      <c r="D12" s="30">
        <f>0.25*D11</f>
        <v>7.2408000000000004E-3</v>
      </c>
      <c r="E12" s="43">
        <f>0.25*E11</f>
        <v>6.2586999999999999E-3</v>
      </c>
      <c r="F12" s="30">
        <f>0.25*F11</f>
        <v>5.3588000000000004E-3</v>
      </c>
      <c r="G12" s="43">
        <f>0.25*G11</f>
        <v>5.5690000000000002E-3</v>
      </c>
      <c r="H12" s="36">
        <f>0.25*H11</f>
        <v>5.9397E-3</v>
      </c>
    </row>
    <row r="13" spans="1:12" x14ac:dyDescent="0.25">
      <c r="A13" s="177" t="s">
        <v>51</v>
      </c>
      <c r="B13" s="149"/>
      <c r="C13" s="150"/>
      <c r="D13" s="32">
        <f>(4*D12*(1/(D4*25.4))*0.5*1000*D9^2)*1.2^2</f>
        <v>3.8989767284127149E-3</v>
      </c>
      <c r="E13" s="44">
        <f>(4*E12*(1/(E4*25.4))*0.5*1000*E9^2)*1.2^2</f>
        <v>6.368112858750366E-2</v>
      </c>
      <c r="F13" s="32">
        <f>(4*F12*(1/(F4*25.4))*0.5*1000*F9^2)*1.2^2</f>
        <v>1.7447939380367918</v>
      </c>
      <c r="G13" s="44">
        <f>(4*G12*(1/(G4*25.4))*0.5*1000*G9^2)*1.2^2</f>
        <v>0.72869800855276945</v>
      </c>
      <c r="H13" s="37">
        <f>(4*H12*(1/(H4*25.4))*0.5*1000*H9^2)*1.2^2</f>
        <v>0.18443408780407147</v>
      </c>
    </row>
  </sheetData>
  <mergeCells count="14">
    <mergeCell ref="H2:H3"/>
    <mergeCell ref="A13:C13"/>
    <mergeCell ref="G2:G3"/>
    <mergeCell ref="A7:C7"/>
    <mergeCell ref="A8:C8"/>
    <mergeCell ref="A9:C9"/>
    <mergeCell ref="A10:C10"/>
    <mergeCell ref="A11:C11"/>
    <mergeCell ref="A12:C12"/>
    <mergeCell ref="A1:C2"/>
    <mergeCell ref="A3:C3"/>
    <mergeCell ref="A4:C4"/>
    <mergeCell ref="A5:C5"/>
    <mergeCell ref="A6:C6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P101</vt:lpstr>
      <vt:lpstr>P102</vt:lpstr>
      <vt:lpstr>P103</vt:lpstr>
      <vt:lpstr>P104</vt:lpstr>
      <vt:lpstr>P105</vt:lpstr>
      <vt:lpstr>50-1HS01-DW-1,2,3</vt:lpstr>
      <vt:lpstr>50-2HS01-SW-4</vt:lpstr>
      <vt:lpstr>65-10HS01-DW-5</vt:lpstr>
      <vt:lpstr>50-10HS01-RW-6</vt:lpstr>
      <vt:lpstr>50-2HS01-SW-7</vt:lpstr>
      <vt:lpstr>150-2HS01-WW-8</vt:lpstr>
      <vt:lpstr>65-10HS01-DW-9</vt:lpstr>
      <vt:lpstr>80-10HS01-PW-11</vt:lpstr>
      <vt:lpstr>25-10HS01-SW-13</vt:lpstr>
      <vt:lpstr>Max Supply Req. Calculations</vt:lpstr>
      <vt:lpstr>Calorifier Calcs</vt:lpstr>
      <vt:lpstr>Miscellaneous Pressure Losses</vt:lpstr>
      <vt:lpstr>xfd</vt:lpstr>
    </vt:vector>
  </TitlesOfParts>
  <Company>James Fisher &amp; 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Mulliner</dc:creator>
  <cp:lastModifiedBy>Bethany Mulliner</cp:lastModifiedBy>
  <cp:lastPrinted>2019-10-15T15:09:06Z</cp:lastPrinted>
  <dcterms:created xsi:type="dcterms:W3CDTF">2019-09-23T07:59:03Z</dcterms:created>
  <dcterms:modified xsi:type="dcterms:W3CDTF">2019-10-15T15:10:00Z</dcterms:modified>
</cp:coreProperties>
</file>