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drawings/drawing3.xml" ContentType="application/vnd.openxmlformats-officedocument.drawing+xml"/>
  <Override PartName="/xl/charts/chart4.xml" ContentType="application/vnd.openxmlformats-officedocument.drawingml.chart+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Apprentice Training\B. Mulliner\Portfolio\University Portfolio\"/>
    </mc:Choice>
  </mc:AlternateContent>
  <bookViews>
    <workbookView xWindow="0" yWindow="600" windowWidth="25125" windowHeight="12285"/>
  </bookViews>
  <sheets>
    <sheet name="Q1" sheetId="1" r:id="rId1"/>
    <sheet name="Q2" sheetId="2" r:id="rId2"/>
    <sheet name="Q3" sheetId="3" r:id="rId3"/>
    <sheet name="Q4" sheetId="4" r:id="rId4"/>
    <sheet name="Q5" sheetId="5" r:id="rId5"/>
  </sheets>
  <calcPr calcId="162913"/>
</workbook>
</file>

<file path=xl/calcChain.xml><?xml version="1.0" encoding="utf-8"?>
<calcChain xmlns="http://schemas.openxmlformats.org/spreadsheetml/2006/main">
  <c r="H23" i="5" l="1"/>
  <c r="H26" i="5" s="1"/>
  <c r="I26" i="5" s="1"/>
  <c r="G22" i="5"/>
  <c r="G23" i="5" s="1"/>
  <c r="Q9" i="5"/>
  <c r="R9" i="5" s="1"/>
  <c r="R14" i="5" s="1"/>
  <c r="C9" i="5"/>
  <c r="S12" i="5" s="1"/>
  <c r="T12" i="5" s="1"/>
  <c r="J8" i="5"/>
  <c r="I8" i="5"/>
  <c r="H8" i="5"/>
  <c r="N10" i="5" s="1"/>
  <c r="O10" i="5" s="1"/>
  <c r="P10" i="5" s="1"/>
  <c r="C28" i="4"/>
  <c r="R4" i="4"/>
  <c r="R10" i="4" s="1"/>
  <c r="O51" i="3"/>
  <c r="M42" i="3"/>
  <c r="M43" i="3" s="1"/>
  <c r="M38" i="3"/>
  <c r="M47" i="3" s="1"/>
  <c r="M51" i="3" s="1"/>
  <c r="M37" i="3"/>
  <c r="B26" i="3"/>
  <c r="B33" i="3" s="1"/>
  <c r="B25" i="3"/>
  <c r="B24" i="3"/>
  <c r="B32" i="3" s="1"/>
  <c r="B23" i="3"/>
  <c r="B22" i="3"/>
  <c r="B28" i="3" s="1"/>
  <c r="D14" i="3"/>
  <c r="N68" i="2" a="1"/>
  <c r="N68" i="2" s="1"/>
  <c r="N67" i="2" a="1"/>
  <c r="N67" i="2" s="1"/>
  <c r="N54" i="2" a="1"/>
  <c r="N54" i="2" s="1"/>
  <c r="N53" i="2" a="1"/>
  <c r="N53" i="2" s="1"/>
  <c r="A41" i="1"/>
  <c r="A40" i="1"/>
  <c r="A39" i="1"/>
  <c r="A38" i="1"/>
  <c r="A37" i="1"/>
  <c r="A36" i="1"/>
  <c r="A35" i="1"/>
  <c r="A34" i="1"/>
  <c r="C29" i="1"/>
  <c r="C24" i="1" s="1"/>
  <c r="C30" i="1" s="1"/>
  <c r="C12" i="1" s="1"/>
  <c r="C10" i="1"/>
  <c r="C26" i="1" s="1"/>
  <c r="C9" i="1"/>
  <c r="C25" i="1" s="1"/>
  <c r="S10" i="4" l="1"/>
  <c r="N74" i="2"/>
  <c r="N76" i="2" s="1"/>
  <c r="N69" i="2"/>
  <c r="N71" i="2" s="1"/>
  <c r="N55" i="2"/>
  <c r="N57" i="2" s="1"/>
  <c r="N60" i="2"/>
  <c r="N62" i="2" s="1"/>
  <c r="B37" i="1"/>
  <c r="N75" i="2"/>
  <c r="N77" i="2" s="1"/>
  <c r="N70" i="2"/>
  <c r="C17" i="1"/>
  <c r="B35" i="1"/>
  <c r="N56" i="2"/>
  <c r="N61" i="2"/>
  <c r="N63" i="2" s="1"/>
  <c r="M46" i="3"/>
  <c r="M45" i="3"/>
  <c r="C14" i="1"/>
  <c r="B41" i="1" s="1"/>
  <c r="B39" i="1"/>
  <c r="B30" i="3"/>
  <c r="B42" i="3" s="1"/>
  <c r="B44" i="3" s="1"/>
  <c r="N52" i="3" s="1"/>
  <c r="O52" i="3" s="1"/>
  <c r="B17" i="3" s="1"/>
  <c r="B29" i="3"/>
  <c r="B38" i="3" s="1"/>
  <c r="B34" i="3"/>
  <c r="B35" i="3" s="1"/>
  <c r="B40" i="3" s="1"/>
  <c r="G24" i="5"/>
  <c r="I24" i="5" s="1"/>
  <c r="I23" i="5"/>
  <c r="S11" i="5"/>
  <c r="T11" i="5" s="1"/>
  <c r="U11" i="5" s="1"/>
  <c r="N13" i="5"/>
  <c r="O13" i="5" s="1"/>
  <c r="P13" i="5" s="1"/>
  <c r="S10" i="5"/>
  <c r="T10" i="5" s="1"/>
  <c r="U10" i="5" s="1"/>
  <c r="N12" i="5"/>
  <c r="O12" i="5" s="1"/>
  <c r="P12" i="5" s="1"/>
  <c r="S9" i="5"/>
  <c r="T9" i="5" s="1"/>
  <c r="S13" i="5"/>
  <c r="T13" i="5" s="1"/>
  <c r="U13" i="5" s="1"/>
  <c r="H25" i="5"/>
  <c r="I25" i="5" s="1"/>
  <c r="U12" i="5" s="1"/>
  <c r="N11" i="5"/>
  <c r="O11" i="5" s="1"/>
  <c r="P11" i="5" s="1"/>
  <c r="H22" i="5"/>
  <c r="S4" i="4"/>
  <c r="I22" i="5"/>
  <c r="N9" i="5"/>
  <c r="O9" i="5" s="1"/>
  <c r="P9" i="5" s="1"/>
  <c r="P14" i="5" s="1"/>
  <c r="N16" i="5" s="1"/>
  <c r="E41" i="1" l="1"/>
  <c r="U9" i="5"/>
  <c r="U14" i="5" s="1"/>
  <c r="N17" i="5" s="1"/>
  <c r="N64" i="2"/>
  <c r="N81" i="2" s="1"/>
  <c r="O83" i="2" s="1"/>
  <c r="Q48" i="2" s="1"/>
  <c r="Q47" i="2" s="1"/>
  <c r="N78" i="2"/>
  <c r="N82" i="2" s="1"/>
  <c r="D39" i="1"/>
  <c r="B40" i="1"/>
  <c r="C35" i="1"/>
  <c r="E35" i="1" s="1"/>
  <c r="D14" i="1"/>
  <c r="C41" i="1"/>
  <c r="D41" i="1" s="1"/>
  <c r="B38" i="1"/>
  <c r="C39" i="1"/>
  <c r="E39" i="1" s="1"/>
  <c r="B36" i="1"/>
  <c r="C38" i="1"/>
  <c r="C36" i="1"/>
  <c r="C34" i="1"/>
  <c r="C37" i="1"/>
  <c r="E37" i="1" s="1"/>
  <c r="B34" i="1"/>
  <c r="C18" i="1"/>
  <c r="C19" i="1" s="1"/>
  <c r="C40" i="1"/>
  <c r="B24" i="4"/>
  <c r="B22" i="4"/>
  <c r="D22" i="4" l="1"/>
  <c r="S16" i="4" s="1"/>
  <c r="C22" i="4"/>
  <c r="E40" i="1"/>
  <c r="D40" i="1"/>
  <c r="S15" i="4"/>
  <c r="D36" i="1"/>
  <c r="E36" i="1"/>
  <c r="D37" i="1"/>
  <c r="E24" i="4"/>
  <c r="S19" i="4" s="1"/>
  <c r="D24" i="4"/>
  <c r="S20" i="4" s="1"/>
  <c r="C24" i="4"/>
  <c r="D38" i="1"/>
  <c r="E38" i="1"/>
  <c r="D35" i="1"/>
  <c r="D34" i="1"/>
  <c r="E34" i="1"/>
  <c r="S23" i="4" l="1"/>
  <c r="R19" i="4"/>
  <c r="R16" i="4"/>
  <c r="C14" i="4"/>
  <c r="S29" i="4"/>
  <c r="S28" i="4"/>
  <c r="R15" i="4"/>
  <c r="R20" i="4"/>
  <c r="S24" i="4"/>
  <c r="R24" i="4" s="1"/>
  <c r="C15" i="4"/>
  <c r="C27" i="4"/>
  <c r="C29" i="4" s="1"/>
  <c r="S36" i="4" l="1"/>
  <c r="R29" i="4"/>
  <c r="S39" i="4"/>
  <c r="R28" i="4"/>
  <c r="C30" i="4"/>
  <c r="S7" i="4" s="1"/>
  <c r="R7" i="4" s="1"/>
  <c r="R12" i="4" s="1"/>
  <c r="S12" i="4" s="1"/>
  <c r="S18" i="4" s="1"/>
  <c r="S17" i="4"/>
  <c r="S6" i="4"/>
  <c r="R23" i="4"/>
  <c r="R6" i="4" l="1"/>
  <c r="W3" i="4"/>
  <c r="X3" i="4" s="1"/>
  <c r="W35" i="4"/>
  <c r="X35" i="4" s="1"/>
  <c r="R36" i="4"/>
  <c r="V35" i="4" s="1"/>
  <c r="S25" i="4"/>
  <c r="R18" i="4"/>
  <c r="R39" i="4"/>
  <c r="S52" i="4"/>
  <c r="R17" i="4"/>
  <c r="S30" i="4"/>
  <c r="W14" i="4"/>
  <c r="X14" i="4" s="1"/>
  <c r="V14" i="4" l="1"/>
  <c r="R30" i="4"/>
  <c r="V27" i="4" s="1"/>
  <c r="S40" i="4"/>
  <c r="C16" i="4"/>
  <c r="W27" i="4"/>
  <c r="X27" i="4" s="1"/>
  <c r="R25" i="4"/>
  <c r="V22" i="4" s="1"/>
  <c r="W22" i="4"/>
  <c r="X22" i="4" s="1"/>
  <c r="W51" i="4"/>
  <c r="X51" i="4" s="1"/>
  <c r="R52" i="4"/>
  <c r="V51" i="4" s="1"/>
  <c r="R11" i="4"/>
  <c r="V3" i="4"/>
  <c r="S11" i="4" l="1"/>
  <c r="W9" i="4" s="1"/>
  <c r="X9" i="4" s="1"/>
  <c r="R40" i="4"/>
  <c r="V38" i="4" s="1"/>
  <c r="S46" i="4"/>
  <c r="C17" i="4"/>
  <c r="W38" i="4"/>
  <c r="X38" i="4" s="1"/>
  <c r="R46" i="4" l="1"/>
  <c r="V45" i="4" s="1"/>
  <c r="W45" i="4"/>
  <c r="X45" i="4" s="1"/>
  <c r="C18" i="4"/>
  <c r="V9" i="4"/>
</calcChain>
</file>

<file path=xl/sharedStrings.xml><?xml version="1.0" encoding="utf-8"?>
<sst xmlns="http://schemas.openxmlformats.org/spreadsheetml/2006/main" count="485" uniqueCount="287">
  <si>
    <t>B48BA Process Industries C: Spreadsheets 2</t>
  </si>
  <si>
    <t>(Variables for the user to edit)</t>
  </si>
  <si>
    <t>(Results)</t>
  </si>
  <si>
    <t>This sheet calculates the Darcy Friction Factor from the Haaland equation using the user provided variables of the pipe material and diameter, and the fluid used and its velocity.</t>
  </si>
  <si>
    <t>It then compares the obtained DFF to one calculated from the Blasius equation, and plots a graph of how far they will deviate from one another with the increased relative roughness of the pipe material.</t>
  </si>
  <si>
    <r>
      <t xml:space="preserve">To use the sheet, simply pick a material and a fluid, and specify the fluid velocity and pipe diameter. Note that this applies </t>
    </r>
    <r>
      <rPr>
        <b/>
        <sz val="11"/>
        <color rgb="FF000000"/>
        <rFont val="Calibri"/>
        <family val="2"/>
      </rPr>
      <t>only</t>
    </r>
    <r>
      <rPr>
        <sz val="11"/>
        <color rgb="FF000000"/>
        <rFont val="Calibri"/>
        <family val="2"/>
      </rPr>
      <t xml:space="preserve"> for liquids in turbulent flow (2.5x10</t>
    </r>
    <r>
      <rPr>
        <vertAlign val="superscript"/>
        <sz val="11"/>
        <color rgb="FF000000"/>
        <rFont val="Calibri"/>
        <family val="2"/>
      </rPr>
      <t>3</t>
    </r>
    <r>
      <rPr>
        <sz val="11"/>
        <color rgb="FF000000"/>
        <rFont val="Calibri"/>
        <family val="2"/>
      </rPr>
      <t xml:space="preserve"> &lt; Re &lt; 10</t>
    </r>
    <r>
      <rPr>
        <vertAlign val="superscript"/>
        <sz val="11"/>
        <color rgb="FF000000"/>
        <rFont val="Calibri"/>
        <family val="2"/>
      </rPr>
      <t>5</t>
    </r>
    <r>
      <rPr>
        <sz val="11"/>
        <color rgb="FF000000"/>
        <rFont val="Calibri"/>
        <family val="2"/>
      </rPr>
      <t>). The sheet will warn you of Re values outside of this range.</t>
    </r>
  </si>
  <si>
    <t>Variables</t>
  </si>
  <si>
    <t>Materials Table</t>
  </si>
  <si>
    <t>(from Chemical Engineering Vol. 1 (1st Edition), Coulson &amp; Richardson)</t>
  </si>
  <si>
    <t>Fluid</t>
  </si>
  <si>
    <t>Water</t>
  </si>
  <si>
    <t>Material</t>
  </si>
  <si>
    <t>Absolute Roughness (e), in</t>
  </si>
  <si>
    <t>N.B: Where the table in the literature lists a range of values, an average value has been taken</t>
  </si>
  <si>
    <t>Fluid Velocity</t>
  </si>
  <si>
    <r>
      <t>ms</t>
    </r>
    <r>
      <rPr>
        <vertAlign val="superscript"/>
        <sz val="11"/>
        <color rgb="FF000000"/>
        <rFont val="Calibri"/>
        <family val="2"/>
      </rPr>
      <t>-1</t>
    </r>
  </si>
  <si>
    <t>Drawn Tubing</t>
  </si>
  <si>
    <t>Fluid Density</t>
  </si>
  <si>
    <r>
      <t>gcm</t>
    </r>
    <r>
      <rPr>
        <vertAlign val="superscript"/>
        <sz val="11"/>
        <color rgb="FF000000"/>
        <rFont val="Calibri"/>
        <family val="2"/>
      </rPr>
      <t>-3</t>
    </r>
  </si>
  <si>
    <t>Commercial Steel &amp; Wrought Iron</t>
  </si>
  <si>
    <t>Fluid Viscosity</t>
  </si>
  <si>
    <t>cP</t>
  </si>
  <si>
    <t>Asphalted Cast Iron</t>
  </si>
  <si>
    <t>Pipe Material</t>
  </si>
  <si>
    <t>Galvanised Iron</t>
  </si>
  <si>
    <t>Relative Roughness</t>
  </si>
  <si>
    <t>m</t>
  </si>
  <si>
    <t>Cast Iron</t>
  </si>
  <si>
    <t>Pipe Diameter</t>
  </si>
  <si>
    <t>Wood Stave</t>
  </si>
  <si>
    <t>Reynolds Number</t>
  </si>
  <si>
    <t>Concrete</t>
  </si>
  <si>
    <t>Riveted Steel</t>
  </si>
  <si>
    <t>Results</t>
  </si>
  <si>
    <t>Darcy Friction Factor from Haaland</t>
  </si>
  <si>
    <t>Darcy Friction Factor from Blasius</t>
  </si>
  <si>
    <t>Fluids Table</t>
  </si>
  <si>
    <t>(from Chemical Engineering Vol. 1 (1st Edition), Coulson &amp; Richardson, &amp; International Critical Tables of Numerical Data, Physics, Chemistry and Technology (1st Electronic Edition), Washburn)</t>
  </si>
  <si>
    <t>Difference</t>
  </si>
  <si>
    <t>%</t>
  </si>
  <si>
    <r>
      <t>Density (at 20˚C, gcm</t>
    </r>
    <r>
      <rPr>
        <b/>
        <vertAlign val="superscript"/>
        <sz val="11"/>
        <color rgb="FF000000"/>
        <rFont val="Calibri"/>
        <family val="2"/>
      </rPr>
      <t>-3</t>
    </r>
    <r>
      <rPr>
        <b/>
        <sz val="11"/>
        <color rgb="FF000000"/>
        <rFont val="Calibri"/>
        <family val="2"/>
      </rPr>
      <t>)</t>
    </r>
  </si>
  <si>
    <t>Viscosity (at 20˚C, cP)</t>
  </si>
  <si>
    <t>Acetic Acid</t>
  </si>
  <si>
    <t>Calculations</t>
  </si>
  <si>
    <t>Acetic Anhydride</t>
  </si>
  <si>
    <t>Acetone</t>
  </si>
  <si>
    <t>Convertions to SI</t>
  </si>
  <si>
    <t>Aniline</t>
  </si>
  <si>
    <t>Absolute Roughness</t>
  </si>
  <si>
    <t>Butyric Acid</t>
  </si>
  <si>
    <r>
      <t>kgm</t>
    </r>
    <r>
      <rPr>
        <vertAlign val="superscript"/>
        <sz val="11"/>
        <color rgb="FF000000"/>
        <rFont val="Calibri"/>
        <family val="2"/>
      </rPr>
      <t>-3</t>
    </r>
  </si>
  <si>
    <t>Chlorobenzene</t>
  </si>
  <si>
    <t>Pas</t>
  </si>
  <si>
    <t>m-Cresol</t>
  </si>
  <si>
    <t>Ethyl Acetate</t>
  </si>
  <si>
    <t>Roughness</t>
  </si>
  <si>
    <t>Ethyl Formate</t>
  </si>
  <si>
    <t>VLOOKUP</t>
  </si>
  <si>
    <t>in</t>
  </si>
  <si>
    <t>Isopropyl Alcohol</t>
  </si>
  <si>
    <t>Octyl Alcohol</t>
  </si>
  <si>
    <t>Propyl Alcohol</t>
  </si>
  <si>
    <t>Results Table</t>
  </si>
  <si>
    <t>N.B: Graph axes may need to be adjusted to fully show results for some materials/fluids.</t>
  </si>
  <si>
    <t>Haaland</t>
  </si>
  <si>
    <t>Blasius</t>
  </si>
  <si>
    <t>% Error</t>
  </si>
  <si>
    <t>Actual Error</t>
  </si>
  <si>
    <t>Reference Equations:</t>
  </si>
  <si>
    <t>Haaland Equation</t>
  </si>
  <si>
    <t>Blasius Equation</t>
  </si>
  <si>
    <t>This sheet generates P-h and T-s plots for steam table data, showing the vapour and liquid lines, and the two phase region.</t>
  </si>
  <si>
    <t>For a given mass of saturated water vapour at a given pressure, condensed to give saturated liquid and suddenly throttled to a second given pressure, and the resulting two-phase mixture being passed into a gas-liquid separator, the sheet will calculate the mass of liquid and vapour coming from the separator.</t>
  </si>
  <si>
    <t>Temp</t>
  </si>
  <si>
    <t>Pressure</t>
  </si>
  <si>
    <t>Specific Volume</t>
  </si>
  <si>
    <t>Specific internal energy</t>
  </si>
  <si>
    <t>Specific Enthalpy</t>
  </si>
  <si>
    <t>Specific Entropy</t>
  </si>
  <si>
    <r>
      <t>m</t>
    </r>
    <r>
      <rPr>
        <vertAlign val="superscript"/>
        <sz val="10"/>
        <color rgb="FF000000"/>
        <rFont val="Arial"/>
        <family val="2"/>
      </rPr>
      <t>3</t>
    </r>
    <r>
      <rPr>
        <sz val="10"/>
        <color rgb="FF000000"/>
        <rFont val="Arial"/>
        <family val="2"/>
      </rPr>
      <t>/kg</t>
    </r>
  </si>
  <si>
    <t>kJ/kg</t>
  </si>
  <si>
    <t>kJ/kgK</t>
  </si>
  <si>
    <t>°C</t>
  </si>
  <si>
    <t>kPa</t>
  </si>
  <si>
    <t>water</t>
  </si>
  <si>
    <t>steam</t>
  </si>
  <si>
    <t>evaporation</t>
  </si>
  <si>
    <t xml:space="preserve">T </t>
  </si>
  <si>
    <t>P</t>
  </si>
  <si>
    <t>vf</t>
  </si>
  <si>
    <t>vg</t>
  </si>
  <si>
    <t>uf</t>
  </si>
  <si>
    <t>ug</t>
  </si>
  <si>
    <t>hf</t>
  </si>
  <si>
    <t>hfg</t>
  </si>
  <si>
    <t>hg</t>
  </si>
  <si>
    <t>sf</t>
  </si>
  <si>
    <t>sg</t>
  </si>
  <si>
    <t>Mass of Saturated Water Vapour</t>
  </si>
  <si>
    <t>kg</t>
  </si>
  <si>
    <t>Initial Pressure</t>
  </si>
  <si>
    <t>Final Pressure</t>
  </si>
  <si>
    <t>Mass of Liquid from Separator</t>
  </si>
  <si>
    <t>Mass of Vapour from Separator</t>
  </si>
  <si>
    <t>Initial Interpolation</t>
  </si>
  <si>
    <t>(Let x be pressure, y be enthalpy of steam)</t>
  </si>
  <si>
    <r>
      <t>x</t>
    </r>
    <r>
      <rPr>
        <vertAlign val="subscript"/>
        <sz val="11"/>
        <color rgb="FF000000"/>
        <rFont val="Calibri"/>
        <family val="2"/>
      </rPr>
      <t>1</t>
    </r>
  </si>
  <si>
    <r>
      <t>x</t>
    </r>
    <r>
      <rPr>
        <vertAlign val="subscript"/>
        <sz val="11"/>
        <color rgb="FF000000"/>
        <rFont val="Calibri"/>
        <family val="2"/>
      </rPr>
      <t>2</t>
    </r>
  </si>
  <si>
    <r>
      <t>y</t>
    </r>
    <r>
      <rPr>
        <vertAlign val="subscript"/>
        <sz val="11"/>
        <color rgb="FF000000"/>
        <rFont val="Calibri"/>
        <family val="2"/>
      </rPr>
      <t>1</t>
    </r>
  </si>
  <si>
    <r>
      <t>kJkg</t>
    </r>
    <r>
      <rPr>
        <vertAlign val="superscript"/>
        <sz val="11"/>
        <color rgb="FF000000"/>
        <rFont val="Calibri"/>
        <family val="2"/>
      </rPr>
      <t>-1</t>
    </r>
  </si>
  <si>
    <r>
      <t>y</t>
    </r>
    <r>
      <rPr>
        <vertAlign val="subscript"/>
        <sz val="11"/>
        <color rgb="FF000000"/>
        <rFont val="Calibri"/>
        <family val="2"/>
      </rPr>
      <t>2</t>
    </r>
  </si>
  <si>
    <t>y</t>
  </si>
  <si>
    <t>Initial Corresponding Values</t>
  </si>
  <si>
    <t>(Let x be pressure, y be enthalpy of water)</t>
  </si>
  <si>
    <t>Final Interpolation</t>
  </si>
  <si>
    <t>Final Corresponding Values</t>
  </si>
  <si>
    <t>Differences</t>
  </si>
  <si>
    <t>Liquid</t>
  </si>
  <si>
    <t>Vapour</t>
  </si>
  <si>
    <t>Vapour Fraction</t>
  </si>
  <si>
    <r>
      <t>This sheet calculates the necessary volume of concentrated NaOH</t>
    </r>
    <r>
      <rPr>
        <vertAlign val="subscript"/>
        <sz val="11"/>
        <color rgb="FF000000"/>
        <rFont val="Calibri"/>
        <family val="2"/>
      </rPr>
      <t>(aq)</t>
    </r>
    <r>
      <rPr>
        <sz val="11"/>
        <color rgb="FF000000"/>
        <rFont val="Calibri"/>
        <family val="2"/>
      </rPr>
      <t xml:space="preserve"> that is needed to make up a specified molarity of dilute NaOH</t>
    </r>
    <r>
      <rPr>
        <vertAlign val="subscript"/>
        <sz val="11"/>
        <color rgb="FF000000"/>
        <rFont val="Calibri"/>
        <family val="2"/>
      </rPr>
      <t>(aq)</t>
    </r>
    <r>
      <rPr>
        <sz val="11"/>
        <color rgb="FF000000"/>
        <rFont val="Calibri"/>
        <family val="2"/>
      </rPr>
      <t>.</t>
    </r>
  </si>
  <si>
    <t>The user specifies the tank dimensions, initial filling level and desired molarity of solution, and the concentration of NaOH available to them (stored in an adjacent IBC).</t>
  </si>
  <si>
    <r>
      <t>The sheet assumes that the NaOH</t>
    </r>
    <r>
      <rPr>
        <vertAlign val="subscript"/>
        <sz val="11"/>
        <color rgb="FF000000"/>
        <rFont val="Calibri"/>
        <family val="2"/>
      </rPr>
      <t>(aq)</t>
    </r>
    <r>
      <rPr>
        <sz val="11"/>
        <color rgb="FF000000"/>
        <rFont val="Calibri"/>
        <family val="2"/>
      </rPr>
      <t xml:space="preserve"> is stored at 20˚C and at a concentration of &lt;50%wt. (The sheet will warn you if you exceed this concentration).</t>
    </r>
  </si>
  <si>
    <t>Aqueous NaOH (20˚C)</t>
  </si>
  <si>
    <t>(from Perry's Chemical Engineers' Handbook (6th Edition), Robert Perry &amp; Don Green)</t>
  </si>
  <si>
    <t>Tank Dimensions</t>
  </si>
  <si>
    <t>Concentration (%wt)</t>
  </si>
  <si>
    <r>
      <t>Density (kgL</t>
    </r>
    <r>
      <rPr>
        <b/>
        <vertAlign val="superscript"/>
        <sz val="11"/>
        <color rgb="FF000000"/>
        <rFont val="Calibri"/>
        <family val="2"/>
      </rPr>
      <t>-1</t>
    </r>
    <r>
      <rPr>
        <b/>
        <sz val="11"/>
        <color rgb="FF000000"/>
        <rFont val="Calibri"/>
        <family val="2"/>
      </rPr>
      <t>)</t>
    </r>
  </si>
  <si>
    <t>Diameter</t>
  </si>
  <si>
    <t>d</t>
  </si>
  <si>
    <t>Overall Height</t>
  </si>
  <si>
    <r>
      <t>h</t>
    </r>
    <r>
      <rPr>
        <vertAlign val="subscript"/>
        <sz val="11"/>
        <color rgb="FF000000"/>
        <rFont val="Calibri"/>
        <family val="2"/>
      </rPr>
      <t>1</t>
    </r>
  </si>
  <si>
    <t>Initial Filling Level</t>
  </si>
  <si>
    <r>
      <t>h</t>
    </r>
    <r>
      <rPr>
        <vertAlign val="subscript"/>
        <sz val="11"/>
        <color rgb="FF000000"/>
        <rFont val="Calibri"/>
        <family val="2"/>
      </rPr>
      <t>4</t>
    </r>
  </si>
  <si>
    <t>Tank Elevation</t>
  </si>
  <si>
    <r>
      <t>h</t>
    </r>
    <r>
      <rPr>
        <vertAlign val="subscript"/>
        <sz val="11"/>
        <color rgb="FF000000"/>
        <rFont val="Calibri"/>
        <family val="2"/>
      </rPr>
      <t>3</t>
    </r>
  </si>
  <si>
    <t>Cone Level</t>
  </si>
  <si>
    <r>
      <t>h</t>
    </r>
    <r>
      <rPr>
        <vertAlign val="subscript"/>
        <sz val="11"/>
        <color rgb="FF000000"/>
        <rFont val="Calibri"/>
        <family val="2"/>
      </rPr>
      <t>2</t>
    </r>
  </si>
  <si>
    <t>Desired Molarity</t>
  </si>
  <si>
    <r>
      <t>molL</t>
    </r>
    <r>
      <rPr>
        <vertAlign val="superscript"/>
        <sz val="11"/>
        <color rgb="FF000000"/>
        <rFont val="Calibri"/>
        <family val="2"/>
      </rPr>
      <t>-1</t>
    </r>
  </si>
  <si>
    <t>Concentration of NaOH</t>
  </si>
  <si>
    <t>wt%</t>
  </si>
  <si>
    <t>NaOH Required</t>
  </si>
  <si>
    <r>
      <t>m</t>
    </r>
    <r>
      <rPr>
        <vertAlign val="superscript"/>
        <sz val="11"/>
        <color rgb="FF000000"/>
        <rFont val="Calibri"/>
        <family val="2"/>
      </rPr>
      <t>3</t>
    </r>
  </si>
  <si>
    <t>Dimensions and Initial Volume Calculations</t>
  </si>
  <si>
    <t>Conversions to SI</t>
  </si>
  <si>
    <t>Heights and Volumes</t>
  </si>
  <si>
    <t>Radius</t>
  </si>
  <si>
    <t>r</t>
  </si>
  <si>
    <t>Volume of Cone</t>
  </si>
  <si>
    <t>Volume in Cylinder</t>
  </si>
  <si>
    <r>
      <t>If h</t>
    </r>
    <r>
      <rPr>
        <b/>
        <vertAlign val="subscript"/>
        <sz val="11"/>
        <color rgb="FF000000"/>
        <rFont val="Calibri"/>
        <family val="2"/>
      </rPr>
      <t>4</t>
    </r>
    <r>
      <rPr>
        <b/>
        <sz val="11"/>
        <color rgb="FF000000"/>
        <rFont val="Calibri"/>
        <family val="2"/>
      </rPr>
      <t>&lt;h</t>
    </r>
    <r>
      <rPr>
        <b/>
        <vertAlign val="subscript"/>
        <sz val="11"/>
        <color rgb="FF000000"/>
        <rFont val="Calibri"/>
        <family val="2"/>
      </rPr>
      <t>2</t>
    </r>
    <r>
      <rPr>
        <b/>
        <sz val="11"/>
        <color rgb="FF000000"/>
        <rFont val="Calibri"/>
        <family val="2"/>
      </rPr>
      <t>:</t>
    </r>
  </si>
  <si>
    <r>
      <t>h</t>
    </r>
    <r>
      <rPr>
        <vertAlign val="subscript"/>
        <sz val="11"/>
        <color rgb="FF000000"/>
        <rFont val="Calibri"/>
        <family val="2"/>
      </rPr>
      <t>5</t>
    </r>
  </si>
  <si>
    <r>
      <t>h</t>
    </r>
    <r>
      <rPr>
        <vertAlign val="subscript"/>
        <sz val="11"/>
        <color rgb="FF000000"/>
        <rFont val="Calibri"/>
        <family val="2"/>
      </rPr>
      <t>4</t>
    </r>
    <r>
      <rPr>
        <sz val="11"/>
        <color rgb="FF000000"/>
        <rFont val="Calibri"/>
        <family val="2"/>
      </rPr>
      <t>-h</t>
    </r>
    <r>
      <rPr>
        <vertAlign val="subscript"/>
        <sz val="11"/>
        <color rgb="FF000000"/>
        <rFont val="Calibri"/>
        <family val="2"/>
      </rPr>
      <t>3</t>
    </r>
  </si>
  <si>
    <r>
      <t>h</t>
    </r>
    <r>
      <rPr>
        <vertAlign val="subscript"/>
        <sz val="11"/>
        <color rgb="FF000000"/>
        <rFont val="Calibri"/>
        <family val="2"/>
      </rPr>
      <t>2</t>
    </r>
    <r>
      <rPr>
        <sz val="11"/>
        <color rgb="FF000000"/>
        <rFont val="Calibri"/>
        <family val="2"/>
      </rPr>
      <t>-h</t>
    </r>
    <r>
      <rPr>
        <vertAlign val="subscript"/>
        <sz val="11"/>
        <color rgb="FF000000"/>
        <rFont val="Calibri"/>
        <family val="2"/>
      </rPr>
      <t>3</t>
    </r>
  </si>
  <si>
    <r>
      <t>r</t>
    </r>
    <r>
      <rPr>
        <vertAlign val="subscript"/>
        <sz val="11"/>
        <color rgb="FF000000"/>
        <rFont val="Calibri"/>
        <family val="2"/>
      </rPr>
      <t>1</t>
    </r>
  </si>
  <si>
    <r>
      <t>(r/(h</t>
    </r>
    <r>
      <rPr>
        <vertAlign val="subscript"/>
        <sz val="11"/>
        <color rgb="FF000000"/>
        <rFont val="Calibri"/>
        <family val="2"/>
      </rPr>
      <t>2</t>
    </r>
    <r>
      <rPr>
        <sz val="11"/>
        <color rgb="FF000000"/>
        <rFont val="Calibri"/>
        <family val="2"/>
      </rPr>
      <t>-h</t>
    </r>
    <r>
      <rPr>
        <vertAlign val="subscript"/>
        <sz val="11"/>
        <color rgb="FF000000"/>
        <rFont val="Calibri"/>
        <family val="2"/>
      </rPr>
      <t>3</t>
    </r>
    <r>
      <rPr>
        <sz val="11"/>
        <color rgb="FF000000"/>
        <rFont val="Calibri"/>
        <family val="2"/>
      </rPr>
      <t>))*h</t>
    </r>
    <r>
      <rPr>
        <vertAlign val="subscript"/>
        <sz val="11"/>
        <color rgb="FF000000"/>
        <rFont val="Calibri"/>
        <family val="2"/>
      </rPr>
      <t>5</t>
    </r>
  </si>
  <si>
    <t>Volume in Cone</t>
  </si>
  <si>
    <t>Volume Calculations</t>
  </si>
  <si>
    <r>
      <t>Level&gt;h</t>
    </r>
    <r>
      <rPr>
        <b/>
        <vertAlign val="subscript"/>
        <sz val="11"/>
        <color rgb="FF000000"/>
        <rFont val="Calibri"/>
        <family val="2"/>
      </rPr>
      <t>2</t>
    </r>
  </si>
  <si>
    <t xml:space="preserve">Density of Solution </t>
  </si>
  <si>
    <r>
      <t>kgL</t>
    </r>
    <r>
      <rPr>
        <vertAlign val="superscript"/>
        <sz val="11"/>
        <color rgb="FF000000"/>
        <rFont val="Calibri"/>
        <family val="2"/>
      </rPr>
      <t>-1</t>
    </r>
  </si>
  <si>
    <r>
      <t>V</t>
    </r>
    <r>
      <rPr>
        <vertAlign val="subscript"/>
        <sz val="11"/>
        <color rgb="FF000000"/>
        <rFont val="Calibri"/>
        <family val="2"/>
      </rPr>
      <t>T</t>
    </r>
  </si>
  <si>
    <r>
      <t>Level&lt;h</t>
    </r>
    <r>
      <rPr>
        <b/>
        <vertAlign val="subscript"/>
        <sz val="11"/>
        <color rgb="FF000000"/>
        <rFont val="Calibri"/>
        <family val="2"/>
      </rPr>
      <t>2</t>
    </r>
  </si>
  <si>
    <t>IBC</t>
  </si>
  <si>
    <t>Molar Weights</t>
  </si>
  <si>
    <r>
      <t>If cylinder volume is negative, use volume below h</t>
    </r>
    <r>
      <rPr>
        <b/>
        <vertAlign val="subscript"/>
        <sz val="11"/>
        <color rgb="FF000000"/>
        <rFont val="Calibri"/>
        <family val="2"/>
      </rPr>
      <t>2</t>
    </r>
    <r>
      <rPr>
        <b/>
        <sz val="11"/>
        <color rgb="FF000000"/>
        <rFont val="Calibri"/>
        <family val="2"/>
      </rPr>
      <t>, else above h</t>
    </r>
    <r>
      <rPr>
        <b/>
        <vertAlign val="subscript"/>
        <sz val="11"/>
        <color rgb="FF000000"/>
        <rFont val="Calibri"/>
        <family val="2"/>
      </rPr>
      <t>2</t>
    </r>
  </si>
  <si>
    <t>Mass Fractions</t>
  </si>
  <si>
    <t>NaOH</t>
  </si>
  <si>
    <r>
      <t>gmol</t>
    </r>
    <r>
      <rPr>
        <vertAlign val="superscript"/>
        <sz val="11"/>
        <color rgb="FF000000"/>
        <rFont val="Calibri"/>
        <family val="2"/>
      </rPr>
      <t>-1</t>
    </r>
  </si>
  <si>
    <t>Final Volume</t>
  </si>
  <si>
    <r>
      <t>H</t>
    </r>
    <r>
      <rPr>
        <vertAlign val="subscript"/>
        <sz val="11"/>
        <color rgb="FF000000"/>
        <rFont val="Calibri"/>
        <family val="2"/>
      </rPr>
      <t>2</t>
    </r>
    <r>
      <rPr>
        <sz val="11"/>
        <color rgb="FF000000"/>
        <rFont val="Calibri"/>
        <family val="2"/>
      </rPr>
      <t>O</t>
    </r>
  </si>
  <si>
    <r>
      <t>If level&lt;h</t>
    </r>
    <r>
      <rPr>
        <b/>
        <vertAlign val="subscript"/>
        <sz val="11"/>
        <color rgb="FF000000"/>
        <rFont val="Calibri"/>
        <family val="2"/>
      </rPr>
      <t>3</t>
    </r>
    <r>
      <rPr>
        <b/>
        <sz val="11"/>
        <color rgb="FF000000"/>
        <rFont val="Calibri"/>
        <family val="2"/>
      </rPr>
      <t>, tank is empty</t>
    </r>
  </si>
  <si>
    <t>Final Initial Volume</t>
  </si>
  <si>
    <t>Mole Fractions</t>
  </si>
  <si>
    <t>Concentration</t>
  </si>
  <si>
    <r>
      <t>kmolm</t>
    </r>
    <r>
      <rPr>
        <vertAlign val="superscript"/>
        <sz val="11"/>
        <color rgb="FF000000"/>
        <rFont val="Calibri"/>
        <family val="2"/>
      </rPr>
      <t>-3</t>
    </r>
  </si>
  <si>
    <t>Calculating Required Volume</t>
  </si>
  <si>
    <t>Tank Initial</t>
  </si>
  <si>
    <t>Tank Final</t>
  </si>
  <si>
    <r>
      <t>Concentration (kmolm</t>
    </r>
    <r>
      <rPr>
        <vertAlign val="superscript"/>
        <sz val="11"/>
        <color rgb="FF000000"/>
        <rFont val="Calibri"/>
        <family val="2"/>
      </rPr>
      <t>-3</t>
    </r>
    <r>
      <rPr>
        <sz val="11"/>
        <color rgb="FF000000"/>
        <rFont val="Calibri"/>
        <family val="2"/>
      </rPr>
      <t>)</t>
    </r>
  </si>
  <si>
    <r>
      <t>Volume (m</t>
    </r>
    <r>
      <rPr>
        <vertAlign val="superscript"/>
        <sz val="11"/>
        <color rgb="FF000000"/>
        <rFont val="Calibri"/>
        <family val="2"/>
      </rPr>
      <t>3</t>
    </r>
    <r>
      <rPr>
        <sz val="11"/>
        <color rgb="FF000000"/>
        <rFont val="Calibri"/>
        <family val="2"/>
      </rPr>
      <t>)</t>
    </r>
  </si>
  <si>
    <t>(All of NaOH)</t>
  </si>
  <si>
    <t>Feed Contents</t>
  </si>
  <si>
    <t>Mass (kg)</t>
  </si>
  <si>
    <t>Moles (kmol)</t>
  </si>
  <si>
    <t>Pressure (KPa)</t>
  </si>
  <si>
    <t>Temperature (K)</t>
  </si>
  <si>
    <r>
      <t>Gas Density (kgm</t>
    </r>
    <r>
      <rPr>
        <b/>
        <vertAlign val="superscript"/>
        <sz val="11"/>
        <color rgb="FF000000"/>
        <rFont val="Calibri"/>
        <family val="2"/>
      </rPr>
      <t>-3</t>
    </r>
    <r>
      <rPr>
        <b/>
        <sz val="11"/>
        <color rgb="FF000000"/>
        <rFont val="Calibri"/>
        <family val="2"/>
      </rPr>
      <t>)</t>
    </r>
  </si>
  <si>
    <r>
      <t>Volumetric Flowrate (m</t>
    </r>
    <r>
      <rPr>
        <b/>
        <vertAlign val="superscript"/>
        <sz val="11"/>
        <color rgb="FF000000"/>
        <rFont val="Calibri"/>
        <family val="2"/>
      </rPr>
      <t>3</t>
    </r>
    <r>
      <rPr>
        <b/>
        <sz val="11"/>
        <color rgb="FF000000"/>
        <rFont val="Calibri"/>
        <family val="2"/>
      </rPr>
      <t>hr</t>
    </r>
    <r>
      <rPr>
        <b/>
        <vertAlign val="superscript"/>
        <sz val="11"/>
        <color rgb="FF000000"/>
        <rFont val="Calibri"/>
        <family val="2"/>
      </rPr>
      <t>-1</t>
    </r>
    <r>
      <rPr>
        <b/>
        <sz val="11"/>
        <color rgb="FF000000"/>
        <rFont val="Calibri"/>
        <family val="2"/>
      </rPr>
      <t>)</t>
    </r>
  </si>
  <si>
    <t>Pipeline Diameter (m)</t>
  </si>
  <si>
    <t>This sheet calculates the overall material balance for a process to manufacture ethylene oxide. It then calculates, for each stream, the density of the gas, the volumetric flowrate and the pipeline diameter.</t>
  </si>
  <si>
    <t>S1</t>
  </si>
  <si>
    <t>Ethylene</t>
  </si>
  <si>
    <t>The user can adjust the ethylene feed rate, the time basis, the excess air supplied, the single pass conversion, the side reaction weight and the average gas velocity.</t>
  </si>
  <si>
    <t>Specifications</t>
  </si>
  <si>
    <t>Oxygen</t>
  </si>
  <si>
    <t>Ethylene Feed Rate</t>
  </si>
  <si>
    <r>
      <t>kghr</t>
    </r>
    <r>
      <rPr>
        <vertAlign val="superscript"/>
        <sz val="11"/>
        <color rgb="FF000000"/>
        <rFont val="Calibri"/>
        <family val="2"/>
      </rPr>
      <t>-1</t>
    </r>
  </si>
  <si>
    <t>Nitrogen</t>
  </si>
  <si>
    <t>Time Basis</t>
  </si>
  <si>
    <t>hr</t>
  </si>
  <si>
    <t>Excess Air Supplied</t>
  </si>
  <si>
    <t>S2</t>
  </si>
  <si>
    <t>Single Pass Conversion</t>
  </si>
  <si>
    <t>Side Reaction</t>
  </si>
  <si>
    <t>Selectivity of Ethylene Oxide</t>
  </si>
  <si>
    <t>S3</t>
  </si>
  <si>
    <r>
      <t>Selectivity of CO</t>
    </r>
    <r>
      <rPr>
        <vertAlign val="subscript"/>
        <sz val="11"/>
        <color rgb="FF000000"/>
        <rFont val="Calibri"/>
        <family val="2"/>
      </rPr>
      <t>2</t>
    </r>
  </si>
  <si>
    <t>%Top Feed (Seperator 1)</t>
  </si>
  <si>
    <t>Ethylene Oxide</t>
  </si>
  <si>
    <t>%Top Feed (Seperator 2)</t>
  </si>
  <si>
    <t>Purge</t>
  </si>
  <si>
    <t>Reactions</t>
  </si>
  <si>
    <r>
      <t>Molecular Weights (gmol</t>
    </r>
    <r>
      <rPr>
        <b/>
        <vertAlign val="superscript"/>
        <sz val="11"/>
        <color rgb="FF000000"/>
        <rFont val="Calibri"/>
        <family val="2"/>
      </rPr>
      <t>-1</t>
    </r>
    <r>
      <rPr>
        <b/>
        <sz val="11"/>
        <color rgb="FF000000"/>
        <rFont val="Calibri"/>
        <family val="2"/>
      </rPr>
      <t>)</t>
    </r>
  </si>
  <si>
    <t>Average Gas Velocity</t>
  </si>
  <si>
    <t>Carbon Dioxide</t>
  </si>
  <si>
    <t>Main</t>
  </si>
  <si>
    <r>
      <t>2C</t>
    </r>
    <r>
      <rPr>
        <vertAlign val="subscript"/>
        <sz val="11"/>
        <color rgb="FF000000"/>
        <rFont val="Calibri"/>
        <family val="2"/>
      </rPr>
      <t>2</t>
    </r>
    <r>
      <rPr>
        <sz val="11"/>
        <color rgb="FF000000"/>
        <rFont val="Calibri"/>
        <family val="2"/>
      </rPr>
      <t>H</t>
    </r>
    <r>
      <rPr>
        <vertAlign val="subscript"/>
        <sz val="11"/>
        <color rgb="FF000000"/>
        <rFont val="Calibri"/>
        <family val="2"/>
      </rPr>
      <t>4</t>
    </r>
    <r>
      <rPr>
        <sz val="11"/>
        <color rgb="FF000000"/>
        <rFont val="Calibri"/>
        <family val="2"/>
      </rPr>
      <t xml:space="preserve"> +</t>
    </r>
  </si>
  <si>
    <r>
      <t>O</t>
    </r>
    <r>
      <rPr>
        <vertAlign val="subscript"/>
        <sz val="11"/>
        <color rgb="FF000000"/>
        <rFont val="Calibri"/>
        <family val="2"/>
      </rPr>
      <t>2</t>
    </r>
    <r>
      <rPr>
        <sz val="11"/>
        <color rgb="FF000000"/>
        <rFont val="Calibri"/>
        <family val="2"/>
      </rPr>
      <t xml:space="preserve"> -&gt;</t>
    </r>
  </si>
  <si>
    <r>
      <t>2C</t>
    </r>
    <r>
      <rPr>
        <vertAlign val="subscript"/>
        <sz val="11"/>
        <color rgb="FF000000"/>
        <rFont val="Calibri"/>
        <family val="2"/>
      </rPr>
      <t>2</t>
    </r>
    <r>
      <rPr>
        <sz val="11"/>
        <color rgb="FF000000"/>
        <rFont val="Calibri"/>
        <family val="2"/>
      </rPr>
      <t>H</t>
    </r>
    <r>
      <rPr>
        <vertAlign val="subscript"/>
        <sz val="11"/>
        <color rgb="FF000000"/>
        <rFont val="Calibri"/>
        <family val="2"/>
      </rPr>
      <t>4</t>
    </r>
    <r>
      <rPr>
        <sz val="11"/>
        <color rgb="FF000000"/>
        <rFont val="Calibri"/>
        <family val="2"/>
      </rPr>
      <t>O</t>
    </r>
  </si>
  <si>
    <t>Gas Constant</t>
  </si>
  <si>
    <r>
      <t>JK</t>
    </r>
    <r>
      <rPr>
        <vertAlign val="superscript"/>
        <sz val="11"/>
        <color rgb="FF000000"/>
        <rFont val="Calibri"/>
        <family val="2"/>
      </rPr>
      <t>-1</t>
    </r>
    <r>
      <rPr>
        <sz val="11"/>
        <color rgb="FF000000"/>
        <rFont val="Calibri"/>
        <family val="2"/>
      </rPr>
      <t>mol</t>
    </r>
    <r>
      <rPr>
        <vertAlign val="superscript"/>
        <sz val="11"/>
        <color rgb="FF000000"/>
        <rFont val="Calibri"/>
        <family val="2"/>
      </rPr>
      <t>-1</t>
    </r>
  </si>
  <si>
    <t>Moles</t>
  </si>
  <si>
    <t>S4</t>
  </si>
  <si>
    <t>Side</t>
  </si>
  <si>
    <r>
      <t>C</t>
    </r>
    <r>
      <rPr>
        <vertAlign val="subscript"/>
        <sz val="11"/>
        <color rgb="FF000000"/>
        <rFont val="Calibri"/>
        <family val="2"/>
      </rPr>
      <t>2</t>
    </r>
    <r>
      <rPr>
        <sz val="11"/>
        <color rgb="FF000000"/>
        <rFont val="Calibri"/>
        <family val="2"/>
      </rPr>
      <t>H</t>
    </r>
    <r>
      <rPr>
        <vertAlign val="subscript"/>
        <sz val="11"/>
        <color rgb="FF000000"/>
        <rFont val="Calibri"/>
        <family val="2"/>
      </rPr>
      <t>4</t>
    </r>
    <r>
      <rPr>
        <sz val="11"/>
        <color rgb="FF000000"/>
        <rFont val="Calibri"/>
        <family val="2"/>
      </rPr>
      <t xml:space="preserve"> +</t>
    </r>
  </si>
  <si>
    <r>
      <t>3O</t>
    </r>
    <r>
      <rPr>
        <vertAlign val="subscript"/>
        <sz val="11"/>
        <color rgb="FF000000"/>
        <rFont val="Calibri"/>
        <family val="2"/>
      </rPr>
      <t>2</t>
    </r>
    <r>
      <rPr>
        <sz val="11"/>
        <color rgb="FF000000"/>
        <rFont val="Calibri"/>
        <family val="2"/>
      </rPr>
      <t xml:space="preserve"> -&gt;</t>
    </r>
  </si>
  <si>
    <r>
      <t>2CO</t>
    </r>
    <r>
      <rPr>
        <vertAlign val="subscript"/>
        <sz val="11"/>
        <color rgb="FF000000"/>
        <rFont val="Calibri"/>
        <family val="2"/>
      </rPr>
      <t>2</t>
    </r>
    <r>
      <rPr>
        <sz val="11"/>
        <color rgb="FF000000"/>
        <rFont val="Calibri"/>
        <family val="2"/>
      </rPr>
      <t xml:space="preserve"> +</t>
    </r>
  </si>
  <si>
    <r>
      <t>2H</t>
    </r>
    <r>
      <rPr>
        <vertAlign val="subscript"/>
        <sz val="11"/>
        <color rgb="FF000000"/>
        <rFont val="Calibri"/>
        <family val="2"/>
      </rPr>
      <t>2</t>
    </r>
    <r>
      <rPr>
        <sz val="11"/>
        <color rgb="FF000000"/>
        <rFont val="Calibri"/>
        <family val="2"/>
      </rPr>
      <t>O</t>
    </r>
  </si>
  <si>
    <t>Theoretical Oxygen</t>
  </si>
  <si>
    <t>mol</t>
  </si>
  <si>
    <t>S5</t>
  </si>
  <si>
    <t>Excess Oxygen</t>
  </si>
  <si>
    <t>Actual Oxygen</t>
  </si>
  <si>
    <t>Actual Nitrogen</t>
  </si>
  <si>
    <t>Negligible</t>
  </si>
  <si>
    <t>S6</t>
  </si>
  <si>
    <t>S7</t>
  </si>
  <si>
    <t>S8</t>
  </si>
  <si>
    <t>S9</t>
  </si>
  <si>
    <t>This sheet calculates the adiabatic flame temperature when methane is burned in air. The user can adjust the datum temperature, the temperature at which the combustion takes place, the fuel flow and the basis.</t>
  </si>
  <si>
    <r>
      <t xml:space="preserve">To obtain the result, use goal seek on the cell marked in </t>
    </r>
    <r>
      <rPr>
        <sz val="11"/>
        <color rgb="FFFF0000"/>
        <rFont val="Calibri"/>
        <family val="2"/>
      </rPr>
      <t xml:space="preserve">red </t>
    </r>
    <r>
      <rPr>
        <sz val="11"/>
        <color rgb="FF000000"/>
        <rFont val="Calibri"/>
        <family val="2"/>
      </rPr>
      <t>and set the variables to: "N17", "0" and "C14".</t>
    </r>
  </si>
  <si>
    <t>Heat Capacity Coefficients</t>
  </si>
  <si>
    <t>Enthalpies</t>
  </si>
  <si>
    <r>
      <t>T</t>
    </r>
    <r>
      <rPr>
        <vertAlign val="subscript"/>
        <sz val="11"/>
        <color rgb="FF000000"/>
        <rFont val="Calibri"/>
        <family val="2"/>
      </rPr>
      <t xml:space="preserve">1 </t>
    </r>
    <r>
      <rPr>
        <sz val="11"/>
        <color rgb="FF000000"/>
        <rFont val="Calibri"/>
        <family val="2"/>
      </rPr>
      <t>(reactants)</t>
    </r>
  </si>
  <si>
    <t>(Datum)</t>
  </si>
  <si>
    <t>K</t>
  </si>
  <si>
    <t>A</t>
  </si>
  <si>
    <t>B</t>
  </si>
  <si>
    <t>C</t>
  </si>
  <si>
    <t>D</t>
  </si>
  <si>
    <t>Reactants</t>
  </si>
  <si>
    <t>Reacting</t>
  </si>
  <si>
    <t>Products</t>
  </si>
  <si>
    <r>
      <t>T</t>
    </r>
    <r>
      <rPr>
        <vertAlign val="subscript"/>
        <sz val="11"/>
        <color rgb="FF000000"/>
        <rFont val="Calibri"/>
        <family val="2"/>
      </rPr>
      <t>2</t>
    </r>
    <r>
      <rPr>
        <sz val="11"/>
        <color rgb="FF000000"/>
        <rFont val="Calibri"/>
        <family val="2"/>
      </rPr>
      <t xml:space="preserve"> (reactants)</t>
    </r>
  </si>
  <si>
    <t>(Combustion)</t>
  </si>
  <si>
    <t>Multiplier</t>
  </si>
  <si>
    <r>
      <t>Δh</t>
    </r>
    <r>
      <rPr>
        <vertAlign val="subscript"/>
        <sz val="11"/>
        <color rgb="FF000000"/>
        <rFont val="Calibri"/>
        <family val="2"/>
      </rPr>
      <t>r</t>
    </r>
    <r>
      <rPr>
        <sz val="11"/>
        <color rgb="FF000000"/>
        <rFont val="Calibri"/>
        <family val="2"/>
      </rPr>
      <t xml:space="preserve"> (Jmol</t>
    </r>
    <r>
      <rPr>
        <vertAlign val="superscript"/>
        <sz val="11"/>
        <color rgb="FF000000"/>
        <rFont val="Calibri"/>
        <family val="2"/>
      </rPr>
      <t>-1</t>
    </r>
    <r>
      <rPr>
        <sz val="11"/>
        <color rgb="FF000000"/>
        <rFont val="Calibri"/>
        <family val="2"/>
      </rPr>
      <t>)</t>
    </r>
  </si>
  <si>
    <r>
      <t>(kJmol</t>
    </r>
    <r>
      <rPr>
        <vertAlign val="superscript"/>
        <sz val="11"/>
        <color rgb="FF000000"/>
        <rFont val="Calibri"/>
        <family val="2"/>
      </rPr>
      <t>-1</t>
    </r>
    <r>
      <rPr>
        <sz val="11"/>
        <color rgb="FF000000"/>
        <rFont val="Calibri"/>
        <family val="2"/>
      </rPr>
      <t>)</t>
    </r>
  </si>
  <si>
    <t>MΔh (kJ)</t>
  </si>
  <si>
    <r>
      <t>Δh</t>
    </r>
    <r>
      <rPr>
        <vertAlign val="subscript"/>
        <sz val="11"/>
        <color rgb="FF000000"/>
        <rFont val="Calibri"/>
        <family val="2"/>
      </rPr>
      <t>c</t>
    </r>
    <r>
      <rPr>
        <sz val="11"/>
        <color rgb="FF000000"/>
        <rFont val="Calibri"/>
        <family val="2"/>
      </rPr>
      <t xml:space="preserve"> (kJmol</t>
    </r>
    <r>
      <rPr>
        <vertAlign val="superscript"/>
        <sz val="11"/>
        <color rgb="FF000000"/>
        <rFont val="Calibri"/>
        <family val="2"/>
      </rPr>
      <t>-1</t>
    </r>
    <r>
      <rPr>
        <sz val="11"/>
        <color rgb="FF000000"/>
        <rFont val="Calibri"/>
        <family val="2"/>
      </rPr>
      <t>)</t>
    </r>
  </si>
  <si>
    <r>
      <t>GΔ</t>
    </r>
    <r>
      <rPr>
        <vertAlign val="subscript"/>
        <sz val="11"/>
        <color rgb="FF000000"/>
        <rFont val="Calibri"/>
        <family val="2"/>
      </rPr>
      <t>c</t>
    </r>
    <r>
      <rPr>
        <sz val="11"/>
        <color rgb="FF000000"/>
        <rFont val="Calibri"/>
        <family val="2"/>
      </rPr>
      <t xml:space="preserve"> (kJ)</t>
    </r>
  </si>
  <si>
    <r>
      <t>Δh</t>
    </r>
    <r>
      <rPr>
        <vertAlign val="subscript"/>
        <sz val="11"/>
        <color rgb="FF000000"/>
        <rFont val="Calibri"/>
        <family val="2"/>
      </rPr>
      <t>p</t>
    </r>
    <r>
      <rPr>
        <sz val="11"/>
        <color rgb="FF000000"/>
        <rFont val="Calibri"/>
        <family val="2"/>
      </rPr>
      <t xml:space="preserve"> (Jmol</t>
    </r>
    <r>
      <rPr>
        <vertAlign val="superscript"/>
        <sz val="11"/>
        <color rgb="FF000000"/>
        <rFont val="Calibri"/>
        <family val="2"/>
      </rPr>
      <t>-1</t>
    </r>
    <r>
      <rPr>
        <sz val="11"/>
        <color rgb="FF000000"/>
        <rFont val="Calibri"/>
        <family val="2"/>
      </rPr>
      <t>)</t>
    </r>
  </si>
  <si>
    <t>PΔh (kJ)</t>
  </si>
  <si>
    <r>
      <t>T</t>
    </r>
    <r>
      <rPr>
        <vertAlign val="subscript"/>
        <sz val="11"/>
        <color rgb="FF000000"/>
        <rFont val="Calibri"/>
        <family val="2"/>
      </rPr>
      <t>1</t>
    </r>
    <r>
      <rPr>
        <sz val="11"/>
        <color rgb="FF000000"/>
        <rFont val="Calibri"/>
        <family val="2"/>
      </rPr>
      <t xml:space="preserve"> (products)</t>
    </r>
  </si>
  <si>
    <r>
      <t>CH</t>
    </r>
    <r>
      <rPr>
        <vertAlign val="subscript"/>
        <sz val="11"/>
        <color rgb="FF000000"/>
        <rFont val="Calibri"/>
        <family val="2"/>
      </rPr>
      <t>4</t>
    </r>
  </si>
  <si>
    <t>Fuel Flow</t>
  </si>
  <si>
    <r>
      <t>mols</t>
    </r>
    <r>
      <rPr>
        <vertAlign val="superscript"/>
        <sz val="11"/>
        <color rgb="FF000000"/>
        <rFont val="Calibri"/>
        <family val="2"/>
      </rPr>
      <t>-1</t>
    </r>
  </si>
  <si>
    <r>
      <t>O</t>
    </r>
    <r>
      <rPr>
        <vertAlign val="subscript"/>
        <sz val="11"/>
        <color rgb="FF000000"/>
        <rFont val="Calibri"/>
        <family val="2"/>
      </rPr>
      <t>2</t>
    </r>
  </si>
  <si>
    <t>s</t>
  </si>
  <si>
    <r>
      <t>N</t>
    </r>
    <r>
      <rPr>
        <vertAlign val="subscript"/>
        <sz val="11"/>
        <color rgb="FF000000"/>
        <rFont val="Calibri"/>
        <family val="2"/>
      </rPr>
      <t>2</t>
    </r>
  </si>
  <si>
    <r>
      <t>CO</t>
    </r>
    <r>
      <rPr>
        <vertAlign val="subscript"/>
        <sz val="11"/>
        <color rgb="FF000000"/>
        <rFont val="Calibri"/>
        <family val="2"/>
      </rPr>
      <t>2</t>
    </r>
  </si>
  <si>
    <t>Adiabatic Flame Temperature</t>
  </si>
  <si>
    <t>Total</t>
  </si>
  <si>
    <t>Data (at standard conditions)</t>
  </si>
  <si>
    <t>Latent heat of vaporisation of water</t>
  </si>
  <si>
    <r>
      <t>kJmol</t>
    </r>
    <r>
      <rPr>
        <vertAlign val="superscript"/>
        <sz val="11"/>
        <color rgb="FF000000"/>
        <rFont val="Calibri"/>
        <family val="2"/>
      </rPr>
      <t>-1</t>
    </r>
  </si>
  <si>
    <r>
      <t>MΔh + GΔ</t>
    </r>
    <r>
      <rPr>
        <vertAlign val="subscript"/>
        <sz val="11"/>
        <color rgb="FF000000"/>
        <rFont val="Calibri"/>
        <family val="2"/>
      </rPr>
      <t>c</t>
    </r>
  </si>
  <si>
    <t>kJ</t>
  </si>
  <si>
    <t>Standard heat of combustion of methane</t>
  </si>
  <si>
    <t>Target</t>
  </si>
  <si>
    <t>Balance</t>
  </si>
  <si>
    <t>Moles In</t>
  </si>
  <si>
    <t>Moles Reacted</t>
  </si>
  <si>
    <t>Moles Out</t>
  </si>
  <si>
    <t>Bethany Mulliner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</si>
</sst>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
    <numFmt numFmtId="165" formatCode="0.000000"/>
    <numFmt numFmtId="166" formatCode="0.0000"/>
    <numFmt numFmtId="167" formatCode="0.00000"/>
  </numFmts>
  <fonts count="10" x14ac:knownFonts="1">
    <font>
      <sz val="11"/>
      <color rgb="FF000000"/>
      <name val="Calibri"/>
      <family val="2"/>
    </font>
    <font>
      <sz val="10"/>
      <color rgb="FF000000"/>
      <name val="Arial"/>
      <family val="2"/>
    </font>
    <font>
      <b/>
      <sz val="11"/>
      <color rgb="FF000000"/>
      <name val="Calibri"/>
      <family val="2"/>
    </font>
    <font>
      <vertAlign val="superscript"/>
      <sz val="11"/>
      <color rgb="FF000000"/>
      <name val="Calibri"/>
      <family val="2"/>
    </font>
    <font>
      <i/>
      <sz val="11"/>
      <color rgb="FF000000"/>
      <name val="Calibri"/>
      <family val="2"/>
    </font>
    <font>
      <sz val="11"/>
      <color rgb="FFFF0000"/>
      <name val="Calibri"/>
      <family val="2"/>
    </font>
    <font>
      <b/>
      <vertAlign val="superscript"/>
      <sz val="11"/>
      <color rgb="FF000000"/>
      <name val="Calibri"/>
      <family val="2"/>
    </font>
    <font>
      <vertAlign val="superscript"/>
      <sz val="10"/>
      <color rgb="FF000000"/>
      <name val="Arial"/>
      <family val="2"/>
    </font>
    <font>
      <vertAlign val="subscript"/>
      <sz val="11"/>
      <color rgb="FF000000"/>
      <name val="Calibri"/>
      <family val="2"/>
    </font>
    <font>
      <b/>
      <vertAlign val="subscript"/>
      <sz val="11"/>
      <color rgb="FF000000"/>
      <name val="Calibri"/>
      <family val="2"/>
    </font>
  </fonts>
  <fills count="5">
    <fill>
      <patternFill patternType="none"/>
    </fill>
    <fill>
      <patternFill patternType="gray125"/>
    </fill>
    <fill>
      <patternFill patternType="solid">
        <fgColor rgb="FFFFF2CC"/>
        <bgColor rgb="FFFFF2CC"/>
      </patternFill>
    </fill>
    <fill>
      <patternFill patternType="solid">
        <fgColor rgb="FFF2F2F2"/>
        <bgColor rgb="FFF2F2F2"/>
      </patternFill>
    </fill>
    <fill>
      <patternFill patternType="solid">
        <fgColor rgb="FFEDEDED"/>
        <bgColor rgb="FFEDEDED"/>
      </patternFill>
    </fill>
  </fills>
  <borders count="25">
    <border>
      <left/>
      <right/>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top/>
      <bottom/>
      <diagonal/>
    </border>
    <border>
      <left style="medium">
        <color rgb="FF000000"/>
      </left>
      <right style="medium">
        <color rgb="FF000000"/>
      </right>
      <top/>
      <bottom/>
      <diagonal/>
    </border>
    <border>
      <left/>
      <right style="medium">
        <color rgb="FF000000"/>
      </right>
      <top/>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s>
  <cellStyleXfs count="2">
    <xf numFmtId="0" fontId="0" fillId="0" borderId="0"/>
    <xf numFmtId="0" fontId="1" fillId="0" borderId="0" applyNumberFormat="0" applyBorder="0" applyProtection="0"/>
  </cellStyleXfs>
  <cellXfs count="124">
    <xf numFmtId="0" fontId="0" fillId="0" borderId="0" xfId="0"/>
    <xf numFmtId="0" fontId="2" fillId="0" borderId="2" xfId="0" applyFont="1" applyBorder="1" applyAlignment="1"/>
    <xf numFmtId="15" fontId="2" fillId="0" borderId="3" xfId="0" applyNumberFormat="1" applyFont="1" applyBorder="1"/>
    <xf numFmtId="0" fontId="0" fillId="0" borderId="4" xfId="0" applyBorder="1"/>
    <xf numFmtId="0" fontId="0" fillId="3" borderId="2" xfId="0" applyFill="1" applyBorder="1"/>
    <xf numFmtId="0" fontId="0" fillId="0" borderId="0" xfId="0" applyAlignment="1">
      <alignment horizontal="left"/>
    </xf>
    <xf numFmtId="0" fontId="2" fillId="0" borderId="5" xfId="0" applyFont="1" applyBorder="1" applyAlignment="1">
      <alignment horizontal="center"/>
    </xf>
    <xf numFmtId="0" fontId="2" fillId="0" borderId="5" xfId="0" applyFont="1" applyFill="1" applyBorder="1" applyAlignment="1">
      <alignment horizontal="center"/>
    </xf>
    <xf numFmtId="0" fontId="0" fillId="0" borderId="6" xfId="0" applyBorder="1"/>
    <xf numFmtId="0" fontId="2" fillId="0" borderId="8" xfId="0" applyFont="1" applyFill="1" applyBorder="1" applyAlignment="1">
      <alignment horizontal="center"/>
    </xf>
    <xf numFmtId="0" fontId="0" fillId="0" borderId="6" xfId="0" applyBorder="1" applyAlignment="1"/>
    <xf numFmtId="0" fontId="0" fillId="0" borderId="0" xfId="0" applyAlignment="1"/>
    <xf numFmtId="0" fontId="0" fillId="2" borderId="0" xfId="0" applyFill="1"/>
    <xf numFmtId="0" fontId="0" fillId="0" borderId="9" xfId="0" applyBorder="1"/>
    <xf numFmtId="0" fontId="0" fillId="0" borderId="10" xfId="0" applyFont="1" applyFill="1" applyBorder="1"/>
    <xf numFmtId="0" fontId="0" fillId="0" borderId="9" xfId="0" applyFont="1" applyFill="1" applyBorder="1"/>
    <xf numFmtId="0" fontId="0" fillId="0" borderId="0" xfId="0" applyFill="1"/>
    <xf numFmtId="0" fontId="0" fillId="0" borderId="2" xfId="0" applyBorder="1" applyAlignment="1"/>
    <xf numFmtId="0" fontId="0" fillId="0" borderId="3" xfId="0" applyBorder="1" applyAlignment="1"/>
    <xf numFmtId="0" fontId="0" fillId="0" borderId="3" xfId="0" applyFont="1" applyFill="1" applyBorder="1"/>
    <xf numFmtId="0" fontId="5" fillId="0" borderId="4" xfId="0" applyFont="1" applyBorder="1"/>
    <xf numFmtId="0" fontId="0" fillId="0" borderId="11" xfId="0" applyFont="1" applyFill="1" applyBorder="1"/>
    <xf numFmtId="0" fontId="0" fillId="0" borderId="4" xfId="0" applyFont="1" applyFill="1" applyBorder="1"/>
    <xf numFmtId="0" fontId="0" fillId="3" borderId="0" xfId="0" applyFill="1"/>
    <xf numFmtId="0" fontId="0" fillId="0" borderId="2" xfId="0" applyBorder="1"/>
    <xf numFmtId="0" fontId="0" fillId="0" borderId="3" xfId="0" applyBorder="1"/>
    <xf numFmtId="0" fontId="0" fillId="3" borderId="3" xfId="0" applyFill="1" applyBorder="1"/>
    <xf numFmtId="0" fontId="2" fillId="0" borderId="8" xfId="0" applyFont="1" applyBorder="1" applyAlignment="1">
      <alignment horizontal="center"/>
    </xf>
    <xf numFmtId="0" fontId="2" fillId="0" borderId="0" xfId="0" applyFont="1" applyAlignment="1">
      <alignment horizontal="center"/>
    </xf>
    <xf numFmtId="0" fontId="0" fillId="0" borderId="10" xfId="0" applyBorder="1"/>
    <xf numFmtId="164" fontId="0" fillId="0" borderId="0" xfId="0" applyNumberFormat="1"/>
    <xf numFmtId="0" fontId="2" fillId="0" borderId="6" xfId="0" applyFont="1" applyBorder="1"/>
    <xf numFmtId="0" fontId="2" fillId="0" borderId="0" xfId="0" applyFont="1"/>
    <xf numFmtId="0" fontId="0" fillId="0" borderId="6" xfId="0" applyBorder="1" applyAlignment="1">
      <alignment horizontal="left"/>
    </xf>
    <xf numFmtId="2" fontId="0" fillId="0" borderId="9" xfId="0" applyNumberFormat="1" applyBorder="1"/>
    <xf numFmtId="0" fontId="2" fillId="0" borderId="6" xfId="0" applyFont="1" applyBorder="1" applyAlignment="1"/>
    <xf numFmtId="0" fontId="2" fillId="0" borderId="0" xfId="0" applyFont="1" applyAlignment="1"/>
    <xf numFmtId="0" fontId="0" fillId="0" borderId="11" xfId="0" applyBorder="1"/>
    <xf numFmtId="0" fontId="2" fillId="0" borderId="12" xfId="0" applyFont="1" applyBorder="1"/>
    <xf numFmtId="0" fontId="0" fillId="0" borderId="13" xfId="0" applyBorder="1"/>
    <xf numFmtId="0" fontId="0" fillId="0" borderId="7" xfId="0" applyBorder="1"/>
    <xf numFmtId="0" fontId="2" fillId="0" borderId="1" xfId="0" applyFont="1" applyFill="1" applyBorder="1" applyAlignment="1">
      <alignment horizontal="left"/>
    </xf>
    <xf numFmtId="0" fontId="0" fillId="2" borderId="1" xfId="0" applyFont="1" applyFill="1" applyBorder="1" applyAlignment="1">
      <alignment horizontal="left"/>
    </xf>
    <xf numFmtId="0" fontId="0" fillId="0" borderId="0" xfId="0" applyAlignment="1">
      <alignment horizontal="left"/>
    </xf>
    <xf numFmtId="0" fontId="2" fillId="0" borderId="5" xfId="0" applyFont="1" applyFill="1" applyBorder="1" applyAlignment="1">
      <alignment horizontal="center"/>
    </xf>
    <xf numFmtId="0" fontId="4" fillId="0" borderId="6" xfId="0" applyFont="1" applyFill="1" applyBorder="1" applyAlignment="1">
      <alignment horizontal="left"/>
    </xf>
    <xf numFmtId="0" fontId="0" fillId="2" borderId="7" xfId="0" applyFill="1" applyBorder="1" applyAlignment="1">
      <alignment horizontal="left"/>
    </xf>
    <xf numFmtId="0" fontId="0" fillId="2" borderId="9" xfId="0" applyFill="1" applyBorder="1" applyAlignment="1">
      <alignment horizontal="left"/>
    </xf>
    <xf numFmtId="0" fontId="0" fillId="0" borderId="12" xfId="0" applyFill="1" applyBorder="1" applyAlignment="1">
      <alignment horizontal="left"/>
    </xf>
    <xf numFmtId="0" fontId="2" fillId="0" borderId="5" xfId="0" applyFont="1" applyFill="1" applyBorder="1" applyAlignment="1">
      <alignment horizontal="center" wrapText="1"/>
    </xf>
    <xf numFmtId="0" fontId="1" fillId="0" borderId="14" xfId="1" applyFont="1" applyFill="1" applyBorder="1" applyAlignment="1" applyProtection="1">
      <alignment horizontal="center"/>
    </xf>
    <xf numFmtId="0" fontId="1" fillId="0" borderId="15" xfId="1" applyFont="1" applyFill="1" applyBorder="1" applyAlignment="1" applyProtection="1">
      <alignment horizontal="center"/>
    </xf>
    <xf numFmtId="0" fontId="1" fillId="0" borderId="16" xfId="1" applyFont="1" applyFill="1" applyBorder="1" applyAlignment="1" applyProtection="1"/>
    <xf numFmtId="0" fontId="1" fillId="0" borderId="17" xfId="1" applyFont="1" applyFill="1" applyBorder="1" applyAlignment="1" applyProtection="1"/>
    <xf numFmtId="0" fontId="1" fillId="0" borderId="17" xfId="1" applyFont="1" applyFill="1" applyBorder="1" applyAlignment="1" applyProtection="1">
      <alignment horizontal="center"/>
    </xf>
    <xf numFmtId="0" fontId="1" fillId="0" borderId="16" xfId="1" applyFont="1" applyFill="1" applyBorder="1" applyAlignment="1" applyProtection="1">
      <alignment horizontal="center"/>
    </xf>
    <xf numFmtId="0" fontId="1" fillId="0" borderId="0" xfId="1" applyFont="1" applyFill="1" applyAlignment="1" applyProtection="1">
      <alignment horizontal="center"/>
    </xf>
    <xf numFmtId="0" fontId="1" fillId="0" borderId="18" xfId="1" applyFont="1" applyFill="1" applyBorder="1" applyAlignment="1" applyProtection="1">
      <alignment horizontal="center"/>
    </xf>
    <xf numFmtId="0" fontId="1" fillId="0" borderId="19" xfId="1" applyFont="1" applyFill="1" applyBorder="1" applyAlignment="1" applyProtection="1">
      <alignment horizontal="center"/>
    </xf>
    <xf numFmtId="0" fontId="1" fillId="0" borderId="20" xfId="1" applyFont="1" applyFill="1" applyBorder="1" applyAlignment="1" applyProtection="1">
      <alignment horizontal="center"/>
    </xf>
    <xf numFmtId="0" fontId="1" fillId="0" borderId="21" xfId="1" applyFont="1" applyFill="1" applyBorder="1" applyAlignment="1" applyProtection="1">
      <alignment horizontal="center"/>
    </xf>
    <xf numFmtId="0" fontId="1" fillId="0" borderId="22" xfId="1" applyFont="1" applyFill="1" applyBorder="1" applyAlignment="1" applyProtection="1">
      <alignment horizontal="center"/>
    </xf>
    <xf numFmtId="164" fontId="1" fillId="0" borderId="17" xfId="1" applyNumberFormat="1" applyFont="1" applyFill="1" applyBorder="1" applyAlignment="1" applyProtection="1">
      <alignment horizontal="center"/>
    </xf>
    <xf numFmtId="165" fontId="1" fillId="0" borderId="0" xfId="1" applyNumberFormat="1" applyFont="1" applyFill="1" applyAlignment="1" applyProtection="1">
      <alignment horizontal="center"/>
    </xf>
    <xf numFmtId="2" fontId="1" fillId="0" borderId="0" xfId="1" applyNumberFormat="1" applyFont="1" applyFill="1" applyAlignment="1" applyProtection="1">
      <alignment horizontal="center"/>
    </xf>
    <xf numFmtId="2" fontId="1" fillId="0" borderId="16" xfId="1" applyNumberFormat="1" applyFont="1" applyFill="1" applyBorder="1" applyAlignment="1" applyProtection="1">
      <alignment horizontal="center"/>
    </xf>
    <xf numFmtId="2" fontId="1" fillId="0" borderId="18" xfId="1" applyNumberFormat="1" applyFont="1" applyFill="1" applyBorder="1" applyAlignment="1" applyProtection="1">
      <alignment horizontal="center"/>
    </xf>
    <xf numFmtId="166" fontId="1" fillId="0" borderId="16" xfId="1" applyNumberFormat="1" applyFont="1" applyFill="1" applyBorder="1" applyAlignment="1" applyProtection="1">
      <alignment horizontal="center"/>
    </xf>
    <xf numFmtId="166" fontId="1" fillId="0" borderId="18" xfId="1" applyNumberFormat="1" applyFont="1" applyFill="1" applyBorder="1" applyAlignment="1" applyProtection="1">
      <alignment horizontal="center"/>
    </xf>
    <xf numFmtId="0" fontId="0" fillId="2" borderId="3" xfId="0" applyFill="1" applyBorder="1"/>
    <xf numFmtId="0" fontId="2" fillId="0" borderId="6" xfId="0" applyFont="1" applyBorder="1" applyAlignment="1">
      <alignment horizontal="left"/>
    </xf>
    <xf numFmtId="164" fontId="1" fillId="0" borderId="20" xfId="1" applyNumberFormat="1" applyFont="1" applyFill="1" applyBorder="1" applyAlignment="1" applyProtection="1">
      <alignment horizontal="center"/>
    </xf>
    <xf numFmtId="165" fontId="1" fillId="0" borderId="21" xfId="1" applyNumberFormat="1" applyFont="1" applyFill="1" applyBorder="1" applyAlignment="1" applyProtection="1">
      <alignment horizontal="center"/>
    </xf>
    <xf numFmtId="2" fontId="1" fillId="0" borderId="21" xfId="1" applyNumberFormat="1" applyFont="1" applyFill="1" applyBorder="1" applyAlignment="1" applyProtection="1">
      <alignment horizontal="center"/>
    </xf>
    <xf numFmtId="2" fontId="1" fillId="0" borderId="19" xfId="1" applyNumberFormat="1" applyFont="1" applyFill="1" applyBorder="1" applyAlignment="1" applyProtection="1">
      <alignment horizontal="center"/>
    </xf>
    <xf numFmtId="2" fontId="1" fillId="0" borderId="22" xfId="1" applyNumberFormat="1" applyFont="1" applyFill="1" applyBorder="1" applyAlignment="1" applyProtection="1">
      <alignment horizontal="center"/>
    </xf>
    <xf numFmtId="166" fontId="1" fillId="0" borderId="19" xfId="1" applyNumberFormat="1" applyFont="1" applyFill="1" applyBorder="1" applyAlignment="1" applyProtection="1">
      <alignment horizontal="center"/>
    </xf>
    <xf numFmtId="166" fontId="1" fillId="0" borderId="22" xfId="1" applyNumberFormat="1" applyFont="1" applyFill="1" applyBorder="1" applyAlignment="1" applyProtection="1">
      <alignment horizontal="center"/>
    </xf>
    <xf numFmtId="0" fontId="0" fillId="0" borderId="0" xfId="0" applyAlignment="1">
      <alignment horizontal="left" wrapText="1"/>
    </xf>
    <xf numFmtId="0" fontId="1" fillId="0" borderId="15" xfId="1" applyFont="1" applyFill="1" applyBorder="1" applyAlignment="1" applyProtection="1">
      <alignment horizontal="center"/>
    </xf>
    <xf numFmtId="0" fontId="1" fillId="0" borderId="17" xfId="1" applyFont="1" applyFill="1" applyBorder="1" applyAlignment="1" applyProtection="1">
      <alignment horizontal="center"/>
    </xf>
    <xf numFmtId="0" fontId="0" fillId="0" borderId="6" xfId="0" applyFill="1" applyBorder="1" applyAlignment="1">
      <alignment horizontal="left"/>
    </xf>
    <xf numFmtId="0" fontId="0" fillId="0" borderId="2" xfId="0" applyFill="1" applyBorder="1"/>
    <xf numFmtId="0" fontId="0" fillId="0" borderId="2" xfId="0" applyFill="1" applyBorder="1" applyAlignment="1">
      <alignment horizontal="left"/>
    </xf>
    <xf numFmtId="0" fontId="2" fillId="0" borderId="6" xfId="0" applyFont="1" applyFill="1" applyBorder="1" applyAlignment="1">
      <alignment horizontal="left"/>
    </xf>
    <xf numFmtId="0" fontId="0" fillId="0" borderId="9" xfId="0" applyFill="1" applyBorder="1" applyAlignment="1">
      <alignment horizontal="left"/>
    </xf>
    <xf numFmtId="0" fontId="2" fillId="0" borderId="6" xfId="0" applyFont="1" applyFill="1" applyBorder="1" applyAlignment="1"/>
    <xf numFmtId="0" fontId="2" fillId="0" borderId="2" xfId="0" applyFont="1" applyFill="1" applyBorder="1" applyAlignment="1">
      <alignment horizontal="left"/>
    </xf>
    <xf numFmtId="0" fontId="2" fillId="0" borderId="5" xfId="0" applyFont="1" applyBorder="1"/>
    <xf numFmtId="0" fontId="2" fillId="0" borderId="8" xfId="0" applyFont="1" applyBorder="1"/>
    <xf numFmtId="0" fontId="2" fillId="0" borderId="2" xfId="0" applyFont="1" applyBorder="1"/>
    <xf numFmtId="0" fontId="0" fillId="3" borderId="3" xfId="0" applyFont="1" applyFill="1" applyBorder="1"/>
    <xf numFmtId="0" fontId="2" fillId="0" borderId="12" xfId="0" applyFont="1" applyBorder="1" applyAlignment="1"/>
    <xf numFmtId="0" fontId="0" fillId="0" borderId="13" xfId="0" applyBorder="1" applyAlignment="1"/>
    <xf numFmtId="0" fontId="0" fillId="0" borderId="0" xfId="0" applyFont="1"/>
    <xf numFmtId="0" fontId="0" fillId="0" borderId="3" xfId="0" applyFont="1" applyBorder="1"/>
    <xf numFmtId="0" fontId="2" fillId="0" borderId="1" xfId="0" applyFont="1" applyFill="1" applyBorder="1" applyAlignment="1">
      <alignment horizontal="center"/>
    </xf>
    <xf numFmtId="0" fontId="2" fillId="0" borderId="10" xfId="0" applyFont="1" applyFill="1" applyBorder="1" applyAlignment="1">
      <alignment horizontal="left"/>
    </xf>
    <xf numFmtId="0" fontId="2" fillId="0" borderId="3" xfId="0" applyFont="1" applyBorder="1"/>
    <xf numFmtId="0" fontId="2" fillId="0" borderId="23" xfId="0" applyFont="1" applyBorder="1"/>
    <xf numFmtId="0" fontId="2" fillId="0" borderId="10" xfId="0" applyFont="1" applyBorder="1"/>
    <xf numFmtId="0" fontId="0" fillId="0" borderId="9" xfId="0" applyBorder="1" applyAlignment="1"/>
    <xf numFmtId="0" fontId="0" fillId="2" borderId="13" xfId="0" applyFill="1" applyBorder="1"/>
    <xf numFmtId="0" fontId="0" fillId="0" borderId="9" xfId="0" applyFont="1" applyBorder="1"/>
    <xf numFmtId="0" fontId="0" fillId="0" borderId="10" xfId="0" applyFont="1" applyBorder="1"/>
    <xf numFmtId="0" fontId="0" fillId="0" borderId="11" xfId="0" applyFont="1" applyBorder="1"/>
    <xf numFmtId="0" fontId="0" fillId="0" borderId="11" xfId="0" applyFill="1" applyBorder="1"/>
    <xf numFmtId="0" fontId="2" fillId="0" borderId="11" xfId="0" applyFont="1" applyFill="1" applyBorder="1" applyAlignment="1">
      <alignment horizontal="center"/>
    </xf>
    <xf numFmtId="0" fontId="0" fillId="0" borderId="9" xfId="0" applyFill="1" applyBorder="1" applyAlignment="1">
      <alignment horizontal="left" wrapText="1"/>
    </xf>
    <xf numFmtId="0" fontId="0" fillId="0" borderId="6" xfId="0" applyFill="1" applyBorder="1" applyAlignment="1"/>
    <xf numFmtId="0" fontId="2" fillId="0" borderId="12" xfId="0" applyFont="1" applyFill="1" applyBorder="1" applyAlignment="1">
      <alignment horizontal="left"/>
    </xf>
    <xf numFmtId="0" fontId="0" fillId="0" borderId="10" xfId="0" applyFill="1" applyBorder="1" applyAlignment="1">
      <alignment horizontal="left"/>
    </xf>
    <xf numFmtId="0" fontId="0" fillId="0" borderId="5" xfId="0" applyBorder="1"/>
    <xf numFmtId="0" fontId="0" fillId="0" borderId="24" xfId="0" applyBorder="1"/>
    <xf numFmtId="0" fontId="0" fillId="0" borderId="23" xfId="0" applyBorder="1"/>
    <xf numFmtId="0" fontId="0" fillId="0" borderId="8" xfId="0" applyBorder="1"/>
    <xf numFmtId="0" fontId="0" fillId="0" borderId="1" xfId="0" applyBorder="1"/>
    <xf numFmtId="1" fontId="0" fillId="0" borderId="0" xfId="0" applyNumberFormat="1"/>
    <xf numFmtId="167" fontId="0" fillId="0" borderId="9" xfId="0" applyNumberFormat="1" applyBorder="1"/>
    <xf numFmtId="0" fontId="0" fillId="4" borderId="3" xfId="0" applyFill="1" applyBorder="1"/>
    <xf numFmtId="0" fontId="0" fillId="0" borderId="12" xfId="0" applyBorder="1"/>
    <xf numFmtId="0" fontId="5" fillId="0" borderId="0" xfId="0" applyFont="1"/>
    <xf numFmtId="0" fontId="0" fillId="0" borderId="3" xfId="0" applyFill="1" applyBorder="1"/>
    <xf numFmtId="0" fontId="0" fillId="0" borderId="24" xfId="0" applyFill="1" applyBorder="1" applyAlignment="1">
      <alignment horizontal="left"/>
    </xf>
  </cellXfs>
  <cellStyles count="2">
    <cellStyle name="Normal" xfId="0" builtinId="0" customBuiltin="1"/>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2.xml.rels><?xml version="1.0" encoding="UTF-8" standalone="yes"?>
<Relationships xmlns="http://schemas.openxmlformats.org/package/2006/relationships"><Relationship Id="rId1" Type="http://schemas.openxmlformats.org/officeDocument/2006/relationships/oleObject" Target="NULL" TargetMode="Externa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lIns="0" tIns="0" rIns="0" bIns="0"/>
          <a:lstStyle/>
          <a:p>
            <a:pPr marL="0" marR="0" indent="0" algn="ctr" defTabSz="914400" fontAlgn="auto" hangingPunct="1">
              <a:lnSpc>
                <a:spcPct val="100000"/>
              </a:lnSpc>
              <a:spcBef>
                <a:spcPts val="0"/>
              </a:spcBef>
              <a:spcAft>
                <a:spcPts val="0"/>
              </a:spcAft>
              <a:tabLst/>
              <a:defRPr sz="1400" b="0" i="0" u="none" strike="noStrike" kern="1200" spc="0" baseline="0">
                <a:solidFill>
                  <a:srgbClr val="595959"/>
                </a:solidFill>
                <a:latin typeface="Calibri"/>
              </a:defRPr>
            </a:pPr>
            <a:r>
              <a:rPr lang="en-GB" sz="1400" b="0" i="0" u="none" strike="noStrike" kern="1200" cap="none" spc="0" baseline="0">
                <a:solidFill>
                  <a:srgbClr val="595959"/>
                </a:solidFill>
                <a:uFillTx/>
                <a:latin typeface="Calibri"/>
              </a:rPr>
              <a:t>Graph of Darcy Friction Factor against Relative Roughness (m)</a:t>
            </a:r>
          </a:p>
        </c:rich>
      </c:tx>
      <c:layout>
        <c:manualLayout>
          <c:xMode val="edge"/>
          <c:yMode val="edge"/>
          <c:x val="0.1419097292325639"/>
          <c:y val="3.7036686203698224E-2"/>
        </c:manualLayout>
      </c:layout>
      <c:overlay val="0"/>
      <c:spPr>
        <a:noFill/>
        <a:ln>
          <a:noFill/>
        </a:ln>
      </c:spPr>
    </c:title>
    <c:autoTitleDeleted val="0"/>
    <c:plotArea>
      <c:layout/>
      <c:scatterChart>
        <c:scatterStyle val="lineMarker"/>
        <c:varyColors val="0"/>
        <c:ser>
          <c:idx val="0"/>
          <c:order val="0"/>
          <c:spPr>
            <a:ln>
              <a:noFill/>
            </a:ln>
          </c:spPr>
          <c:marker>
            <c:symbol val="circle"/>
            <c:size val="5"/>
          </c:marker>
          <c:trendline>
            <c:spPr>
              <a:ln w="19046" cap="rnd">
                <a:solidFill>
                  <a:srgbClr val="4472C4"/>
                </a:solidFill>
                <a:custDash>
                  <a:ds d="100000" sp="100000"/>
                </a:custDash>
              </a:ln>
            </c:spPr>
            <c:trendlineType val="linear"/>
            <c:dispRSqr val="1"/>
            <c:dispEq val="1"/>
            <c:trendlineLbl>
              <c:layout>
                <c:manualLayout>
                  <c:x val="-0.2118955963837853"/>
                  <c:y val="4.1912392529881104E-2"/>
                </c:manualLayout>
              </c:layout>
              <c:numFmt formatCode="General" sourceLinked="0"/>
              <c:spPr>
                <a:noFill/>
                <a:ln>
                  <a:noFill/>
                </a:ln>
              </c:spPr>
              <c:txPr>
                <a:bodyPr lIns="0" tIns="0" rIns="0" bIns="0"/>
                <a:lstStyle/>
                <a:p>
                  <a:pPr marL="0" marR="0" indent="0" algn="ctr" defTabSz="914400" fontAlgn="auto" hangingPunct="1">
                    <a:lnSpc>
                      <a:spcPct val="100000"/>
                    </a:lnSpc>
                    <a:spcBef>
                      <a:spcPts val="0"/>
                    </a:spcBef>
                    <a:spcAft>
                      <a:spcPts val="0"/>
                    </a:spcAft>
                    <a:tabLst/>
                    <a:defRPr sz="900" b="0" i="0" u="none" strike="noStrike" kern="1200" baseline="0">
                      <a:solidFill>
                        <a:srgbClr val="595959"/>
                      </a:solidFill>
                      <a:latin typeface="Calibri"/>
                    </a:defRPr>
                  </a:pPr>
                  <a:endParaRPr lang="en-US"/>
                </a:p>
              </c:txPr>
            </c:trendlineLbl>
          </c:trendline>
          <c:errBars>
            <c:errDir val="y"/>
            <c:errBarType val="minus"/>
            <c:errValType val="cust"/>
            <c:noEndCap val="0"/>
            <c:spPr>
              <a:noFill/>
              <a:ln w="9528" cap="flat">
                <a:solidFill>
                  <a:srgbClr val="595959"/>
                </a:solidFill>
                <a:prstDash val="solid"/>
                <a:round/>
              </a:ln>
            </c:spPr>
          </c:errBars>
          <c:xVal>
            <c:numRef>
              <c:f>'Q1'!$A$34:$A$41</c:f>
              <c:numCache>
                <c:formatCode>General</c:formatCode>
                <c:ptCount val="8"/>
                <c:pt idx="0">
                  <c:v>1.2700000000000001E-6</c:v>
                </c:pt>
                <c:pt idx="1">
                  <c:v>3.8099999999999998E-5</c:v>
                </c:pt>
                <c:pt idx="2">
                  <c:v>1.0159999999999999E-4</c:v>
                </c:pt>
                <c:pt idx="3">
                  <c:v>1.27E-4</c:v>
                </c:pt>
                <c:pt idx="4">
                  <c:v>2.1590000000000002E-4</c:v>
                </c:pt>
                <c:pt idx="5">
                  <c:v>4.572E-4</c:v>
                </c:pt>
                <c:pt idx="6">
                  <c:v>1.397E-3</c:v>
                </c:pt>
                <c:pt idx="7">
                  <c:v>4.1909999999999994E-3</c:v>
                </c:pt>
              </c:numCache>
            </c:numRef>
          </c:xVal>
          <c:yVal>
            <c:numRef>
              <c:f>'Q1'!$B$34:$B$41</c:f>
              <c:numCache>
                <c:formatCode>General</c:formatCode>
                <c:ptCount val="8"/>
                <c:pt idx="0">
                  <c:v>1.7835984284719202E-2</c:v>
                </c:pt>
                <c:pt idx="1">
                  <c:v>1.7986962046873854E-2</c:v>
                </c:pt>
                <c:pt idx="2">
                  <c:v>1.8279443141209467E-2</c:v>
                </c:pt>
                <c:pt idx="3">
                  <c:v>1.8398924018296514E-2</c:v>
                </c:pt>
                <c:pt idx="4">
                  <c:v>1.8815874549427927E-2</c:v>
                </c:pt>
                <c:pt idx="5">
                  <c:v>1.9891428940884942E-2</c:v>
                </c:pt>
                <c:pt idx="6">
                  <c:v>2.326308666362624E-2</c:v>
                </c:pt>
                <c:pt idx="7">
                  <c:v>2.9816716548914352E-2</c:v>
                </c:pt>
              </c:numCache>
            </c:numRef>
          </c:yVal>
          <c:smooth val="0"/>
        </c:ser>
        <c:ser>
          <c:idx val="1"/>
          <c:order val="1"/>
          <c:spPr>
            <a:ln>
              <a:noFill/>
            </a:ln>
          </c:spPr>
          <c:marker>
            <c:symbol val="circle"/>
            <c:size val="5"/>
          </c:marker>
          <c:xVal>
            <c:numRef>
              <c:f>'Q1'!$A$34:$A$41</c:f>
              <c:numCache>
                <c:formatCode>General</c:formatCode>
                <c:ptCount val="8"/>
                <c:pt idx="0">
                  <c:v>1.2700000000000001E-6</c:v>
                </c:pt>
                <c:pt idx="1">
                  <c:v>3.8099999999999998E-5</c:v>
                </c:pt>
                <c:pt idx="2">
                  <c:v>1.0159999999999999E-4</c:v>
                </c:pt>
                <c:pt idx="3">
                  <c:v>1.27E-4</c:v>
                </c:pt>
                <c:pt idx="4">
                  <c:v>2.1590000000000002E-4</c:v>
                </c:pt>
                <c:pt idx="5">
                  <c:v>4.572E-4</c:v>
                </c:pt>
                <c:pt idx="6">
                  <c:v>1.397E-3</c:v>
                </c:pt>
                <c:pt idx="7">
                  <c:v>4.1909999999999994E-3</c:v>
                </c:pt>
              </c:numCache>
            </c:numRef>
          </c:xVal>
          <c:yVal>
            <c:numRef>
              <c:f>'Q1'!$C$34:$C$41</c:f>
              <c:numCache>
                <c:formatCode>General</c:formatCode>
                <c:ptCount val="8"/>
                <c:pt idx="0">
                  <c:v>1.7778881991880692E-2</c:v>
                </c:pt>
                <c:pt idx="1">
                  <c:v>1.7778881991880692E-2</c:v>
                </c:pt>
                <c:pt idx="2">
                  <c:v>1.7778881991880692E-2</c:v>
                </c:pt>
                <c:pt idx="3">
                  <c:v>1.7778881991880692E-2</c:v>
                </c:pt>
                <c:pt idx="4">
                  <c:v>1.7778881991880692E-2</c:v>
                </c:pt>
                <c:pt idx="5">
                  <c:v>1.7778881991880692E-2</c:v>
                </c:pt>
                <c:pt idx="6">
                  <c:v>1.7778881991880692E-2</c:v>
                </c:pt>
                <c:pt idx="7">
                  <c:v>1.7778881991880692E-2</c:v>
                </c:pt>
              </c:numCache>
            </c:numRef>
          </c:yVal>
          <c:smooth val="0"/>
        </c:ser>
        <c:dLbls>
          <c:showLegendKey val="0"/>
          <c:showVal val="0"/>
          <c:showCatName val="0"/>
          <c:showSerName val="0"/>
          <c:showPercent val="0"/>
          <c:showBubbleSize val="0"/>
        </c:dLbls>
        <c:axId val="2114178720"/>
        <c:axId val="2114169152"/>
      </c:scatterChart>
      <c:valAx>
        <c:axId val="2114169152"/>
        <c:scaling>
          <c:orientation val="minMax"/>
          <c:max val="3.0000000000000006E-2"/>
          <c:min val="1.7500000000000005E-2"/>
        </c:scaling>
        <c:delete val="0"/>
        <c:axPos val="l"/>
        <c:majorGridlines>
          <c:spPr>
            <a:ln w="9528" cap="flat">
              <a:solidFill>
                <a:srgbClr val="D9D9D9"/>
              </a:solidFill>
              <a:prstDash val="solid"/>
              <a:round/>
            </a:ln>
          </c:spPr>
        </c:majorGridlines>
        <c:title>
          <c:tx>
            <c:rich>
              <a:bodyPr lIns="0" tIns="0" rIns="0" bIns="0"/>
              <a:lstStyle/>
              <a:p>
                <a:pPr marL="0" marR="0" indent="0" algn="ctr" defTabSz="914400" fontAlgn="auto" hangingPunct="1">
                  <a:lnSpc>
                    <a:spcPct val="100000"/>
                  </a:lnSpc>
                  <a:spcBef>
                    <a:spcPts val="0"/>
                  </a:spcBef>
                  <a:spcAft>
                    <a:spcPts val="0"/>
                  </a:spcAft>
                  <a:tabLst/>
                  <a:defRPr sz="1000" b="0" i="0" u="none" strike="noStrike" kern="1200" baseline="0">
                    <a:solidFill>
                      <a:srgbClr val="595959"/>
                    </a:solidFill>
                    <a:latin typeface="Calibri"/>
                  </a:defRPr>
                </a:pPr>
                <a:r>
                  <a:rPr lang="en-GB" sz="1000" b="0" i="0" u="none" strike="noStrike" kern="1200" cap="none" spc="0" baseline="0">
                    <a:solidFill>
                      <a:srgbClr val="595959"/>
                    </a:solidFill>
                    <a:uFillTx/>
                    <a:latin typeface="Calibri"/>
                  </a:rPr>
                  <a:t>Darcy Friction Factor</a:t>
                </a:r>
              </a:p>
            </c:rich>
          </c:tx>
          <c:layout>
            <c:manualLayout>
              <c:xMode val="edge"/>
              <c:yMode val="edge"/>
              <c:x val="3.7037037037037035E-2"/>
              <c:y val="0.28833974700530851"/>
            </c:manualLayout>
          </c:layout>
          <c:overlay val="0"/>
          <c:spPr>
            <a:noFill/>
            <a:ln>
              <a:noFill/>
            </a:ln>
          </c:spPr>
        </c:title>
        <c:numFmt formatCode="General" sourceLinked="1"/>
        <c:majorTickMark val="none"/>
        <c:minorTickMark val="none"/>
        <c:tickLblPos val="nextTo"/>
        <c:spPr>
          <a:noFill/>
          <a:ln w="9528" cap="flat">
            <a:solidFill>
              <a:srgbClr val="BFBFBF"/>
            </a:solidFill>
            <a:prstDash val="solid"/>
            <a:round/>
          </a:ln>
        </c:spPr>
        <c:txPr>
          <a:bodyPr lIns="0" tIns="0" rIns="0" bIns="0"/>
          <a:lstStyle/>
          <a:p>
            <a:pPr marL="0" marR="0" indent="0" defTabSz="914400" fontAlgn="auto" hangingPunct="1">
              <a:lnSpc>
                <a:spcPct val="100000"/>
              </a:lnSpc>
              <a:spcBef>
                <a:spcPts val="0"/>
              </a:spcBef>
              <a:spcAft>
                <a:spcPts val="0"/>
              </a:spcAft>
              <a:tabLst/>
              <a:defRPr sz="900" b="0" i="0" u="none" strike="noStrike" kern="1200" baseline="0">
                <a:solidFill>
                  <a:srgbClr val="595959"/>
                </a:solidFill>
                <a:latin typeface="Calibri"/>
              </a:defRPr>
            </a:pPr>
            <a:endParaRPr lang="en-US"/>
          </a:p>
        </c:txPr>
        <c:crossAx val="2114178720"/>
        <c:crosses val="autoZero"/>
        <c:crossBetween val="midCat"/>
      </c:valAx>
      <c:valAx>
        <c:axId val="2114178720"/>
        <c:scaling>
          <c:orientation val="minMax"/>
        </c:scaling>
        <c:delete val="0"/>
        <c:axPos val="b"/>
        <c:majorGridlines>
          <c:spPr>
            <a:ln w="9528" cap="flat">
              <a:solidFill>
                <a:srgbClr val="D9D9D9"/>
              </a:solidFill>
              <a:prstDash val="solid"/>
              <a:round/>
            </a:ln>
          </c:spPr>
        </c:majorGridlines>
        <c:title>
          <c:tx>
            <c:rich>
              <a:bodyPr lIns="0" tIns="0" rIns="0" bIns="0"/>
              <a:lstStyle/>
              <a:p>
                <a:pPr marL="0" marR="0" indent="0" algn="ctr" defTabSz="914400" fontAlgn="auto" hangingPunct="1">
                  <a:lnSpc>
                    <a:spcPct val="100000"/>
                  </a:lnSpc>
                  <a:spcBef>
                    <a:spcPts val="0"/>
                  </a:spcBef>
                  <a:spcAft>
                    <a:spcPts val="0"/>
                  </a:spcAft>
                  <a:tabLst/>
                  <a:defRPr sz="1000" b="0" i="0" u="none" strike="noStrike" kern="1200" baseline="0">
                    <a:solidFill>
                      <a:srgbClr val="595959"/>
                    </a:solidFill>
                    <a:latin typeface="Calibri"/>
                  </a:defRPr>
                </a:pPr>
                <a:r>
                  <a:rPr lang="en-GB" sz="1000" b="0" i="0" u="none" strike="noStrike" kern="1200" cap="none" spc="0" baseline="0">
                    <a:solidFill>
                      <a:srgbClr val="595959"/>
                    </a:solidFill>
                    <a:uFillTx/>
                    <a:latin typeface="Calibri"/>
                  </a:rPr>
                  <a:t>Relative Roughness (m)</a:t>
                </a:r>
              </a:p>
            </c:rich>
          </c:tx>
          <c:layout/>
          <c:overlay val="0"/>
          <c:spPr>
            <a:noFill/>
            <a:ln>
              <a:noFill/>
            </a:ln>
          </c:spPr>
        </c:title>
        <c:numFmt formatCode="General" sourceLinked="1"/>
        <c:majorTickMark val="none"/>
        <c:minorTickMark val="none"/>
        <c:tickLblPos val="nextTo"/>
        <c:spPr>
          <a:noFill/>
          <a:ln w="9528" cap="flat">
            <a:solidFill>
              <a:srgbClr val="BFBFBF"/>
            </a:solidFill>
            <a:prstDash val="solid"/>
            <a:round/>
          </a:ln>
        </c:spPr>
        <c:txPr>
          <a:bodyPr lIns="0" tIns="0" rIns="0" bIns="0"/>
          <a:lstStyle/>
          <a:p>
            <a:pPr marL="0" marR="0" indent="0" defTabSz="914400" fontAlgn="auto" hangingPunct="1">
              <a:lnSpc>
                <a:spcPct val="100000"/>
              </a:lnSpc>
              <a:spcBef>
                <a:spcPts val="0"/>
              </a:spcBef>
              <a:spcAft>
                <a:spcPts val="0"/>
              </a:spcAft>
              <a:tabLst/>
              <a:defRPr sz="900" b="0" i="0" u="none" strike="noStrike" kern="1200" baseline="0">
                <a:solidFill>
                  <a:srgbClr val="595959"/>
                </a:solidFill>
                <a:latin typeface="Calibri"/>
              </a:defRPr>
            </a:pPr>
            <a:endParaRPr lang="en-US"/>
          </a:p>
        </c:txPr>
        <c:crossAx val="2114169152"/>
        <c:crosses val="autoZero"/>
        <c:crossBetween val="midCat"/>
      </c:valAx>
      <c:spPr>
        <a:noFill/>
        <a:ln>
          <a:noFill/>
        </a:ln>
      </c:spPr>
    </c:plotArea>
    <c:legend>
      <c:legendPos val="b"/>
      <c:layout/>
      <c:overlay val="0"/>
      <c:spPr>
        <a:noFill/>
        <a:ln>
          <a:noFill/>
        </a:ln>
      </c:spPr>
      <c:txPr>
        <a:bodyPr lIns="0" tIns="0" rIns="0" bIns="0"/>
        <a:lstStyle/>
        <a:p>
          <a:pPr marL="0" marR="0" indent="0" defTabSz="914400" fontAlgn="auto" hangingPunct="1">
            <a:lnSpc>
              <a:spcPct val="100000"/>
            </a:lnSpc>
            <a:spcBef>
              <a:spcPts val="0"/>
            </a:spcBef>
            <a:spcAft>
              <a:spcPts val="0"/>
            </a:spcAft>
            <a:tabLst/>
            <a:defRPr sz="900" b="0" i="0" u="none" strike="noStrike" kern="1200" baseline="0">
              <a:solidFill>
                <a:srgbClr val="595959"/>
              </a:solidFill>
              <a:latin typeface="Calibri"/>
            </a:defRPr>
          </a:pPr>
          <a:endParaRPr lang="en-US"/>
        </a:p>
      </c:txPr>
    </c:legend>
    <c:plotVisOnly val="1"/>
    <c:dispBlanksAs val="gap"/>
    <c:showDLblsOverMax val="0"/>
  </c:chart>
  <c:spPr>
    <a:solidFill>
      <a:srgbClr val="FFFFFF"/>
    </a:solidFill>
    <a:ln w="9528" cap="flat">
      <a:solidFill>
        <a:srgbClr val="000000"/>
      </a:solidFill>
      <a:prstDash val="solid"/>
      <a:round/>
    </a:ln>
  </c:spPr>
  <c:txPr>
    <a:bodyPr lIns="0" tIns="0" rIns="0" bIns="0"/>
    <a:lstStyle/>
    <a:p>
      <a:pPr marL="0" marR="0" indent="0" defTabSz="914400" fontAlgn="auto" hangingPunct="1">
        <a:lnSpc>
          <a:spcPct val="100000"/>
        </a:lnSpc>
        <a:spcBef>
          <a:spcPts val="0"/>
        </a:spcBef>
        <a:spcAft>
          <a:spcPts val="0"/>
        </a:spcAft>
        <a:tabLst/>
        <a:defRPr lang="en-GB" sz="1000" b="0" i="0" u="none" strike="noStrike" kern="1200" baseline="0">
          <a:solidFill>
            <a:srgbClr val="000000"/>
          </a:solidFill>
          <a:latin typeface="Calibri"/>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lIns="0" tIns="0" rIns="0" bIns="0"/>
          <a:lstStyle/>
          <a:p>
            <a:pPr marL="0" marR="0" indent="0" algn="ctr" defTabSz="914400" fontAlgn="auto" hangingPunct="1">
              <a:lnSpc>
                <a:spcPct val="100000"/>
              </a:lnSpc>
              <a:spcBef>
                <a:spcPts val="0"/>
              </a:spcBef>
              <a:spcAft>
                <a:spcPts val="0"/>
              </a:spcAft>
              <a:tabLst/>
              <a:defRPr sz="1400" b="0" i="0" u="none" strike="noStrike" kern="1200" spc="0" baseline="0">
                <a:solidFill>
                  <a:srgbClr val="595959"/>
                </a:solidFill>
                <a:latin typeface="Calibri"/>
              </a:defRPr>
            </a:pPr>
            <a:r>
              <a:rPr lang="en-GB" sz="1400" b="0" i="0" u="none" strike="noStrike" kern="1200" cap="none" spc="0" baseline="0">
                <a:solidFill>
                  <a:srgbClr val="595959"/>
                </a:solidFill>
                <a:uFillTx/>
                <a:latin typeface="Calibri"/>
              </a:rPr>
              <a:t>P-h</a:t>
            </a:r>
          </a:p>
        </c:rich>
      </c:tx>
      <c:layout>
        <c:manualLayout>
          <c:xMode val="edge"/>
          <c:yMode val="edge"/>
          <c:x val="0.43921852316512872"/>
          <c:y val="1.9536025314412616E-2"/>
        </c:manualLayout>
      </c:layout>
      <c:overlay val="0"/>
      <c:spPr>
        <a:noFill/>
        <a:ln>
          <a:noFill/>
        </a:ln>
      </c:spPr>
    </c:title>
    <c:autoTitleDeleted val="0"/>
    <c:plotArea>
      <c:layout/>
      <c:scatterChart>
        <c:scatterStyle val="lineMarker"/>
        <c:varyColors val="0"/>
        <c:ser>
          <c:idx val="0"/>
          <c:order val="0"/>
          <c:tx>
            <c:v>Saturated Liquid Line</c:v>
          </c:tx>
          <c:spPr>
            <a:ln>
              <a:noFill/>
            </a:ln>
          </c:spPr>
          <c:marker>
            <c:symbol val="circle"/>
            <c:size val="5"/>
          </c:marker>
          <c:xVal>
            <c:numLit>
              <c:formatCode>General</c:formatCode>
              <c:ptCount val="69"/>
              <c:pt idx="0">
                <c:v>6.1178304907655171E-4</c:v>
              </c:pt>
              <c:pt idx="1">
                <c:v>8.3916019237175004</c:v>
              </c:pt>
              <c:pt idx="2">
                <c:v>16.812717295057631</c:v>
              </c:pt>
              <c:pt idx="3">
                <c:v>25.223662960535396</c:v>
              </c:pt>
              <c:pt idx="4">
                <c:v>33.626016585598215</c:v>
              </c:pt>
              <c:pt idx="5">
                <c:v>42.021088648483818</c:v>
              </c:pt>
              <c:pt idx="6">
                <c:v>50.409971585753844</c:v>
              </c:pt>
              <c:pt idx="7">
                <c:v>58.793580145206093</c:v>
              </c:pt>
              <c:pt idx="8">
                <c:v>67.172684495624438</c:v>
              </c:pt>
              <c:pt idx="9">
                <c:v>75.547937369796031</c:v>
              </c:pt>
              <c:pt idx="10">
                <c:v>83.91989629304193</c:v>
              </c:pt>
              <c:pt idx="11">
                <c:v>92.289041764861466</c:v>
              </c:pt>
              <c:pt idx="12">
                <c:v>100.65579210951859</c:v>
              </c:pt>
              <c:pt idx="13">
                <c:v>109.02051558613688</c:v>
              </c:pt>
              <c:pt idx="14">
                <c:v>117.38354024581254</c:v>
              </c:pt>
              <c:pt idx="15">
                <c:v>125.74516193807328</c:v>
              </c:pt>
              <c:pt idx="16">
                <c:v>134.10565079883952</c:v>
              </c:pt>
              <c:pt idx="17">
                <c:v>142.46525649397566</c:v>
              </c:pt>
              <c:pt idx="18">
                <c:v>150.8242124446538</c:v>
              </c:pt>
              <c:pt idx="19">
                <c:v>159.1827392211238</c:v>
              </c:pt>
              <c:pt idx="20">
                <c:v>167.5410472587302</c:v>
              </c:pt>
              <c:pt idx="21">
                <c:v>175.89933902295911</c:v>
              </c:pt>
              <c:pt idx="22">
                <c:v>184.25781072788541</c:v>
              </c:pt>
              <c:pt idx="23">
                <c:v>192.61665369389112</c:v>
              </c:pt>
              <c:pt idx="24">
                <c:v>200.9760554151695</c:v>
              </c:pt>
              <c:pt idx="25">
                <c:v>209.33620039488886</c:v>
              </c:pt>
              <c:pt idx="26">
                <c:v>217.697270795414</c:v>
              </c:pt>
              <c:pt idx="27">
                <c:v>226.05944694228003</c:v>
              </c:pt>
              <c:pt idx="28">
                <c:v>234.42290771354541</c:v>
              </c:pt>
              <c:pt idx="29">
                <c:v>242.78783084015137</c:v>
              </c:pt>
              <c:pt idx="30">
                <c:v>251.15439313812013</c:v>
              </c:pt>
              <c:pt idx="31">
                <c:v>259.52277068936831</c:v>
              </c:pt>
              <c:pt idx="32">
                <c:v>267.89313898462888</c:v>
              </c:pt>
              <c:pt idx="33">
                <c:v>276.26567303925799</c:v>
              </c:pt>
              <c:pt idx="34">
                <c:v>284.64054749047523</c:v>
              </c:pt>
              <c:pt idx="35">
                <c:v>293.01793668275963</c:v>
              </c:pt>
              <c:pt idx="36">
                <c:v>301.39801474667109</c:v>
              </c:pt>
              <c:pt idx="37">
                <c:v>309.7809556750862</c:v>
              </c:pt>
              <c:pt idx="38">
                <c:v>318.16693339994367</c:v>
              </c:pt>
              <c:pt idx="39">
                <c:v>326.55612187173779</c:v>
              </c:pt>
              <c:pt idx="40">
                <c:v>334.94869514337927</c:v>
              </c:pt>
              <c:pt idx="41">
                <c:v>343.34482745955876</c:v>
              </c:pt>
              <c:pt idx="42">
                <c:v>351.7446933523135</c:v>
              </c:pt>
              <c:pt idx="43">
                <c:v>360.14846774319744</c:v>
              </c:pt>
              <c:pt idx="44">
                <c:v>368.55632605220791</c:v>
              </c:pt>
              <c:pt idx="45">
                <c:v>376.96844431345005</c:v>
              </c:pt>
              <c:pt idx="46">
                <c:v>385.38499929734479</c:v>
              </c:pt>
              <c:pt idx="47">
                <c:v>393.80616863911951</c:v>
              </c:pt>
              <c:pt idx="48">
                <c:v>402.2321309732497</c:v>
              </c:pt>
              <c:pt idx="49">
                <c:v>410.66306607343137</c:v>
              </c:pt>
              <c:pt idx="50">
                <c:v>419.09915499770267</c:v>
              </c:pt>
              <c:pt idx="51">
                <c:v>482.5528098444268</c:v>
              </c:pt>
              <c:pt idx="52">
                <c:v>546.38783677489505</c:v>
              </c:pt>
              <c:pt idx="53">
                <c:v>610.69407381458882</c:v>
              </c:pt>
              <c:pt idx="54">
                <c:v>675.57467986363463</c:v>
              </c:pt>
              <c:pt idx="55">
                <c:v>741.15068694300476</c:v>
              </c:pt>
              <c:pt idx="56">
                <c:v>807.56601117978823</c:v>
              </c:pt>
              <c:pt idx="57">
                <c:v>874.9933496330259</c:v>
              </c:pt>
              <c:pt idx="58">
                <c:v>943.64169870057253</c:v>
              </c:pt>
              <c:pt idx="59">
                <c:v>1013.766782651284</c:v>
              </c:pt>
              <c:pt idx="60">
                <c:v>1085.686812680083</c:v>
              </c:pt>
              <c:pt idx="61">
                <c:v>1236.6710007034553</c:v>
              </c:pt>
              <c:pt idx="62">
                <c:v>1402.0034267427102</c:v>
              </c:pt>
              <c:pt idx="63">
                <c:v>1525.7380201926428</c:v>
              </c:pt>
              <c:pt idx="64">
                <c:v>1761.4911359831508</c:v>
              </c:pt>
              <c:pt idx="65">
                <c:v>1892.6428976204638</c:v>
              </c:pt>
              <c:pt idx="66">
                <c:v>1938.539899040718</c:v>
              </c:pt>
              <c:pt idx="67">
                <c:v>1974.1380301256686</c:v>
              </c:pt>
              <c:pt idx="68">
                <c:v>2055.8237647962401</c:v>
              </c:pt>
            </c:numLit>
          </c:xVal>
          <c:yVal>
            <c:numLit>
              <c:formatCode>General</c:formatCode>
              <c:ptCount val="69"/>
              <c:pt idx="0">
                <c:v>0.61165700001066314</c:v>
              </c:pt>
              <c:pt idx="1">
                <c:v>0.70598790589827853</c:v>
              </c:pt>
              <c:pt idx="2">
                <c:v>0.81354938418323253</c:v>
              </c:pt>
              <c:pt idx="3">
                <c:v>0.93535306038463151</c:v>
              </c:pt>
              <c:pt idx="4">
                <c:v>1.0729877549680413</c:v>
              </c:pt>
              <c:pt idx="5">
                <c:v>1.2281838693402238</c:v>
              </c:pt>
              <c:pt idx="6">
                <c:v>1.4028223728154214</c:v>
              </c:pt>
              <c:pt idx="7">
                <c:v>1.598944056530039</c:v>
              </c:pt>
              <c:pt idx="8">
                <c:v>1.8187590416053085</c:v>
              </c:pt>
              <c:pt idx="9">
                <c:v>2.064656527674487</c:v>
              </c:pt>
              <c:pt idx="10">
                <c:v>2.3392147667768968</c:v>
              </c:pt>
              <c:pt idx="11">
                <c:v>2.6452112465822526</c:v>
              </c:pt>
              <c:pt idx="12">
                <c:v>2.9856330659539436</c:v>
              </c:pt>
              <c:pt idx="13">
                <c:v>3.3636874849924085</c:v>
              </c:pt>
              <c:pt idx="14">
                <c:v>3.7828126309269448</c:v>
              </c:pt>
              <c:pt idx="15">
                <c:v>4.2466883405480642</c:v>
              </c:pt>
              <c:pt idx="16">
                <c:v>4.7592471192971679</c:v>
              </c:pt>
              <c:pt idx="17">
                <c:v>5.3246851966572546</c:v>
              </c:pt>
              <c:pt idx="18">
                <c:v>5.9474736571187421</c:v>
              </c:pt>
              <c:pt idx="19">
                <c:v>6.6323696257288098</c:v>
              </c:pt>
              <c:pt idx="20">
                <c:v>7.3844274870695292</c:v>
              </c:pt>
              <c:pt idx="21">
                <c:v>8.209010116448697</c:v>
              </c:pt>
              <c:pt idx="22">
                <c:v>9.1118001021253114</c:v>
              </c:pt>
              <c:pt idx="23">
                <c:v>10.098810937524947</c:v>
              </c:pt>
              <c:pt idx="24">
                <c:v>11.176398162627306</c:v>
              </c:pt>
              <c:pt idx="25">
                <c:v>12.35127043402335</c:v>
              </c:pt>
              <c:pt idx="26">
                <c:v>13.630500503536144</c:v>
              </c:pt>
              <c:pt idx="27">
                <c:v>15.021536085779353</c:v>
              </c:pt>
              <c:pt idx="28">
                <c:v>16.532210595575176</c:v>
              </c:pt>
              <c:pt idx="29">
                <c:v>18.170753736771616</c:v>
              </c:pt>
              <c:pt idx="30">
                <c:v>19.945801924678747</c:v>
              </c:pt>
              <c:pt idx="31">
                <c:v>21.866408525076718</c:v>
              </c:pt>
              <c:pt idx="32">
                <c:v>23.942053893532048</c:v>
              </c:pt>
              <c:pt idx="33">
                <c:v>26.182655199585803</c:v>
              </c:pt>
              <c:pt idx="34">
                <c:v>28.598576021239818</c:v>
              </c:pt>
              <c:pt idx="35">
                <c:v>31.200635696061855</c:v>
              </c:pt>
              <c:pt idx="36">
                <c:v>34.000118416150535</c:v>
              </c:pt>
              <c:pt idx="37">
                <c:v>37.00878205513839</c:v>
              </c:pt>
              <c:pt idx="38">
                <c:v>40.238866716365266</c:v>
              </c:pt>
              <c:pt idx="39">
                <c:v>43.703102992315856</c:v>
              </c:pt>
              <c:pt idx="40">
                <c:v>47.414719926378332</c:v>
              </c:pt>
              <c:pt idx="41">
                <c:v>51.387452668949329</c:v>
              </c:pt>
              <c:pt idx="42">
                <c:v>55.635549820863787</c:v>
              </c:pt>
              <c:pt idx="43">
                <c:v>60.173780458085247</c:v>
              </c:pt>
              <c:pt idx="44">
                <c:v>65.017440832523747</c:v>
              </c:pt>
              <c:pt idx="45">
                <c:v>70.182360744771273</c:v>
              </c:pt>
              <c:pt idx="46">
                <c:v>75.684909585448366</c:v>
              </c:pt>
              <c:pt idx="47">
                <c:v>81.542002042730431</c:v>
              </c:pt>
              <c:pt idx="48">
                <c:v>87.771103474486679</c:v>
              </c:pt>
              <c:pt idx="49">
                <c:v>94.390234944282099</c:v>
              </c:pt>
              <c:pt idx="50">
                <c:v>101.41797792131013</c:v>
              </c:pt>
              <c:pt idx="51">
                <c:v>169.17703566557444</c:v>
              </c:pt>
              <c:pt idx="52">
                <c:v>270.25960655999847</c:v>
              </c:pt>
              <c:pt idx="53">
                <c:v>415.63492260246971</c:v>
              </c:pt>
              <c:pt idx="54">
                <c:v>618.13919672205463</c:v>
              </c:pt>
              <c:pt idx="55">
                <c:v>892.44747767434637</c:v>
              </c:pt>
              <c:pt idx="56">
                <c:v>1255.0179208610475</c:v>
              </c:pt>
              <c:pt idx="57">
                <c:v>1724.0234951986204</c:v>
              </c:pt>
              <c:pt idx="58">
                <c:v>2319.2877277254242</c:v>
              </c:pt>
              <c:pt idx="59">
                <c:v>3062.2435572687809</c:v>
              </c:pt>
              <c:pt idx="60">
                <c:v>3975.9390708353271</c:v>
              </c:pt>
              <c:pt idx="61">
                <c:v>6416.4592816803715</c:v>
              </c:pt>
              <c:pt idx="62">
                <c:v>9864.7455603026174</c:v>
              </c:pt>
              <c:pt idx="63">
                <c:v>12857.521889803389</c:v>
              </c:pt>
              <c:pt idx="64">
                <c:v>18666.403421371091</c:v>
              </c:pt>
              <c:pt idx="65">
                <c:v>21043.367318975248</c:v>
              </c:pt>
              <c:pt idx="66">
                <c:v>21552.83605064837</c:v>
              </c:pt>
              <c:pt idx="67">
                <c:v>21813.163152028519</c:v>
              </c:pt>
              <c:pt idx="68">
                <c:v>22051.673313256411</c:v>
              </c:pt>
            </c:numLit>
          </c:yVal>
          <c:smooth val="0"/>
        </c:ser>
        <c:ser>
          <c:idx val="1"/>
          <c:order val="1"/>
          <c:tx>
            <c:v>Saturated Vapour Line</c:v>
          </c:tx>
          <c:spPr>
            <a:ln>
              <a:noFill/>
            </a:ln>
          </c:spPr>
          <c:marker>
            <c:symbol val="circle"/>
            <c:size val="5"/>
          </c:marker>
          <c:xVal>
            <c:numLit>
              <c:formatCode>General</c:formatCode>
              <c:ptCount val="69"/>
              <c:pt idx="0">
                <c:v>2500.9109946394651</c:v>
              </c:pt>
              <c:pt idx="1">
                <c:v>2504.5665527440806</c:v>
              </c:pt>
              <c:pt idx="2">
                <c:v>2508.2374645269656</c:v>
              </c:pt>
              <c:pt idx="3">
                <c:v>2511.9051298992354</c:v>
              </c:pt>
              <c:pt idx="4">
                <c:v>2515.5693278064764</c:v>
              </c:pt>
              <c:pt idx="5">
                <c:v>2519.2298389404232</c:v>
              </c:pt>
              <c:pt idx="6">
                <c:v>2522.8864451460563</c:v>
              </c:pt>
              <c:pt idx="7">
                <c:v>2526.538928718508</c:v>
              </c:pt>
              <c:pt idx="8">
                <c:v>2530.1870716085823</c:v>
              </c:pt>
              <c:pt idx="9">
                <c:v>2533.8306545571049</c:v>
              </c:pt>
              <c:pt idx="10">
                <c:v>2537.4694561790798</c:v>
              </c:pt>
              <c:pt idx="11">
                <c:v>2541.1032520186327</c:v>
              </c:pt>
              <c:pt idx="12">
                <c:v>2544.7318135951709</c:v>
              </c:pt>
              <c:pt idx="13">
                <c:v>2548.3549074600023</c:v>
              </c:pt>
              <c:pt idx="14">
                <c:v>2551.9722942810527</c:v>
              </c:pt>
              <c:pt idx="15">
                <c:v>2555.5837279712014</c:v>
              </c:pt>
              <c:pt idx="16">
                <c:v>2559.188954873438</c:v>
              </c:pt>
              <c:pt idx="17">
                <c:v>2562.7877130134398</c:v>
              </c:pt>
              <c:pt idx="18">
                <c:v>2566.379731427442</c:v>
              </c:pt>
              <c:pt idx="19">
                <c:v>2569.964729570544</c:v>
              </c:pt>
              <c:pt idx="20">
                <c:v>2573.5424168079489</c:v>
              </c:pt>
              <c:pt idx="21">
                <c:v>2577.1124919890326</c:v>
              </c:pt>
              <c:pt idx="22">
                <c:v>2580.6746431018955</c:v>
              </c:pt>
              <c:pt idx="23">
                <c:v>2584.2285470039355</c:v>
              </c:pt>
              <c:pt idx="24">
                <c:v>2587.773869222292</c:v>
              </c:pt>
              <c:pt idx="25">
                <c:v>2591.3102638166342</c:v>
              </c:pt>
              <c:pt idx="26">
                <c:v>2594.837373295748</c:v>
              </c:pt>
              <c:pt idx="27">
                <c:v>2598.3548285788052</c:v>
              </c:pt>
              <c:pt idx="28">
                <c:v>2601.8622489919608</c:v>
              </c:pt>
              <c:pt idx="29">
                <c:v>2605.359242291097</c:v>
              </c:pt>
              <c:pt idx="30">
                <c:v>2608.8454047020091</c:v>
              </c:pt>
              <c:pt idx="31">
                <c:v>2612.320320970196</c:v>
              </c:pt>
              <c:pt idx="32">
                <c:v>2615.7835644134962</c:v>
              </c:pt>
              <c:pt idx="33">
                <c:v>2619.2346969721343</c:v>
              </c:pt>
              <c:pt idx="34">
                <c:v>2622.6732692522937</c:v>
              </c:pt>
              <c:pt idx="35">
                <c:v>2626.0988205608992</c:v>
              </c:pt>
              <c:pt idx="36">
                <c:v>2629.5108789310575</c:v>
              </c:pt>
              <c:pt idx="37">
                <c:v>2632.9089611392287</c:v>
              </c:pt>
              <c:pt idx="38">
                <c:v>2636.2925727168576</c:v>
              </c:pt>
              <c:pt idx="39">
                <c:v>2639.6612079607139</c:v>
              </c:pt>
              <c:pt idx="40">
                <c:v>2643.0143499474962</c:v>
              </c:pt>
              <c:pt idx="41">
                <c:v>2646.351470559373</c:v>
              </c:pt>
              <c:pt idx="42">
                <c:v>2649.6720305279778</c:v>
              </c:pt>
              <c:pt idx="43">
                <c:v>2652.9754795048862</c:v>
              </c:pt>
              <c:pt idx="44">
                <c:v>2656.2612561668179</c:v>
              </c:pt>
              <c:pt idx="45">
                <c:v>2659.5287883636597</c:v>
              </c:pt>
              <c:pt idx="46">
                <c:v>2662.7774933168585</c:v>
              </c:pt>
              <c:pt idx="47">
                <c:v>2666.006777874949</c:v>
              </c:pt>
              <c:pt idx="48">
                <c:v>2669.2160388317116</c:v>
              </c:pt>
              <c:pt idx="49">
                <c:v>2672.4046633110484</c:v>
              </c:pt>
              <c:pt idx="50">
                <c:v>2675.5720292208339</c:v>
              </c:pt>
              <c:pt idx="51">
                <c:v>2698.5847830615166</c:v>
              </c:pt>
              <c:pt idx="52">
                <c:v>2720.0878257368822</c:v>
              </c:pt>
              <c:pt idx="53">
                <c:v>2739.7968342693925</c:v>
              </c:pt>
              <c:pt idx="54">
                <c:v>2757.4305309693405</c:v>
              </c:pt>
              <c:pt idx="55">
                <c:v>2772.7045416298215</c:v>
              </c:pt>
              <c:pt idx="56">
                <c:v>2785.31100350819</c:v>
              </c:pt>
              <c:pt idx="57">
                <c:v>2794.8973590235137</c:v>
              </c:pt>
              <c:pt idx="58">
                <c:v>2801.0510003989548</c:v>
              </c:pt>
              <c:pt idx="59">
                <c:v>2803.2843971386255</c:v>
              </c:pt>
              <c:pt idx="60">
                <c:v>2801.0120704016076</c:v>
              </c:pt>
              <c:pt idx="61">
                <c:v>2779.8244623368582</c:v>
              </c:pt>
              <c:pt idx="62">
                <c:v>2727.9243441038466</c:v>
              </c:pt>
              <c:pt idx="63">
                <c:v>2666.2483188944489</c:v>
              </c:pt>
              <c:pt idx="64">
                <c:v>2480.9862148593184</c:v>
              </c:pt>
              <c:pt idx="65">
                <c:v>2333.5016135474561</c:v>
              </c:pt>
              <c:pt idx="66">
                <c:v>2274.6947013630106</c:v>
              </c:pt>
              <c:pt idx="67">
                <c:v>2227.5464803833202</c:v>
              </c:pt>
              <c:pt idx="68">
                <c:v>2121.6606649485179</c:v>
              </c:pt>
            </c:numLit>
          </c:xVal>
          <c:yVal>
            <c:numLit>
              <c:formatCode>General</c:formatCode>
              <c:ptCount val="69"/>
              <c:pt idx="0">
                <c:v>0.61165700001066314</c:v>
              </c:pt>
              <c:pt idx="1">
                <c:v>0.70598790589827853</c:v>
              </c:pt>
              <c:pt idx="2">
                <c:v>0.81354938418323253</c:v>
              </c:pt>
              <c:pt idx="3">
                <c:v>0.93535306038463151</c:v>
              </c:pt>
              <c:pt idx="4">
                <c:v>1.0729877549680413</c:v>
              </c:pt>
              <c:pt idx="5">
                <c:v>1.2281838693402238</c:v>
              </c:pt>
              <c:pt idx="6">
                <c:v>1.4028223728154214</c:v>
              </c:pt>
              <c:pt idx="7">
                <c:v>1.598944056530039</c:v>
              </c:pt>
              <c:pt idx="8">
                <c:v>1.8187590416053085</c:v>
              </c:pt>
              <c:pt idx="9">
                <c:v>2.064656527674487</c:v>
              </c:pt>
              <c:pt idx="10">
                <c:v>2.3392147667768968</c:v>
              </c:pt>
              <c:pt idx="11">
                <c:v>2.6452112465822526</c:v>
              </c:pt>
              <c:pt idx="12">
                <c:v>2.9856330659539436</c:v>
              </c:pt>
              <c:pt idx="13">
                <c:v>3.3636874849924085</c:v>
              </c:pt>
              <c:pt idx="14">
                <c:v>3.7828126309269448</c:v>
              </c:pt>
              <c:pt idx="15">
                <c:v>4.2466883405480642</c:v>
              </c:pt>
              <c:pt idx="16">
                <c:v>4.7592471192971679</c:v>
              </c:pt>
              <c:pt idx="17">
                <c:v>5.3246851966572546</c:v>
              </c:pt>
              <c:pt idx="18">
                <c:v>5.9474736571187421</c:v>
              </c:pt>
              <c:pt idx="19">
                <c:v>6.6323696257288098</c:v>
              </c:pt>
              <c:pt idx="20">
                <c:v>7.3844274870695292</c:v>
              </c:pt>
              <c:pt idx="21">
                <c:v>8.209010116448697</c:v>
              </c:pt>
              <c:pt idx="22">
                <c:v>9.1118001021253114</c:v>
              </c:pt>
              <c:pt idx="23">
                <c:v>10.098810937524947</c:v>
              </c:pt>
              <c:pt idx="24">
                <c:v>11.176398162627306</c:v>
              </c:pt>
              <c:pt idx="25">
                <c:v>12.35127043402335</c:v>
              </c:pt>
              <c:pt idx="26">
                <c:v>13.630500503536144</c:v>
              </c:pt>
              <c:pt idx="27">
                <c:v>15.021536085779353</c:v>
              </c:pt>
              <c:pt idx="28">
                <c:v>16.532210595575176</c:v>
              </c:pt>
              <c:pt idx="29">
                <c:v>18.170753736771616</c:v>
              </c:pt>
              <c:pt idx="30">
                <c:v>19.945801924678747</c:v>
              </c:pt>
              <c:pt idx="31">
                <c:v>21.866408525076718</c:v>
              </c:pt>
              <c:pt idx="32">
                <c:v>23.942053893532048</c:v>
              </c:pt>
              <c:pt idx="33">
                <c:v>26.182655199585803</c:v>
              </c:pt>
              <c:pt idx="34">
                <c:v>28.598576021239818</c:v>
              </c:pt>
              <c:pt idx="35">
                <c:v>31.200635696061855</c:v>
              </c:pt>
              <c:pt idx="36">
                <c:v>34.000118416150535</c:v>
              </c:pt>
              <c:pt idx="37">
                <c:v>37.00878205513839</c:v>
              </c:pt>
              <c:pt idx="38">
                <c:v>40.238866716365266</c:v>
              </c:pt>
              <c:pt idx="39">
                <c:v>43.703102992315856</c:v>
              </c:pt>
              <c:pt idx="40">
                <c:v>47.414719926378332</c:v>
              </c:pt>
              <c:pt idx="41">
                <c:v>51.387452668949329</c:v>
              </c:pt>
              <c:pt idx="42">
                <c:v>55.635549820863787</c:v>
              </c:pt>
              <c:pt idx="43">
                <c:v>60.173780458085247</c:v>
              </c:pt>
              <c:pt idx="44">
                <c:v>65.017440832523747</c:v>
              </c:pt>
              <c:pt idx="45">
                <c:v>70.182360744771273</c:v>
              </c:pt>
              <c:pt idx="46">
                <c:v>75.684909585448366</c:v>
              </c:pt>
              <c:pt idx="47">
                <c:v>81.542002042730431</c:v>
              </c:pt>
              <c:pt idx="48">
                <c:v>87.771103474486679</c:v>
              </c:pt>
              <c:pt idx="49">
                <c:v>94.390234944282099</c:v>
              </c:pt>
              <c:pt idx="50">
                <c:v>101.41797792131013</c:v>
              </c:pt>
              <c:pt idx="51">
                <c:v>169.17703566557444</c:v>
              </c:pt>
              <c:pt idx="52">
                <c:v>270.25960655999847</c:v>
              </c:pt>
              <c:pt idx="53">
                <c:v>415.63492260246971</c:v>
              </c:pt>
              <c:pt idx="54">
                <c:v>618.13919672205463</c:v>
              </c:pt>
              <c:pt idx="55">
                <c:v>892.44747767434637</c:v>
              </c:pt>
              <c:pt idx="56">
                <c:v>1255.0179208610475</c:v>
              </c:pt>
              <c:pt idx="57">
                <c:v>1724.0234951986204</c:v>
              </c:pt>
              <c:pt idx="58">
                <c:v>2319.2877277254242</c:v>
              </c:pt>
              <c:pt idx="59">
                <c:v>3062.2435572687809</c:v>
              </c:pt>
              <c:pt idx="60">
                <c:v>3975.9390708353271</c:v>
              </c:pt>
              <c:pt idx="61">
                <c:v>6416.4592816803715</c:v>
              </c:pt>
              <c:pt idx="62">
                <c:v>9864.7455603026174</c:v>
              </c:pt>
              <c:pt idx="63">
                <c:v>12857.521889803389</c:v>
              </c:pt>
              <c:pt idx="64">
                <c:v>18666.403421371091</c:v>
              </c:pt>
              <c:pt idx="65">
                <c:v>21043.367318975248</c:v>
              </c:pt>
              <c:pt idx="66">
                <c:v>21552.83605064837</c:v>
              </c:pt>
              <c:pt idx="67">
                <c:v>21813.163152028519</c:v>
              </c:pt>
              <c:pt idx="68">
                <c:v>22051.673313256411</c:v>
              </c:pt>
            </c:numLit>
          </c:yVal>
          <c:smooth val="0"/>
        </c:ser>
        <c:ser>
          <c:idx val="2"/>
          <c:order val="2"/>
          <c:tx>
            <c:v>Initial Calculation</c:v>
          </c:tx>
          <c:spPr>
            <a:ln>
              <a:noFill/>
            </a:ln>
          </c:spPr>
          <c:marker>
            <c:symbol val="circle"/>
            <c:size val="5"/>
          </c:marker>
          <c:trendline>
            <c:spPr>
              <a:ln w="12701" cap="rnd">
                <a:solidFill>
                  <a:srgbClr val="000000"/>
                </a:solidFill>
                <a:prstDash val="solid"/>
              </a:ln>
            </c:spPr>
            <c:trendlineType val="linear"/>
            <c:dispRSqr val="0"/>
            <c:dispEq val="0"/>
          </c:trendline>
          <c:xVal>
            <c:numLit>
              <c:formatCode>General</c:formatCode>
              <c:ptCount val="2"/>
              <c:pt idx="0">
                <c:v>2674.9329542086334</c:v>
              </c:pt>
              <c:pt idx="1">
                <c:v>417.39701707434278</c:v>
              </c:pt>
            </c:numLit>
          </c:xVal>
          <c:yVal>
            <c:numLit>
              <c:formatCode>General</c:formatCode>
              <c:ptCount val="2"/>
              <c:pt idx="0">
                <c:v>100</c:v>
              </c:pt>
              <c:pt idx="1">
                <c:v>100</c:v>
              </c:pt>
            </c:numLit>
          </c:yVal>
          <c:smooth val="0"/>
        </c:ser>
        <c:ser>
          <c:idx val="3"/>
          <c:order val="3"/>
          <c:tx>
            <c:v>Final Calculation</c:v>
          </c:tx>
          <c:spPr>
            <a:ln>
              <a:noFill/>
            </a:ln>
          </c:spPr>
          <c:marker>
            <c:symbol val="circle"/>
            <c:size val="5"/>
          </c:marker>
          <c:trendline>
            <c:spPr>
              <a:ln w="12701" cap="rnd">
                <a:solidFill>
                  <a:srgbClr val="70AD47"/>
                </a:solidFill>
                <a:prstDash val="solid"/>
              </a:ln>
            </c:spPr>
            <c:trendlineType val="linear"/>
            <c:dispRSqr val="0"/>
            <c:dispEq val="0"/>
          </c:trendline>
          <c:xVal>
            <c:numLit>
              <c:formatCode>General</c:formatCode>
              <c:ptCount val="2"/>
              <c:pt idx="0">
                <c:v>340.41252948086412</c:v>
              </c:pt>
              <c:pt idx="1">
                <c:v>2645.1860015485986</c:v>
              </c:pt>
            </c:numLit>
          </c:xVal>
          <c:yVal>
            <c:numLit>
              <c:formatCode>General</c:formatCode>
              <c:ptCount val="2"/>
              <c:pt idx="0">
                <c:v>50</c:v>
              </c:pt>
              <c:pt idx="1">
                <c:v>50</c:v>
              </c:pt>
            </c:numLit>
          </c:yVal>
          <c:smooth val="0"/>
        </c:ser>
        <c:dLbls>
          <c:showLegendKey val="0"/>
          <c:showVal val="0"/>
          <c:showCatName val="0"/>
          <c:showSerName val="0"/>
          <c:showPercent val="0"/>
          <c:showBubbleSize val="0"/>
        </c:dLbls>
        <c:axId val="2114171648"/>
        <c:axId val="2114180800"/>
      </c:scatterChart>
      <c:valAx>
        <c:axId val="2114180800"/>
        <c:scaling>
          <c:logBase val="10"/>
          <c:orientation val="minMax"/>
          <c:min val="1"/>
        </c:scaling>
        <c:delete val="0"/>
        <c:axPos val="l"/>
        <c:majorGridlines>
          <c:spPr>
            <a:ln w="9528" cap="flat">
              <a:solidFill>
                <a:srgbClr val="D9D9D9"/>
              </a:solidFill>
              <a:prstDash val="solid"/>
              <a:round/>
            </a:ln>
          </c:spPr>
        </c:majorGridlines>
        <c:title>
          <c:tx>
            <c:rich>
              <a:bodyPr lIns="0" tIns="0" rIns="0" bIns="0"/>
              <a:lstStyle/>
              <a:p>
                <a:pPr marL="0" marR="0" indent="0" algn="ctr" defTabSz="914400" fontAlgn="auto" hangingPunct="1">
                  <a:lnSpc>
                    <a:spcPct val="100000"/>
                  </a:lnSpc>
                  <a:spcBef>
                    <a:spcPts val="0"/>
                  </a:spcBef>
                  <a:spcAft>
                    <a:spcPts val="0"/>
                  </a:spcAft>
                  <a:tabLst/>
                  <a:defRPr sz="1000" b="0" i="0" u="none" strike="noStrike" kern="1200" baseline="0">
                    <a:solidFill>
                      <a:srgbClr val="595959"/>
                    </a:solidFill>
                    <a:latin typeface="Calibri"/>
                  </a:defRPr>
                </a:pPr>
                <a:r>
                  <a:rPr lang="en-GB" sz="1000" b="0" i="0" u="none" strike="noStrike" kern="1200" cap="none" spc="0" baseline="0">
                    <a:solidFill>
                      <a:srgbClr val="595959"/>
                    </a:solidFill>
                    <a:uFillTx/>
                    <a:latin typeface="Calibri"/>
                  </a:rPr>
                  <a:t>Pressure (kPa)</a:t>
                </a:r>
              </a:p>
            </c:rich>
          </c:tx>
          <c:layout/>
          <c:overlay val="0"/>
          <c:spPr>
            <a:noFill/>
            <a:ln>
              <a:noFill/>
            </a:ln>
          </c:spPr>
        </c:title>
        <c:numFmt formatCode="General" sourceLinked="1"/>
        <c:majorTickMark val="none"/>
        <c:minorTickMark val="none"/>
        <c:tickLblPos val="nextTo"/>
        <c:spPr>
          <a:noFill/>
          <a:ln w="9528" cap="flat">
            <a:solidFill>
              <a:srgbClr val="BFBFBF"/>
            </a:solidFill>
            <a:prstDash val="solid"/>
            <a:round/>
          </a:ln>
        </c:spPr>
        <c:txPr>
          <a:bodyPr lIns="0" tIns="0" rIns="0" bIns="0"/>
          <a:lstStyle/>
          <a:p>
            <a:pPr marL="0" marR="0" indent="0" defTabSz="914400" fontAlgn="auto" hangingPunct="1">
              <a:lnSpc>
                <a:spcPct val="100000"/>
              </a:lnSpc>
              <a:spcBef>
                <a:spcPts val="0"/>
              </a:spcBef>
              <a:spcAft>
                <a:spcPts val="0"/>
              </a:spcAft>
              <a:tabLst/>
              <a:defRPr sz="900" b="0" i="0" u="none" strike="noStrike" kern="1200" baseline="0">
                <a:solidFill>
                  <a:srgbClr val="595959"/>
                </a:solidFill>
                <a:latin typeface="Calibri"/>
              </a:defRPr>
            </a:pPr>
            <a:endParaRPr lang="en-US"/>
          </a:p>
        </c:txPr>
        <c:crossAx val="2114171648"/>
        <c:crosses val="autoZero"/>
        <c:crossBetween val="midCat"/>
      </c:valAx>
      <c:valAx>
        <c:axId val="2114171648"/>
        <c:scaling>
          <c:orientation val="minMax"/>
        </c:scaling>
        <c:delete val="0"/>
        <c:axPos val="b"/>
        <c:majorGridlines>
          <c:spPr>
            <a:ln w="9528" cap="flat">
              <a:solidFill>
                <a:srgbClr val="D9D9D9"/>
              </a:solidFill>
              <a:prstDash val="solid"/>
              <a:round/>
            </a:ln>
          </c:spPr>
        </c:majorGridlines>
        <c:title>
          <c:tx>
            <c:rich>
              <a:bodyPr lIns="0" tIns="0" rIns="0" bIns="0"/>
              <a:lstStyle/>
              <a:p>
                <a:pPr marL="0" marR="0" indent="0" algn="ctr" defTabSz="914400" fontAlgn="auto" hangingPunct="1">
                  <a:lnSpc>
                    <a:spcPct val="100000"/>
                  </a:lnSpc>
                  <a:spcBef>
                    <a:spcPts val="0"/>
                  </a:spcBef>
                  <a:spcAft>
                    <a:spcPts val="0"/>
                  </a:spcAft>
                  <a:tabLst/>
                  <a:defRPr sz="1000" b="0" i="0" u="none" strike="noStrike" kern="1200" baseline="0">
                    <a:solidFill>
                      <a:srgbClr val="595959"/>
                    </a:solidFill>
                    <a:latin typeface="Calibri"/>
                  </a:defRPr>
                </a:pPr>
                <a:r>
                  <a:rPr lang="en-GB" sz="1000" b="0" i="0" u="none" strike="noStrike" kern="1200" cap="none" spc="0" baseline="0">
                    <a:solidFill>
                      <a:srgbClr val="595959"/>
                    </a:solidFill>
                    <a:uFillTx/>
                    <a:latin typeface="Calibri"/>
                  </a:rPr>
                  <a:t>Specific Enthalpy (kJkg^-1)</a:t>
                </a:r>
              </a:p>
            </c:rich>
          </c:tx>
          <c:layout/>
          <c:overlay val="0"/>
          <c:spPr>
            <a:noFill/>
            <a:ln>
              <a:noFill/>
            </a:ln>
          </c:spPr>
        </c:title>
        <c:numFmt formatCode="General" sourceLinked="1"/>
        <c:majorTickMark val="none"/>
        <c:minorTickMark val="none"/>
        <c:tickLblPos val="nextTo"/>
        <c:spPr>
          <a:noFill/>
          <a:ln w="9528" cap="flat">
            <a:solidFill>
              <a:srgbClr val="BFBFBF"/>
            </a:solidFill>
            <a:prstDash val="solid"/>
            <a:round/>
          </a:ln>
        </c:spPr>
        <c:txPr>
          <a:bodyPr lIns="0" tIns="0" rIns="0" bIns="0"/>
          <a:lstStyle/>
          <a:p>
            <a:pPr marL="0" marR="0" indent="0" defTabSz="914400" fontAlgn="auto" hangingPunct="1">
              <a:lnSpc>
                <a:spcPct val="100000"/>
              </a:lnSpc>
              <a:spcBef>
                <a:spcPts val="0"/>
              </a:spcBef>
              <a:spcAft>
                <a:spcPts val="0"/>
              </a:spcAft>
              <a:tabLst/>
              <a:defRPr sz="900" b="0" i="0" u="none" strike="noStrike" kern="1200" baseline="0">
                <a:solidFill>
                  <a:srgbClr val="595959"/>
                </a:solidFill>
                <a:latin typeface="Calibri"/>
              </a:defRPr>
            </a:pPr>
            <a:endParaRPr lang="en-US"/>
          </a:p>
        </c:txPr>
        <c:crossAx val="2114180800"/>
        <c:crosses val="autoZero"/>
        <c:crossBetween val="midCat"/>
      </c:valAx>
      <c:spPr>
        <a:noFill/>
        <a:ln>
          <a:noFill/>
        </a:ln>
      </c:spPr>
    </c:plotArea>
    <c:legend>
      <c:legendPos val="t"/>
      <c:layout/>
      <c:overlay val="0"/>
      <c:spPr>
        <a:noFill/>
        <a:ln>
          <a:noFill/>
        </a:ln>
      </c:spPr>
      <c:txPr>
        <a:bodyPr lIns="0" tIns="0" rIns="0" bIns="0"/>
        <a:lstStyle/>
        <a:p>
          <a:pPr marL="0" marR="0" indent="0" defTabSz="914400" fontAlgn="auto" hangingPunct="1">
            <a:lnSpc>
              <a:spcPct val="100000"/>
            </a:lnSpc>
            <a:spcBef>
              <a:spcPts val="0"/>
            </a:spcBef>
            <a:spcAft>
              <a:spcPts val="0"/>
            </a:spcAft>
            <a:tabLst/>
            <a:defRPr sz="900" b="0" i="0" u="none" strike="noStrike" kern="1200" baseline="0">
              <a:solidFill>
                <a:srgbClr val="595959"/>
              </a:solidFill>
              <a:latin typeface="Calibri"/>
            </a:defRPr>
          </a:pPr>
          <a:endParaRPr lang="en-US"/>
        </a:p>
      </c:txPr>
    </c:legend>
    <c:plotVisOnly val="1"/>
    <c:dispBlanksAs val="gap"/>
    <c:showDLblsOverMax val="0"/>
  </c:chart>
  <c:spPr>
    <a:solidFill>
      <a:srgbClr val="FFFFFF"/>
    </a:solidFill>
    <a:ln w="9528" cap="flat">
      <a:solidFill>
        <a:srgbClr val="000000"/>
      </a:solidFill>
      <a:prstDash val="solid"/>
      <a:round/>
    </a:ln>
  </c:spPr>
  <c:txPr>
    <a:bodyPr lIns="0" tIns="0" rIns="0" bIns="0"/>
    <a:lstStyle/>
    <a:p>
      <a:pPr marL="0" marR="0" indent="0" defTabSz="914400" fontAlgn="auto" hangingPunct="1">
        <a:lnSpc>
          <a:spcPct val="100000"/>
        </a:lnSpc>
        <a:spcBef>
          <a:spcPts val="0"/>
        </a:spcBef>
        <a:spcAft>
          <a:spcPts val="0"/>
        </a:spcAft>
        <a:tabLst/>
        <a:defRPr lang="en-GB" sz="1000" b="0" i="0" u="none" strike="noStrike" kern="1200" baseline="0">
          <a:solidFill>
            <a:srgbClr val="000000"/>
          </a:solidFill>
          <a:latin typeface="Calibri"/>
        </a:defRPr>
      </a:pPr>
      <a:endParaRPr lang="en-US"/>
    </a:p>
  </c:txPr>
  <c:externalData r:id="rId1">
    <c:autoUpdate val="0"/>
  </c:externalData>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lIns="0" tIns="0" rIns="0" bIns="0"/>
          <a:lstStyle/>
          <a:p>
            <a:pPr marL="0" marR="0" indent="0" algn="ctr" defTabSz="914400" fontAlgn="auto" hangingPunct="1">
              <a:lnSpc>
                <a:spcPct val="100000"/>
              </a:lnSpc>
              <a:spcBef>
                <a:spcPts val="0"/>
              </a:spcBef>
              <a:spcAft>
                <a:spcPts val="0"/>
              </a:spcAft>
              <a:tabLst/>
              <a:defRPr sz="1400" b="0" i="0" u="none" strike="noStrike" kern="1200" spc="0" baseline="0">
                <a:solidFill>
                  <a:srgbClr val="595959"/>
                </a:solidFill>
                <a:latin typeface="Calibri"/>
              </a:defRPr>
            </a:pPr>
            <a:r>
              <a:rPr lang="en-GB" sz="1400" b="0" i="0" u="none" strike="noStrike" kern="1200" cap="none" spc="0" baseline="0">
                <a:solidFill>
                  <a:srgbClr val="595959"/>
                </a:solidFill>
                <a:uFillTx/>
                <a:latin typeface="Calibri"/>
              </a:rPr>
              <a:t>T-s</a:t>
            </a:r>
          </a:p>
        </c:rich>
      </c:tx>
      <c:layout/>
      <c:overlay val="0"/>
      <c:spPr>
        <a:noFill/>
        <a:ln>
          <a:noFill/>
        </a:ln>
      </c:spPr>
    </c:title>
    <c:autoTitleDeleted val="0"/>
    <c:plotArea>
      <c:layout/>
      <c:scatterChart>
        <c:scatterStyle val="lineMarker"/>
        <c:varyColors val="0"/>
        <c:ser>
          <c:idx val="0"/>
          <c:order val="0"/>
          <c:spPr>
            <a:ln>
              <a:noFill/>
            </a:ln>
          </c:spPr>
          <c:marker>
            <c:symbol val="circle"/>
            <c:size val="5"/>
          </c:marker>
          <c:xVal>
            <c:numRef>
              <c:f>'Q2'!$J$10:$J$78</c:f>
              <c:numCache>
                <c:formatCode>0.0000</c:formatCode>
                <c:ptCount val="69"/>
                <c:pt idx="0">
                  <c:v>-6.1610290588245986E-8</c:v>
                </c:pt>
                <c:pt idx="1">
                  <c:v>3.0606494952059304E-2</c:v>
                </c:pt>
                <c:pt idx="2">
                  <c:v>6.1100977266344114E-2</c:v>
                </c:pt>
                <c:pt idx="3">
                  <c:v>9.1339574020424058E-2</c:v>
                </c:pt>
                <c:pt idx="4">
                  <c:v>0.12133156531573637</c:v>
                </c:pt>
                <c:pt idx="5">
                  <c:v>0.15108508629574735</c:v>
                </c:pt>
                <c:pt idx="6">
                  <c:v>0.18060733232875739</c:v>
                </c:pt>
                <c:pt idx="7">
                  <c:v>0.2099047262873438</c:v>
                </c:pt>
                <c:pt idx="8">
                  <c:v>0.23898305488096905</c:v>
                </c:pt>
                <c:pt idx="9">
                  <c:v>0.26784757972166456</c:v>
                </c:pt>
                <c:pt idx="10">
                  <c:v>0.2965031277627545</c:v>
                </c:pt>
                <c:pt idx="11">
                  <c:v>0.32495416490232198</c:v>
                </c:pt>
                <c:pt idx="12">
                  <c:v>0.35320485585083822</c:v>
                </c:pt>
                <c:pt idx="13">
                  <c:v>0.38125911279714836</c:v>
                </c:pt>
                <c:pt idx="14">
                  <c:v>0.40912063494495332</c:v>
                </c:pt>
                <c:pt idx="15">
                  <c:v>0.43679294061428825</c:v>
                </c:pt>
                <c:pt idx="16">
                  <c:v>0.46427939329352785</c:v>
                </c:pt>
                <c:pt idx="17">
                  <c:v>0.49158322277457883</c:v>
                </c:pt>
                <c:pt idx="18">
                  <c:v>0.51870754229695037</c:v>
                </c:pt>
                <c:pt idx="19">
                  <c:v>0.54565536245691282</c:v>
                </c:pt>
                <c:pt idx="20">
                  <c:v>0.57242960249906927</c:v>
                </c:pt>
                <c:pt idx="21">
                  <c:v>0.59903309949397154</c:v>
                </c:pt>
                <c:pt idx="22">
                  <c:v>0.62546861581235635</c:v>
                </c:pt>
                <c:pt idx="23">
                  <c:v>0.65173884523008885</c:v>
                </c:pt>
                <c:pt idx="24">
                  <c:v>0.67784641793561751</c:v>
                </c:pt>
                <c:pt idx="25">
                  <c:v>0.70379390466047431</c:v>
                </c:pt>
                <c:pt idx="26">
                  <c:v>0.72958382011158451</c:v>
                </c:pt>
                <c:pt idx="27">
                  <c:v>0.75521862584984878</c:v>
                </c:pt>
                <c:pt idx="28">
                  <c:v>0.78070073273153984</c:v>
                </c:pt>
                <c:pt idx="29">
                  <c:v>0.80603250300626583</c:v>
                </c:pt>
                <c:pt idx="30">
                  <c:v>0.83121625214654493</c:v>
                </c:pt>
                <c:pt idx="31">
                  <c:v>0.85625425046894976</c:v>
                </c:pt>
                <c:pt idx="32">
                  <c:v>0.88114872459444271</c:v>
                </c:pt>
                <c:pt idx="33">
                  <c:v>0.90590185878548657</c:v>
                </c:pt>
                <c:pt idx="34">
                  <c:v>0.93051579618949676</c:v>
                </c:pt>
                <c:pt idx="35">
                  <c:v>0.954992640011602</c:v>
                </c:pt>
                <c:pt idx="36">
                  <c:v>0.97933445463442526</c:v>
                </c:pt>
                <c:pt idx="37">
                  <c:v>1.0035432666984616</c:v>
                </c:pt>
                <c:pt idx="38">
                  <c:v>1.0276210661531313</c:v>
                </c:pt>
                <c:pt idx="39">
                  <c:v>1.0515698072860626</c:v>
                </c:pt>
                <c:pt idx="40">
                  <c:v>1.0753914097359292</c:v>
                </c:pt>
                <c:pt idx="41">
                  <c:v>1.0990877594925856</c:v>
                </c:pt>
                <c:pt idx="42">
                  <c:v>1.1226607098869681</c:v>
                </c:pt>
                <c:pt idx="43">
                  <c:v>1.146112082572192</c:v>
                </c:pt>
                <c:pt idx="44">
                  <c:v>1.1694436684966147</c:v>
                </c:pt>
                <c:pt idx="45">
                  <c:v>1.1926572288690231</c:v>
                </c:pt>
                <c:pt idx="46">
                  <c:v>1.2157544961157418</c:v>
                </c:pt>
                <c:pt idx="47">
                  <c:v>1.2387371748291938</c:v>
                </c:pt>
                <c:pt idx="48">
                  <c:v>1.2616069427072472</c:v>
                </c:pt>
                <c:pt idx="49">
                  <c:v>1.2843654514825893</c:v>
                </c:pt>
                <c:pt idx="50">
                  <c:v>1.3070143278413395</c:v>
                </c:pt>
                <c:pt idx="51">
                  <c:v>1.4735444687990014</c:v>
                </c:pt>
                <c:pt idx="52">
                  <c:v>1.6346312702943462</c:v>
                </c:pt>
                <c:pt idx="53">
                  <c:v>1.790859909791819</c:v>
                </c:pt>
                <c:pt idx="54">
                  <c:v>1.9427785229410812</c:v>
                </c:pt>
                <c:pt idx="55">
                  <c:v>2.0909130493599695</c:v>
                </c:pt>
                <c:pt idx="56">
                  <c:v>2.2357805699621904</c:v>
                </c:pt>
                <c:pt idx="57">
                  <c:v>2.3779022565389911</c:v>
                </c:pt>
                <c:pt idx="58">
                  <c:v>2.5178174198851497</c:v>
                </c:pt>
                <c:pt idx="59">
                  <c:v>2.6561008912551269</c:v>
                </c:pt>
                <c:pt idx="60">
                  <c:v>2.7933876368729056</c:v>
                </c:pt>
                <c:pt idx="61">
                  <c:v>3.0680747776115513</c:v>
                </c:pt>
                <c:pt idx="62">
                  <c:v>3.3505795199327886</c:v>
                </c:pt>
                <c:pt idx="63">
                  <c:v>3.5515593500918636</c:v>
                </c:pt>
                <c:pt idx="64">
                  <c:v>3.9163590626491511</c:v>
                </c:pt>
                <c:pt idx="65">
                  <c:v>4.1141607580915194</c:v>
                </c:pt>
                <c:pt idx="66">
                  <c:v>4.1835820939308057</c:v>
                </c:pt>
                <c:pt idx="67">
                  <c:v>4.2377242469904237</c:v>
                </c:pt>
                <c:pt idx="68">
                  <c:v>4.3630544006385215</c:v>
                </c:pt>
              </c:numCache>
            </c:numRef>
          </c:xVal>
          <c:yVal>
            <c:numRef>
              <c:f>'Q2'!$A$10:$A$78</c:f>
              <c:numCache>
                <c:formatCode>General</c:formatCode>
                <c:ptCount val="69"/>
                <c:pt idx="0">
                  <c:v>0.01</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pt idx="18">
                  <c:v>36</c:v>
                </c:pt>
                <c:pt idx="19">
                  <c:v>38</c:v>
                </c:pt>
                <c:pt idx="20">
                  <c:v>40</c:v>
                </c:pt>
                <c:pt idx="21">
                  <c:v>42</c:v>
                </c:pt>
                <c:pt idx="22">
                  <c:v>44</c:v>
                </c:pt>
                <c:pt idx="23">
                  <c:v>46</c:v>
                </c:pt>
                <c:pt idx="24">
                  <c:v>48</c:v>
                </c:pt>
                <c:pt idx="25">
                  <c:v>50</c:v>
                </c:pt>
                <c:pt idx="26">
                  <c:v>52</c:v>
                </c:pt>
                <c:pt idx="27">
                  <c:v>54</c:v>
                </c:pt>
                <c:pt idx="28">
                  <c:v>56</c:v>
                </c:pt>
                <c:pt idx="29">
                  <c:v>58</c:v>
                </c:pt>
                <c:pt idx="30">
                  <c:v>60</c:v>
                </c:pt>
                <c:pt idx="31">
                  <c:v>62</c:v>
                </c:pt>
                <c:pt idx="32">
                  <c:v>64</c:v>
                </c:pt>
                <c:pt idx="33">
                  <c:v>66</c:v>
                </c:pt>
                <c:pt idx="34">
                  <c:v>68</c:v>
                </c:pt>
                <c:pt idx="35">
                  <c:v>70</c:v>
                </c:pt>
                <c:pt idx="36">
                  <c:v>72</c:v>
                </c:pt>
                <c:pt idx="37">
                  <c:v>74</c:v>
                </c:pt>
                <c:pt idx="38">
                  <c:v>76</c:v>
                </c:pt>
                <c:pt idx="39">
                  <c:v>78</c:v>
                </c:pt>
                <c:pt idx="40">
                  <c:v>80</c:v>
                </c:pt>
                <c:pt idx="41">
                  <c:v>82</c:v>
                </c:pt>
                <c:pt idx="42">
                  <c:v>84</c:v>
                </c:pt>
                <c:pt idx="43">
                  <c:v>86</c:v>
                </c:pt>
                <c:pt idx="44">
                  <c:v>88</c:v>
                </c:pt>
                <c:pt idx="45">
                  <c:v>90</c:v>
                </c:pt>
                <c:pt idx="46">
                  <c:v>92</c:v>
                </c:pt>
                <c:pt idx="47">
                  <c:v>94</c:v>
                </c:pt>
                <c:pt idx="48">
                  <c:v>96</c:v>
                </c:pt>
                <c:pt idx="49">
                  <c:v>98</c:v>
                </c:pt>
                <c:pt idx="50">
                  <c:v>100</c:v>
                </c:pt>
                <c:pt idx="51">
                  <c:v>115</c:v>
                </c:pt>
                <c:pt idx="52">
                  <c:v>130</c:v>
                </c:pt>
                <c:pt idx="53">
                  <c:v>145</c:v>
                </c:pt>
                <c:pt idx="54">
                  <c:v>160</c:v>
                </c:pt>
                <c:pt idx="55">
                  <c:v>175</c:v>
                </c:pt>
                <c:pt idx="56">
                  <c:v>190</c:v>
                </c:pt>
                <c:pt idx="57">
                  <c:v>205</c:v>
                </c:pt>
                <c:pt idx="58">
                  <c:v>220</c:v>
                </c:pt>
                <c:pt idx="59">
                  <c:v>235</c:v>
                </c:pt>
                <c:pt idx="60">
                  <c:v>250</c:v>
                </c:pt>
                <c:pt idx="61">
                  <c:v>280</c:v>
                </c:pt>
                <c:pt idx="62">
                  <c:v>310</c:v>
                </c:pt>
                <c:pt idx="63">
                  <c:v>330</c:v>
                </c:pt>
                <c:pt idx="64">
                  <c:v>360</c:v>
                </c:pt>
                <c:pt idx="65">
                  <c:v>370</c:v>
                </c:pt>
                <c:pt idx="66">
                  <c:v>372</c:v>
                </c:pt>
                <c:pt idx="67">
                  <c:v>373</c:v>
                </c:pt>
                <c:pt idx="68">
                  <c:v>373.9</c:v>
                </c:pt>
              </c:numCache>
            </c:numRef>
          </c:yVal>
          <c:smooth val="0"/>
        </c:ser>
        <c:ser>
          <c:idx val="1"/>
          <c:order val="1"/>
          <c:spPr>
            <a:ln>
              <a:noFill/>
            </a:ln>
          </c:spPr>
          <c:marker>
            <c:symbol val="circle"/>
            <c:size val="5"/>
          </c:marker>
          <c:xVal>
            <c:numRef>
              <c:f>'Q2'!$K$10:$K$78</c:f>
              <c:numCache>
                <c:formatCode>0.0000</c:formatCode>
                <c:ptCount val="69"/>
                <c:pt idx="0">
                  <c:v>9.1554914737363742</c:v>
                </c:pt>
                <c:pt idx="1">
                  <c:v>9.1026692571951351</c:v>
                </c:pt>
                <c:pt idx="2">
                  <c:v>9.050556234702416</c:v>
                </c:pt>
                <c:pt idx="3">
                  <c:v>8.9993965719895304</c:v>
                </c:pt>
                <c:pt idx="4">
                  <c:v>8.9491672418410584</c:v>
                </c:pt>
                <c:pt idx="5">
                  <c:v>8.899845920563175</c:v>
                </c:pt>
                <c:pt idx="6">
                  <c:v>8.8514109625084139</c:v>
                </c:pt>
                <c:pt idx="7">
                  <c:v>8.8038413744301796</c:v>
                </c:pt>
                <c:pt idx="8">
                  <c:v>8.7571167899118123</c:v>
                </c:pt>
                <c:pt idx="9">
                  <c:v>8.7112174440792582</c:v>
                </c:pt>
                <c:pt idx="10">
                  <c:v>8.6661241487742959</c:v>
                </c:pt>
                <c:pt idx="11">
                  <c:v>8.6218182683366393</c:v>
                </c:pt>
                <c:pt idx="12">
                  <c:v>8.5782816961165409</c:v>
                </c:pt>
                <c:pt idx="13">
                  <c:v>8.5354968318155553</c:v>
                </c:pt>
                <c:pt idx="14">
                  <c:v>8.4934465597304651</c:v>
                </c:pt>
                <c:pt idx="15">
                  <c:v>8.4521142279549561</c:v>
                </c:pt>
                <c:pt idx="16">
                  <c:v>8.4114836285745191</c:v>
                </c:pt>
                <c:pt idx="17">
                  <c:v>8.3715389788728416</c:v>
                </c:pt>
                <c:pt idx="18">
                  <c:v>8.3322649035523479</c:v>
                </c:pt>
                <c:pt idx="19">
                  <c:v>8.2936464179576124</c:v>
                </c:pt>
                <c:pt idx="20">
                  <c:v>8.2556689122783578</c:v>
                </c:pt>
                <c:pt idx="21">
                  <c:v>8.2183181366983433</c:v>
                </c:pt>
                <c:pt idx="22">
                  <c:v>8.1815801874479988</c:v>
                </c:pt>
                <c:pt idx="23">
                  <c:v>8.1454414937119477</c:v>
                </c:pt>
                <c:pt idx="24">
                  <c:v>8.1098888053376648</c:v>
                </c:pt>
                <c:pt idx="25">
                  <c:v>8.0749091812881577</c:v>
                </c:pt>
                <c:pt idx="26">
                  <c:v>8.0404899787802098</c:v>
                </c:pt>
                <c:pt idx="27">
                  <c:v>8.0066188430493455</c:v>
                </c:pt>
                <c:pt idx="28">
                  <c:v>7.973283697684197</c:v>
                </c:pt>
                <c:pt idx="29">
                  <c:v>7.940472735475443</c:v>
                </c:pt>
                <c:pt idx="30">
                  <c:v>7.9081744097278968</c:v>
                </c:pt>
                <c:pt idx="31">
                  <c:v>7.876377425989026</c:v>
                </c:pt>
                <c:pt idx="32">
                  <c:v>7.8450707341521797</c:v>
                </c:pt>
                <c:pt idx="33">
                  <c:v>7.8142435208984766</c:v>
                </c:pt>
                <c:pt idx="34">
                  <c:v>7.7838852024472605</c:v>
                </c:pt>
                <c:pt idx="35">
                  <c:v>7.753985417591025</c:v>
                </c:pt>
                <c:pt idx="36">
                  <c:v>7.7245340209967512</c:v>
                </c:pt>
                <c:pt idx="37">
                  <c:v>7.6955210767612368</c:v>
                </c:pt>
                <c:pt idx="38">
                  <c:v>7.6669368522132082</c:v>
                </c:pt>
                <c:pt idx="39">
                  <c:v>7.6387718119599022</c:v>
                </c:pt>
                <c:pt idx="40">
                  <c:v>7.6110166121795766</c:v>
                </c:pt>
                <c:pt idx="41">
                  <c:v>7.583662095164744</c:v>
                </c:pt>
                <c:pt idx="42">
                  <c:v>7.5566992841232592</c:v>
                </c:pt>
                <c:pt idx="43">
                  <c:v>7.5301193782455682</c:v>
                </c:pt>
                <c:pt idx="44">
                  <c:v>7.5039137480471148</c:v>
                </c:pt>
                <c:pt idx="45">
                  <c:v>7.4780739309940962</c:v>
                </c:pt>
                <c:pt idx="46">
                  <c:v>7.4525916274194071</c:v>
                </c:pt>
                <c:pt idx="47">
                  <c:v>7.4274586967333072</c:v>
                </c:pt>
                <c:pt idx="48">
                  <c:v>7.402667153930075</c:v>
                </c:pt>
                <c:pt idx="49">
                  <c:v>7.3782091663883502</c:v>
                </c:pt>
                <c:pt idx="50">
                  <c:v>7.3540770509584048</c:v>
                </c:pt>
                <c:pt idx="51">
                  <c:v>7.1827359971056826</c:v>
                </c:pt>
                <c:pt idx="52">
                  <c:v>7.0264078297692851</c:v>
                </c:pt>
                <c:pt idx="53">
                  <c:v>6.8825788096115943</c:v>
                </c:pt>
                <c:pt idx="54">
                  <c:v>6.74910384530512</c:v>
                </c:pt>
                <c:pt idx="55">
                  <c:v>6.6241296832861654</c:v>
                </c:pt>
                <c:pt idx="56">
                  <c:v>6.5060028406625854</c:v>
                </c:pt>
                <c:pt idx="57">
                  <c:v>6.3931935409035967</c:v>
                </c:pt>
                <c:pt idx="58">
                  <c:v>6.2842455210538795</c:v>
                </c:pt>
                <c:pt idx="59">
                  <c:v>6.1777355917548364</c:v>
                </c:pt>
                <c:pt idx="60">
                  <c:v>6.0722241010646814</c:v>
                </c:pt>
                <c:pt idx="61">
                  <c:v>5.8578276097292949</c:v>
                </c:pt>
                <c:pt idx="62">
                  <c:v>5.6243049420512463</c:v>
                </c:pt>
                <c:pt idx="63">
                  <c:v>5.4424803959901551</c:v>
                </c:pt>
                <c:pt idx="64">
                  <c:v>5.0527335190232492</c:v>
                </c:pt>
                <c:pt idx="65">
                  <c:v>4.7996145612771182</c:v>
                </c:pt>
                <c:pt idx="66">
                  <c:v>4.7046345524246123</c:v>
                </c:pt>
                <c:pt idx="67">
                  <c:v>4.6299191314719579</c:v>
                </c:pt>
                <c:pt idx="68">
                  <c:v>4.4648091352702783</c:v>
                </c:pt>
              </c:numCache>
            </c:numRef>
          </c:xVal>
          <c:yVal>
            <c:numRef>
              <c:f>'Q2'!$A$10:$A$78</c:f>
              <c:numCache>
                <c:formatCode>General</c:formatCode>
                <c:ptCount val="69"/>
                <c:pt idx="0">
                  <c:v>0.01</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pt idx="18">
                  <c:v>36</c:v>
                </c:pt>
                <c:pt idx="19">
                  <c:v>38</c:v>
                </c:pt>
                <c:pt idx="20">
                  <c:v>40</c:v>
                </c:pt>
                <c:pt idx="21">
                  <c:v>42</c:v>
                </c:pt>
                <c:pt idx="22">
                  <c:v>44</c:v>
                </c:pt>
                <c:pt idx="23">
                  <c:v>46</c:v>
                </c:pt>
                <c:pt idx="24">
                  <c:v>48</c:v>
                </c:pt>
                <c:pt idx="25">
                  <c:v>50</c:v>
                </c:pt>
                <c:pt idx="26">
                  <c:v>52</c:v>
                </c:pt>
                <c:pt idx="27">
                  <c:v>54</c:v>
                </c:pt>
                <c:pt idx="28">
                  <c:v>56</c:v>
                </c:pt>
                <c:pt idx="29">
                  <c:v>58</c:v>
                </c:pt>
                <c:pt idx="30">
                  <c:v>60</c:v>
                </c:pt>
                <c:pt idx="31">
                  <c:v>62</c:v>
                </c:pt>
                <c:pt idx="32">
                  <c:v>64</c:v>
                </c:pt>
                <c:pt idx="33">
                  <c:v>66</c:v>
                </c:pt>
                <c:pt idx="34">
                  <c:v>68</c:v>
                </c:pt>
                <c:pt idx="35">
                  <c:v>70</c:v>
                </c:pt>
                <c:pt idx="36">
                  <c:v>72</c:v>
                </c:pt>
                <c:pt idx="37">
                  <c:v>74</c:v>
                </c:pt>
                <c:pt idx="38">
                  <c:v>76</c:v>
                </c:pt>
                <c:pt idx="39">
                  <c:v>78</c:v>
                </c:pt>
                <c:pt idx="40">
                  <c:v>80</c:v>
                </c:pt>
                <c:pt idx="41">
                  <c:v>82</c:v>
                </c:pt>
                <c:pt idx="42">
                  <c:v>84</c:v>
                </c:pt>
                <c:pt idx="43">
                  <c:v>86</c:v>
                </c:pt>
                <c:pt idx="44">
                  <c:v>88</c:v>
                </c:pt>
                <c:pt idx="45">
                  <c:v>90</c:v>
                </c:pt>
                <c:pt idx="46">
                  <c:v>92</c:v>
                </c:pt>
                <c:pt idx="47">
                  <c:v>94</c:v>
                </c:pt>
                <c:pt idx="48">
                  <c:v>96</c:v>
                </c:pt>
                <c:pt idx="49">
                  <c:v>98</c:v>
                </c:pt>
                <c:pt idx="50">
                  <c:v>100</c:v>
                </c:pt>
                <c:pt idx="51">
                  <c:v>115</c:v>
                </c:pt>
                <c:pt idx="52">
                  <c:v>130</c:v>
                </c:pt>
                <c:pt idx="53">
                  <c:v>145</c:v>
                </c:pt>
                <c:pt idx="54">
                  <c:v>160</c:v>
                </c:pt>
                <c:pt idx="55">
                  <c:v>175</c:v>
                </c:pt>
                <c:pt idx="56">
                  <c:v>190</c:v>
                </c:pt>
                <c:pt idx="57">
                  <c:v>205</c:v>
                </c:pt>
                <c:pt idx="58">
                  <c:v>220</c:v>
                </c:pt>
                <c:pt idx="59">
                  <c:v>235</c:v>
                </c:pt>
                <c:pt idx="60">
                  <c:v>250</c:v>
                </c:pt>
                <c:pt idx="61">
                  <c:v>280</c:v>
                </c:pt>
                <c:pt idx="62">
                  <c:v>310</c:v>
                </c:pt>
                <c:pt idx="63">
                  <c:v>330</c:v>
                </c:pt>
                <c:pt idx="64">
                  <c:v>360</c:v>
                </c:pt>
                <c:pt idx="65">
                  <c:v>370</c:v>
                </c:pt>
                <c:pt idx="66">
                  <c:v>372</c:v>
                </c:pt>
                <c:pt idx="67">
                  <c:v>373</c:v>
                </c:pt>
                <c:pt idx="68">
                  <c:v>373.9</c:v>
                </c:pt>
              </c:numCache>
            </c:numRef>
          </c:yVal>
          <c:smooth val="0"/>
        </c:ser>
        <c:dLbls>
          <c:showLegendKey val="0"/>
          <c:showVal val="0"/>
          <c:showCatName val="0"/>
          <c:showSerName val="0"/>
          <c:showPercent val="0"/>
          <c:showBubbleSize val="0"/>
        </c:dLbls>
        <c:axId val="2114174976"/>
        <c:axId val="2114179968"/>
      </c:scatterChart>
      <c:valAx>
        <c:axId val="2114179968"/>
        <c:scaling>
          <c:orientation val="minMax"/>
        </c:scaling>
        <c:delete val="0"/>
        <c:axPos val="l"/>
        <c:majorGridlines>
          <c:spPr>
            <a:ln w="9528" cap="flat">
              <a:solidFill>
                <a:srgbClr val="D9D9D9"/>
              </a:solidFill>
              <a:prstDash val="solid"/>
              <a:round/>
            </a:ln>
          </c:spPr>
        </c:majorGridlines>
        <c:title>
          <c:tx>
            <c:rich>
              <a:bodyPr lIns="0" tIns="0" rIns="0" bIns="0"/>
              <a:lstStyle/>
              <a:p>
                <a:pPr marL="0" marR="0" indent="0" algn="ctr" defTabSz="914400" fontAlgn="auto" hangingPunct="1">
                  <a:lnSpc>
                    <a:spcPct val="100000"/>
                  </a:lnSpc>
                  <a:spcBef>
                    <a:spcPts val="0"/>
                  </a:spcBef>
                  <a:spcAft>
                    <a:spcPts val="0"/>
                  </a:spcAft>
                  <a:tabLst/>
                  <a:defRPr sz="1000" b="0" i="0" u="none" strike="noStrike" kern="1200" baseline="0">
                    <a:solidFill>
                      <a:srgbClr val="595959"/>
                    </a:solidFill>
                    <a:latin typeface="Calibri"/>
                  </a:defRPr>
                </a:pPr>
                <a:r>
                  <a:rPr lang="en-GB" sz="1000" b="0" i="0" u="none" strike="noStrike" kern="1200" cap="none" spc="0" baseline="0">
                    <a:solidFill>
                      <a:srgbClr val="595959"/>
                    </a:solidFill>
                    <a:uFillTx/>
                    <a:latin typeface="Calibri"/>
                  </a:rPr>
                  <a:t>Temperature (˚C)</a:t>
                </a:r>
              </a:p>
            </c:rich>
          </c:tx>
          <c:layout/>
          <c:overlay val="0"/>
          <c:spPr>
            <a:noFill/>
            <a:ln>
              <a:noFill/>
            </a:ln>
          </c:spPr>
        </c:title>
        <c:numFmt formatCode="General" sourceLinked="1"/>
        <c:majorTickMark val="none"/>
        <c:minorTickMark val="none"/>
        <c:tickLblPos val="nextTo"/>
        <c:spPr>
          <a:noFill/>
          <a:ln w="9528" cap="flat">
            <a:solidFill>
              <a:srgbClr val="BFBFBF"/>
            </a:solidFill>
            <a:prstDash val="solid"/>
            <a:round/>
          </a:ln>
        </c:spPr>
        <c:txPr>
          <a:bodyPr lIns="0" tIns="0" rIns="0" bIns="0"/>
          <a:lstStyle/>
          <a:p>
            <a:pPr marL="0" marR="0" indent="0" defTabSz="914400" fontAlgn="auto" hangingPunct="1">
              <a:lnSpc>
                <a:spcPct val="100000"/>
              </a:lnSpc>
              <a:spcBef>
                <a:spcPts val="0"/>
              </a:spcBef>
              <a:spcAft>
                <a:spcPts val="0"/>
              </a:spcAft>
              <a:tabLst/>
              <a:defRPr sz="900" b="0" i="0" u="none" strike="noStrike" kern="1200" baseline="0">
                <a:solidFill>
                  <a:srgbClr val="595959"/>
                </a:solidFill>
                <a:latin typeface="Calibri"/>
              </a:defRPr>
            </a:pPr>
            <a:endParaRPr lang="en-US"/>
          </a:p>
        </c:txPr>
        <c:crossAx val="2114174976"/>
        <c:crosses val="autoZero"/>
        <c:crossBetween val="midCat"/>
      </c:valAx>
      <c:valAx>
        <c:axId val="2114174976"/>
        <c:scaling>
          <c:orientation val="minMax"/>
        </c:scaling>
        <c:delete val="0"/>
        <c:axPos val="b"/>
        <c:majorGridlines>
          <c:spPr>
            <a:ln w="9528" cap="flat">
              <a:solidFill>
                <a:srgbClr val="D9D9D9"/>
              </a:solidFill>
              <a:prstDash val="solid"/>
              <a:round/>
            </a:ln>
          </c:spPr>
        </c:majorGridlines>
        <c:title>
          <c:tx>
            <c:rich>
              <a:bodyPr lIns="0" tIns="0" rIns="0" bIns="0"/>
              <a:lstStyle/>
              <a:p>
                <a:pPr marL="0" marR="0" indent="0" algn="ctr" defTabSz="914400" fontAlgn="auto" hangingPunct="1">
                  <a:lnSpc>
                    <a:spcPct val="100000"/>
                  </a:lnSpc>
                  <a:spcBef>
                    <a:spcPts val="0"/>
                  </a:spcBef>
                  <a:spcAft>
                    <a:spcPts val="0"/>
                  </a:spcAft>
                  <a:tabLst/>
                  <a:defRPr sz="1000" b="0" i="0" u="none" strike="noStrike" kern="1200" baseline="0">
                    <a:solidFill>
                      <a:srgbClr val="595959"/>
                    </a:solidFill>
                    <a:latin typeface="Calibri"/>
                  </a:defRPr>
                </a:pPr>
                <a:r>
                  <a:rPr lang="en-GB" sz="1000" b="0" i="0" u="none" strike="noStrike" kern="1200" cap="none" spc="0" baseline="0">
                    <a:solidFill>
                      <a:srgbClr val="595959"/>
                    </a:solidFill>
                    <a:uFillTx/>
                    <a:latin typeface="Calibri"/>
                  </a:rPr>
                  <a:t>Specific Entropy (kJkg^-1K^-1)</a:t>
                </a:r>
              </a:p>
            </c:rich>
          </c:tx>
          <c:layout/>
          <c:overlay val="0"/>
          <c:spPr>
            <a:noFill/>
            <a:ln>
              <a:noFill/>
            </a:ln>
          </c:spPr>
        </c:title>
        <c:numFmt formatCode="0.0000" sourceLinked="1"/>
        <c:majorTickMark val="none"/>
        <c:minorTickMark val="none"/>
        <c:tickLblPos val="nextTo"/>
        <c:spPr>
          <a:noFill/>
          <a:ln w="9528" cap="flat">
            <a:solidFill>
              <a:srgbClr val="BFBFBF"/>
            </a:solidFill>
            <a:prstDash val="solid"/>
            <a:round/>
          </a:ln>
        </c:spPr>
        <c:txPr>
          <a:bodyPr lIns="0" tIns="0" rIns="0" bIns="0"/>
          <a:lstStyle/>
          <a:p>
            <a:pPr marL="0" marR="0" indent="0" defTabSz="914400" fontAlgn="auto" hangingPunct="1">
              <a:lnSpc>
                <a:spcPct val="100000"/>
              </a:lnSpc>
              <a:spcBef>
                <a:spcPts val="0"/>
              </a:spcBef>
              <a:spcAft>
                <a:spcPts val="0"/>
              </a:spcAft>
              <a:tabLst/>
              <a:defRPr sz="900" b="0" i="0" u="none" strike="noStrike" kern="1200" baseline="0">
                <a:solidFill>
                  <a:srgbClr val="595959"/>
                </a:solidFill>
                <a:latin typeface="Calibri"/>
              </a:defRPr>
            </a:pPr>
            <a:endParaRPr lang="en-US"/>
          </a:p>
        </c:txPr>
        <c:crossAx val="2114179968"/>
        <c:crosses val="autoZero"/>
        <c:crossBetween val="midCat"/>
      </c:valAx>
      <c:spPr>
        <a:noFill/>
        <a:ln>
          <a:noFill/>
        </a:ln>
      </c:spPr>
    </c:plotArea>
    <c:legend>
      <c:legendPos val="t"/>
      <c:layout/>
      <c:overlay val="0"/>
      <c:spPr>
        <a:noFill/>
        <a:ln>
          <a:noFill/>
        </a:ln>
      </c:spPr>
      <c:txPr>
        <a:bodyPr lIns="0" tIns="0" rIns="0" bIns="0"/>
        <a:lstStyle/>
        <a:p>
          <a:pPr marL="0" marR="0" indent="0" defTabSz="914400" fontAlgn="auto" hangingPunct="1">
            <a:lnSpc>
              <a:spcPct val="100000"/>
            </a:lnSpc>
            <a:spcBef>
              <a:spcPts val="0"/>
            </a:spcBef>
            <a:spcAft>
              <a:spcPts val="0"/>
            </a:spcAft>
            <a:tabLst/>
            <a:defRPr sz="900" b="0" i="0" u="none" strike="noStrike" kern="1200" baseline="0">
              <a:solidFill>
                <a:srgbClr val="595959"/>
              </a:solidFill>
              <a:latin typeface="Calibri"/>
            </a:defRPr>
          </a:pPr>
          <a:endParaRPr lang="en-US"/>
        </a:p>
      </c:txPr>
    </c:legend>
    <c:plotVisOnly val="1"/>
    <c:dispBlanksAs val="gap"/>
    <c:showDLblsOverMax val="0"/>
  </c:chart>
  <c:spPr>
    <a:solidFill>
      <a:srgbClr val="FFFFFF"/>
    </a:solidFill>
    <a:ln w="9528" cap="flat">
      <a:solidFill>
        <a:srgbClr val="000000"/>
      </a:solidFill>
      <a:prstDash val="solid"/>
      <a:round/>
    </a:ln>
  </c:spPr>
  <c:txPr>
    <a:bodyPr lIns="0" tIns="0" rIns="0" bIns="0"/>
    <a:lstStyle/>
    <a:p>
      <a:pPr marL="0" marR="0" indent="0" defTabSz="914400" fontAlgn="auto" hangingPunct="1">
        <a:lnSpc>
          <a:spcPct val="100000"/>
        </a:lnSpc>
        <a:spcBef>
          <a:spcPts val="0"/>
        </a:spcBef>
        <a:spcAft>
          <a:spcPts val="0"/>
        </a:spcAft>
        <a:tabLst/>
        <a:defRPr lang="en-GB" sz="1000" b="0" i="0" u="none" strike="noStrike" kern="1200" baseline="0">
          <a:solidFill>
            <a:srgbClr val="000000"/>
          </a:solidFill>
          <a:latin typeface="Calibri"/>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lIns="0" tIns="0" rIns="0" bIns="0"/>
          <a:lstStyle/>
          <a:p>
            <a:pPr marL="0" marR="0" indent="0" algn="ctr" defTabSz="914400" fontAlgn="auto" hangingPunct="1">
              <a:lnSpc>
                <a:spcPct val="100000"/>
              </a:lnSpc>
              <a:spcBef>
                <a:spcPts val="0"/>
              </a:spcBef>
              <a:spcAft>
                <a:spcPts val="0"/>
              </a:spcAft>
              <a:tabLst/>
              <a:defRPr sz="1400" b="0" i="0" u="none" strike="noStrike" kern="1200" spc="0" baseline="0">
                <a:solidFill>
                  <a:srgbClr val="595959"/>
                </a:solidFill>
                <a:latin typeface="Calibri"/>
              </a:defRPr>
            </a:pPr>
            <a:r>
              <a:rPr lang="en-GB" sz="1400" b="0" i="0" u="none" strike="noStrike" kern="1200" cap="none" spc="0" baseline="0">
                <a:solidFill>
                  <a:srgbClr val="595959"/>
                </a:solidFill>
                <a:uFillTx/>
                <a:latin typeface="Calibri"/>
              </a:rPr>
              <a:t>Density against % Weight for NaOH(aq) at 20C</a:t>
            </a:r>
          </a:p>
        </c:rich>
      </c:tx>
      <c:layout/>
      <c:overlay val="0"/>
      <c:spPr>
        <a:noFill/>
        <a:ln>
          <a:noFill/>
        </a:ln>
      </c:spPr>
    </c:title>
    <c:autoTitleDeleted val="0"/>
    <c:plotArea>
      <c:layout/>
      <c:scatterChart>
        <c:scatterStyle val="lineMarker"/>
        <c:varyColors val="0"/>
        <c:ser>
          <c:idx val="0"/>
          <c:order val="0"/>
          <c:spPr>
            <a:ln>
              <a:noFill/>
            </a:ln>
          </c:spPr>
          <c:marker>
            <c:symbol val="circle"/>
            <c:size val="5"/>
          </c:marker>
          <c:trendline>
            <c:spPr>
              <a:ln w="19046" cap="rnd">
                <a:solidFill>
                  <a:srgbClr val="4472C4"/>
                </a:solidFill>
                <a:custDash>
                  <a:ds d="100000" sp="100000"/>
                </a:custDash>
              </a:ln>
            </c:spPr>
            <c:trendlineType val="linear"/>
            <c:dispRSqr val="1"/>
            <c:dispEq val="1"/>
            <c:trendlineLbl>
              <c:layout>
                <c:manualLayout>
                  <c:x val="-0.14229128228295895"/>
                  <c:y val="1.3471990966103797E-2"/>
                </c:manualLayout>
              </c:layout>
              <c:numFmt formatCode="General" sourceLinked="0"/>
              <c:spPr>
                <a:noFill/>
                <a:ln>
                  <a:noFill/>
                </a:ln>
              </c:spPr>
              <c:txPr>
                <a:bodyPr lIns="0" tIns="0" rIns="0" bIns="0"/>
                <a:lstStyle/>
                <a:p>
                  <a:pPr marL="0" marR="0" indent="0" algn="ctr" defTabSz="914400" fontAlgn="auto" hangingPunct="1">
                    <a:lnSpc>
                      <a:spcPct val="100000"/>
                    </a:lnSpc>
                    <a:spcBef>
                      <a:spcPts val="0"/>
                    </a:spcBef>
                    <a:spcAft>
                      <a:spcPts val="0"/>
                    </a:spcAft>
                    <a:tabLst/>
                    <a:defRPr sz="900" b="0" i="0" u="none" strike="noStrike" kern="1200" baseline="0">
                      <a:solidFill>
                        <a:srgbClr val="595959"/>
                      </a:solidFill>
                      <a:latin typeface="Calibri"/>
                    </a:defRPr>
                  </a:pPr>
                  <a:endParaRPr lang="en-US"/>
                </a:p>
              </c:txPr>
            </c:trendlineLbl>
          </c:trendline>
          <c:xVal>
            <c:numRef>
              <c:f>'Q3'!$L$8:$L$22</c:f>
              <c:numCache>
                <c:formatCode>General</c:formatCode>
                <c:ptCount val="15"/>
                <c:pt idx="0">
                  <c:v>1</c:v>
                </c:pt>
                <c:pt idx="1">
                  <c:v>2</c:v>
                </c:pt>
                <c:pt idx="2">
                  <c:v>4</c:v>
                </c:pt>
                <c:pt idx="3">
                  <c:v>8</c:v>
                </c:pt>
                <c:pt idx="4">
                  <c:v>12</c:v>
                </c:pt>
                <c:pt idx="5">
                  <c:v>16</c:v>
                </c:pt>
                <c:pt idx="6">
                  <c:v>20</c:v>
                </c:pt>
                <c:pt idx="7">
                  <c:v>24</c:v>
                </c:pt>
                <c:pt idx="8">
                  <c:v>28</c:v>
                </c:pt>
                <c:pt idx="9">
                  <c:v>32</c:v>
                </c:pt>
                <c:pt idx="10">
                  <c:v>36</c:v>
                </c:pt>
                <c:pt idx="11">
                  <c:v>40</c:v>
                </c:pt>
                <c:pt idx="12">
                  <c:v>44</c:v>
                </c:pt>
                <c:pt idx="13">
                  <c:v>48</c:v>
                </c:pt>
                <c:pt idx="14">
                  <c:v>50</c:v>
                </c:pt>
              </c:numCache>
            </c:numRef>
          </c:xVal>
          <c:yVal>
            <c:numRef>
              <c:f>'Q3'!$M$8:$M$22</c:f>
              <c:numCache>
                <c:formatCode>General</c:formatCode>
                <c:ptCount val="15"/>
                <c:pt idx="0">
                  <c:v>1.0095000000000001</c:v>
                </c:pt>
                <c:pt idx="1">
                  <c:v>1.0206999999999999</c:v>
                </c:pt>
                <c:pt idx="2">
                  <c:v>1.0427999999999999</c:v>
                </c:pt>
                <c:pt idx="3">
                  <c:v>1.0869</c:v>
                </c:pt>
                <c:pt idx="4">
                  <c:v>1.1309</c:v>
                </c:pt>
                <c:pt idx="5">
                  <c:v>1.1751</c:v>
                </c:pt>
                <c:pt idx="6">
                  <c:v>1.2191000000000001</c:v>
                </c:pt>
                <c:pt idx="7">
                  <c:v>1.2628999999999999</c:v>
                </c:pt>
                <c:pt idx="8">
                  <c:v>1.3064</c:v>
                </c:pt>
                <c:pt idx="9">
                  <c:v>1.349</c:v>
                </c:pt>
                <c:pt idx="10">
                  <c:v>1.39</c:v>
                </c:pt>
                <c:pt idx="11">
                  <c:v>1.43</c:v>
                </c:pt>
                <c:pt idx="12">
                  <c:v>1.4684999999999999</c:v>
                </c:pt>
                <c:pt idx="13">
                  <c:v>1.5065</c:v>
                </c:pt>
                <c:pt idx="14">
                  <c:v>1.5253000000000001</c:v>
                </c:pt>
              </c:numCache>
            </c:numRef>
          </c:yVal>
          <c:smooth val="0"/>
        </c:ser>
        <c:dLbls>
          <c:showLegendKey val="0"/>
          <c:showVal val="0"/>
          <c:showCatName val="0"/>
          <c:showSerName val="0"/>
          <c:showPercent val="0"/>
          <c:showBubbleSize val="0"/>
        </c:dLbls>
        <c:axId val="2114177888"/>
        <c:axId val="2114174144"/>
      </c:scatterChart>
      <c:valAx>
        <c:axId val="2114174144"/>
        <c:scaling>
          <c:orientation val="minMax"/>
          <c:min val="1"/>
        </c:scaling>
        <c:delete val="0"/>
        <c:axPos val="l"/>
        <c:majorGridlines>
          <c:spPr>
            <a:ln w="9528" cap="flat">
              <a:solidFill>
                <a:srgbClr val="D9D9D9"/>
              </a:solidFill>
              <a:prstDash val="solid"/>
              <a:round/>
            </a:ln>
          </c:spPr>
        </c:majorGridlines>
        <c:numFmt formatCode="General" sourceLinked="1"/>
        <c:majorTickMark val="none"/>
        <c:minorTickMark val="none"/>
        <c:tickLblPos val="nextTo"/>
        <c:spPr>
          <a:noFill/>
          <a:ln w="9528" cap="flat">
            <a:solidFill>
              <a:srgbClr val="BFBFBF"/>
            </a:solidFill>
            <a:prstDash val="solid"/>
            <a:round/>
          </a:ln>
        </c:spPr>
        <c:txPr>
          <a:bodyPr lIns="0" tIns="0" rIns="0" bIns="0"/>
          <a:lstStyle/>
          <a:p>
            <a:pPr marL="0" marR="0" indent="0" defTabSz="914400" fontAlgn="auto" hangingPunct="1">
              <a:lnSpc>
                <a:spcPct val="100000"/>
              </a:lnSpc>
              <a:spcBef>
                <a:spcPts val="0"/>
              </a:spcBef>
              <a:spcAft>
                <a:spcPts val="0"/>
              </a:spcAft>
              <a:tabLst/>
              <a:defRPr sz="900" b="0" i="0" u="none" strike="noStrike" kern="1200" baseline="0">
                <a:solidFill>
                  <a:srgbClr val="595959"/>
                </a:solidFill>
                <a:latin typeface="Calibri"/>
              </a:defRPr>
            </a:pPr>
            <a:endParaRPr lang="en-US"/>
          </a:p>
        </c:txPr>
        <c:crossAx val="2114177888"/>
        <c:crosses val="autoZero"/>
        <c:crossBetween val="midCat"/>
      </c:valAx>
      <c:valAx>
        <c:axId val="2114177888"/>
        <c:scaling>
          <c:orientation val="minMax"/>
          <c:max val="50"/>
          <c:min val="0"/>
        </c:scaling>
        <c:delete val="0"/>
        <c:axPos val="b"/>
        <c:majorGridlines>
          <c:spPr>
            <a:ln w="9528" cap="flat">
              <a:solidFill>
                <a:srgbClr val="D9D9D9"/>
              </a:solidFill>
              <a:prstDash val="solid"/>
              <a:round/>
            </a:ln>
          </c:spPr>
        </c:majorGridlines>
        <c:numFmt formatCode="General" sourceLinked="1"/>
        <c:majorTickMark val="none"/>
        <c:minorTickMark val="none"/>
        <c:tickLblPos val="nextTo"/>
        <c:spPr>
          <a:noFill/>
          <a:ln w="9528" cap="flat">
            <a:solidFill>
              <a:srgbClr val="BFBFBF"/>
            </a:solidFill>
            <a:prstDash val="solid"/>
            <a:round/>
          </a:ln>
        </c:spPr>
        <c:txPr>
          <a:bodyPr lIns="0" tIns="0" rIns="0" bIns="0"/>
          <a:lstStyle/>
          <a:p>
            <a:pPr marL="0" marR="0" indent="0" defTabSz="914400" fontAlgn="auto" hangingPunct="1">
              <a:lnSpc>
                <a:spcPct val="100000"/>
              </a:lnSpc>
              <a:spcBef>
                <a:spcPts val="0"/>
              </a:spcBef>
              <a:spcAft>
                <a:spcPts val="0"/>
              </a:spcAft>
              <a:tabLst/>
              <a:defRPr sz="900" b="0" i="0" u="none" strike="noStrike" kern="1200" baseline="0">
                <a:solidFill>
                  <a:srgbClr val="595959"/>
                </a:solidFill>
                <a:latin typeface="Calibri"/>
              </a:defRPr>
            </a:pPr>
            <a:endParaRPr lang="en-US"/>
          </a:p>
        </c:txPr>
        <c:crossAx val="2114174144"/>
        <c:crosses val="autoZero"/>
        <c:crossBetween val="midCat"/>
      </c:valAx>
      <c:spPr>
        <a:noFill/>
        <a:ln>
          <a:noFill/>
        </a:ln>
      </c:spPr>
    </c:plotArea>
    <c:plotVisOnly val="1"/>
    <c:dispBlanksAs val="gap"/>
    <c:showDLblsOverMax val="0"/>
  </c:chart>
  <c:spPr>
    <a:solidFill>
      <a:srgbClr val="FFFFFF"/>
    </a:solidFill>
    <a:ln w="9528" cap="flat">
      <a:solidFill>
        <a:srgbClr val="D9D9D9"/>
      </a:solidFill>
      <a:prstDash val="solid"/>
      <a:round/>
    </a:ln>
  </c:spPr>
  <c:txPr>
    <a:bodyPr lIns="0" tIns="0" rIns="0" bIns="0"/>
    <a:lstStyle/>
    <a:p>
      <a:pPr marL="0" marR="0" indent="0" defTabSz="914400" fontAlgn="auto" hangingPunct="1">
        <a:lnSpc>
          <a:spcPct val="100000"/>
        </a:lnSpc>
        <a:spcBef>
          <a:spcPts val="0"/>
        </a:spcBef>
        <a:spcAft>
          <a:spcPts val="0"/>
        </a:spcAft>
        <a:tabLst/>
        <a:defRPr lang="en-GB" sz="1000" b="0" i="0" u="none" strike="noStrike" kern="1200" baseline="0">
          <a:solidFill>
            <a:srgbClr val="000000"/>
          </a:solidFill>
          <a:latin typeface="Calibri"/>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4</xdr:col>
      <xdr:colOff>0</xdr:colOff>
      <xdr:row>11</xdr:row>
      <xdr:rowOff>66678</xdr:rowOff>
    </xdr:from>
    <xdr:ext cx="4457700" cy="3800475"/>
    <xdr:graphicFrame macro="">
      <xdr:nvGraphicFramePr>
        <xdr:cNvPr id="2"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oneCellAnchor>
  <xdr:oneCellAnchor>
    <xdr:from>
      <xdr:col>12</xdr:col>
      <xdr:colOff>307979</xdr:colOff>
      <xdr:row>37</xdr:row>
      <xdr:rowOff>138110</xdr:rowOff>
    </xdr:from>
    <xdr:ext cx="1409703" cy="317973"/>
    <mc:AlternateContent xmlns:mc="http://schemas.openxmlformats.org/markup-compatibility/2006">
      <mc:Choice xmlns:a14="http://schemas.microsoft.com/office/drawing/2010/main" Requires="a14">
        <xdr:sp macro="" textlink="">
          <xdr:nvSpPr>
            <xdr:cNvPr id="4" name="TextBox 3"/>
            <xdr:cNvSpPr txBox="1"/>
          </xdr:nvSpPr>
          <xdr:spPr>
            <a:xfrm>
              <a:off x="10861679" y="7329485"/>
              <a:ext cx="1409703" cy="317973"/>
            </a:xfrm>
            <a:prstGeom prst="rect">
              <a:avLst/>
            </a:prstGeom>
          </xdr:spPr>
          <xdr:txBody>
            <a:bodyPr lIns="0" tIns="0" rIns="0" bIns="0"/>
            <a:lstStyle/>
            <a:p>
              <a:pPr lvl="0">
                <a:buNone/>
              </a:pPr>
              <a14:m>
                <m:oMathPara xmlns:m="http://schemas.openxmlformats.org/officeDocument/2006/math">
                  <m:oMathParaPr>
                    <m:jc m:val="centerGroup"/>
                  </m:oMathParaPr>
                  <m:oMath xmlns:m="http://schemas.openxmlformats.org/officeDocument/2006/math">
                    <m:r>
                      <a:rPr lang="en-GB" i="1">
                        <a:latin typeface="Cambria Math" panose="02040503050406030204" pitchFamily="18" charset="0"/>
                      </a:rPr>
                      <m:t>𝑓</m:t>
                    </m:r>
                    <m:r>
                      <a:rPr lang="en-GB" i="0">
                        <a:latin typeface="Cambria Math" panose="02040503050406030204" pitchFamily="18" charset="0"/>
                      </a:rPr>
                      <m:t>= </m:t>
                    </m:r>
                    <m:f>
                      <m:fPr>
                        <m:ctrlPr>
                          <a:rPr lang="en-GB" i="1">
                            <a:latin typeface="Cambria Math" panose="02040503050406030204" pitchFamily="18" charset="0"/>
                          </a:rPr>
                        </m:ctrlPr>
                      </m:fPr>
                      <m:num>
                        <m:r>
                          <a:rPr lang="en-GB" i="0">
                            <a:latin typeface="Cambria Math" panose="02040503050406030204" pitchFamily="18" charset="0"/>
                          </a:rPr>
                          <m:t>0.316</m:t>
                        </m:r>
                      </m:num>
                      <m:den>
                        <m:sSup>
                          <m:sSupPr>
                            <m:ctrlPr>
                              <a:rPr lang="en-GB" i="1">
                                <a:latin typeface="Cambria Math" panose="02040503050406030204" pitchFamily="18" charset="0"/>
                              </a:rPr>
                            </m:ctrlPr>
                          </m:sSupPr>
                          <m:e>
                            <m:r>
                              <a:rPr lang="en-GB" i="1">
                                <a:latin typeface="Cambria Math" panose="02040503050406030204" pitchFamily="18" charset="0"/>
                              </a:rPr>
                              <m:t>𝑅𝑒</m:t>
                            </m:r>
                          </m:e>
                          <m:sup>
                            <m:r>
                              <a:rPr lang="en-GB" i="0">
                                <a:latin typeface="Cambria Math" panose="02040503050406030204" pitchFamily="18" charset="0"/>
                              </a:rPr>
                              <m:t>0.25</m:t>
                            </m:r>
                          </m:sup>
                        </m:sSup>
                      </m:den>
                    </m:f>
                    <m:r>
                      <a:rPr lang="en-GB" i="0">
                        <a:latin typeface="Cambria Math" panose="02040503050406030204" pitchFamily="18" charset="0"/>
                      </a:rPr>
                      <m:t> </m:t>
                    </m:r>
                  </m:oMath>
                </m:oMathPara>
              </a14:m>
              <a:endParaRPr lang="en-GB"/>
            </a:p>
          </xdr:txBody>
        </xdr:sp>
      </mc:Choice>
      <mc:Fallback>
        <xdr:sp macro="" textlink="">
          <xdr:nvSpPr>
            <xdr:cNvPr id="4" name="TextBox 3"/>
            <xdr:cNvSpPr txBox="1"/>
          </xdr:nvSpPr>
          <xdr:spPr>
            <a:xfrm>
              <a:off x="10861679" y="7329485"/>
              <a:ext cx="1409703" cy="317973"/>
            </a:xfrm>
            <a:prstGeom prst="rect">
              <a:avLst/>
            </a:prstGeom>
          </xdr:spPr>
          <xdr:txBody>
            <a:bodyPr lIns="0" tIns="0" rIns="0" bIns="0"/>
            <a:lstStyle/>
            <a:p>
              <a:pPr lvl="0">
                <a:buNone/>
              </a:pPr>
              <a:r>
                <a:rPr lang="en-GB" i="0">
                  <a:latin typeface="Cambria Math" panose="02040503050406030204" pitchFamily="18" charset="0"/>
                </a:rPr>
                <a:t>𝑓=  0.316/〖𝑅𝑒〗^0.25   </a:t>
              </a:r>
              <a:endParaRPr lang="en-GB"/>
            </a:p>
          </xdr:txBody>
        </xdr:sp>
      </mc:Fallback>
    </mc:AlternateContent>
    <xdr:clientData/>
  </xdr:oneCellAnchor>
  <xdr:twoCellAnchor editAs="oneCell">
    <xdr:from>
      <xdr:col>11</xdr:col>
      <xdr:colOff>2076450</xdr:colOff>
      <xdr:row>34</xdr:row>
      <xdr:rowOff>171450</xdr:rowOff>
    </xdr:from>
    <xdr:to>
      <xdr:col>13</xdr:col>
      <xdr:colOff>552170</xdr:colOff>
      <xdr:row>37</xdr:row>
      <xdr:rowOff>47569</xdr:rowOff>
    </xdr:to>
    <xdr:pic>
      <xdr:nvPicPr>
        <xdr:cNvPr id="5" name="Picture 4"/>
        <xdr:cNvPicPr>
          <a:picLocks noChangeAspect="1"/>
        </xdr:cNvPicPr>
      </xdr:nvPicPr>
      <xdr:blipFill>
        <a:blip xmlns:r="http://schemas.openxmlformats.org/officeDocument/2006/relationships" r:embed="rId2"/>
        <a:stretch>
          <a:fillRect/>
        </a:stretch>
      </xdr:blipFill>
      <xdr:spPr>
        <a:xfrm>
          <a:off x="10544175" y="6791325"/>
          <a:ext cx="2238095" cy="4476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14</xdr:col>
      <xdr:colOff>9528</xdr:colOff>
      <xdr:row>0</xdr:row>
      <xdr:rowOff>0</xdr:rowOff>
    </xdr:from>
    <xdr:ext cx="6086475" cy="4014792"/>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oneCellAnchor>
  <xdr:oneCellAnchor>
    <xdr:from>
      <xdr:col>16</xdr:col>
      <xdr:colOff>371475</xdr:colOff>
      <xdr:row>14</xdr:row>
      <xdr:rowOff>66678</xdr:rowOff>
    </xdr:from>
    <xdr:ext cx="1476371" cy="257175"/>
    <xdr:sp macro="" textlink="">
      <xdr:nvSpPr>
        <xdr:cNvPr id="3" name="TextBox 2"/>
        <xdr:cNvSpPr txBox="1"/>
      </xdr:nvSpPr>
      <xdr:spPr>
        <a:xfrm>
          <a:off x="10906125" y="2752728"/>
          <a:ext cx="1476371" cy="257175"/>
        </a:xfrm>
        <a:prstGeom prst="rect">
          <a:avLst/>
        </a:prstGeom>
      </xdr:spPr>
      <xdr:txBody>
        <a:bodyPr lIns="0" tIns="0" rIns="0" bIns="0"/>
        <a:lstStyle/>
        <a:p>
          <a:pPr lvl="0">
            <a:buNone/>
          </a:pPr>
          <a:r>
            <a:rPr lang="en-GB"/>
            <a:t>Two-phase region</a:t>
          </a:r>
        </a:p>
      </xdr:txBody>
    </xdr:sp>
    <xdr:clientData/>
  </xdr:oneCellAnchor>
  <xdr:oneCellAnchor>
    <xdr:from>
      <xdr:col>14</xdr:col>
      <xdr:colOff>9528</xdr:colOff>
      <xdr:row>20</xdr:row>
      <xdr:rowOff>166685</xdr:rowOff>
    </xdr:from>
    <xdr:ext cx="6086475" cy="3424235"/>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oneCellAnchor>
</xdr:wsDr>
</file>

<file path=xl/drawings/drawing3.xml><?xml version="1.0" encoding="utf-8"?>
<xdr:wsDr xmlns:xdr="http://schemas.openxmlformats.org/drawingml/2006/spreadsheetDrawing" xmlns:a="http://schemas.openxmlformats.org/drawingml/2006/main">
  <xdr:oneCellAnchor>
    <xdr:from>
      <xdr:col>11</xdr:col>
      <xdr:colOff>3</xdr:colOff>
      <xdr:row>22</xdr:row>
      <xdr:rowOff>204789</xdr:rowOff>
    </xdr:from>
    <xdr:ext cx="5048246" cy="2814642"/>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oneCellAnchor>
  <xdr:twoCellAnchor editAs="oneCell">
    <xdr:from>
      <xdr:col>4</xdr:col>
      <xdr:colOff>38100</xdr:colOff>
      <xdr:row>5</xdr:row>
      <xdr:rowOff>76200</xdr:rowOff>
    </xdr:from>
    <xdr:to>
      <xdr:col>6</xdr:col>
      <xdr:colOff>599852</xdr:colOff>
      <xdr:row>15</xdr:row>
      <xdr:rowOff>104507</xdr:rowOff>
    </xdr:to>
    <xdr:pic>
      <xdr:nvPicPr>
        <xdr:cNvPr id="5" name="Picture 4"/>
        <xdr:cNvPicPr>
          <a:picLocks noChangeAspect="1"/>
        </xdr:cNvPicPr>
      </xdr:nvPicPr>
      <xdr:blipFill>
        <a:blip xmlns:r="http://schemas.openxmlformats.org/officeDocument/2006/relationships" r:embed="rId2"/>
        <a:stretch>
          <a:fillRect/>
        </a:stretch>
      </xdr:blipFill>
      <xdr:spPr>
        <a:xfrm>
          <a:off x="3762375" y="1104900"/>
          <a:ext cx="1780952" cy="2142857"/>
        </a:xfrm>
        <a:prstGeom prst="rect">
          <a:avLst/>
        </a:prstGeom>
      </xdr:spPr>
    </xdr:pic>
    <xdr:clientData/>
  </xdr:twoCellAnchor>
  <xdr:twoCellAnchor editAs="oneCell">
    <xdr:from>
      <xdr:col>7</xdr:col>
      <xdr:colOff>0</xdr:colOff>
      <xdr:row>5</xdr:row>
      <xdr:rowOff>0</xdr:rowOff>
    </xdr:from>
    <xdr:to>
      <xdr:col>10</xdr:col>
      <xdr:colOff>75962</xdr:colOff>
      <xdr:row>16</xdr:row>
      <xdr:rowOff>123521</xdr:rowOff>
    </xdr:to>
    <xdr:pic>
      <xdr:nvPicPr>
        <xdr:cNvPr id="6" name="Picture 5"/>
        <xdr:cNvPicPr>
          <a:picLocks noChangeAspect="1"/>
        </xdr:cNvPicPr>
      </xdr:nvPicPr>
      <xdr:blipFill>
        <a:blip xmlns:r="http://schemas.openxmlformats.org/officeDocument/2006/relationships" r:embed="rId3"/>
        <a:stretch>
          <a:fillRect/>
        </a:stretch>
      </xdr:blipFill>
      <xdr:spPr>
        <a:xfrm>
          <a:off x="5553075" y="1028700"/>
          <a:ext cx="1904762" cy="242857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oneCellAnchor>
    <xdr:from>
      <xdr:col>6</xdr:col>
      <xdr:colOff>19046</xdr:colOff>
      <xdr:row>12</xdr:row>
      <xdr:rowOff>9528</xdr:rowOff>
    </xdr:from>
    <xdr:ext cx="1200150" cy="600075"/>
    <xdr:sp macro="" textlink="">
      <xdr:nvSpPr>
        <xdr:cNvPr id="10" name="Rectangle 1"/>
        <xdr:cNvSpPr/>
      </xdr:nvSpPr>
      <xdr:spPr>
        <a:xfrm>
          <a:off x="4600571" y="2352678"/>
          <a:ext cx="1200150" cy="600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lIns="0" tIns="0" rIns="0" bIns="0"/>
        <a:lstStyle/>
        <a:p>
          <a:pPr lvl="0">
            <a:buNone/>
          </a:pPr>
          <a:r>
            <a:rPr lang="en-GB"/>
            <a:t>Reactor</a:t>
          </a:r>
        </a:p>
      </xdr:txBody>
    </xdr:sp>
    <xdr:clientData/>
  </xdr:oneCellAnchor>
  <xdr:oneCellAnchor>
    <xdr:from>
      <xdr:col>9</xdr:col>
      <xdr:colOff>9528</xdr:colOff>
      <xdr:row>12</xdr:row>
      <xdr:rowOff>9528</xdr:rowOff>
    </xdr:from>
    <xdr:ext cx="1200150" cy="600075"/>
    <xdr:sp macro="" textlink="">
      <xdr:nvSpPr>
        <xdr:cNvPr id="12" name="Rectangle 2"/>
        <xdr:cNvSpPr/>
      </xdr:nvSpPr>
      <xdr:spPr>
        <a:xfrm>
          <a:off x="6419853" y="2352678"/>
          <a:ext cx="1200150" cy="600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lIns="0" tIns="0" rIns="0" bIns="0"/>
        <a:lstStyle/>
        <a:p>
          <a:pPr lvl="0">
            <a:buNone/>
          </a:pPr>
          <a:r>
            <a:rPr lang="en-GB"/>
            <a:t>CO2, H2O Seperator</a:t>
          </a:r>
        </a:p>
      </xdr:txBody>
    </xdr:sp>
    <xdr:clientData/>
  </xdr:oneCellAnchor>
  <xdr:oneCellAnchor>
    <xdr:from>
      <xdr:col>12</xdr:col>
      <xdr:colOff>9528</xdr:colOff>
      <xdr:row>12</xdr:row>
      <xdr:rowOff>0</xdr:rowOff>
    </xdr:from>
    <xdr:ext cx="1200150" cy="600075"/>
    <xdr:sp macro="" textlink="">
      <xdr:nvSpPr>
        <xdr:cNvPr id="14" name="Rectangle 3"/>
        <xdr:cNvSpPr/>
      </xdr:nvSpPr>
      <xdr:spPr>
        <a:xfrm>
          <a:off x="8248653" y="2343150"/>
          <a:ext cx="1200150" cy="600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lIns="0" tIns="0" rIns="0" bIns="0"/>
        <a:lstStyle/>
        <a:p>
          <a:pPr lvl="0">
            <a:buNone/>
          </a:pPr>
          <a:r>
            <a:rPr lang="en-GB"/>
            <a:t>Seperator</a:t>
          </a:r>
        </a:p>
      </xdr:txBody>
    </xdr:sp>
    <xdr:clientData/>
  </xdr:oneCellAnchor>
  <xdr:oneCellAnchor>
    <xdr:from>
      <xdr:col>4</xdr:col>
      <xdr:colOff>38103</xdr:colOff>
      <xdr:row>13</xdr:row>
      <xdr:rowOff>119064</xdr:rowOff>
    </xdr:from>
    <xdr:ext cx="1200150" cy="23811"/>
    <xdr:cxnSp macro="">
      <xdr:nvCxnSpPr>
        <xdr:cNvPr id="15" name="Straight Arrow Connector 5"/>
        <xdr:cNvCxnSpPr>
          <a:endCxn id="10" idx="1"/>
        </xdr:cNvCxnSpPr>
      </xdr:nvCxnSpPr>
      <xdr:spPr>
        <a:xfrm flipV="1">
          <a:off x="3400428" y="2652714"/>
          <a:ext cx="1200150" cy="23811"/>
        </a:xfrm>
        <a:prstGeom prst="straightConnector1">
          <a:avLst/>
        </a:prstGeom>
      </xdr:spPr>
      <xdr:style>
        <a:lnRef idx="2">
          <a:schemeClr val="accent1">
            <a:shade val="50000"/>
          </a:schemeClr>
        </a:lnRef>
        <a:fillRef idx="1">
          <a:schemeClr val="accent1"/>
        </a:fillRef>
        <a:effectRef idx="0">
          <a:schemeClr val="accent1"/>
        </a:effectRef>
        <a:fontRef idx="minor">
          <a:schemeClr val="lt1"/>
        </a:fontRef>
      </xdr:style>
    </xdr:cxnSp>
    <xdr:clientData/>
  </xdr:oneCellAnchor>
  <xdr:oneCellAnchor>
    <xdr:from>
      <xdr:col>7</xdr:col>
      <xdr:colOff>609596</xdr:colOff>
      <xdr:row>13</xdr:row>
      <xdr:rowOff>119066</xdr:rowOff>
    </xdr:from>
    <xdr:ext cx="619132" cy="0"/>
    <xdr:cxnSp macro="">
      <xdr:nvCxnSpPr>
        <xdr:cNvPr id="16" name="Straight Arrow Connector 8"/>
        <xdr:cNvCxnSpPr>
          <a:stCxn id="10" idx="3"/>
          <a:endCxn id="12" idx="1"/>
        </xdr:cNvCxnSpPr>
      </xdr:nvCxnSpPr>
      <xdr:spPr>
        <a:xfrm>
          <a:off x="5800721" y="2652716"/>
          <a:ext cx="619132" cy="0"/>
        </a:xfrm>
        <a:prstGeom prst="straightConnector1">
          <a:avLst/>
        </a:prstGeom>
      </xdr:spPr>
      <xdr:style>
        <a:lnRef idx="2">
          <a:schemeClr val="accent1">
            <a:shade val="50000"/>
          </a:schemeClr>
        </a:lnRef>
        <a:fillRef idx="1">
          <a:schemeClr val="accent1"/>
        </a:fillRef>
        <a:effectRef idx="0">
          <a:schemeClr val="accent1"/>
        </a:effectRef>
        <a:fontRef idx="minor">
          <a:schemeClr val="lt1"/>
        </a:fontRef>
      </xdr:style>
    </xdr:cxnSp>
    <xdr:clientData/>
  </xdr:oneCellAnchor>
  <xdr:oneCellAnchor>
    <xdr:from>
      <xdr:col>10</xdr:col>
      <xdr:colOff>600078</xdr:colOff>
      <xdr:row>13</xdr:row>
      <xdr:rowOff>109538</xdr:rowOff>
    </xdr:from>
    <xdr:ext cx="628650" cy="9528"/>
    <xdr:cxnSp macro="">
      <xdr:nvCxnSpPr>
        <xdr:cNvPr id="17" name="Straight Arrow Connector 10"/>
        <xdr:cNvCxnSpPr>
          <a:stCxn id="12" idx="3"/>
          <a:endCxn id="14" idx="1"/>
        </xdr:cNvCxnSpPr>
      </xdr:nvCxnSpPr>
      <xdr:spPr>
        <a:xfrm flipV="1">
          <a:off x="7620003" y="2643188"/>
          <a:ext cx="628650" cy="9528"/>
        </a:xfrm>
        <a:prstGeom prst="straightConnector1">
          <a:avLst/>
        </a:prstGeom>
      </xdr:spPr>
      <xdr:style>
        <a:lnRef idx="2">
          <a:schemeClr val="accent1">
            <a:shade val="50000"/>
          </a:schemeClr>
        </a:lnRef>
        <a:fillRef idx="1">
          <a:schemeClr val="accent1"/>
        </a:fillRef>
        <a:effectRef idx="0">
          <a:schemeClr val="accent1"/>
        </a:effectRef>
        <a:fontRef idx="minor">
          <a:schemeClr val="lt1"/>
        </a:fontRef>
      </xdr:style>
    </xdr:cxnSp>
    <xdr:clientData/>
  </xdr:oneCellAnchor>
  <xdr:oneCellAnchor>
    <xdr:from>
      <xdr:col>13</xdr:col>
      <xdr:colOff>0</xdr:colOff>
      <xdr:row>14</xdr:row>
      <xdr:rowOff>219071</xdr:rowOff>
    </xdr:from>
    <xdr:ext cx="0" cy="790582"/>
    <xdr:cxnSp macro="">
      <xdr:nvCxnSpPr>
        <xdr:cNvPr id="18" name="Straight Arrow Connector 13"/>
        <xdr:cNvCxnSpPr>
          <a:stCxn id="14" idx="2"/>
        </xdr:cNvCxnSpPr>
      </xdr:nvCxnSpPr>
      <xdr:spPr>
        <a:xfrm>
          <a:off x="8848725" y="2943221"/>
          <a:ext cx="0" cy="790582"/>
        </a:xfrm>
        <a:prstGeom prst="straightConnector1">
          <a:avLst/>
        </a:prstGeom>
      </xdr:spPr>
      <xdr:style>
        <a:lnRef idx="2">
          <a:schemeClr val="accent1">
            <a:shade val="50000"/>
          </a:schemeClr>
        </a:lnRef>
        <a:fillRef idx="1">
          <a:schemeClr val="accent1"/>
        </a:fillRef>
        <a:effectRef idx="0">
          <a:schemeClr val="accent1"/>
        </a:effectRef>
        <a:fontRef idx="minor">
          <a:schemeClr val="lt1"/>
        </a:fontRef>
      </xdr:style>
    </xdr:cxnSp>
    <xdr:clientData/>
  </xdr:oneCellAnchor>
  <xdr:oneCellAnchor>
    <xdr:from>
      <xdr:col>13</xdr:col>
      <xdr:colOff>3</xdr:colOff>
      <xdr:row>4</xdr:row>
      <xdr:rowOff>171450</xdr:rowOff>
    </xdr:from>
    <xdr:ext cx="9525" cy="1381125"/>
    <xdr:cxnSp macro="">
      <xdr:nvCxnSpPr>
        <xdr:cNvPr id="2" name="Straight Arrow Connector 15"/>
        <xdr:cNvCxnSpPr>
          <a:stCxn id="14" idx="0"/>
        </xdr:cNvCxnSpPr>
      </xdr:nvCxnSpPr>
      <xdr:spPr>
        <a:xfrm flipV="1">
          <a:off x="8848728" y="962025"/>
          <a:ext cx="9525" cy="1381125"/>
        </a:xfrm>
        <a:prstGeom prst="straightConnector1">
          <a:avLst/>
        </a:prstGeom>
      </xdr:spPr>
      <xdr:style>
        <a:lnRef idx="2">
          <a:schemeClr val="accent1">
            <a:shade val="50000"/>
          </a:schemeClr>
        </a:lnRef>
        <a:fillRef idx="1">
          <a:schemeClr val="accent1"/>
        </a:fillRef>
        <a:effectRef idx="0">
          <a:schemeClr val="accent1"/>
        </a:effectRef>
        <a:fontRef idx="minor">
          <a:schemeClr val="lt1"/>
        </a:fontRef>
      </xdr:style>
    </xdr:cxnSp>
    <xdr:clientData/>
  </xdr:oneCellAnchor>
  <xdr:oneCellAnchor>
    <xdr:from>
      <xdr:col>5</xdr:col>
      <xdr:colOff>9528</xdr:colOff>
      <xdr:row>6</xdr:row>
      <xdr:rowOff>171450</xdr:rowOff>
    </xdr:from>
    <xdr:ext cx="4876797" cy="9528"/>
    <xdr:cxnSp macro="">
      <xdr:nvCxnSpPr>
        <xdr:cNvPr id="6" name="Straight Arrow Connector 17"/>
        <xdr:cNvCxnSpPr/>
      </xdr:nvCxnSpPr>
      <xdr:spPr>
        <a:xfrm flipH="1" flipV="1">
          <a:off x="3981453" y="1343025"/>
          <a:ext cx="4876797" cy="9528"/>
        </a:xfrm>
        <a:prstGeom prst="straightConnector1">
          <a:avLst/>
        </a:prstGeom>
      </xdr:spPr>
      <xdr:style>
        <a:lnRef idx="2">
          <a:schemeClr val="accent1">
            <a:shade val="50000"/>
          </a:schemeClr>
        </a:lnRef>
        <a:fillRef idx="1">
          <a:schemeClr val="accent1"/>
        </a:fillRef>
        <a:effectRef idx="0">
          <a:schemeClr val="accent1"/>
        </a:effectRef>
        <a:fontRef idx="minor">
          <a:schemeClr val="lt1"/>
        </a:fontRef>
      </xdr:style>
    </xdr:cxnSp>
    <xdr:clientData/>
  </xdr:oneCellAnchor>
  <xdr:oneCellAnchor>
    <xdr:from>
      <xdr:col>5</xdr:col>
      <xdr:colOff>0</xdr:colOff>
      <xdr:row>6</xdr:row>
      <xdr:rowOff>180978</xdr:rowOff>
    </xdr:from>
    <xdr:ext cx="9528" cy="1323968"/>
    <xdr:cxnSp macro="">
      <xdr:nvCxnSpPr>
        <xdr:cNvPr id="5" name="Straight Arrow Connector 19"/>
        <xdr:cNvCxnSpPr/>
      </xdr:nvCxnSpPr>
      <xdr:spPr>
        <a:xfrm flipH="1">
          <a:off x="3971925" y="1352553"/>
          <a:ext cx="9528" cy="1323968"/>
        </a:xfrm>
        <a:prstGeom prst="straightConnector1">
          <a:avLst/>
        </a:prstGeom>
      </xdr:spPr>
      <xdr:style>
        <a:lnRef idx="2">
          <a:schemeClr val="accent1">
            <a:shade val="50000"/>
          </a:schemeClr>
        </a:lnRef>
        <a:fillRef idx="1">
          <a:schemeClr val="accent1"/>
        </a:fillRef>
        <a:effectRef idx="0">
          <a:schemeClr val="accent1"/>
        </a:effectRef>
        <a:fontRef idx="minor">
          <a:schemeClr val="lt1"/>
        </a:fontRef>
      </xdr:style>
    </xdr:cxnSp>
    <xdr:clientData/>
  </xdr:oneCellAnchor>
  <xdr:oneCellAnchor>
    <xdr:from>
      <xdr:col>4</xdr:col>
      <xdr:colOff>76196</xdr:colOff>
      <xdr:row>12</xdr:row>
      <xdr:rowOff>104771</xdr:rowOff>
    </xdr:from>
    <xdr:ext cx="514350" cy="219071"/>
    <xdr:sp macro="" textlink="">
      <xdr:nvSpPr>
        <xdr:cNvPr id="8" name="TextBox 20"/>
        <xdr:cNvSpPr txBox="1"/>
      </xdr:nvSpPr>
      <xdr:spPr>
        <a:xfrm>
          <a:off x="3438521" y="2447921"/>
          <a:ext cx="514350" cy="219071"/>
        </a:xfrm>
        <a:prstGeom prst="rect">
          <a:avLst/>
        </a:prstGeom>
      </xdr:spPr>
      <xdr:txBody>
        <a:bodyPr lIns="0" tIns="0" rIns="0" bIns="0"/>
        <a:lstStyle/>
        <a:p>
          <a:pPr lvl="0">
            <a:buNone/>
          </a:pPr>
          <a:r>
            <a:rPr lang="en-GB"/>
            <a:t>S1</a:t>
          </a:r>
        </a:p>
      </xdr:txBody>
    </xdr:sp>
    <xdr:clientData/>
  </xdr:oneCellAnchor>
  <xdr:oneCellAnchor>
    <xdr:from>
      <xdr:col>5</xdr:col>
      <xdr:colOff>200025</xdr:colOff>
      <xdr:row>12</xdr:row>
      <xdr:rowOff>85725</xdr:rowOff>
    </xdr:from>
    <xdr:ext cx="361946" cy="190496"/>
    <xdr:sp macro="" textlink="">
      <xdr:nvSpPr>
        <xdr:cNvPr id="9" name="TextBox 21"/>
        <xdr:cNvSpPr txBox="1"/>
      </xdr:nvSpPr>
      <xdr:spPr>
        <a:xfrm>
          <a:off x="4171950" y="2428875"/>
          <a:ext cx="361946" cy="190496"/>
        </a:xfrm>
        <a:prstGeom prst="rect">
          <a:avLst/>
        </a:prstGeom>
      </xdr:spPr>
      <xdr:txBody>
        <a:bodyPr lIns="0" tIns="0" rIns="0" bIns="0"/>
        <a:lstStyle/>
        <a:p>
          <a:pPr lvl="0">
            <a:buNone/>
          </a:pPr>
          <a:r>
            <a:rPr lang="en-GB"/>
            <a:t>S2</a:t>
          </a:r>
        </a:p>
      </xdr:txBody>
    </xdr:sp>
    <xdr:clientData/>
  </xdr:oneCellAnchor>
  <xdr:oneCellAnchor>
    <xdr:from>
      <xdr:col>8</xdr:col>
      <xdr:colOff>161921</xdr:colOff>
      <xdr:row>12</xdr:row>
      <xdr:rowOff>104771</xdr:rowOff>
    </xdr:from>
    <xdr:ext cx="361946" cy="276221"/>
    <xdr:sp macro="" textlink="">
      <xdr:nvSpPr>
        <xdr:cNvPr id="11" name="TextBox 22"/>
        <xdr:cNvSpPr txBox="1"/>
      </xdr:nvSpPr>
      <xdr:spPr>
        <a:xfrm>
          <a:off x="5962646" y="2447921"/>
          <a:ext cx="361946" cy="276221"/>
        </a:xfrm>
        <a:prstGeom prst="rect">
          <a:avLst/>
        </a:prstGeom>
      </xdr:spPr>
      <xdr:txBody>
        <a:bodyPr lIns="0" tIns="0" rIns="0" bIns="0"/>
        <a:lstStyle/>
        <a:p>
          <a:pPr lvl="0">
            <a:buNone/>
          </a:pPr>
          <a:r>
            <a:rPr lang="en-GB"/>
            <a:t>S3</a:t>
          </a:r>
        </a:p>
      </xdr:txBody>
    </xdr:sp>
    <xdr:clientData/>
  </xdr:oneCellAnchor>
  <xdr:oneCellAnchor>
    <xdr:from>
      <xdr:col>9</xdr:col>
      <xdr:colOff>266703</xdr:colOff>
      <xdr:row>16</xdr:row>
      <xdr:rowOff>9528</xdr:rowOff>
    </xdr:from>
    <xdr:ext cx="333371" cy="304796"/>
    <xdr:sp macro="" textlink="">
      <xdr:nvSpPr>
        <xdr:cNvPr id="20" name="TextBox 23"/>
        <xdr:cNvSpPr txBox="1"/>
      </xdr:nvSpPr>
      <xdr:spPr>
        <a:xfrm>
          <a:off x="6677028" y="3152778"/>
          <a:ext cx="333371" cy="304796"/>
        </a:xfrm>
        <a:prstGeom prst="rect">
          <a:avLst/>
        </a:prstGeom>
      </xdr:spPr>
      <xdr:txBody>
        <a:bodyPr lIns="0" tIns="0" rIns="0" bIns="0"/>
        <a:lstStyle/>
        <a:p>
          <a:pPr lvl="0">
            <a:buNone/>
          </a:pPr>
          <a:r>
            <a:rPr lang="en-GB"/>
            <a:t>S4</a:t>
          </a:r>
        </a:p>
      </xdr:txBody>
    </xdr:sp>
    <xdr:clientData/>
  </xdr:oneCellAnchor>
  <xdr:oneCellAnchor>
    <xdr:from>
      <xdr:col>10</xdr:col>
      <xdr:colOff>0</xdr:colOff>
      <xdr:row>15</xdr:row>
      <xdr:rowOff>0</xdr:rowOff>
    </xdr:from>
    <xdr:ext cx="0" cy="761996"/>
    <xdr:cxnSp macro="">
      <xdr:nvCxnSpPr>
        <xdr:cNvPr id="19" name="Straight Arrow Connector 25"/>
        <xdr:cNvCxnSpPr>
          <a:stCxn id="12" idx="2"/>
        </xdr:cNvCxnSpPr>
      </xdr:nvCxnSpPr>
      <xdr:spPr>
        <a:xfrm>
          <a:off x="7019925" y="2952750"/>
          <a:ext cx="0" cy="761996"/>
        </a:xfrm>
        <a:prstGeom prst="straightConnector1">
          <a:avLst/>
        </a:prstGeom>
      </xdr:spPr>
      <xdr:style>
        <a:lnRef idx="2">
          <a:schemeClr val="accent1">
            <a:shade val="50000"/>
          </a:schemeClr>
        </a:lnRef>
        <a:fillRef idx="1">
          <a:schemeClr val="accent1"/>
        </a:fillRef>
        <a:effectRef idx="0">
          <a:schemeClr val="accent1"/>
        </a:effectRef>
        <a:fontRef idx="minor">
          <a:schemeClr val="lt1"/>
        </a:fontRef>
      </xdr:style>
    </xdr:cxnSp>
    <xdr:clientData/>
  </xdr:oneCellAnchor>
  <xdr:oneCellAnchor>
    <xdr:from>
      <xdr:col>11</xdr:col>
      <xdr:colOff>161921</xdr:colOff>
      <xdr:row>12</xdr:row>
      <xdr:rowOff>38103</xdr:rowOff>
    </xdr:from>
    <xdr:ext cx="523878" cy="314325"/>
    <xdr:sp macro="" textlink="">
      <xdr:nvSpPr>
        <xdr:cNvPr id="13" name="TextBox 26"/>
        <xdr:cNvSpPr txBox="1"/>
      </xdr:nvSpPr>
      <xdr:spPr>
        <a:xfrm>
          <a:off x="7791446" y="2381253"/>
          <a:ext cx="523878" cy="314325"/>
        </a:xfrm>
        <a:prstGeom prst="rect">
          <a:avLst/>
        </a:prstGeom>
      </xdr:spPr>
      <xdr:txBody>
        <a:bodyPr lIns="0" tIns="0" rIns="0" bIns="0"/>
        <a:lstStyle/>
        <a:p>
          <a:pPr lvl="0">
            <a:buNone/>
          </a:pPr>
          <a:r>
            <a:rPr lang="en-GB"/>
            <a:t>S5</a:t>
          </a:r>
        </a:p>
      </xdr:txBody>
    </xdr:sp>
    <xdr:clientData/>
  </xdr:oneCellAnchor>
  <xdr:oneCellAnchor>
    <xdr:from>
      <xdr:col>13</xdr:col>
      <xdr:colOff>57150</xdr:colOff>
      <xdr:row>16</xdr:row>
      <xdr:rowOff>133346</xdr:rowOff>
    </xdr:from>
    <xdr:ext cx="714375" cy="342900"/>
    <xdr:sp macro="" textlink="">
      <xdr:nvSpPr>
        <xdr:cNvPr id="21" name="TextBox 27"/>
        <xdr:cNvSpPr txBox="1"/>
      </xdr:nvSpPr>
      <xdr:spPr>
        <a:xfrm>
          <a:off x="8905875" y="3276596"/>
          <a:ext cx="714375" cy="342900"/>
        </a:xfrm>
        <a:prstGeom prst="rect">
          <a:avLst/>
        </a:prstGeom>
      </xdr:spPr>
      <xdr:txBody>
        <a:bodyPr lIns="0" tIns="0" rIns="0" bIns="0"/>
        <a:lstStyle/>
        <a:p>
          <a:pPr lvl="0">
            <a:buNone/>
          </a:pPr>
          <a:r>
            <a:rPr lang="en-GB"/>
            <a:t>S6</a:t>
          </a:r>
        </a:p>
      </xdr:txBody>
    </xdr:sp>
    <xdr:clientData/>
  </xdr:oneCellAnchor>
  <xdr:oneCellAnchor>
    <xdr:from>
      <xdr:col>13</xdr:col>
      <xdr:colOff>9528</xdr:colOff>
      <xdr:row>8</xdr:row>
      <xdr:rowOff>171450</xdr:rowOff>
    </xdr:from>
    <xdr:ext cx="695328" cy="333371"/>
    <xdr:sp macro="" textlink="">
      <xdr:nvSpPr>
        <xdr:cNvPr id="7" name="TextBox 28"/>
        <xdr:cNvSpPr txBox="1"/>
      </xdr:nvSpPr>
      <xdr:spPr>
        <a:xfrm>
          <a:off x="8858253" y="1752600"/>
          <a:ext cx="695328" cy="333371"/>
        </a:xfrm>
        <a:prstGeom prst="rect">
          <a:avLst/>
        </a:prstGeom>
      </xdr:spPr>
      <xdr:txBody>
        <a:bodyPr lIns="0" tIns="0" rIns="0" bIns="0"/>
        <a:lstStyle/>
        <a:p>
          <a:pPr lvl="0">
            <a:buNone/>
          </a:pPr>
          <a:r>
            <a:rPr lang="en-GB"/>
            <a:t>S7</a:t>
          </a:r>
        </a:p>
      </xdr:txBody>
    </xdr:sp>
    <xdr:clientData/>
  </xdr:oneCellAnchor>
  <xdr:oneCellAnchor>
    <xdr:from>
      <xdr:col>12</xdr:col>
      <xdr:colOff>590546</xdr:colOff>
      <xdr:row>5</xdr:row>
      <xdr:rowOff>28575</xdr:rowOff>
    </xdr:from>
    <xdr:ext cx="800100" cy="247646"/>
    <xdr:sp macro="" textlink="">
      <xdr:nvSpPr>
        <xdr:cNvPr id="4" name="TextBox 29"/>
        <xdr:cNvSpPr txBox="1"/>
      </xdr:nvSpPr>
      <xdr:spPr>
        <a:xfrm>
          <a:off x="8829671" y="1009650"/>
          <a:ext cx="800100" cy="247646"/>
        </a:xfrm>
        <a:prstGeom prst="rect">
          <a:avLst/>
        </a:prstGeom>
      </xdr:spPr>
      <xdr:txBody>
        <a:bodyPr lIns="0" tIns="0" rIns="0" bIns="0"/>
        <a:lstStyle/>
        <a:p>
          <a:pPr lvl="0">
            <a:buNone/>
          </a:pPr>
          <a:r>
            <a:rPr lang="en-GB"/>
            <a:t>S8</a:t>
          </a:r>
        </a:p>
      </xdr:txBody>
    </xdr:sp>
    <xdr:clientData/>
  </xdr:oneCellAnchor>
  <xdr:oneCellAnchor>
    <xdr:from>
      <xdr:col>8</xdr:col>
      <xdr:colOff>447671</xdr:colOff>
      <xdr:row>5</xdr:row>
      <xdr:rowOff>9528</xdr:rowOff>
    </xdr:from>
    <xdr:ext cx="419096" cy="314325"/>
    <xdr:sp macro="" textlink="">
      <xdr:nvSpPr>
        <xdr:cNvPr id="3" name="TextBox 30"/>
        <xdr:cNvSpPr txBox="1"/>
      </xdr:nvSpPr>
      <xdr:spPr>
        <a:xfrm>
          <a:off x="6248396" y="990603"/>
          <a:ext cx="419096" cy="314325"/>
        </a:xfrm>
        <a:prstGeom prst="rect">
          <a:avLst/>
        </a:prstGeom>
      </xdr:spPr>
      <xdr:txBody>
        <a:bodyPr lIns="0" tIns="0" rIns="0" bIns="0"/>
        <a:lstStyle/>
        <a:p>
          <a:pPr lvl="0">
            <a:buNone/>
          </a:pPr>
          <a:r>
            <a:rPr lang="en-GB"/>
            <a:t>S9</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7"/>
  <sheetViews>
    <sheetView tabSelected="1" workbookViewId="0">
      <selection sqref="A1:C1"/>
    </sheetView>
  </sheetViews>
  <sheetFormatPr defaultRowHeight="15" x14ac:dyDescent="0.25"/>
  <cols>
    <col min="1" max="1" width="18.5703125" bestFit="1" customWidth="1"/>
    <col min="2" max="2" width="12.42578125" customWidth="1"/>
    <col min="3" max="3" width="11" bestFit="1" customWidth="1"/>
    <col min="4" max="4" width="18.140625" bestFit="1" customWidth="1"/>
    <col min="5" max="5" width="12" bestFit="1" customWidth="1"/>
    <col min="6" max="11" width="9.140625" customWidth="1"/>
    <col min="12" max="12" width="31.28515625" bestFit="1" customWidth="1"/>
    <col min="13" max="13" width="25.140625" bestFit="1" customWidth="1"/>
    <col min="14" max="14" width="19.85546875" customWidth="1"/>
    <col min="15" max="15" width="21.7109375" bestFit="1" customWidth="1"/>
    <col min="16" max="16" width="20" bestFit="1" customWidth="1"/>
    <col min="17" max="17" width="9.140625" customWidth="1"/>
  </cols>
  <sheetData>
    <row r="1" spans="1:19" x14ac:dyDescent="0.25">
      <c r="A1" s="41" t="s">
        <v>0</v>
      </c>
      <c r="B1" s="41"/>
      <c r="C1" s="41"/>
      <c r="D1" s="42" t="s">
        <v>1</v>
      </c>
      <c r="E1" s="42"/>
    </row>
    <row r="2" spans="1:19" x14ac:dyDescent="0.25">
      <c r="A2" s="1" t="s">
        <v>286</v>
      </c>
      <c r="B2" s="2">
        <v>43052</v>
      </c>
      <c r="C2" s="3"/>
      <c r="D2" s="4" t="s">
        <v>2</v>
      </c>
      <c r="E2" s="3"/>
    </row>
    <row r="3" spans="1:19" x14ac:dyDescent="0.25">
      <c r="A3" s="43" t="s">
        <v>3</v>
      </c>
      <c r="B3" s="43"/>
      <c r="C3" s="43"/>
      <c r="D3" s="43"/>
      <c r="E3" s="43"/>
      <c r="F3" s="43"/>
      <c r="G3" s="43"/>
      <c r="H3" s="43"/>
      <c r="I3" s="43"/>
      <c r="J3" s="43"/>
      <c r="K3" s="43"/>
      <c r="L3" s="43"/>
    </row>
    <row r="4" spans="1:19" x14ac:dyDescent="0.25">
      <c r="A4" s="43" t="s">
        <v>4</v>
      </c>
      <c r="B4" s="43"/>
      <c r="C4" s="43"/>
      <c r="D4" s="43"/>
      <c r="E4" s="43"/>
      <c r="F4" s="43"/>
      <c r="G4" s="43"/>
      <c r="H4" s="43"/>
      <c r="I4" s="43"/>
      <c r="J4" s="43"/>
      <c r="K4" s="43"/>
      <c r="L4" s="43"/>
      <c r="M4" s="43"/>
    </row>
    <row r="5" spans="1:19" ht="17.25" x14ac:dyDescent="0.25">
      <c r="A5" s="43" t="s">
        <v>5</v>
      </c>
      <c r="B5" s="43"/>
      <c r="C5" s="43"/>
      <c r="D5" s="43"/>
      <c r="E5" s="43"/>
      <c r="F5" s="43"/>
      <c r="G5" s="43"/>
      <c r="H5" s="43"/>
      <c r="I5" s="43"/>
      <c r="J5" s="43"/>
      <c r="K5" s="43"/>
      <c r="L5" s="43"/>
      <c r="M5" s="43"/>
      <c r="N5" s="43"/>
      <c r="O5" s="43"/>
    </row>
    <row r="6" spans="1:19" x14ac:dyDescent="0.25">
      <c r="A6" s="44" t="s">
        <v>6</v>
      </c>
      <c r="B6" s="44"/>
      <c r="C6" s="44"/>
      <c r="D6" s="44"/>
      <c r="L6" s="44" t="s">
        <v>7</v>
      </c>
      <c r="M6" s="44"/>
      <c r="N6" s="45" t="s">
        <v>8</v>
      </c>
      <c r="O6" s="45"/>
      <c r="P6" s="45"/>
    </row>
    <row r="7" spans="1:19" x14ac:dyDescent="0.25">
      <c r="A7" s="8" t="s">
        <v>9</v>
      </c>
      <c r="C7" s="46" t="s">
        <v>10</v>
      </c>
      <c r="D7" s="46"/>
      <c r="L7" s="7" t="s">
        <v>11</v>
      </c>
      <c r="M7" s="9" t="s">
        <v>12</v>
      </c>
      <c r="N7" s="45" t="s">
        <v>13</v>
      </c>
      <c r="O7" s="45"/>
      <c r="P7" s="45"/>
      <c r="Q7" s="45"/>
      <c r="R7" s="45"/>
      <c r="S7" s="45"/>
    </row>
    <row r="8" spans="1:19" ht="17.25" x14ac:dyDescent="0.25">
      <c r="A8" s="10" t="s">
        <v>14</v>
      </c>
      <c r="B8" s="11"/>
      <c r="C8" s="12">
        <v>1</v>
      </c>
      <c r="D8" s="13" t="s">
        <v>15</v>
      </c>
      <c r="L8" s="14" t="s">
        <v>16</v>
      </c>
      <c r="M8" s="15">
        <v>5.0000000000000004E-6</v>
      </c>
    </row>
    <row r="9" spans="1:19" ht="17.25" x14ac:dyDescent="0.25">
      <c r="A9" s="10" t="s">
        <v>17</v>
      </c>
      <c r="B9" s="11"/>
      <c r="C9" s="16">
        <f>VLOOKUP(C7,L20:N32,2,FALSE)</f>
        <v>0.998</v>
      </c>
      <c r="D9" s="13" t="s">
        <v>18</v>
      </c>
      <c r="L9" s="14" t="s">
        <v>19</v>
      </c>
      <c r="M9" s="15">
        <v>1.4999999999999999E-4</v>
      </c>
    </row>
    <row r="10" spans="1:19" x14ac:dyDescent="0.25">
      <c r="A10" s="10" t="s">
        <v>20</v>
      </c>
      <c r="B10" s="11"/>
      <c r="C10" s="16">
        <f>VLOOKUP(C7,L20:N32,3,FALSE)</f>
        <v>1</v>
      </c>
      <c r="D10" s="13" t="s">
        <v>21</v>
      </c>
      <c r="L10" s="14" t="s">
        <v>22</v>
      </c>
      <c r="M10" s="15">
        <v>4.0000000000000002E-4</v>
      </c>
    </row>
    <row r="11" spans="1:19" x14ac:dyDescent="0.25">
      <c r="A11" s="10" t="s">
        <v>23</v>
      </c>
      <c r="B11" s="11"/>
      <c r="C11" s="47" t="s">
        <v>16</v>
      </c>
      <c r="D11" s="47"/>
      <c r="L11" s="14" t="s">
        <v>24</v>
      </c>
      <c r="M11" s="15">
        <v>5.0000000000000001E-4</v>
      </c>
    </row>
    <row r="12" spans="1:19" x14ac:dyDescent="0.25">
      <c r="A12" s="10" t="s">
        <v>25</v>
      </c>
      <c r="B12" s="11"/>
      <c r="C12" s="16">
        <f>C30</f>
        <v>1.2700000000000001E-6</v>
      </c>
      <c r="D12" s="13" t="s">
        <v>26</v>
      </c>
      <c r="L12" s="14" t="s">
        <v>27</v>
      </c>
      <c r="M12" s="15">
        <v>8.4999999999999995E-4</v>
      </c>
    </row>
    <row r="13" spans="1:19" x14ac:dyDescent="0.25">
      <c r="A13" s="10" t="s">
        <v>28</v>
      </c>
      <c r="B13" s="11"/>
      <c r="C13" s="12">
        <v>0.1</v>
      </c>
      <c r="D13" s="13" t="s">
        <v>26</v>
      </c>
      <c r="L13" s="14" t="s">
        <v>29</v>
      </c>
      <c r="M13" s="15">
        <v>1.8E-3</v>
      </c>
    </row>
    <row r="14" spans="1:19" x14ac:dyDescent="0.25">
      <c r="A14" s="17" t="s">
        <v>30</v>
      </c>
      <c r="B14" s="18"/>
      <c r="C14" s="19">
        <f>(C25*C8*C13)/C26</f>
        <v>99800.000000000015</v>
      </c>
      <c r="D14" s="20" t="str">
        <f>IF(AND(C14&gt;2500,C14&lt;100000),"Re is OK", "Re is outside of usable range - adjust variables")</f>
        <v>Re is OK</v>
      </c>
      <c r="L14" s="14" t="s">
        <v>31</v>
      </c>
      <c r="M14" s="15">
        <v>5.4999999999999997E-3</v>
      </c>
    </row>
    <row r="15" spans="1:19" x14ac:dyDescent="0.25">
      <c r="L15" s="21" t="s">
        <v>32</v>
      </c>
      <c r="M15" s="22">
        <v>1.6500000000000001E-2</v>
      </c>
    </row>
    <row r="16" spans="1:19" x14ac:dyDescent="0.25">
      <c r="A16" s="44" t="s">
        <v>33</v>
      </c>
      <c r="B16" s="44"/>
      <c r="C16" s="44"/>
      <c r="D16" s="44"/>
    </row>
    <row r="17" spans="1:30" x14ac:dyDescent="0.25">
      <c r="A17" s="48" t="s">
        <v>34</v>
      </c>
      <c r="B17" s="48"/>
      <c r="C17" s="23">
        <f>(-1.8*LOG10(((C12/3.7)^1.11)+(6.9/C14)))^(-2)</f>
        <v>1.7835984284719202E-2</v>
      </c>
      <c r="D17" s="13"/>
    </row>
    <row r="18" spans="1:30" x14ac:dyDescent="0.25">
      <c r="A18" s="8" t="s">
        <v>35</v>
      </c>
      <c r="C18" s="23">
        <f>0.316/((C14)^0.25)</f>
        <v>1.7778881991880692E-2</v>
      </c>
      <c r="D18" s="13"/>
      <c r="L18" s="44" t="s">
        <v>36</v>
      </c>
      <c r="M18" s="44"/>
      <c r="N18" s="44"/>
      <c r="O18" s="45" t="s">
        <v>37</v>
      </c>
      <c r="P18" s="45"/>
      <c r="Q18" s="45"/>
      <c r="R18" s="45"/>
      <c r="S18" s="45"/>
      <c r="T18" s="45"/>
      <c r="U18" s="45"/>
      <c r="V18" s="45"/>
      <c r="W18" s="45"/>
      <c r="X18" s="45"/>
      <c r="Y18" s="45"/>
      <c r="Z18" s="45"/>
      <c r="AA18" s="45"/>
      <c r="AB18" s="45"/>
      <c r="AC18" s="45"/>
      <c r="AD18" s="45"/>
    </row>
    <row r="19" spans="1:30" ht="17.25" x14ac:dyDescent="0.25">
      <c r="A19" s="24" t="s">
        <v>38</v>
      </c>
      <c r="B19" s="25"/>
      <c r="C19" s="26">
        <f>ABS(((100/C18)*C17)-100)</f>
        <v>0.32118044804272472</v>
      </c>
      <c r="D19" s="3" t="s">
        <v>39</v>
      </c>
      <c r="L19" s="7" t="s">
        <v>9</v>
      </c>
      <c r="M19" s="6" t="s">
        <v>40</v>
      </c>
      <c r="N19" s="27" t="s">
        <v>41</v>
      </c>
      <c r="P19" s="28"/>
    </row>
    <row r="20" spans="1:30" x14ac:dyDescent="0.25">
      <c r="L20" s="29" t="s">
        <v>42</v>
      </c>
      <c r="M20" s="29">
        <v>1.0489999999999999</v>
      </c>
      <c r="N20" s="13">
        <v>1.234</v>
      </c>
      <c r="P20" s="28"/>
    </row>
    <row r="21" spans="1:30" x14ac:dyDescent="0.25">
      <c r="A21" s="44" t="s">
        <v>43</v>
      </c>
      <c r="B21" s="44"/>
      <c r="C21" s="44"/>
      <c r="D21" s="44"/>
      <c r="L21" s="29" t="s">
        <v>44</v>
      </c>
      <c r="M21" s="29">
        <v>1.8320000000000001</v>
      </c>
      <c r="N21" s="13">
        <v>0.94599999999999995</v>
      </c>
      <c r="P21" s="30"/>
    </row>
    <row r="22" spans="1:30" x14ac:dyDescent="0.25">
      <c r="A22" s="8"/>
      <c r="D22" s="13"/>
      <c r="L22" s="29" t="s">
        <v>45</v>
      </c>
      <c r="M22" s="29">
        <v>0.79200000000000004</v>
      </c>
      <c r="N22" s="13">
        <v>0.32800000000000001</v>
      </c>
      <c r="P22" s="30"/>
    </row>
    <row r="23" spans="1:30" x14ac:dyDescent="0.25">
      <c r="A23" s="31" t="s">
        <v>46</v>
      </c>
      <c r="B23" s="32"/>
      <c r="D23" s="13"/>
      <c r="L23" s="29" t="s">
        <v>47</v>
      </c>
      <c r="M23" s="29">
        <v>1.022</v>
      </c>
      <c r="N23" s="13">
        <v>4.4290000000000003</v>
      </c>
      <c r="P23" s="30"/>
    </row>
    <row r="24" spans="1:30" x14ac:dyDescent="0.25">
      <c r="A24" s="10" t="s">
        <v>48</v>
      </c>
      <c r="B24" s="11"/>
      <c r="C24">
        <f>CONVERT(C29,D29,"m")</f>
        <v>1.2700000000000001E-7</v>
      </c>
      <c r="D24" s="13" t="s">
        <v>26</v>
      </c>
      <c r="L24" s="29" t="s">
        <v>49</v>
      </c>
      <c r="M24" s="29">
        <v>0.96399999999999997</v>
      </c>
      <c r="N24" s="13">
        <v>1.599</v>
      </c>
      <c r="P24" s="30"/>
    </row>
    <row r="25" spans="1:30" ht="17.25" x14ac:dyDescent="0.25">
      <c r="A25" s="33" t="s">
        <v>17</v>
      </c>
      <c r="B25" s="5"/>
      <c r="C25">
        <f>C9*1000</f>
        <v>998</v>
      </c>
      <c r="D25" s="13" t="s">
        <v>50</v>
      </c>
      <c r="L25" s="29" t="s">
        <v>51</v>
      </c>
      <c r="M25" s="29">
        <v>1.107</v>
      </c>
      <c r="N25" s="34">
        <v>0.77</v>
      </c>
      <c r="P25" s="30"/>
    </row>
    <row r="26" spans="1:30" x14ac:dyDescent="0.25">
      <c r="A26" s="33" t="s">
        <v>20</v>
      </c>
      <c r="B26" s="5"/>
      <c r="C26">
        <f>C10*(10^-3)</f>
        <v>1E-3</v>
      </c>
      <c r="D26" s="13" t="s">
        <v>52</v>
      </c>
      <c r="L26" s="29" t="s">
        <v>53</v>
      </c>
      <c r="M26" s="29">
        <v>1.034</v>
      </c>
      <c r="N26" s="13">
        <v>16.899999999999999</v>
      </c>
      <c r="P26" s="30"/>
    </row>
    <row r="27" spans="1:30" x14ac:dyDescent="0.25">
      <c r="A27" s="8"/>
      <c r="D27" s="13"/>
      <c r="L27" s="29" t="s">
        <v>54</v>
      </c>
      <c r="M27" s="29">
        <v>0.90100000000000002</v>
      </c>
      <c r="N27" s="13">
        <v>0.4521</v>
      </c>
      <c r="P27" s="30"/>
    </row>
    <row r="28" spans="1:30" x14ac:dyDescent="0.25">
      <c r="A28" s="35" t="s">
        <v>55</v>
      </c>
      <c r="B28" s="36"/>
      <c r="D28" s="13"/>
      <c r="L28" s="29" t="s">
        <v>56</v>
      </c>
      <c r="M28" s="29">
        <v>0.92300000000000004</v>
      </c>
      <c r="N28" s="13">
        <v>0.41320000000000001</v>
      </c>
      <c r="P28" s="30"/>
    </row>
    <row r="29" spans="1:30" x14ac:dyDescent="0.25">
      <c r="A29" s="8" t="s">
        <v>57</v>
      </c>
      <c r="C29">
        <f>VLOOKUP(C11,L8:M15,2,FALSE)</f>
        <v>5.0000000000000004E-6</v>
      </c>
      <c r="D29" s="13" t="s">
        <v>58</v>
      </c>
      <c r="L29" s="29" t="s">
        <v>59</v>
      </c>
      <c r="M29" s="29">
        <v>0.78900000000000003</v>
      </c>
      <c r="N29" s="13">
        <v>2.3105000000000002</v>
      </c>
      <c r="P29" s="30"/>
    </row>
    <row r="30" spans="1:30" x14ac:dyDescent="0.25">
      <c r="A30" s="24" t="s">
        <v>25</v>
      </c>
      <c r="B30" s="25"/>
      <c r="C30" s="25">
        <f>C24/C13</f>
        <v>1.2700000000000001E-6</v>
      </c>
      <c r="D30" s="3" t="s">
        <v>26</v>
      </c>
      <c r="L30" s="29" t="s">
        <v>60</v>
      </c>
      <c r="M30" s="29">
        <v>0.82699999999999996</v>
      </c>
      <c r="N30" s="13">
        <v>8.9250000000000007</v>
      </c>
      <c r="P30" s="30"/>
    </row>
    <row r="31" spans="1:30" x14ac:dyDescent="0.25">
      <c r="L31" s="29" t="s">
        <v>61</v>
      </c>
      <c r="M31" s="29">
        <v>0.80400000000000005</v>
      </c>
      <c r="N31" s="13">
        <v>2.23</v>
      </c>
      <c r="P31" s="30"/>
    </row>
    <row r="32" spans="1:30" x14ac:dyDescent="0.25">
      <c r="A32" s="44" t="s">
        <v>62</v>
      </c>
      <c r="B32" s="44"/>
      <c r="C32" s="44"/>
      <c r="D32" s="44"/>
      <c r="E32" s="44"/>
      <c r="F32" s="49" t="s">
        <v>63</v>
      </c>
      <c r="G32" s="49"/>
      <c r="H32" s="49"/>
      <c r="I32" s="49"/>
      <c r="J32" s="49"/>
      <c r="L32" s="37" t="s">
        <v>10</v>
      </c>
      <c r="M32" s="37">
        <v>0.998</v>
      </c>
      <c r="N32" s="3">
        <v>1</v>
      </c>
      <c r="P32" s="30"/>
    </row>
    <row r="33" spans="1:16" x14ac:dyDescent="0.25">
      <c r="A33" s="6" t="s">
        <v>25</v>
      </c>
      <c r="B33" s="6" t="s">
        <v>64</v>
      </c>
      <c r="C33" s="27" t="s">
        <v>65</v>
      </c>
      <c r="D33" s="9" t="s">
        <v>66</v>
      </c>
      <c r="E33" s="7" t="s">
        <v>67</v>
      </c>
      <c r="F33" s="49"/>
      <c r="G33" s="49"/>
      <c r="H33" s="49"/>
      <c r="I33" s="49"/>
      <c r="J33" s="49"/>
      <c r="P33" s="30"/>
    </row>
    <row r="34" spans="1:16" x14ac:dyDescent="0.25">
      <c r="A34" s="29">
        <f t="shared" ref="A34:A41" si="0">(CONVERT(M8,"in","m"))/$C$13</f>
        <v>1.2700000000000001E-6</v>
      </c>
      <c r="B34" s="29">
        <f t="shared" ref="B34:B41" si="1">(-1.8*LOG10(((A34/3.7)^1.11)+(6.9/$C$14)))^(-2)</f>
        <v>1.7835984284719202E-2</v>
      </c>
      <c r="C34" s="13">
        <f t="shared" ref="C34:C41" si="2">0.316/(($C$14)^0.25)</f>
        <v>1.7778881991880692E-2</v>
      </c>
      <c r="D34" s="29">
        <f t="shared" ref="D34:D41" si="3">100-((100/B34)*C34)</f>
        <v>0.32015218183070715</v>
      </c>
      <c r="E34" s="29">
        <f t="shared" ref="E34:E41" si="4">ABS(B34-C34)</f>
        <v>5.7102292838510232E-5</v>
      </c>
      <c r="P34" s="30"/>
    </row>
    <row r="35" spans="1:16" x14ac:dyDescent="0.25">
      <c r="A35" s="29">
        <f t="shared" si="0"/>
        <v>3.8099999999999998E-5</v>
      </c>
      <c r="B35" s="29">
        <f t="shared" si="1"/>
        <v>1.7986962046873854E-2</v>
      </c>
      <c r="C35" s="13">
        <f t="shared" si="2"/>
        <v>1.7778881991880692E-2</v>
      </c>
      <c r="D35" s="29">
        <f t="shared" si="3"/>
        <v>1.1568382390028233</v>
      </c>
      <c r="E35" s="29">
        <f t="shared" si="4"/>
        <v>2.0808005499316218E-4</v>
      </c>
      <c r="L35" s="38" t="s">
        <v>68</v>
      </c>
      <c r="M35" s="39"/>
      <c r="N35" s="40"/>
      <c r="P35" s="30"/>
    </row>
    <row r="36" spans="1:16" x14ac:dyDescent="0.25">
      <c r="A36" s="29">
        <f t="shared" si="0"/>
        <v>1.0159999999999999E-4</v>
      </c>
      <c r="B36" s="29">
        <f t="shared" si="1"/>
        <v>1.8279443141209467E-2</v>
      </c>
      <c r="C36" s="13">
        <f t="shared" si="2"/>
        <v>1.7778881991880692E-2</v>
      </c>
      <c r="D36" s="29">
        <f t="shared" si="3"/>
        <v>2.7383829226192375</v>
      </c>
      <c r="E36" s="29">
        <f t="shared" si="4"/>
        <v>5.005611493287751E-4</v>
      </c>
      <c r="L36" s="8" t="s">
        <v>69</v>
      </c>
      <c r="N36" s="13"/>
      <c r="P36" s="30"/>
    </row>
    <row r="37" spans="1:16" x14ac:dyDescent="0.25">
      <c r="A37" s="29">
        <f t="shared" si="0"/>
        <v>1.27E-4</v>
      </c>
      <c r="B37" s="29">
        <f t="shared" si="1"/>
        <v>1.8398924018296514E-2</v>
      </c>
      <c r="C37" s="13">
        <f t="shared" si="2"/>
        <v>1.7778881991880692E-2</v>
      </c>
      <c r="D37" s="29">
        <f t="shared" si="3"/>
        <v>3.3699906896687679</v>
      </c>
      <c r="E37" s="29">
        <f t="shared" si="4"/>
        <v>6.2004202641582212E-4</v>
      </c>
      <c r="L37" s="8"/>
      <c r="N37" s="13"/>
      <c r="P37" s="30"/>
    </row>
    <row r="38" spans="1:16" x14ac:dyDescent="0.25">
      <c r="A38" s="29">
        <f t="shared" si="0"/>
        <v>2.1590000000000002E-4</v>
      </c>
      <c r="B38" s="29">
        <f t="shared" si="1"/>
        <v>1.8815874549427927E-2</v>
      </c>
      <c r="C38" s="13">
        <f t="shared" si="2"/>
        <v>1.7778881991880692E-2</v>
      </c>
      <c r="D38" s="29">
        <f t="shared" si="3"/>
        <v>5.5112641978087851</v>
      </c>
      <c r="E38" s="29">
        <f t="shared" si="4"/>
        <v>1.0369925575472345E-3</v>
      </c>
      <c r="L38" s="8"/>
      <c r="N38" s="13"/>
      <c r="P38" s="30"/>
    </row>
    <row r="39" spans="1:16" x14ac:dyDescent="0.25">
      <c r="A39" s="29">
        <f t="shared" si="0"/>
        <v>4.572E-4</v>
      </c>
      <c r="B39" s="29">
        <f t="shared" si="1"/>
        <v>1.9891428940884942E-2</v>
      </c>
      <c r="C39" s="13">
        <f t="shared" si="2"/>
        <v>1.7778881991880692E-2</v>
      </c>
      <c r="D39" s="29">
        <f t="shared" si="3"/>
        <v>10.620388084146697</v>
      </c>
      <c r="E39" s="29">
        <f t="shared" si="4"/>
        <v>2.1125469490042501E-3</v>
      </c>
      <c r="L39" s="8" t="s">
        <v>70</v>
      </c>
      <c r="N39" s="13"/>
      <c r="P39" s="30"/>
    </row>
    <row r="40" spans="1:16" x14ac:dyDescent="0.25">
      <c r="A40" s="29">
        <f t="shared" si="0"/>
        <v>1.397E-3</v>
      </c>
      <c r="B40" s="29">
        <f t="shared" si="1"/>
        <v>2.326308666362624E-2</v>
      </c>
      <c r="C40" s="13">
        <f t="shared" si="2"/>
        <v>1.7778881991880692E-2</v>
      </c>
      <c r="D40" s="29">
        <f t="shared" si="3"/>
        <v>23.574707651846381</v>
      </c>
      <c r="E40" s="29">
        <f t="shared" si="4"/>
        <v>5.4842046717455475E-3</v>
      </c>
      <c r="L40" s="24"/>
      <c r="M40" s="25"/>
      <c r="N40" s="3"/>
      <c r="P40" s="30"/>
    </row>
    <row r="41" spans="1:16" x14ac:dyDescent="0.25">
      <c r="A41" s="37">
        <f t="shared" si="0"/>
        <v>4.1909999999999994E-3</v>
      </c>
      <c r="B41" s="37">
        <f t="shared" si="1"/>
        <v>2.9816716548914352E-2</v>
      </c>
      <c r="C41" s="3">
        <f t="shared" si="2"/>
        <v>1.7778881991880692E-2</v>
      </c>
      <c r="D41" s="37">
        <f t="shared" si="3"/>
        <v>40.3727705473055</v>
      </c>
      <c r="E41" s="37">
        <f t="shared" si="4"/>
        <v>1.203783455703366E-2</v>
      </c>
      <c r="P41" s="30"/>
    </row>
    <row r="42" spans="1:16" x14ac:dyDescent="0.25">
      <c r="P42" s="30"/>
    </row>
    <row r="43" spans="1:16" x14ac:dyDescent="0.25">
      <c r="A43" s="11"/>
      <c r="B43" s="11"/>
      <c r="C43" s="11"/>
      <c r="P43" s="30"/>
    </row>
    <row r="44" spans="1:16" x14ac:dyDescent="0.25">
      <c r="P44" s="30"/>
    </row>
    <row r="45" spans="1:16" x14ac:dyDescent="0.25">
      <c r="P45" s="30"/>
    </row>
    <row r="46" spans="1:16" x14ac:dyDescent="0.25">
      <c r="P46" s="30"/>
    </row>
    <row r="47" spans="1:16" x14ac:dyDescent="0.25">
      <c r="P47" s="30"/>
    </row>
  </sheetData>
  <mergeCells count="18">
    <mergeCell ref="A21:D21"/>
    <mergeCell ref="A32:E32"/>
    <mergeCell ref="F32:J33"/>
    <mergeCell ref="C7:D7"/>
    <mergeCell ref="N7:S7"/>
    <mergeCell ref="C11:D11"/>
    <mergeCell ref="A16:D16"/>
    <mergeCell ref="A17:B17"/>
    <mergeCell ref="L18:N18"/>
    <mergeCell ref="O18:AD18"/>
    <mergeCell ref="A1:C1"/>
    <mergeCell ref="D1:E1"/>
    <mergeCell ref="A3:L3"/>
    <mergeCell ref="A4:M4"/>
    <mergeCell ref="A5:O5"/>
    <mergeCell ref="A6:D6"/>
    <mergeCell ref="L6:M6"/>
    <mergeCell ref="N6:P6"/>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4"/>
  <sheetViews>
    <sheetView workbookViewId="0">
      <selection sqref="A1:C1"/>
    </sheetView>
  </sheetViews>
  <sheetFormatPr defaultRowHeight="15" x14ac:dyDescent="0.25"/>
  <cols>
    <col min="1" max="1" width="16.5703125" bestFit="1" customWidth="1"/>
    <col min="2" max="2" width="10" bestFit="1" customWidth="1"/>
    <col min="3" max="3" width="15.140625" customWidth="1"/>
    <col min="4" max="4" width="9.140625" customWidth="1"/>
  </cols>
  <sheetData>
    <row r="1" spans="1:14" x14ac:dyDescent="0.25">
      <c r="A1" s="41" t="s">
        <v>0</v>
      </c>
      <c r="B1" s="41"/>
      <c r="C1" s="41"/>
    </row>
    <row r="2" spans="1:14" x14ac:dyDescent="0.25">
      <c r="A2" s="1" t="s">
        <v>286</v>
      </c>
      <c r="B2" s="2">
        <v>43053</v>
      </c>
      <c r="C2" s="3"/>
    </row>
    <row r="3" spans="1:14" x14ac:dyDescent="0.25">
      <c r="A3" s="43" t="s">
        <v>71</v>
      </c>
      <c r="B3" s="43"/>
      <c r="C3" s="43"/>
      <c r="D3" s="43"/>
      <c r="E3" s="43"/>
      <c r="F3" s="43"/>
      <c r="G3" s="43"/>
      <c r="H3" s="43"/>
      <c r="I3" s="43"/>
      <c r="J3" s="43"/>
      <c r="K3" s="43"/>
    </row>
    <row r="4" spans="1:14" ht="15" customHeight="1" x14ac:dyDescent="0.25">
      <c r="A4" s="78" t="s">
        <v>72</v>
      </c>
      <c r="B4" s="78"/>
      <c r="C4" s="78"/>
      <c r="D4" s="78"/>
      <c r="E4" s="78"/>
      <c r="F4" s="78"/>
      <c r="G4" s="78"/>
      <c r="H4" s="78"/>
      <c r="I4" s="78"/>
      <c r="J4" s="78"/>
      <c r="K4" s="78"/>
      <c r="L4" s="78"/>
      <c r="M4" s="78"/>
      <c r="N4" s="78"/>
    </row>
    <row r="5" spans="1:14" ht="15.75" thickBot="1" x14ac:dyDescent="0.3">
      <c r="A5" s="78"/>
      <c r="B5" s="78"/>
      <c r="C5" s="78"/>
      <c r="D5" s="78"/>
      <c r="E5" s="78"/>
      <c r="F5" s="78"/>
      <c r="G5" s="78"/>
      <c r="H5" s="78"/>
      <c r="I5" s="78"/>
      <c r="J5" s="78"/>
      <c r="K5" s="78"/>
      <c r="L5" s="78"/>
      <c r="M5" s="78"/>
      <c r="N5" s="78"/>
    </row>
    <row r="6" spans="1:14" x14ac:dyDescent="0.25">
      <c r="A6" s="50" t="s">
        <v>73</v>
      </c>
      <c r="B6" s="51" t="s">
        <v>74</v>
      </c>
      <c r="C6" s="79" t="s">
        <v>75</v>
      </c>
      <c r="D6" s="79"/>
      <c r="E6" s="79" t="s">
        <v>76</v>
      </c>
      <c r="F6" s="79"/>
      <c r="G6" s="79" t="s">
        <v>77</v>
      </c>
      <c r="H6" s="79"/>
      <c r="I6" s="79"/>
      <c r="J6" s="79" t="s">
        <v>78</v>
      </c>
      <c r="K6" s="79"/>
    </row>
    <row r="7" spans="1:14" x14ac:dyDescent="0.25">
      <c r="A7" s="52"/>
      <c r="B7" s="53"/>
      <c r="C7" s="80" t="s">
        <v>79</v>
      </c>
      <c r="D7" s="80"/>
      <c r="E7" s="80" t="s">
        <v>80</v>
      </c>
      <c r="F7" s="80"/>
      <c r="G7" s="80" t="s">
        <v>80</v>
      </c>
      <c r="H7" s="80"/>
      <c r="I7" s="80"/>
      <c r="J7" s="80" t="s">
        <v>81</v>
      </c>
      <c r="K7" s="80"/>
    </row>
    <row r="8" spans="1:14" x14ac:dyDescent="0.25">
      <c r="A8" s="55" t="s">
        <v>82</v>
      </c>
      <c r="B8" s="54" t="s">
        <v>83</v>
      </c>
      <c r="C8" s="56" t="s">
        <v>84</v>
      </c>
      <c r="D8" s="56" t="s">
        <v>85</v>
      </c>
      <c r="E8" s="55" t="s">
        <v>84</v>
      </c>
      <c r="F8" s="57" t="s">
        <v>85</v>
      </c>
      <c r="G8" s="55" t="s">
        <v>84</v>
      </c>
      <c r="H8" s="56" t="s">
        <v>86</v>
      </c>
      <c r="I8" s="57" t="s">
        <v>85</v>
      </c>
      <c r="J8" s="56" t="s">
        <v>84</v>
      </c>
      <c r="K8" s="57" t="s">
        <v>85</v>
      </c>
    </row>
    <row r="9" spans="1:14" ht="15.75" thickBot="1" x14ac:dyDescent="0.3">
      <c r="A9" s="58" t="s">
        <v>87</v>
      </c>
      <c r="B9" s="59" t="s">
        <v>88</v>
      </c>
      <c r="C9" s="60" t="s">
        <v>89</v>
      </c>
      <c r="D9" s="60" t="s">
        <v>90</v>
      </c>
      <c r="E9" s="58" t="s">
        <v>91</v>
      </c>
      <c r="F9" s="61" t="s">
        <v>92</v>
      </c>
      <c r="G9" s="58" t="s">
        <v>93</v>
      </c>
      <c r="H9" s="60" t="s">
        <v>94</v>
      </c>
      <c r="I9" s="61" t="s">
        <v>95</v>
      </c>
      <c r="J9" s="60" t="s">
        <v>96</v>
      </c>
      <c r="K9" s="61" t="s">
        <v>97</v>
      </c>
    </row>
    <row r="10" spans="1:14" x14ac:dyDescent="0.25">
      <c r="A10" s="55">
        <v>0.01</v>
      </c>
      <c r="B10" s="62">
        <v>0.61165700001066314</v>
      </c>
      <c r="C10" s="63">
        <v>1.0002062971438321E-3</v>
      </c>
      <c r="D10" s="64">
        <v>205.99745948538495</v>
      </c>
      <c r="E10" s="65">
        <v>-1.340262185447865E-10</v>
      </c>
      <c r="F10" s="66">
        <v>2374.9112065608165</v>
      </c>
      <c r="G10" s="64">
        <v>6.1178304907655171E-4</v>
      </c>
      <c r="H10" s="56">
        <v>2500.9103828564162</v>
      </c>
      <c r="I10" s="64">
        <v>2500.9109946394651</v>
      </c>
      <c r="J10" s="67">
        <v>-6.1610290588245986E-8</v>
      </c>
      <c r="K10" s="68">
        <v>9.1554914737363742</v>
      </c>
    </row>
    <row r="11" spans="1:14" x14ac:dyDescent="0.25">
      <c r="A11" s="55">
        <v>2</v>
      </c>
      <c r="B11" s="62">
        <v>0.70598790589827853</v>
      </c>
      <c r="C11" s="63">
        <v>1.0001065070205295E-3</v>
      </c>
      <c r="D11" s="64">
        <v>179.76358909192797</v>
      </c>
      <c r="E11" s="65">
        <v>8.3908958606190502</v>
      </c>
      <c r="F11" s="66">
        <v>2377.6556329243108</v>
      </c>
      <c r="G11" s="64">
        <v>8.3916019237175004</v>
      </c>
      <c r="H11" s="56">
        <v>2496.1749508203629</v>
      </c>
      <c r="I11" s="64">
        <v>2504.5665527440806</v>
      </c>
      <c r="J11" s="67">
        <v>3.0606494952059304E-2</v>
      </c>
      <c r="K11" s="68">
        <v>9.1026692571951351</v>
      </c>
    </row>
    <row r="12" spans="1:14" x14ac:dyDescent="0.25">
      <c r="A12" s="55">
        <v>4</v>
      </c>
      <c r="B12" s="62">
        <v>0.81354938418323253</v>
      </c>
      <c r="C12" s="63">
        <v>1.0000743360682512E-3</v>
      </c>
      <c r="D12" s="64">
        <v>157.12133225142355</v>
      </c>
      <c r="E12" s="65">
        <v>16.811903685197382</v>
      </c>
      <c r="F12" s="66">
        <v>2380.4115014317708</v>
      </c>
      <c r="G12" s="64">
        <v>16.812717295057631</v>
      </c>
      <c r="H12" s="56">
        <v>2491.424747231908</v>
      </c>
      <c r="I12" s="64">
        <v>2508.2374645269656</v>
      </c>
      <c r="J12" s="67">
        <v>6.1100977266344114E-2</v>
      </c>
      <c r="K12" s="68">
        <v>9.050556234702416</v>
      </c>
    </row>
    <row r="13" spans="1:14" x14ac:dyDescent="0.25">
      <c r="A13" s="55">
        <v>6</v>
      </c>
      <c r="B13" s="62">
        <v>0.93535306038463151</v>
      </c>
      <c r="C13" s="63">
        <v>1.0001060963389214E-3</v>
      </c>
      <c r="D13" s="64">
        <v>137.63818028469009</v>
      </c>
      <c r="E13" s="65">
        <v>25.222727508237572</v>
      </c>
      <c r="F13" s="66">
        <v>2383.1648367441785</v>
      </c>
      <c r="G13" s="64">
        <v>25.223662960535396</v>
      </c>
      <c r="H13" s="56">
        <v>2486.6814669386999</v>
      </c>
      <c r="I13" s="64">
        <v>2511.9051298992354</v>
      </c>
      <c r="J13" s="67">
        <v>9.1339574020424058E-2</v>
      </c>
      <c r="K13" s="68">
        <v>8.9993965719895304</v>
      </c>
    </row>
    <row r="14" spans="1:14" x14ac:dyDescent="0.25">
      <c r="A14" s="55">
        <v>8</v>
      </c>
      <c r="B14" s="62">
        <v>1.0729877549680413</v>
      </c>
      <c r="C14" s="63">
        <v>1.0001979274959459E-3</v>
      </c>
      <c r="D14" s="64">
        <v>120.83442993949782</v>
      </c>
      <c r="E14" s="65">
        <v>33.624943385469464</v>
      </c>
      <c r="F14" s="66">
        <v>2385.9154641028517</v>
      </c>
      <c r="G14" s="64">
        <v>33.626016585598215</v>
      </c>
      <c r="H14" s="56">
        <v>2481.9433112208781</v>
      </c>
      <c r="I14" s="64">
        <v>2515.5693278064764</v>
      </c>
      <c r="J14" s="67">
        <v>0.12133156531573637</v>
      </c>
      <c r="K14" s="68">
        <v>8.9491672418410584</v>
      </c>
    </row>
    <row r="15" spans="1:14" x14ac:dyDescent="0.25">
      <c r="A15" s="55">
        <v>10</v>
      </c>
      <c r="B15" s="62">
        <v>1.2281838693402238</v>
      </c>
      <c r="C15" s="63">
        <v>1.0003464067964037E-3</v>
      </c>
      <c r="D15" s="64">
        <v>106.30869688462258</v>
      </c>
      <c r="E15" s="65">
        <v>42.019860039163618</v>
      </c>
      <c r="F15" s="66">
        <v>2388.6632122561505</v>
      </c>
      <c r="G15" s="64">
        <v>42.021088648483818</v>
      </c>
      <c r="H15" s="56">
        <v>2477.2087502919394</v>
      </c>
      <c r="I15" s="64">
        <v>2519.2298389404232</v>
      </c>
      <c r="J15" s="67">
        <v>0.15108508629574735</v>
      </c>
      <c r="K15" s="68">
        <v>8.899845920563175</v>
      </c>
    </row>
    <row r="16" spans="1:14" x14ac:dyDescent="0.25">
      <c r="A16" s="55">
        <v>12</v>
      </c>
      <c r="B16" s="62">
        <v>1.4028223728154214</v>
      </c>
      <c r="C16" s="63">
        <v>1.0005484896572572E-3</v>
      </c>
      <c r="D16" s="64">
        <v>93.724290941412889</v>
      </c>
      <c r="E16" s="65">
        <v>50.408567993947472</v>
      </c>
      <c r="F16" s="66">
        <v>2391.4079129371803</v>
      </c>
      <c r="G16" s="64">
        <v>50.409971585753844</v>
      </c>
      <c r="H16" s="56">
        <v>2472.4764735603026</v>
      </c>
      <c r="I16" s="64">
        <v>2522.8864451460563</v>
      </c>
      <c r="J16" s="67">
        <v>0.18060733232875739</v>
      </c>
      <c r="K16" s="68">
        <v>8.8514109625084139</v>
      </c>
    </row>
    <row r="17" spans="1:11" x14ac:dyDescent="0.25">
      <c r="A17" s="55">
        <v>14</v>
      </c>
      <c r="B17" s="62">
        <v>1.598944056530039</v>
      </c>
      <c r="C17" s="63">
        <v>1.0008014592377463E-3</v>
      </c>
      <c r="D17" s="64">
        <v>82.798099121221099</v>
      </c>
      <c r="E17" s="65">
        <v>58.791979919661742</v>
      </c>
      <c r="F17" s="66">
        <v>2394.1494002366476</v>
      </c>
      <c r="G17" s="64">
        <v>58.793580145206093</v>
      </c>
      <c r="H17" s="56">
        <v>2467.7453485733017</v>
      </c>
      <c r="I17" s="64">
        <v>2526.538928718508</v>
      </c>
      <c r="J17" s="67">
        <v>0.2099047262873438</v>
      </c>
      <c r="K17" s="68">
        <v>8.8038413744301796</v>
      </c>
    </row>
    <row r="18" spans="1:11" x14ac:dyDescent="0.25">
      <c r="A18" s="55">
        <v>16</v>
      </c>
      <c r="B18" s="62">
        <v>1.8187590416053085</v>
      </c>
      <c r="C18" s="63">
        <v>1.0011028835855726E-3</v>
      </c>
      <c r="D18" s="64">
        <v>73.291490885172834</v>
      </c>
      <c r="E18" s="65">
        <v>67.170863730702536</v>
      </c>
      <c r="F18" s="66">
        <v>2396.8875098884405</v>
      </c>
      <c r="G18" s="64">
        <v>67.172684495624438</v>
      </c>
      <c r="H18" s="56">
        <v>2463.014387112958</v>
      </c>
      <c r="I18" s="64">
        <v>2530.1870716085823</v>
      </c>
      <c r="J18" s="67">
        <v>0.23898305488096905</v>
      </c>
      <c r="K18" s="68">
        <v>8.7571167899118123</v>
      </c>
    </row>
    <row r="19" spans="1:11" x14ac:dyDescent="0.25">
      <c r="A19" s="55">
        <v>18</v>
      </c>
      <c r="B19" s="62">
        <v>2.064656527674487</v>
      </c>
      <c r="C19" s="63">
        <v>1.0014505791387225E-3</v>
      </c>
      <c r="D19" s="64">
        <v>65.002858476118718</v>
      </c>
      <c r="E19" s="65">
        <v>75.545869718320674</v>
      </c>
      <c r="F19" s="66">
        <v>2399.6220784868856</v>
      </c>
      <c r="G19" s="64">
        <v>75.547937369796031</v>
      </c>
      <c r="H19" s="56">
        <v>2458.2827171873091</v>
      </c>
      <c r="I19" s="64">
        <v>2533.8306545571049</v>
      </c>
      <c r="J19" s="67">
        <v>0.26784757972166456</v>
      </c>
      <c r="K19" s="68">
        <v>8.7112174440792582</v>
      </c>
    </row>
    <row r="20" spans="1:11" x14ac:dyDescent="0.25">
      <c r="A20" s="55">
        <v>20</v>
      </c>
      <c r="B20" s="62">
        <v>2.3392147667768968</v>
      </c>
      <c r="C20" s="63">
        <v>1.0018425795764656E-3</v>
      </c>
      <c r="D20" s="64">
        <v>57.761482803042114</v>
      </c>
      <c r="E20" s="65">
        <v>83.917552768084704</v>
      </c>
      <c r="F20" s="66">
        <v>2402.3529426552736</v>
      </c>
      <c r="G20" s="64">
        <v>83.91989629304193</v>
      </c>
      <c r="H20" s="56">
        <v>2453.549559886038</v>
      </c>
      <c r="I20" s="64">
        <v>2537.4694561790798</v>
      </c>
      <c r="J20" s="67">
        <v>0.2965031277627545</v>
      </c>
      <c r="K20" s="68">
        <v>8.6661241487742959</v>
      </c>
    </row>
    <row r="21" spans="1:11" x14ac:dyDescent="0.25">
      <c r="A21" s="55">
        <v>22</v>
      </c>
      <c r="B21" s="62">
        <v>2.6452112465822526</v>
      </c>
      <c r="C21" s="63">
        <v>1.0022771091799327E-3</v>
      </c>
      <c r="D21" s="64">
        <v>51.422476752653786</v>
      </c>
      <c r="E21" s="65">
        <v>92.286390530180569</v>
      </c>
      <c r="F21" s="66">
        <v>2405.079938185399</v>
      </c>
      <c r="G21" s="64">
        <v>92.289041764861466</v>
      </c>
      <c r="H21" s="56">
        <v>2448.8142102537713</v>
      </c>
      <c r="I21" s="64">
        <v>2541.1032520186327</v>
      </c>
      <c r="J21" s="67">
        <v>0.32495416490232198</v>
      </c>
      <c r="K21" s="68">
        <v>8.6218182683366393</v>
      </c>
    </row>
    <row r="22" spans="1:11" x14ac:dyDescent="0.25">
      <c r="A22" s="55">
        <v>24</v>
      </c>
      <c r="B22" s="62">
        <v>2.9856330659539436</v>
      </c>
      <c r="C22" s="63">
        <v>1.0027525600008387E-3</v>
      </c>
      <c r="D22" s="64">
        <v>45.862606490189407</v>
      </c>
      <c r="E22" s="65">
        <v>100.65279825831951</v>
      </c>
      <c r="F22" s="66">
        <v>2407.8028991672272</v>
      </c>
      <c r="G22" s="64">
        <v>100.65579210951859</v>
      </c>
      <c r="H22" s="56">
        <v>2444.0760214856523</v>
      </c>
      <c r="I22" s="64">
        <v>2544.7318135951709</v>
      </c>
      <c r="J22" s="67">
        <v>0.35320485585083822</v>
      </c>
      <c r="K22" s="68">
        <v>8.5782816961165409</v>
      </c>
    </row>
    <row r="23" spans="1:11" x14ac:dyDescent="0.25">
      <c r="A23" s="55">
        <v>26</v>
      </c>
      <c r="B23" s="62">
        <v>3.3636874849924085</v>
      </c>
      <c r="C23" s="63">
        <v>1.0032674722515377E-3</v>
      </c>
      <c r="D23" s="64">
        <v>40.976830026022959</v>
      </c>
      <c r="E23" s="65">
        <v>109.01714090789744</v>
      </c>
      <c r="F23" s="66">
        <v>2410.5216571268079</v>
      </c>
      <c r="G23" s="64">
        <v>109.02051558613688</v>
      </c>
      <c r="H23" s="56">
        <v>2439.3343918738656</v>
      </c>
      <c r="I23" s="64">
        <v>2548.3549074600023</v>
      </c>
      <c r="J23" s="67">
        <v>0.38125911279714836</v>
      </c>
      <c r="K23" s="68">
        <v>8.5354968318155553</v>
      </c>
    </row>
    <row r="24" spans="1:11" x14ac:dyDescent="0.25">
      <c r="A24" s="55">
        <v>28</v>
      </c>
      <c r="B24" s="62">
        <v>3.7828126309269448</v>
      </c>
      <c r="C24" s="63">
        <v>1.003820517424734E-3</v>
      </c>
      <c r="D24" s="64">
        <v>36.675423191151985</v>
      </c>
      <c r="E24" s="65">
        <v>117.37974298088008</v>
      </c>
      <c r="F24" s="66">
        <v>2413.2360401889728</v>
      </c>
      <c r="G24" s="64">
        <v>117.38354024581254</v>
      </c>
      <c r="H24" s="56">
        <v>2434.5887540352401</v>
      </c>
      <c r="I24" s="64">
        <v>2551.9722942810527</v>
      </c>
      <c r="J24" s="67">
        <v>0.40912063494495332</v>
      </c>
      <c r="K24" s="68">
        <v>8.4934465597304651</v>
      </c>
    </row>
    <row r="25" spans="1:11" x14ac:dyDescent="0.25">
      <c r="A25" s="55">
        <v>30</v>
      </c>
      <c r="B25" s="62">
        <v>4.2466883405480642</v>
      </c>
      <c r="C25" s="63">
        <v>1.0044104837303317E-3</v>
      </c>
      <c r="D25" s="64">
        <v>32.881587838333061</v>
      </c>
      <c r="E25" s="65">
        <v>125.74089651978289</v>
      </c>
      <c r="F25" s="66">
        <v>2415.9458722794452</v>
      </c>
      <c r="G25" s="64">
        <v>125.74516193807328</v>
      </c>
      <c r="H25" s="56">
        <v>2429.8385660331282</v>
      </c>
      <c r="I25" s="64">
        <v>2555.5837279712014</v>
      </c>
      <c r="J25" s="67">
        <v>0.43679294061428825</v>
      </c>
      <c r="K25" s="68">
        <v>8.4521142279549561</v>
      </c>
    </row>
    <row r="26" spans="1:11" x14ac:dyDescent="0.25">
      <c r="A26" s="55">
        <v>32</v>
      </c>
      <c r="B26" s="62">
        <v>4.7592471192971679</v>
      </c>
      <c r="C26" s="63">
        <v>1.0050362635027779E-3</v>
      </c>
      <c r="D26" s="64">
        <v>29.529456859851752</v>
      </c>
      <c r="E26" s="65">
        <v>134.10086758289791</v>
      </c>
      <c r="F26" s="66">
        <v>2418.6509723787785</v>
      </c>
      <c r="G26" s="64">
        <v>134.10565079883952</v>
      </c>
      <c r="H26" s="56">
        <v>2425.0833040745983</v>
      </c>
      <c r="I26" s="64">
        <v>2559.188954873438</v>
      </c>
      <c r="J26" s="67">
        <v>0.46427939329352785</v>
      </c>
      <c r="K26" s="68">
        <v>8.4114836285745191</v>
      </c>
    </row>
    <row r="27" spans="1:11" x14ac:dyDescent="0.25">
      <c r="A27" s="55">
        <v>34</v>
      </c>
      <c r="B27" s="62">
        <v>5.3246851966572546</v>
      </c>
      <c r="C27" s="63">
        <v>1.0056968422872017E-3</v>
      </c>
      <c r="D27" s="64">
        <v>26.56242650065694</v>
      </c>
      <c r="E27" s="65">
        <v>142.4599014748872</v>
      </c>
      <c r="F27" s="66">
        <v>2421.3511538380949</v>
      </c>
      <c r="G27" s="64">
        <v>142.46525649397566</v>
      </c>
      <c r="H27" s="56">
        <v>2420.3224565194641</v>
      </c>
      <c r="I27" s="64">
        <v>2562.7877130134398</v>
      </c>
      <c r="J27" s="67">
        <v>0.49158322277457883</v>
      </c>
      <c r="K27" s="68">
        <v>8.3715389788728416</v>
      </c>
    </row>
    <row r="28" spans="1:11" x14ac:dyDescent="0.25">
      <c r="A28" s="55">
        <v>36</v>
      </c>
      <c r="B28" s="62">
        <v>5.9474736571187421</v>
      </c>
      <c r="C28" s="63">
        <v>1.0063912893585008E-3</v>
      </c>
      <c r="D28" s="64">
        <v>23.931759242514833</v>
      </c>
      <c r="E28" s="65">
        <v>150.81822695897159</v>
      </c>
      <c r="F28" s="66">
        <v>2424.0462237640772</v>
      </c>
      <c r="G28" s="64">
        <v>150.8242124446538</v>
      </c>
      <c r="H28" s="56">
        <v>2415.5555189827883</v>
      </c>
      <c r="I28" s="64">
        <v>2566.379731427442</v>
      </c>
      <c r="J28" s="67">
        <v>0.51870754229695037</v>
      </c>
      <c r="K28" s="68">
        <v>8.3322649035523479</v>
      </c>
    </row>
    <row r="29" spans="1:11" x14ac:dyDescent="0.25">
      <c r="A29" s="55">
        <v>38</v>
      </c>
      <c r="B29" s="62">
        <v>6.6323696257288098</v>
      </c>
      <c r="C29" s="63">
        <v>1.0071187494658795E-3</v>
      </c>
      <c r="D29" s="64">
        <v>21.595410867463642</v>
      </c>
      <c r="E29" s="65">
        <v>159.17605963732035</v>
      </c>
      <c r="F29" s="66">
        <v>2426.7359824780438</v>
      </c>
      <c r="G29" s="64">
        <v>159.1827392211238</v>
      </c>
      <c r="H29" s="56">
        <v>2410.7819903494201</v>
      </c>
      <c r="I29" s="64">
        <v>2569.964729570544</v>
      </c>
      <c r="J29" s="67">
        <v>0.54565536245691282</v>
      </c>
      <c r="K29" s="68">
        <v>8.2936464179576124</v>
      </c>
    </row>
    <row r="30" spans="1:11" x14ac:dyDescent="0.25">
      <c r="A30" s="55">
        <v>40</v>
      </c>
      <c r="B30" s="62">
        <v>7.3844274870695292</v>
      </c>
      <c r="C30" s="63">
        <v>1.0078784356274417E-3</v>
      </c>
      <c r="D30" s="64">
        <v>19.517043671808679</v>
      </c>
      <c r="E30" s="65">
        <v>167.53360465350789</v>
      </c>
      <c r="F30" s="66">
        <v>2429.4202230515084</v>
      </c>
      <c r="G30" s="64">
        <v>167.5410472587302</v>
      </c>
      <c r="H30" s="56">
        <v>2406.0013695492189</v>
      </c>
      <c r="I30" s="64">
        <v>2573.5424168079489</v>
      </c>
      <c r="J30" s="67">
        <v>0.57242960249906927</v>
      </c>
      <c r="K30" s="68">
        <v>8.2556689122783578</v>
      </c>
    </row>
    <row r="31" spans="1:11" x14ac:dyDescent="0.25">
      <c r="A31" s="55">
        <v>42</v>
      </c>
      <c r="B31" s="62">
        <v>8.209010116448697</v>
      </c>
      <c r="C31" s="63">
        <v>1.008669622826324E-3</v>
      </c>
      <c r="D31" s="64">
        <v>17.665194586659823</v>
      </c>
      <c r="E31" s="65">
        <v>175.89105884382127</v>
      </c>
      <c r="F31" s="66">
        <v>2432.0987309181073</v>
      </c>
      <c r="G31" s="64">
        <v>175.89933902295911</v>
      </c>
      <c r="H31" s="56">
        <v>2401.2131529660737</v>
      </c>
      <c r="I31" s="64">
        <v>2577.1124919890326</v>
      </c>
      <c r="J31" s="67">
        <v>0.59903309949397154</v>
      </c>
      <c r="K31" s="68">
        <v>8.2183181366983433</v>
      </c>
    </row>
    <row r="32" spans="1:11" x14ac:dyDescent="0.25">
      <c r="A32" s="55">
        <v>44</v>
      </c>
      <c r="B32" s="62">
        <v>9.1118001021253114</v>
      </c>
      <c r="C32" s="63">
        <v>1.009491642482466E-3</v>
      </c>
      <c r="D32" s="64">
        <v>16.012572478201701</v>
      </c>
      <c r="E32" s="65">
        <v>184.24861244183433</v>
      </c>
      <c r="F32" s="66">
        <v>2434.771283559729</v>
      </c>
      <c r="G32" s="64">
        <v>184.25781072788541</v>
      </c>
      <c r="H32" s="56">
        <v>2396.41683237401</v>
      </c>
      <c r="I32" s="64">
        <v>2580.6746431018955</v>
      </c>
      <c r="J32" s="67">
        <v>0.62546861581235635</v>
      </c>
      <c r="K32" s="68">
        <v>8.1815801874479988</v>
      </c>
    </row>
    <row r="33" spans="1:18" x14ac:dyDescent="0.25">
      <c r="A33" s="55">
        <v>46</v>
      </c>
      <c r="B33" s="62">
        <v>10.098810937524947</v>
      </c>
      <c r="C33" s="63">
        <v>1.0103438775930717E-3</v>
      </c>
      <c r="D33" s="64">
        <v>14.535463397564529</v>
      </c>
      <c r="E33" s="65">
        <v>192.60645042208938</v>
      </c>
      <c r="F33" s="66">
        <v>2437.4376502626169</v>
      </c>
      <c r="G33" s="64">
        <v>192.61665369389112</v>
      </c>
      <c r="H33" s="56">
        <v>2391.6118933100443</v>
      </c>
      <c r="I33" s="64">
        <v>2584.2285470039355</v>
      </c>
      <c r="J33" s="67">
        <v>0.65173884523008885</v>
      </c>
      <c r="K33" s="68">
        <v>8.1454414937119477</v>
      </c>
    </row>
    <row r="34" spans="1:18" x14ac:dyDescent="0.25">
      <c r="A34" s="55">
        <v>48</v>
      </c>
      <c r="B34" s="62">
        <v>11.176398162627306</v>
      </c>
      <c r="C34" s="63">
        <v>1.0112257584508036E-3</v>
      </c>
      <c r="D34" s="64">
        <v>13.213226223313617</v>
      </c>
      <c r="E34" s="65">
        <v>200.96475355346107</v>
      </c>
      <c r="F34" s="66">
        <v>2440.0975919376706</v>
      </c>
      <c r="G34" s="64">
        <v>200.9760554151695</v>
      </c>
      <c r="H34" s="56">
        <v>2386.7978138071226</v>
      </c>
      <c r="I34" s="64">
        <v>2587.773869222292</v>
      </c>
      <c r="J34" s="67">
        <v>0.67784641793561751</v>
      </c>
      <c r="K34" s="68">
        <v>8.1098888053376648</v>
      </c>
    </row>
    <row r="35" spans="1:18" x14ac:dyDescent="0.25">
      <c r="A35" s="55">
        <v>50</v>
      </c>
      <c r="B35" s="62">
        <v>12.35127043402335</v>
      </c>
      <c r="C35" s="63">
        <v>1.0121367588622119E-3</v>
      </c>
      <c r="D35" s="64">
        <v>12.027864146639756</v>
      </c>
      <c r="E35" s="65">
        <v>209.32369922006549</v>
      </c>
      <c r="F35" s="66">
        <v>2442.7508609977931</v>
      </c>
      <c r="G35" s="64">
        <v>209.33620039488886</v>
      </c>
      <c r="H35" s="56">
        <v>2381.9740634217455</v>
      </c>
      <c r="I35" s="64">
        <v>2591.3102638166342</v>
      </c>
      <c r="J35" s="67">
        <v>0.70379390466047431</v>
      </c>
      <c r="K35" s="68">
        <v>8.0749091812881577</v>
      </c>
    </row>
    <row r="36" spans="1:18" x14ac:dyDescent="0.25">
      <c r="A36" s="55">
        <v>52</v>
      </c>
      <c r="B36" s="62">
        <v>13.630500503536144</v>
      </c>
      <c r="C36" s="63">
        <v>1.0130763928002675E-3</v>
      </c>
      <c r="D36" s="64">
        <v>10.963659916431965</v>
      </c>
      <c r="E36" s="65">
        <v>217.68346205713183</v>
      </c>
      <c r="F36" s="66">
        <v>2445.3972012842228</v>
      </c>
      <c r="G36" s="64">
        <v>217.697270795414</v>
      </c>
      <c r="H36" s="56">
        <v>2377.1401025003338</v>
      </c>
      <c r="I36" s="64">
        <v>2594.837373295748</v>
      </c>
      <c r="J36" s="67">
        <v>0.72958382011158451</v>
      </c>
      <c r="K36" s="68">
        <v>8.0404899787802098</v>
      </c>
    </row>
    <row r="37" spans="1:18" x14ac:dyDescent="0.25">
      <c r="A37" s="55">
        <v>54</v>
      </c>
      <c r="B37" s="62">
        <v>15.021536085779353</v>
      </c>
      <c r="C37" s="63">
        <v>1.014044211434478E-3</v>
      </c>
      <c r="D37" s="64">
        <v>10.006864789809251</v>
      </c>
      <c r="E37" s="65">
        <v>226.04421444056581</v>
      </c>
      <c r="F37" s="66">
        <v>2448.0363480331712</v>
      </c>
      <c r="G37" s="64">
        <v>226.05944694228003</v>
      </c>
      <c r="H37" s="56">
        <v>2372.2953816365252</v>
      </c>
      <c r="I37" s="64">
        <v>2598.3548285788052</v>
      </c>
      <c r="J37" s="67">
        <v>0.75521862584984878</v>
      </c>
      <c r="K37" s="68">
        <v>8.0066188430493455</v>
      </c>
    </row>
    <row r="38" spans="1:18" x14ac:dyDescent="0.25">
      <c r="A38" s="55">
        <v>56</v>
      </c>
      <c r="B38" s="62">
        <v>16.532210595575176</v>
      </c>
      <c r="C38" s="63">
        <v>1.0150398004901719E-3</v>
      </c>
      <c r="D38" s="64">
        <v>9.1454328048888325</v>
      </c>
      <c r="E38" s="65">
        <v>234.40612686180108</v>
      </c>
      <c r="F38" s="66">
        <v>2450.6680278738568</v>
      </c>
      <c r="G38" s="64">
        <v>234.42290771354541</v>
      </c>
      <c r="H38" s="56">
        <v>2367.4393412784152</v>
      </c>
      <c r="I38" s="64">
        <v>2601.8622489919608</v>
      </c>
      <c r="J38" s="67">
        <v>0.78070073273153984</v>
      </c>
      <c r="K38" s="68">
        <v>7.973283697684197</v>
      </c>
    </row>
    <row r="39" spans="1:18" x14ac:dyDescent="0.25">
      <c r="A39" s="55">
        <v>58</v>
      </c>
      <c r="B39" s="62">
        <v>18.170753736771616</v>
      </c>
      <c r="C39" s="63">
        <v>1.0160627778954801E-3</v>
      </c>
      <c r="D39" s="64">
        <v>8.3687933722960182</v>
      </c>
      <c r="E39" s="65">
        <v>242.76936821363341</v>
      </c>
      <c r="F39" s="66">
        <v>2453.2919588491791</v>
      </c>
      <c r="G39" s="64">
        <v>242.78783084015137</v>
      </c>
      <c r="H39" s="56">
        <v>2362.5714114509456</v>
      </c>
      <c r="I39" s="64">
        <v>2605.359242291097</v>
      </c>
      <c r="J39" s="67">
        <v>0.80603250300626583</v>
      </c>
      <c r="K39" s="68">
        <v>7.940472735475443</v>
      </c>
    </row>
    <row r="40" spans="1:18" x14ac:dyDescent="0.25">
      <c r="A40" s="55">
        <v>60</v>
      </c>
      <c r="B40" s="62">
        <v>19.945801924678747</v>
      </c>
      <c r="C40" s="63">
        <v>1.0171127916803249E-3</v>
      </c>
      <c r="D40" s="64">
        <v>7.6676563233153745</v>
      </c>
      <c r="E40" s="65">
        <v>251.13410600784266</v>
      </c>
      <c r="F40" s="66">
        <v>2455.9078504506501</v>
      </c>
      <c r="G40" s="64">
        <v>251.15439313812013</v>
      </c>
      <c r="H40" s="56">
        <v>2357.6910115638889</v>
      </c>
      <c r="I40" s="64">
        <v>2608.8454047020091</v>
      </c>
      <c r="J40" s="67">
        <v>0.83121625214654493</v>
      </c>
      <c r="K40" s="68">
        <v>7.9081744097278968</v>
      </c>
    </row>
    <row r="41" spans="1:18" x14ac:dyDescent="0.25">
      <c r="A41" s="55">
        <v>62</v>
      </c>
      <c r="B41" s="62">
        <v>21.866408525076718</v>
      </c>
      <c r="C41" s="63">
        <v>1.0181895180967613E-3</v>
      </c>
      <c r="D41" s="64">
        <v>7.0338444986877429</v>
      </c>
      <c r="E41" s="65">
        <v>259.50050654140972</v>
      </c>
      <c r="F41" s="66">
        <v>2458.5154036600265</v>
      </c>
      <c r="G41" s="64">
        <v>259.52277068936831</v>
      </c>
      <c r="H41" s="56">
        <v>2352.7975502808276</v>
      </c>
      <c r="I41" s="64">
        <v>2612.320320970196</v>
      </c>
      <c r="J41" s="67">
        <v>0.85625425046894976</v>
      </c>
      <c r="K41" s="68">
        <v>7.876377425989026</v>
      </c>
      <c r="M41" s="44" t="s">
        <v>6</v>
      </c>
      <c r="N41" s="44"/>
      <c r="O41" s="44"/>
      <c r="P41" s="44"/>
      <c r="Q41" s="44"/>
      <c r="R41" s="44"/>
    </row>
    <row r="42" spans="1:18" x14ac:dyDescent="0.25">
      <c r="A42" s="55">
        <v>64</v>
      </c>
      <c r="B42" s="62">
        <v>23.942053893532048</v>
      </c>
      <c r="C42" s="63">
        <v>1.0192926599342116E-3</v>
      </c>
      <c r="D42" s="64">
        <v>6.4601497478136425</v>
      </c>
      <c r="E42" s="65">
        <v>267.86873502483206</v>
      </c>
      <c r="F42" s="66">
        <v>2461.1143109910549</v>
      </c>
      <c r="G42" s="64">
        <v>267.89313898462888</v>
      </c>
      <c r="H42" s="56">
        <v>2347.8904254288673</v>
      </c>
      <c r="I42" s="64">
        <v>2615.7835644134962</v>
      </c>
      <c r="J42" s="67">
        <v>0.88114872459444271</v>
      </c>
      <c r="K42" s="68">
        <v>7.8450707341521797</v>
      </c>
      <c r="M42" s="48" t="s">
        <v>98</v>
      </c>
      <c r="N42" s="48"/>
      <c r="O42" s="48"/>
      <c r="P42" s="48"/>
      <c r="Q42" s="12">
        <v>100</v>
      </c>
      <c r="R42" s="13" t="s">
        <v>99</v>
      </c>
    </row>
    <row r="43" spans="1:18" x14ac:dyDescent="0.25">
      <c r="A43" s="55">
        <v>66</v>
      </c>
      <c r="B43" s="62">
        <v>26.182655199585803</v>
      </c>
      <c r="C43" s="63">
        <v>1.0204219450067674E-3</v>
      </c>
      <c r="D43" s="64">
        <v>5.940208861958693</v>
      </c>
      <c r="E43" s="65">
        <v>276.23895568331483</v>
      </c>
      <c r="F43" s="66">
        <v>2463.7042565259458</v>
      </c>
      <c r="G43" s="64">
        <v>276.26567303925799</v>
      </c>
      <c r="H43" s="56">
        <v>2342.9690239328766</v>
      </c>
      <c r="I43" s="64">
        <v>2619.2346969721343</v>
      </c>
      <c r="J43" s="67">
        <v>0.90590185878548657</v>
      </c>
      <c r="K43" s="68">
        <v>7.8142435208984766</v>
      </c>
      <c r="M43" s="81" t="s">
        <v>100</v>
      </c>
      <c r="N43" s="81"/>
      <c r="Q43" s="12">
        <v>100</v>
      </c>
      <c r="R43" s="13" t="s">
        <v>83</v>
      </c>
    </row>
    <row r="44" spans="1:18" x14ac:dyDescent="0.25">
      <c r="A44" s="55">
        <v>68</v>
      </c>
      <c r="B44" s="62">
        <v>28.598576021239818</v>
      </c>
      <c r="C44" s="63">
        <v>1.0215771247928007E-3</v>
      </c>
      <c r="D44" s="64">
        <v>5.4683965101443714</v>
      </c>
      <c r="E44" s="65">
        <v>284.61133183940973</v>
      </c>
      <c r="F44" s="66">
        <v>2466.2849159426478</v>
      </c>
      <c r="G44" s="64">
        <v>284.64054749047523</v>
      </c>
      <c r="H44" s="56">
        <v>2338.0327217618187</v>
      </c>
      <c r="I44" s="64">
        <v>2622.6732692522937</v>
      </c>
      <c r="J44" s="67">
        <v>0.93051579618949676</v>
      </c>
      <c r="K44" s="68">
        <v>7.7838852024472605</v>
      </c>
      <c r="M44" s="83" t="s">
        <v>101</v>
      </c>
      <c r="N44" s="83"/>
      <c r="O44" s="25"/>
      <c r="P44" s="25"/>
      <c r="Q44" s="69">
        <v>50</v>
      </c>
      <c r="R44" s="3" t="s">
        <v>83</v>
      </c>
    </row>
    <row r="45" spans="1:18" x14ac:dyDescent="0.25">
      <c r="A45" s="55">
        <v>70</v>
      </c>
      <c r="B45" s="62">
        <v>31.200635696061855</v>
      </c>
      <c r="C45" s="63">
        <v>1.0227579732097764E-3</v>
      </c>
      <c r="D45" s="64">
        <v>5.0397327016747884</v>
      </c>
      <c r="E45" s="65">
        <v>292.98602598383309</v>
      </c>
      <c r="F45" s="66">
        <v>2468.8559565304149</v>
      </c>
      <c r="G45" s="64">
        <v>293.01793668275963</v>
      </c>
      <c r="H45" s="56">
        <v>2333.0808838781395</v>
      </c>
      <c r="I45" s="64">
        <v>2626.0988205608992</v>
      </c>
      <c r="J45" s="67">
        <v>0.954992640011602</v>
      </c>
      <c r="K45" s="68">
        <v>7.753985417591025</v>
      </c>
    </row>
    <row r="46" spans="1:18" x14ac:dyDescent="0.25">
      <c r="A46" s="55">
        <v>72</v>
      </c>
      <c r="B46" s="62">
        <v>34.000118416150535</v>
      </c>
      <c r="C46" s="63">
        <v>1.0239642855094137E-3</v>
      </c>
      <c r="D46" s="64">
        <v>4.6498026801907049</v>
      </c>
      <c r="E46" s="65">
        <v>301.36319983970986</v>
      </c>
      <c r="F46" s="66">
        <v>2471.4170371928394</v>
      </c>
      <c r="G46" s="64">
        <v>301.39801474667109</v>
      </c>
      <c r="H46" s="56">
        <v>2328.1128641843866</v>
      </c>
      <c r="I46" s="64">
        <v>2629.5108789310575</v>
      </c>
      <c r="J46" s="67">
        <v>0.97933445463442526</v>
      </c>
      <c r="K46" s="68">
        <v>7.7245340209967512</v>
      </c>
      <c r="M46" s="44" t="s">
        <v>33</v>
      </c>
      <c r="N46" s="44"/>
      <c r="O46" s="44"/>
      <c r="P46" s="44"/>
      <c r="Q46" s="44"/>
      <c r="R46" s="44"/>
    </row>
    <row r="47" spans="1:18" x14ac:dyDescent="0.25">
      <c r="A47" s="55">
        <v>74</v>
      </c>
      <c r="B47" s="62">
        <v>37.00878205513839</v>
      </c>
      <c r="C47" s="63">
        <v>1.0251958772802736E-3</v>
      </c>
      <c r="D47" s="64">
        <v>4.2946874734603595</v>
      </c>
      <c r="E47" s="65">
        <v>309.7430144243001</v>
      </c>
      <c r="F47" s="66">
        <v>2473.9678084390011</v>
      </c>
      <c r="G47" s="64">
        <v>309.7809556750862</v>
      </c>
      <c r="H47" s="56">
        <v>2323.1280054641425</v>
      </c>
      <c r="I47" s="64">
        <v>2632.9089611392287</v>
      </c>
      <c r="J47" s="67">
        <v>1.0035432666984616</v>
      </c>
      <c r="K47" s="68">
        <v>7.6955210767612368</v>
      </c>
      <c r="M47" s="48" t="s">
        <v>102</v>
      </c>
      <c r="N47" s="48"/>
      <c r="O47" s="48"/>
      <c r="Q47" s="23">
        <f>Q42-Q48</f>
        <v>96.767745132069209</v>
      </c>
      <c r="R47" s="13" t="s">
        <v>99</v>
      </c>
    </row>
    <row r="48" spans="1:18" x14ac:dyDescent="0.25">
      <c r="A48" s="55">
        <v>76</v>
      </c>
      <c r="B48" s="62">
        <v>40.238866716365266</v>
      </c>
      <c r="C48" s="63">
        <v>1.0264525835465552E-3</v>
      </c>
      <c r="D48" s="64">
        <v>3.9709035912512909</v>
      </c>
      <c r="E48" s="65">
        <v>318.12563011124411</v>
      </c>
      <c r="F48" s="66">
        <v>2476.5079123649607</v>
      </c>
      <c r="G48" s="64">
        <v>318.16693339994367</v>
      </c>
      <c r="H48" s="56">
        <v>2318.1256393169142</v>
      </c>
      <c r="I48" s="64">
        <v>2636.2925727168576</v>
      </c>
      <c r="J48" s="67">
        <v>1.0276210661531313</v>
      </c>
      <c r="K48" s="68">
        <v>7.6669368522132082</v>
      </c>
      <c r="M48" s="83" t="s">
        <v>103</v>
      </c>
      <c r="N48" s="83"/>
      <c r="O48" s="83"/>
      <c r="P48" s="83"/>
      <c r="Q48" s="26">
        <f>O83*Q42</f>
        <v>3.2322548679307914</v>
      </c>
      <c r="R48" s="3" t="s">
        <v>99</v>
      </c>
    </row>
    <row r="49" spans="1:20" x14ac:dyDescent="0.25">
      <c r="A49" s="55">
        <v>78</v>
      </c>
      <c r="B49" s="62">
        <v>43.703102992315856</v>
      </c>
      <c r="C49" s="63">
        <v>1.0277342579532499E-3</v>
      </c>
      <c r="D49" s="64">
        <v>3.6753505891720981</v>
      </c>
      <c r="E49" s="65">
        <v>326.51120669561368</v>
      </c>
      <c r="F49" s="66">
        <v>2479.0369826292567</v>
      </c>
      <c r="G49" s="64">
        <v>326.55612187173779</v>
      </c>
      <c r="H49" s="56">
        <v>2313.1050860889763</v>
      </c>
      <c r="I49" s="64">
        <v>2639.6612079607139</v>
      </c>
      <c r="J49" s="67">
        <v>1.0515698072860626</v>
      </c>
      <c r="K49" s="68">
        <v>7.6387718119599022</v>
      </c>
    </row>
    <row r="50" spans="1:20" x14ac:dyDescent="0.25">
      <c r="A50" s="55">
        <v>80</v>
      </c>
      <c r="B50" s="62">
        <v>47.414719926378332</v>
      </c>
      <c r="C50" s="63">
        <v>1.0290407720291259E-3</v>
      </c>
      <c r="D50" s="64">
        <v>3.4052654064157317</v>
      </c>
      <c r="E50" s="65">
        <v>334.89990346338038</v>
      </c>
      <c r="F50" s="66">
        <v>2481.5546444273091</v>
      </c>
      <c r="G50" s="64">
        <v>334.94869514337927</v>
      </c>
      <c r="H50" s="56">
        <v>2308.065654804117</v>
      </c>
      <c r="I50" s="64">
        <v>2643.0143499474962</v>
      </c>
      <c r="J50" s="67">
        <v>1.0753914097359292</v>
      </c>
      <c r="K50" s="68">
        <v>7.6110166121795766</v>
      </c>
      <c r="M50" s="44" t="s">
        <v>43</v>
      </c>
      <c r="N50" s="44"/>
      <c r="O50" s="44"/>
      <c r="P50" s="44"/>
      <c r="Q50" s="44"/>
      <c r="R50" s="44"/>
      <c r="S50" s="44"/>
      <c r="T50" s="44"/>
    </row>
    <row r="51" spans="1:20" x14ac:dyDescent="0.25">
      <c r="A51" s="55">
        <v>82</v>
      </c>
      <c r="B51" s="62">
        <v>51.387452668949329</v>
      </c>
      <c r="C51" s="63">
        <v>1.0303720145200146E-3</v>
      </c>
      <c r="D51" s="64">
        <v>3.1581825457312465</v>
      </c>
      <c r="E51" s="65">
        <v>343.29187926643118</v>
      </c>
      <c r="F51" s="66">
        <v>2484.0605144707065</v>
      </c>
      <c r="G51" s="64">
        <v>343.34482745955876</v>
      </c>
      <c r="H51" s="56">
        <v>2303.006643099814</v>
      </c>
      <c r="I51" s="64">
        <v>2646.351470559373</v>
      </c>
      <c r="J51" s="67">
        <v>1.0990877594925856</v>
      </c>
      <c r="K51" s="68">
        <v>7.583662095164744</v>
      </c>
      <c r="M51" s="8"/>
      <c r="T51" s="13"/>
    </row>
    <row r="52" spans="1:20" x14ac:dyDescent="0.25">
      <c r="A52" s="55">
        <v>84</v>
      </c>
      <c r="B52" s="62">
        <v>55.635549820863787</v>
      </c>
      <c r="C52" s="63">
        <v>1.0317278907858406E-3</v>
      </c>
      <c r="D52" s="64">
        <v>2.9318992995483346</v>
      </c>
      <c r="E52" s="65">
        <v>351.68729260384458</v>
      </c>
      <c r="F52" s="66">
        <v>2486.5542009782012</v>
      </c>
      <c r="G52" s="64">
        <v>351.7446933523135</v>
      </c>
      <c r="H52" s="56">
        <v>2297.9273371756644</v>
      </c>
      <c r="I52" s="64">
        <v>2649.6720305279778</v>
      </c>
      <c r="J52" s="67">
        <v>1.1226607098869681</v>
      </c>
      <c r="K52" s="68">
        <v>7.5566992841232592</v>
      </c>
      <c r="M52" s="84" t="s">
        <v>104</v>
      </c>
      <c r="N52" s="84"/>
      <c r="O52" s="43" t="s">
        <v>105</v>
      </c>
      <c r="P52" s="43"/>
      <c r="Q52" s="43"/>
      <c r="R52" s="43"/>
      <c r="S52" s="43"/>
      <c r="T52" s="13"/>
    </row>
    <row r="53" spans="1:20" x14ac:dyDescent="0.25">
      <c r="A53" s="55">
        <v>86</v>
      </c>
      <c r="B53" s="62">
        <v>60.173780458085247</v>
      </c>
      <c r="C53" s="63">
        <v>1.0331083222556198E-3</v>
      </c>
      <c r="D53" s="64">
        <v>2.7244453409957075</v>
      </c>
      <c r="E53" s="65">
        <v>360.08630170982468</v>
      </c>
      <c r="F53" s="66">
        <v>2489.0353036857573</v>
      </c>
      <c r="G53" s="64">
        <v>360.14846774319744</v>
      </c>
      <c r="H53" s="56">
        <v>2292.8270117616885</v>
      </c>
      <c r="I53" s="64">
        <v>2652.9754795048862</v>
      </c>
      <c r="J53" s="67">
        <v>1.146112082572192</v>
      </c>
      <c r="K53" s="68">
        <v>7.5301193782455682</v>
      </c>
      <c r="M53" s="8" t="s">
        <v>106</v>
      </c>
      <c r="N53" s="30">
        <f t="array" ref="N53">MAX(IF(B10:B78&lt;Q43,B10:B78))</f>
        <v>94.390234944282099</v>
      </c>
      <c r="O53" t="s">
        <v>83</v>
      </c>
      <c r="T53" s="13"/>
    </row>
    <row r="54" spans="1:20" x14ac:dyDescent="0.25">
      <c r="A54" s="55">
        <v>88</v>
      </c>
      <c r="B54" s="62">
        <v>65.017440832523747</v>
      </c>
      <c r="C54" s="63">
        <v>1.0345132459353644E-3</v>
      </c>
      <c r="D54" s="64">
        <v>2.5340560959317102</v>
      </c>
      <c r="E54" s="65">
        <v>368.48906464845044</v>
      </c>
      <c r="F54" s="66">
        <v>2491.5034138832821</v>
      </c>
      <c r="G54" s="64">
        <v>368.55632605220791</v>
      </c>
      <c r="H54" s="56">
        <v>2287.7049301146099</v>
      </c>
      <c r="I54" s="64">
        <v>2656.2612561668179</v>
      </c>
      <c r="J54" s="67">
        <v>1.1694436684966147</v>
      </c>
      <c r="K54" s="68">
        <v>7.5039137480471148</v>
      </c>
      <c r="M54" s="8" t="s">
        <v>107</v>
      </c>
      <c r="N54" s="30">
        <f t="array" ref="N54">MIN(IF(B10:B78&gt;Q43,B10:B78))</f>
        <v>101.41797792131013</v>
      </c>
      <c r="O54" t="s">
        <v>83</v>
      </c>
      <c r="T54" s="13"/>
    </row>
    <row r="55" spans="1:20" x14ac:dyDescent="0.25">
      <c r="A55" s="55">
        <v>90</v>
      </c>
      <c r="B55" s="62">
        <v>70.182360744771273</v>
      </c>
      <c r="C55" s="63">
        <v>1.0359426139644279E-3</v>
      </c>
      <c r="D55" s="64">
        <v>2.3591493948201054</v>
      </c>
      <c r="E55" s="65">
        <v>376.89573941520683</v>
      </c>
      <c r="F55" s="66">
        <v>2493.9581144855865</v>
      </c>
      <c r="G55" s="64">
        <v>376.96844431345005</v>
      </c>
      <c r="H55" s="56">
        <v>2282.5603440502096</v>
      </c>
      <c r="I55" s="64">
        <v>2659.5287883636597</v>
      </c>
      <c r="J55" s="67">
        <v>1.1926572288690231</v>
      </c>
      <c r="K55" s="68">
        <v>7.4780739309940962</v>
      </c>
      <c r="M55" s="8" t="s">
        <v>108</v>
      </c>
      <c r="N55" s="30">
        <f>VLOOKUP(N53,B10:K78,8,FALSE)</f>
        <v>2672.4046633110484</v>
      </c>
      <c r="O55" t="s">
        <v>109</v>
      </c>
      <c r="T55" s="13"/>
    </row>
    <row r="56" spans="1:20" x14ac:dyDescent="0.25">
      <c r="A56" s="55">
        <v>92</v>
      </c>
      <c r="B56" s="62">
        <v>75.684909585448366</v>
      </c>
      <c r="C56" s="63">
        <v>1.0373963932163624E-3</v>
      </c>
      <c r="D56" s="64">
        <v>2.1983049736524509</v>
      </c>
      <c r="E56" s="65">
        <v>385.30648404511993</v>
      </c>
      <c r="F56" s="66">
        <v>2496.398980144731</v>
      </c>
      <c r="G56" s="64">
        <v>385.38499929734479</v>
      </c>
      <c r="H56" s="56">
        <v>2277.3924940195138</v>
      </c>
      <c r="I56" s="64">
        <v>2662.7774933168585</v>
      </c>
      <c r="J56" s="67">
        <v>1.2157544961157418</v>
      </c>
      <c r="K56" s="68">
        <v>7.4525916274194071</v>
      </c>
      <c r="M56" s="8" t="s">
        <v>110</v>
      </c>
      <c r="N56" s="30">
        <f>VLOOKUP(N54,B10:K78,8,FALSE)</f>
        <v>2675.5720292208339</v>
      </c>
      <c r="O56" t="s">
        <v>109</v>
      </c>
      <c r="T56" s="13"/>
    </row>
    <row r="57" spans="1:20" x14ac:dyDescent="0.25">
      <c r="A57" s="55">
        <v>94</v>
      </c>
      <c r="B57" s="62">
        <v>81.542002042730431</v>
      </c>
      <c r="C57" s="63">
        <v>1.0388745649408341E-3</v>
      </c>
      <c r="D57" s="64">
        <v>2.0502464530744731</v>
      </c>
      <c r="E57" s="65">
        <v>393.72145672722291</v>
      </c>
      <c r="F57" s="66">
        <v>2498.825577410249</v>
      </c>
      <c r="G57" s="64">
        <v>393.80616863911951</v>
      </c>
      <c r="H57" s="56">
        <v>2272.2006092358297</v>
      </c>
      <c r="I57" s="64">
        <v>2666.006777874949</v>
      </c>
      <c r="J57" s="67">
        <v>1.2387371748291938</v>
      </c>
      <c r="K57" s="68">
        <v>7.4274586967333072</v>
      </c>
      <c r="M57" s="8" t="s">
        <v>111</v>
      </c>
      <c r="N57">
        <f>N55+((Q43-N53)*((N56-N55)/(N54-N53)))</f>
        <v>2674.9329542086334</v>
      </c>
      <c r="O57" t="s">
        <v>109</v>
      </c>
      <c r="T57" s="13"/>
    </row>
    <row r="58" spans="1:20" x14ac:dyDescent="0.25">
      <c r="A58" s="55">
        <v>96</v>
      </c>
      <c r="B58" s="62">
        <v>87.771103474486679</v>
      </c>
      <c r="C58" s="63">
        <v>1.0403771244435255E-3</v>
      </c>
      <c r="D58" s="64">
        <v>1.9138254760335014</v>
      </c>
      <c r="E58" s="65">
        <v>402.1408159250077</v>
      </c>
      <c r="F58" s="66">
        <v>2501.2374649426665</v>
      </c>
      <c r="G58" s="64">
        <v>402.2321309732497</v>
      </c>
      <c r="H58" s="56">
        <v>2266.9839078584619</v>
      </c>
      <c r="I58" s="64">
        <v>2669.2160388317116</v>
      </c>
      <c r="J58" s="67">
        <v>1.2616069427072472</v>
      </c>
      <c r="K58" s="68">
        <v>7.402667153930075</v>
      </c>
      <c r="M58" s="8"/>
      <c r="T58" s="13"/>
    </row>
    <row r="59" spans="1:20" x14ac:dyDescent="0.25">
      <c r="A59" s="55">
        <v>98</v>
      </c>
      <c r="B59" s="62">
        <v>94.390234944282099</v>
      </c>
      <c r="C59" s="63">
        <v>1.0419040808013395E-3</v>
      </c>
      <c r="D59" s="64">
        <v>1.788007727983095</v>
      </c>
      <c r="E59" s="65">
        <v>410.56472050245566</v>
      </c>
      <c r="F59" s="66">
        <v>2503.6341937845318</v>
      </c>
      <c r="G59" s="64">
        <v>410.66306607343137</v>
      </c>
      <c r="H59" s="56">
        <v>2261.741597237617</v>
      </c>
      <c r="I59" s="64">
        <v>2672.4046633110484</v>
      </c>
      <c r="J59" s="67">
        <v>1.2843654514825893</v>
      </c>
      <c r="K59" s="68">
        <v>7.3782091663883502</v>
      </c>
      <c r="M59" s="84" t="s">
        <v>112</v>
      </c>
      <c r="N59" s="84"/>
      <c r="O59" s="84"/>
      <c r="P59" s="85" t="s">
        <v>113</v>
      </c>
      <c r="Q59" s="85"/>
      <c r="R59" s="85"/>
      <c r="S59" s="85"/>
      <c r="T59" s="85"/>
    </row>
    <row r="60" spans="1:20" x14ac:dyDescent="0.25">
      <c r="A60" s="55">
        <v>100</v>
      </c>
      <c r="B60" s="62">
        <v>101.41797792131013</v>
      </c>
      <c r="C60" s="63">
        <v>1.0434554566105269E-3</v>
      </c>
      <c r="D60" s="64">
        <v>1.6718606010940367</v>
      </c>
      <c r="E60" s="65">
        <v>418.99332985524268</v>
      </c>
      <c r="F60" s="66">
        <v>2506.0153076915708</v>
      </c>
      <c r="G60" s="64">
        <v>419.09915499770267</v>
      </c>
      <c r="H60" s="56">
        <v>2256.4728742231314</v>
      </c>
      <c r="I60" s="64">
        <v>2675.5720292208339</v>
      </c>
      <c r="J60" s="67">
        <v>1.3070143278413395</v>
      </c>
      <c r="K60" s="68">
        <v>7.3540770509584048</v>
      </c>
      <c r="M60" s="8" t="s">
        <v>106</v>
      </c>
      <c r="N60" s="30">
        <f>N53</f>
        <v>94.390234944282099</v>
      </c>
      <c r="O60" t="s">
        <v>83</v>
      </c>
      <c r="T60" s="13"/>
    </row>
    <row r="61" spans="1:20" x14ac:dyDescent="0.25">
      <c r="A61" s="55">
        <v>115</v>
      </c>
      <c r="B61" s="62">
        <v>169.17703566557444</v>
      </c>
      <c r="C61" s="63">
        <v>1.0558748917095084E-3</v>
      </c>
      <c r="D61" s="64">
        <v>1.035935833016872</v>
      </c>
      <c r="E61" s="65">
        <v>482.37418006021318</v>
      </c>
      <c r="F61" s="66">
        <v>2523.3282296919742</v>
      </c>
      <c r="G61" s="64">
        <v>482.5528098444268</v>
      </c>
      <c r="H61" s="56">
        <v>2216.0319732170897</v>
      </c>
      <c r="I61" s="64">
        <v>2698.5847830615166</v>
      </c>
      <c r="J61" s="67">
        <v>1.4735444687990014</v>
      </c>
      <c r="K61" s="68">
        <v>7.1827359971056826</v>
      </c>
      <c r="M61" s="8" t="s">
        <v>107</v>
      </c>
      <c r="N61" s="30">
        <f>N54</f>
        <v>101.41797792131013</v>
      </c>
      <c r="O61" t="s">
        <v>83</v>
      </c>
      <c r="T61" s="13"/>
    </row>
    <row r="62" spans="1:20" x14ac:dyDescent="0.25">
      <c r="A62" s="55">
        <v>130</v>
      </c>
      <c r="B62" s="62">
        <v>270.25960655999847</v>
      </c>
      <c r="C62" s="63">
        <v>1.0697113086491562E-3</v>
      </c>
      <c r="D62" s="64">
        <v>0.66808445135398664</v>
      </c>
      <c r="E62" s="65">
        <v>546.09873701748802</v>
      </c>
      <c r="F62" s="66">
        <v>2539.5315847651013</v>
      </c>
      <c r="G62" s="64">
        <v>546.38783677489505</v>
      </c>
      <c r="H62" s="56">
        <v>2173.6999889619874</v>
      </c>
      <c r="I62" s="64">
        <v>2720.0878257368822</v>
      </c>
      <c r="J62" s="67">
        <v>1.6346312702943462</v>
      </c>
      <c r="K62" s="68">
        <v>7.0264078297692851</v>
      </c>
      <c r="M62" s="8" t="s">
        <v>108</v>
      </c>
      <c r="N62" s="30">
        <f>VLOOKUP(N60,B10:K78,6,FALSE)</f>
        <v>410.66306607343137</v>
      </c>
      <c r="O62" t="s">
        <v>109</v>
      </c>
      <c r="T62" s="13"/>
    </row>
    <row r="63" spans="1:20" x14ac:dyDescent="0.25">
      <c r="A63" s="55">
        <v>145</v>
      </c>
      <c r="B63" s="62">
        <v>415.63492260246971</v>
      </c>
      <c r="C63" s="63">
        <v>1.0850426676120666E-3</v>
      </c>
      <c r="D63" s="64">
        <v>0.4460190128158541</v>
      </c>
      <c r="E63" s="65">
        <v>610.2430921894163</v>
      </c>
      <c r="F63" s="66">
        <v>2554.4157563984454</v>
      </c>
      <c r="G63" s="64">
        <v>610.69407381458882</v>
      </c>
      <c r="H63" s="56">
        <v>2129.1027604548035</v>
      </c>
      <c r="I63" s="64">
        <v>2739.7968342693925</v>
      </c>
      <c r="J63" s="67">
        <v>1.790859909791819</v>
      </c>
      <c r="K63" s="68">
        <v>6.8825788096115943</v>
      </c>
      <c r="M63" s="8" t="s">
        <v>110</v>
      </c>
      <c r="N63" s="30">
        <f>VLOOKUP(N61,B10:K78,6,FALSE)</f>
        <v>419.09915499770267</v>
      </c>
      <c r="O63" t="s">
        <v>109</v>
      </c>
      <c r="T63" s="13"/>
    </row>
    <row r="64" spans="1:20" x14ac:dyDescent="0.25">
      <c r="A64" s="55">
        <v>160</v>
      </c>
      <c r="B64" s="62">
        <v>618.13919672205463</v>
      </c>
      <c r="C64" s="63">
        <v>1.1019884696504088E-3</v>
      </c>
      <c r="D64" s="64">
        <v>0.30681844747136855</v>
      </c>
      <c r="E64" s="65">
        <v>674.89349759620688</v>
      </c>
      <c r="F64" s="66">
        <v>2567.7740223098799</v>
      </c>
      <c r="G64" s="64">
        <v>675.57467986363463</v>
      </c>
      <c r="H64" s="56">
        <v>2081.8558511057058</v>
      </c>
      <c r="I64" s="64">
        <v>2757.4305309693405</v>
      </c>
      <c r="J64" s="67">
        <v>1.9427785229410812</v>
      </c>
      <c r="K64" s="68">
        <v>6.74910384530512</v>
      </c>
      <c r="M64" s="8" t="s">
        <v>111</v>
      </c>
      <c r="N64">
        <f>N62+((Q43-N60)*((N63-N62)/(N61-N60)))</f>
        <v>417.39701707434278</v>
      </c>
      <c r="O64" t="s">
        <v>109</v>
      </c>
      <c r="T64" s="13"/>
    </row>
    <row r="65" spans="1:20" x14ac:dyDescent="0.25">
      <c r="A65" s="55">
        <v>175</v>
      </c>
      <c r="B65" s="62">
        <v>892.44747767434637</v>
      </c>
      <c r="C65" s="63">
        <v>1.1207147577429488E-3</v>
      </c>
      <c r="D65" s="64">
        <v>0.21660377955718724</v>
      </c>
      <c r="E65" s="65">
        <v>740.15050788426493</v>
      </c>
      <c r="F65" s="66">
        <v>2579.3970449092799</v>
      </c>
      <c r="G65" s="64">
        <v>741.15068694300476</v>
      </c>
      <c r="H65" s="56">
        <v>2031.5538546868167</v>
      </c>
      <c r="I65" s="64">
        <v>2772.7045416298215</v>
      </c>
      <c r="J65" s="67">
        <v>2.0909130493599695</v>
      </c>
      <c r="K65" s="68">
        <v>6.6241296832861654</v>
      </c>
      <c r="M65" s="8"/>
      <c r="T65" s="13"/>
    </row>
    <row r="66" spans="1:20" x14ac:dyDescent="0.25">
      <c r="A66" s="55">
        <v>190</v>
      </c>
      <c r="B66" s="62">
        <v>1255.0179208610475</v>
      </c>
      <c r="C66" s="63">
        <v>1.1414429283588931E-3</v>
      </c>
      <c r="D66" s="64">
        <v>0.15637678938872288</v>
      </c>
      <c r="E66" s="65">
        <v>806.13347984905818</v>
      </c>
      <c r="F66" s="66">
        <v>2589.0553304186296</v>
      </c>
      <c r="G66" s="64">
        <v>807.56601117978823</v>
      </c>
      <c r="H66" s="56">
        <v>1977.7449923284016</v>
      </c>
      <c r="I66" s="64">
        <v>2785.31100350819</v>
      </c>
      <c r="J66" s="67">
        <v>2.2357805699621904</v>
      </c>
      <c r="K66" s="68">
        <v>6.5060028406625854</v>
      </c>
      <c r="M66" s="84" t="s">
        <v>114</v>
      </c>
      <c r="N66" s="84"/>
      <c r="O66" s="43" t="s">
        <v>113</v>
      </c>
      <c r="P66" s="43"/>
      <c r="Q66" s="43"/>
      <c r="R66" s="43"/>
      <c r="S66" s="43"/>
      <c r="T66" s="13"/>
    </row>
    <row r="67" spans="1:20" x14ac:dyDescent="0.25">
      <c r="A67" s="55">
        <v>205</v>
      </c>
      <c r="B67" s="62">
        <v>1724.0234951986204</v>
      </c>
      <c r="C67" s="63">
        <v>1.1644634069706177E-3</v>
      </c>
      <c r="D67" s="64">
        <v>0.11508879955357861</v>
      </c>
      <c r="E67" s="65">
        <v>872.98578736011166</v>
      </c>
      <c r="F67" s="66">
        <v>2596.4815645589406</v>
      </c>
      <c r="G67" s="64">
        <v>874.9933496330259</v>
      </c>
      <c r="H67" s="56">
        <v>1919.9040093904878</v>
      </c>
      <c r="I67" s="64">
        <v>2794.8973590235137</v>
      </c>
      <c r="J67" s="67">
        <v>2.3779022565389911</v>
      </c>
      <c r="K67" s="68">
        <v>6.3931935409035967</v>
      </c>
      <c r="M67" s="8" t="s">
        <v>106</v>
      </c>
      <c r="N67">
        <f t="array" ref="N67">MAX(IF(B10:B78&lt;Q44,B10:B78))</f>
        <v>47.414719926378332</v>
      </c>
      <c r="O67" t="s">
        <v>83</v>
      </c>
      <c r="T67" s="13"/>
    </row>
    <row r="68" spans="1:20" x14ac:dyDescent="0.25">
      <c r="A68" s="55">
        <v>220</v>
      </c>
      <c r="B68" s="62">
        <v>2319.2877277254242</v>
      </c>
      <c r="C68" s="63">
        <v>1.190156282317461E-3</v>
      </c>
      <c r="D68" s="64">
        <v>8.6100720415007936E-2</v>
      </c>
      <c r="E68" s="65">
        <v>940.88138384091826</v>
      </c>
      <c r="F68" s="66">
        <v>2601.3586561921093</v>
      </c>
      <c r="G68" s="64">
        <v>943.64169870057253</v>
      </c>
      <c r="H68" s="56">
        <v>1857.4093016983823</v>
      </c>
      <c r="I68" s="64">
        <v>2801.0510003989548</v>
      </c>
      <c r="J68" s="67">
        <v>2.5178174198851497</v>
      </c>
      <c r="K68" s="68">
        <v>6.2842455210538795</v>
      </c>
      <c r="M68" s="8" t="s">
        <v>107</v>
      </c>
      <c r="N68">
        <f t="array" ref="N68">MIN(IF(B10:B78&gt;Q44,B10:B78))</f>
        <v>51.387452668949329</v>
      </c>
      <c r="O68" t="s">
        <v>83</v>
      </c>
      <c r="T68" s="13"/>
    </row>
    <row r="69" spans="1:20" x14ac:dyDescent="0.25">
      <c r="A69" s="55">
        <v>235</v>
      </c>
      <c r="B69" s="62">
        <v>3062.2435572687809</v>
      </c>
      <c r="C69" s="63">
        <v>1.2190229619846158E-3</v>
      </c>
      <c r="D69" s="64">
        <v>6.5303824055466753E-2</v>
      </c>
      <c r="E69" s="65">
        <v>1010.0338374397819</v>
      </c>
      <c r="F69" s="66">
        <v>2603.3081826597572</v>
      </c>
      <c r="G69" s="64">
        <v>1013.766782651284</v>
      </c>
      <c r="H69" s="56">
        <v>1789.5176144873417</v>
      </c>
      <c r="I69" s="64">
        <v>2803.2843971386255</v>
      </c>
      <c r="J69" s="67">
        <v>2.6561008912551269</v>
      </c>
      <c r="K69" s="68">
        <v>6.1777355917548364</v>
      </c>
      <c r="M69" s="8" t="s">
        <v>108</v>
      </c>
      <c r="N69">
        <f>VLOOKUP(N67,B10:K78,6,FALSE)</f>
        <v>334.94869514337927</v>
      </c>
      <c r="O69" t="s">
        <v>109</v>
      </c>
      <c r="T69" s="13"/>
    </row>
    <row r="70" spans="1:20" x14ac:dyDescent="0.25">
      <c r="A70" s="55">
        <v>250</v>
      </c>
      <c r="B70" s="62">
        <v>3975.9390708353271</v>
      </c>
      <c r="C70" s="63">
        <v>1.2517369112361736E-3</v>
      </c>
      <c r="D70" s="64">
        <v>5.0086564991550189E-2</v>
      </c>
      <c r="E70" s="65">
        <v>1080.7099829882936</v>
      </c>
      <c r="F70" s="66">
        <v>2601.8709397277703</v>
      </c>
      <c r="G70" s="64">
        <v>1085.686812680083</v>
      </c>
      <c r="H70" s="56">
        <v>1715.3252577215246</v>
      </c>
      <c r="I70" s="64">
        <v>2801.0120704016076</v>
      </c>
      <c r="J70" s="67">
        <v>2.7933876368729056</v>
      </c>
      <c r="K70" s="68">
        <v>6.0722241010646814</v>
      </c>
      <c r="M70" s="8" t="s">
        <v>110</v>
      </c>
      <c r="N70">
        <f>VLOOKUP(N68,B10:K78,6,FALSE)</f>
        <v>343.34482745955876</v>
      </c>
      <c r="O70" t="s">
        <v>109</v>
      </c>
      <c r="T70" s="13"/>
    </row>
    <row r="71" spans="1:20" x14ac:dyDescent="0.25">
      <c r="A71" s="55">
        <v>280</v>
      </c>
      <c r="B71" s="62">
        <v>6416.4592816803715</v>
      </c>
      <c r="C71" s="63">
        <v>1.3328453390677661E-3</v>
      </c>
      <c r="D71" s="64">
        <v>3.0153965065222936E-2</v>
      </c>
      <c r="E71" s="65">
        <v>1228.1188528565494</v>
      </c>
      <c r="F71" s="66">
        <v>2586.3427733146432</v>
      </c>
      <c r="G71" s="64">
        <v>1236.6710007034553</v>
      </c>
      <c r="H71" s="56">
        <v>1543.1534616334029</v>
      </c>
      <c r="I71" s="64">
        <v>2779.8244623368582</v>
      </c>
      <c r="J71" s="67">
        <v>3.0680747776115513</v>
      </c>
      <c r="K71" s="68">
        <v>5.8578276097292949</v>
      </c>
      <c r="M71" s="8" t="s">
        <v>111</v>
      </c>
      <c r="N71">
        <f>N69+((Q44-N67)*((N70-N69)/(N68-N67)))</f>
        <v>340.41252948086412</v>
      </c>
      <c r="O71" t="s">
        <v>109</v>
      </c>
      <c r="T71" s="13"/>
    </row>
    <row r="72" spans="1:20" x14ac:dyDescent="0.25">
      <c r="A72" s="55">
        <v>310</v>
      </c>
      <c r="B72" s="62">
        <v>9864.7455603026174</v>
      </c>
      <c r="C72" s="63">
        <v>1.4478790628921542E-3</v>
      </c>
      <c r="D72" s="64">
        <v>1.8338863631432712E-2</v>
      </c>
      <c r="E72" s="65">
        <v>1387.7204681851906</v>
      </c>
      <c r="F72" s="66">
        <v>2547.0161205146765</v>
      </c>
      <c r="G72" s="64">
        <v>1402.0034267427102</v>
      </c>
      <c r="H72" s="56">
        <v>1325.9209173611364</v>
      </c>
      <c r="I72" s="64">
        <v>2727.9243441038466</v>
      </c>
      <c r="J72" s="67">
        <v>3.3505795199327886</v>
      </c>
      <c r="K72" s="68">
        <v>5.6243049420512463</v>
      </c>
      <c r="M72" s="8"/>
      <c r="T72" s="13"/>
    </row>
    <row r="73" spans="1:20" x14ac:dyDescent="0.25">
      <c r="A73" s="55">
        <v>330</v>
      </c>
      <c r="B73" s="62">
        <v>12857.521889803389</v>
      </c>
      <c r="C73" s="63">
        <v>1.5605966757415474E-3</v>
      </c>
      <c r="D73" s="64">
        <v>1.2984000050518639E-2</v>
      </c>
      <c r="E73" s="65">
        <v>1505.6726142731272</v>
      </c>
      <c r="F73" s="66">
        <v>2499.3062540276801</v>
      </c>
      <c r="G73" s="64">
        <v>1525.7380201926428</v>
      </c>
      <c r="H73" s="56">
        <v>1140.5102987018061</v>
      </c>
      <c r="I73" s="64">
        <v>2666.2483188944489</v>
      </c>
      <c r="J73" s="67">
        <v>3.5515593500918636</v>
      </c>
      <c r="K73" s="68">
        <v>5.4424803959901551</v>
      </c>
      <c r="M73" s="84" t="s">
        <v>115</v>
      </c>
      <c r="N73" s="84"/>
      <c r="O73" s="84"/>
      <c r="P73" s="85" t="s">
        <v>105</v>
      </c>
      <c r="Q73" s="85"/>
      <c r="R73" s="85"/>
      <c r="S73" s="85"/>
      <c r="T73" s="85"/>
    </row>
    <row r="74" spans="1:20" x14ac:dyDescent="0.25">
      <c r="A74" s="55">
        <v>360</v>
      </c>
      <c r="B74" s="62">
        <v>18666.403421371091</v>
      </c>
      <c r="C74" s="63">
        <v>1.8945169864465331E-3</v>
      </c>
      <c r="D74" s="64">
        <v>6.9449761535121104E-3</v>
      </c>
      <c r="E74" s="65">
        <v>1726.1289553870618</v>
      </c>
      <c r="F74" s="66">
        <v>2351.3519515304888</v>
      </c>
      <c r="G74" s="64">
        <v>1761.4911359831508</v>
      </c>
      <c r="H74" s="56">
        <v>719.49507887616755</v>
      </c>
      <c r="I74" s="64">
        <v>2480.9862148593184</v>
      </c>
      <c r="J74" s="67">
        <v>3.9163590626491511</v>
      </c>
      <c r="K74" s="68">
        <v>5.0527335190232492</v>
      </c>
      <c r="M74" s="8" t="s">
        <v>106</v>
      </c>
      <c r="N74">
        <f>N67</f>
        <v>47.414719926378332</v>
      </c>
      <c r="O74" t="s">
        <v>83</v>
      </c>
      <c r="T74" s="13"/>
    </row>
    <row r="75" spans="1:20" x14ac:dyDescent="0.25">
      <c r="A75" s="55">
        <v>370</v>
      </c>
      <c r="B75" s="62">
        <v>21043.367318975248</v>
      </c>
      <c r="C75" s="63">
        <v>2.2221072581417615E-3</v>
      </c>
      <c r="D75" s="64">
        <v>4.9461621200987431E-3</v>
      </c>
      <c r="E75" s="65">
        <v>1845.8864286325781</v>
      </c>
      <c r="F75" s="66">
        <v>2229.4132775791954</v>
      </c>
      <c r="G75" s="64">
        <v>1892.6428976204638</v>
      </c>
      <c r="H75" s="56">
        <v>440.85871592699232</v>
      </c>
      <c r="I75" s="64">
        <v>2333.5016135474561</v>
      </c>
      <c r="J75" s="67">
        <v>4.1141607580915194</v>
      </c>
      <c r="K75" s="68">
        <v>4.7996145612771182</v>
      </c>
      <c r="M75" s="8" t="s">
        <v>107</v>
      </c>
      <c r="N75">
        <f>N68</f>
        <v>51.387452668949329</v>
      </c>
      <c r="O75" t="s">
        <v>83</v>
      </c>
      <c r="T75" s="13"/>
    </row>
    <row r="76" spans="1:20" x14ac:dyDescent="0.25">
      <c r="A76" s="55">
        <v>372</v>
      </c>
      <c r="B76" s="62">
        <v>21552.83605064837</v>
      </c>
      <c r="C76" s="63">
        <v>2.3816905677794676E-3</v>
      </c>
      <c r="D76" s="64">
        <v>4.3984849146192313E-3</v>
      </c>
      <c r="E76" s="65">
        <v>1887.2063479568592</v>
      </c>
      <c r="F76" s="66">
        <v>2179.8954092479798</v>
      </c>
      <c r="G76" s="64">
        <v>1938.539899040718</v>
      </c>
      <c r="H76" s="56">
        <v>336.15480232229265</v>
      </c>
      <c r="I76" s="64">
        <v>2274.6947013630106</v>
      </c>
      <c r="J76" s="67">
        <v>4.1835820939308057</v>
      </c>
      <c r="K76" s="68">
        <v>4.7046345524246123</v>
      </c>
      <c r="M76" s="8" t="s">
        <v>108</v>
      </c>
      <c r="N76">
        <f>VLOOKUP(N74,B10:K78,8,FALSE)</f>
        <v>2643.0143499474962</v>
      </c>
      <c r="O76" t="s">
        <v>109</v>
      </c>
      <c r="T76" s="13"/>
    </row>
    <row r="77" spans="1:20" x14ac:dyDescent="0.25">
      <c r="A77" s="55">
        <v>373</v>
      </c>
      <c r="B77" s="62">
        <v>21813.163152028519</v>
      </c>
      <c r="C77" s="63">
        <v>2.5264309777806387E-3</v>
      </c>
      <c r="D77" s="64">
        <v>4.0211968986311325E-3</v>
      </c>
      <c r="E77" s="65">
        <v>1919.0251126249366</v>
      </c>
      <c r="F77" s="66">
        <v>2139.8360030406225</v>
      </c>
      <c r="G77" s="64">
        <v>1974.1380301256686</v>
      </c>
      <c r="H77" s="56">
        <v>253.40845025765157</v>
      </c>
      <c r="I77" s="64">
        <v>2227.5464803833202</v>
      </c>
      <c r="J77" s="67">
        <v>4.2377242469904237</v>
      </c>
      <c r="K77" s="68">
        <v>4.6299191314719579</v>
      </c>
      <c r="M77" s="8" t="s">
        <v>110</v>
      </c>
      <c r="N77">
        <f>VLOOKUP(N75,B10:K78,8,FALSE)</f>
        <v>2646.351470559373</v>
      </c>
      <c r="O77" t="s">
        <v>109</v>
      </c>
      <c r="T77" s="13"/>
    </row>
    <row r="78" spans="1:20" thickBot="1" x14ac:dyDescent="0.25">
      <c r="A78" s="58">
        <v>373.9</v>
      </c>
      <c r="B78" s="71">
        <v>22051.673313256411</v>
      </c>
      <c r="C78" s="72">
        <v>2.9279013010296518E-3</v>
      </c>
      <c r="D78" s="73">
        <v>3.3078322891830383E-3</v>
      </c>
      <c r="E78" s="74">
        <v>1991.2592580201247</v>
      </c>
      <c r="F78" s="75">
        <v>2048.7215456898134</v>
      </c>
      <c r="G78" s="73">
        <v>2055.8237647962401</v>
      </c>
      <c r="H78" s="60">
        <v>65.836900152277849</v>
      </c>
      <c r="I78" s="73">
        <v>2121.6606649485179</v>
      </c>
      <c r="J78" s="76">
        <v>4.3630544006385215</v>
      </c>
      <c r="K78" s="77">
        <v>4.4648091352702783</v>
      </c>
      <c r="M78" s="8" t="s">
        <v>111</v>
      </c>
      <c r="N78">
        <f>N76+((Q44-N74)*((N77-N76)/(N75-N74)))</f>
        <v>2645.1860015485986</v>
      </c>
      <c r="O78" t="s">
        <v>109</v>
      </c>
      <c r="T78" s="13"/>
    </row>
    <row r="79" spans="1:20" x14ac:dyDescent="0.25">
      <c r="M79" s="8"/>
      <c r="T79" s="13"/>
    </row>
    <row r="80" spans="1:20" x14ac:dyDescent="0.25">
      <c r="M80" s="86" t="s">
        <v>116</v>
      </c>
      <c r="N80" s="86"/>
      <c r="T80" s="13"/>
    </row>
    <row r="81" spans="13:20" x14ac:dyDescent="0.25">
      <c r="M81" s="10" t="s">
        <v>117</v>
      </c>
      <c r="N81" s="11">
        <f>N64-N71</f>
        <v>76.984487593478661</v>
      </c>
      <c r="O81" t="s">
        <v>109</v>
      </c>
      <c r="P81" s="11"/>
      <c r="T81" s="13"/>
    </row>
    <row r="82" spans="13:20" x14ac:dyDescent="0.25">
      <c r="M82" s="10" t="s">
        <v>118</v>
      </c>
      <c r="N82" s="11">
        <f>N78-N71</f>
        <v>2304.7734720677345</v>
      </c>
      <c r="O82" t="s">
        <v>109</v>
      </c>
      <c r="T82" s="13"/>
    </row>
    <row r="83" spans="13:20" x14ac:dyDescent="0.25">
      <c r="M83" s="87" t="s">
        <v>119</v>
      </c>
      <c r="N83" s="87"/>
      <c r="O83" s="18">
        <f>N81/(N81+N82)</f>
        <v>3.2322548679307915E-2</v>
      </c>
      <c r="P83" s="25"/>
      <c r="Q83" s="25"/>
      <c r="R83" s="25"/>
      <c r="S83" s="25"/>
      <c r="T83" s="3"/>
    </row>
    <row r="84" spans="13:20" x14ac:dyDescent="0.25">
      <c r="M84" s="11"/>
      <c r="N84" s="11"/>
      <c r="O84" s="11"/>
    </row>
  </sheetData>
  <mergeCells count="29">
    <mergeCell ref="M73:O73"/>
    <mergeCell ref="P73:T73"/>
    <mergeCell ref="M80:N80"/>
    <mergeCell ref="M83:N83"/>
    <mergeCell ref="M52:N52"/>
    <mergeCell ref="O52:S52"/>
    <mergeCell ref="M59:O59"/>
    <mergeCell ref="P59:T59"/>
    <mergeCell ref="M66:N66"/>
    <mergeCell ref="O66:S66"/>
    <mergeCell ref="M43:N43"/>
    <mergeCell ref="M44:N44"/>
    <mergeCell ref="M46:R46"/>
    <mergeCell ref="M47:O47"/>
    <mergeCell ref="M48:P48"/>
    <mergeCell ref="M50:T50"/>
    <mergeCell ref="C7:D7"/>
    <mergeCell ref="E7:F7"/>
    <mergeCell ref="G7:I7"/>
    <mergeCell ref="J7:K7"/>
    <mergeCell ref="M41:R41"/>
    <mergeCell ref="M42:P42"/>
    <mergeCell ref="A1:C1"/>
    <mergeCell ref="A3:K3"/>
    <mergeCell ref="A4:N5"/>
    <mergeCell ref="C6:D6"/>
    <mergeCell ref="E6:F6"/>
    <mergeCell ref="G6:I6"/>
    <mergeCell ref="J6:K6"/>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3"/>
  <sheetViews>
    <sheetView workbookViewId="0">
      <selection sqref="A1:C1"/>
    </sheetView>
  </sheetViews>
  <sheetFormatPr defaultRowHeight="15" x14ac:dyDescent="0.25"/>
  <cols>
    <col min="1" max="1" width="21.85546875" bestFit="1" customWidth="1"/>
    <col min="2" max="2" width="10" bestFit="1" customWidth="1"/>
    <col min="3" max="3" width="14.85546875" customWidth="1"/>
    <col min="4" max="11" width="9.140625" customWidth="1"/>
    <col min="12" max="12" width="23.140625" bestFit="1" customWidth="1"/>
    <col min="13" max="13" width="13.7109375" bestFit="1" customWidth="1"/>
    <col min="14" max="14" width="10.7109375" bestFit="1" customWidth="1"/>
    <col min="15" max="15" width="9.85546875" bestFit="1" customWidth="1"/>
    <col min="16" max="16" width="9.140625" customWidth="1"/>
  </cols>
  <sheetData>
    <row r="1" spans="1:22" x14ac:dyDescent="0.25">
      <c r="A1" s="41" t="s">
        <v>0</v>
      </c>
      <c r="B1" s="41"/>
      <c r="C1" s="41"/>
    </row>
    <row r="2" spans="1:22" x14ac:dyDescent="0.25">
      <c r="A2" s="1" t="s">
        <v>286</v>
      </c>
      <c r="B2" s="2">
        <v>43054</v>
      </c>
      <c r="C2" s="3"/>
    </row>
    <row r="3" spans="1:22" ht="18" x14ac:dyDescent="0.35">
      <c r="A3" s="43" t="s">
        <v>120</v>
      </c>
      <c r="B3" s="43"/>
      <c r="C3" s="43"/>
      <c r="D3" s="43"/>
      <c r="E3" s="43"/>
      <c r="F3" s="43"/>
      <c r="G3" s="43"/>
      <c r="H3" s="43"/>
      <c r="I3" s="43"/>
      <c r="J3" s="43"/>
      <c r="K3" s="43"/>
    </row>
    <row r="4" spans="1:22" x14ac:dyDescent="0.25">
      <c r="A4" s="43" t="s">
        <v>121</v>
      </c>
      <c r="B4" s="43"/>
      <c r="C4" s="43"/>
      <c r="D4" s="43"/>
      <c r="E4" s="43"/>
      <c r="F4" s="43"/>
      <c r="G4" s="43"/>
      <c r="H4" s="43"/>
      <c r="I4" s="43"/>
      <c r="J4" s="43"/>
      <c r="K4" s="43"/>
      <c r="L4" s="43"/>
      <c r="M4" s="43"/>
    </row>
    <row r="5" spans="1:22" ht="18" x14ac:dyDescent="0.35">
      <c r="A5" s="43" t="s">
        <v>122</v>
      </c>
      <c r="B5" s="43"/>
      <c r="C5" s="43"/>
      <c r="D5" s="43"/>
      <c r="E5" s="43"/>
      <c r="F5" s="43"/>
      <c r="G5" s="43"/>
      <c r="H5" s="43"/>
      <c r="I5" s="43"/>
      <c r="J5" s="43"/>
      <c r="K5" s="43"/>
      <c r="L5" s="43"/>
    </row>
    <row r="6" spans="1:22" x14ac:dyDescent="0.25">
      <c r="A6" s="44" t="s">
        <v>6</v>
      </c>
      <c r="B6" s="44"/>
      <c r="C6" s="44"/>
      <c r="D6" s="44"/>
      <c r="L6" s="44" t="s">
        <v>123</v>
      </c>
      <c r="M6" s="44"/>
      <c r="N6" s="45" t="s">
        <v>124</v>
      </c>
      <c r="O6" s="45"/>
      <c r="P6" s="45"/>
      <c r="Q6" s="45"/>
      <c r="R6" s="45"/>
      <c r="S6" s="45"/>
      <c r="T6" s="45"/>
      <c r="U6" s="45"/>
      <c r="V6" s="45"/>
    </row>
    <row r="7" spans="1:22" ht="17.25" x14ac:dyDescent="0.25">
      <c r="A7" s="35" t="s">
        <v>125</v>
      </c>
      <c r="B7" s="36"/>
      <c r="D7" s="13"/>
      <c r="L7" s="88" t="s">
        <v>126</v>
      </c>
      <c r="M7" s="89" t="s">
        <v>127</v>
      </c>
    </row>
    <row r="8" spans="1:22" x14ac:dyDescent="0.25">
      <c r="A8" s="8" t="s">
        <v>128</v>
      </c>
      <c r="B8" s="12">
        <v>60</v>
      </c>
      <c r="C8" t="s">
        <v>58</v>
      </c>
      <c r="D8" s="13" t="s">
        <v>129</v>
      </c>
      <c r="L8" s="29">
        <v>1</v>
      </c>
      <c r="M8" s="13">
        <v>1.0095000000000001</v>
      </c>
    </row>
    <row r="9" spans="1:22" ht="18" x14ac:dyDescent="0.35">
      <c r="A9" s="8" t="s">
        <v>130</v>
      </c>
      <c r="B9" s="12">
        <v>100</v>
      </c>
      <c r="C9" t="s">
        <v>58</v>
      </c>
      <c r="D9" s="13" t="s">
        <v>131</v>
      </c>
      <c r="L9" s="29">
        <v>2</v>
      </c>
      <c r="M9" s="13">
        <v>1.0206999999999999</v>
      </c>
    </row>
    <row r="10" spans="1:22" ht="18" x14ac:dyDescent="0.35">
      <c r="A10" s="8" t="s">
        <v>132</v>
      </c>
      <c r="B10" s="12">
        <v>40</v>
      </c>
      <c r="C10" t="s">
        <v>58</v>
      </c>
      <c r="D10" s="13" t="s">
        <v>133</v>
      </c>
      <c r="L10" s="29">
        <v>4</v>
      </c>
      <c r="M10" s="13">
        <v>1.0427999999999999</v>
      </c>
    </row>
    <row r="11" spans="1:22" ht="18" x14ac:dyDescent="0.35">
      <c r="A11" s="8" t="s">
        <v>134</v>
      </c>
      <c r="B11" s="12">
        <v>30</v>
      </c>
      <c r="C11" t="s">
        <v>58</v>
      </c>
      <c r="D11" s="13" t="s">
        <v>135</v>
      </c>
      <c r="L11" s="29">
        <v>8</v>
      </c>
      <c r="M11" s="13">
        <v>1.0869</v>
      </c>
    </row>
    <row r="12" spans="1:22" ht="18" x14ac:dyDescent="0.35">
      <c r="A12" s="8" t="s">
        <v>136</v>
      </c>
      <c r="B12" s="12">
        <v>50</v>
      </c>
      <c r="C12" t="s">
        <v>58</v>
      </c>
      <c r="D12" s="13" t="s">
        <v>137</v>
      </c>
      <c r="L12" s="29">
        <v>12</v>
      </c>
      <c r="M12" s="13">
        <v>1.1309</v>
      </c>
    </row>
    <row r="13" spans="1:22" ht="17.25" x14ac:dyDescent="0.25">
      <c r="A13" s="31" t="s">
        <v>138</v>
      </c>
      <c r="B13" s="12">
        <v>1</v>
      </c>
      <c r="C13" t="s">
        <v>139</v>
      </c>
      <c r="D13" s="13"/>
      <c r="L13" s="29">
        <v>16</v>
      </c>
      <c r="M13" s="13">
        <v>1.1751</v>
      </c>
    </row>
    <row r="14" spans="1:22" x14ac:dyDescent="0.25">
      <c r="A14" s="90" t="s">
        <v>140</v>
      </c>
      <c r="B14" s="69">
        <v>47</v>
      </c>
      <c r="C14" s="25" t="s">
        <v>141</v>
      </c>
      <c r="D14" s="20" t="str">
        <f>IF(B14&gt;50,"Will not work for &gt;50","OK")</f>
        <v>OK</v>
      </c>
      <c r="L14" s="29">
        <v>20</v>
      </c>
      <c r="M14" s="13">
        <v>1.2191000000000001</v>
      </c>
    </row>
    <row r="15" spans="1:22" x14ac:dyDescent="0.25">
      <c r="A15" s="32"/>
      <c r="L15" s="29">
        <v>24</v>
      </c>
      <c r="M15" s="13">
        <v>1.2628999999999999</v>
      </c>
    </row>
    <row r="16" spans="1:22" x14ac:dyDescent="0.25">
      <c r="A16" s="44" t="s">
        <v>33</v>
      </c>
      <c r="B16" s="44"/>
      <c r="C16" s="44"/>
      <c r="L16" s="29">
        <v>28</v>
      </c>
      <c r="M16" s="13">
        <v>1.3064</v>
      </c>
    </row>
    <row r="17" spans="1:13" ht="17.25" x14ac:dyDescent="0.25">
      <c r="A17" s="24" t="s">
        <v>142</v>
      </c>
      <c r="B17" s="91">
        <f>O52-N52</f>
        <v>1.0566021870561174E-3</v>
      </c>
      <c r="C17" s="3" t="s">
        <v>143</v>
      </c>
      <c r="L17" s="29">
        <v>32</v>
      </c>
      <c r="M17" s="13">
        <v>1.349</v>
      </c>
    </row>
    <row r="18" spans="1:13" x14ac:dyDescent="0.25">
      <c r="L18" s="29">
        <v>36</v>
      </c>
      <c r="M18" s="13">
        <v>1.39</v>
      </c>
    </row>
    <row r="19" spans="1:13" x14ac:dyDescent="0.25">
      <c r="L19" s="29">
        <v>40</v>
      </c>
      <c r="M19" s="13">
        <v>1.43</v>
      </c>
    </row>
    <row r="20" spans="1:13" x14ac:dyDescent="0.25">
      <c r="A20" s="44" t="s">
        <v>144</v>
      </c>
      <c r="B20" s="44"/>
      <c r="C20" s="44"/>
      <c r="D20" s="44"/>
      <c r="E20" s="44"/>
      <c r="L20" s="29">
        <v>44</v>
      </c>
      <c r="M20" s="13">
        <v>1.4684999999999999</v>
      </c>
    </row>
    <row r="21" spans="1:13" x14ac:dyDescent="0.25">
      <c r="A21" s="35" t="s">
        <v>145</v>
      </c>
      <c r="B21" s="36"/>
      <c r="E21" s="13"/>
      <c r="L21" s="29">
        <v>48</v>
      </c>
      <c r="M21" s="13">
        <v>1.5065</v>
      </c>
    </row>
    <row r="22" spans="1:13" x14ac:dyDescent="0.25">
      <c r="A22" s="8" t="s">
        <v>128</v>
      </c>
      <c r="B22">
        <f>CONVERT(B8,C8,C22)</f>
        <v>1.524</v>
      </c>
      <c r="C22" t="s">
        <v>26</v>
      </c>
      <c r="D22" t="s">
        <v>129</v>
      </c>
      <c r="E22" s="13"/>
      <c r="L22" s="37">
        <v>50</v>
      </c>
      <c r="M22" s="3">
        <v>1.5253000000000001</v>
      </c>
    </row>
    <row r="23" spans="1:13" ht="18" x14ac:dyDescent="0.35">
      <c r="A23" s="8" t="s">
        <v>130</v>
      </c>
      <c r="B23">
        <f>CONVERT(B9,C9,C23)</f>
        <v>2.54</v>
      </c>
      <c r="C23" t="s">
        <v>26</v>
      </c>
      <c r="D23" t="s">
        <v>131</v>
      </c>
      <c r="E23" s="13"/>
    </row>
    <row r="24" spans="1:13" ht="18" x14ac:dyDescent="0.35">
      <c r="A24" s="8" t="s">
        <v>132</v>
      </c>
      <c r="B24">
        <f>CONVERT(B10,C10,C24)</f>
        <v>1.016</v>
      </c>
      <c r="C24" t="s">
        <v>26</v>
      </c>
      <c r="D24" t="s">
        <v>133</v>
      </c>
      <c r="E24" s="13"/>
    </row>
    <row r="25" spans="1:13" ht="18" x14ac:dyDescent="0.35">
      <c r="A25" s="8" t="s">
        <v>134</v>
      </c>
      <c r="B25">
        <f>CONVERT(B11,C11,C25)</f>
        <v>0.76200000000000001</v>
      </c>
      <c r="C25" t="s">
        <v>26</v>
      </c>
      <c r="D25" t="s">
        <v>135</v>
      </c>
      <c r="E25" s="13"/>
    </row>
    <row r="26" spans="1:13" ht="18" x14ac:dyDescent="0.35">
      <c r="A26" s="8" t="s">
        <v>136</v>
      </c>
      <c r="B26">
        <f>CONVERT(B12,C12,C26)</f>
        <v>1.27</v>
      </c>
      <c r="C26" t="s">
        <v>26</v>
      </c>
      <c r="D26" t="s">
        <v>137</v>
      </c>
      <c r="E26" s="13"/>
    </row>
    <row r="27" spans="1:13" x14ac:dyDescent="0.25">
      <c r="A27" s="35" t="s">
        <v>146</v>
      </c>
      <c r="B27" s="36"/>
      <c r="E27" s="13"/>
    </row>
    <row r="28" spans="1:13" x14ac:dyDescent="0.25">
      <c r="A28" s="8" t="s">
        <v>147</v>
      </c>
      <c r="B28">
        <f>0.5*B22</f>
        <v>0.76200000000000001</v>
      </c>
      <c r="C28" t="s">
        <v>26</v>
      </c>
      <c r="D28" t="s">
        <v>148</v>
      </c>
      <c r="E28" s="13"/>
    </row>
    <row r="29" spans="1:13" ht="17.25" x14ac:dyDescent="0.25">
      <c r="A29" s="8" t="s">
        <v>149</v>
      </c>
      <c r="B29">
        <f>(1/3)*PI()*(B28^2)*(B26-B25)</f>
        <v>0.30888887925783465</v>
      </c>
      <c r="C29" t="s">
        <v>143</v>
      </c>
      <c r="E29" s="13"/>
    </row>
    <row r="30" spans="1:13" ht="17.25" x14ac:dyDescent="0.25">
      <c r="A30" s="8" t="s">
        <v>150</v>
      </c>
      <c r="B30">
        <f>PI()*(B28^2)*(B24-B26)</f>
        <v>-0.463333318886752</v>
      </c>
      <c r="C30" t="s">
        <v>143</v>
      </c>
      <c r="E30" s="13"/>
    </row>
    <row r="31" spans="1:13" ht="18" x14ac:dyDescent="0.35">
      <c r="A31" s="31" t="s">
        <v>151</v>
      </c>
      <c r="E31" s="13"/>
    </row>
    <row r="32" spans="1:13" ht="18" x14ac:dyDescent="0.35">
      <c r="A32" s="8" t="s">
        <v>152</v>
      </c>
      <c r="B32">
        <f>B24-B25</f>
        <v>0.254</v>
      </c>
      <c r="C32" t="s">
        <v>26</v>
      </c>
      <c r="D32" t="s">
        <v>153</v>
      </c>
      <c r="E32" s="13"/>
    </row>
    <row r="33" spans="1:17" ht="18" x14ac:dyDescent="0.35">
      <c r="A33" s="8" t="s">
        <v>154</v>
      </c>
      <c r="B33">
        <f>B26-B25</f>
        <v>0.50800000000000001</v>
      </c>
      <c r="C33" t="s">
        <v>26</v>
      </c>
      <c r="E33" s="13"/>
    </row>
    <row r="34" spans="1:17" ht="18" x14ac:dyDescent="0.35">
      <c r="A34" s="8" t="s">
        <v>155</v>
      </c>
      <c r="B34">
        <f>(B28/B33)*B32</f>
        <v>0.38100000000000001</v>
      </c>
      <c r="C34" t="s">
        <v>26</v>
      </c>
      <c r="D34" s="85" t="s">
        <v>156</v>
      </c>
      <c r="E34" s="85"/>
    </row>
    <row r="35" spans="1:17" ht="17.25" x14ac:dyDescent="0.25">
      <c r="A35" s="8" t="s">
        <v>157</v>
      </c>
      <c r="B35">
        <f>(1/3)*PI()*(B34^2)*B32</f>
        <v>3.8611109907229331E-2</v>
      </c>
      <c r="C35" t="s">
        <v>143</v>
      </c>
      <c r="E35" s="13"/>
    </row>
    <row r="36" spans="1:17" x14ac:dyDescent="0.25">
      <c r="A36" s="35" t="s">
        <v>158</v>
      </c>
      <c r="B36" s="36"/>
      <c r="E36" s="13"/>
    </row>
    <row r="37" spans="1:17" ht="18.75" x14ac:dyDescent="0.35">
      <c r="A37" s="31" t="s">
        <v>159</v>
      </c>
      <c r="E37" s="13"/>
      <c r="L37" s="92" t="s">
        <v>160</v>
      </c>
      <c r="M37" s="93">
        <f>(0.0106*B14)+1.0034</f>
        <v>1.5016</v>
      </c>
      <c r="N37" s="40" t="s">
        <v>161</v>
      </c>
    </row>
    <row r="38" spans="1:17" ht="18.75" x14ac:dyDescent="0.35">
      <c r="A38" s="8" t="s">
        <v>162</v>
      </c>
      <c r="B38">
        <f>B29+B30</f>
        <v>-0.15444443962891735</v>
      </c>
      <c r="C38" t="s">
        <v>143</v>
      </c>
      <c r="E38" s="13"/>
      <c r="L38" s="24"/>
      <c r="M38" s="25">
        <f>M37*1000</f>
        <v>1501.6000000000001</v>
      </c>
      <c r="N38" s="3" t="s">
        <v>50</v>
      </c>
    </row>
    <row r="39" spans="1:17" ht="18" x14ac:dyDescent="0.35">
      <c r="A39" s="31" t="s">
        <v>163</v>
      </c>
      <c r="E39" s="13"/>
    </row>
    <row r="40" spans="1:17" ht="18.75" x14ac:dyDescent="0.35">
      <c r="A40" s="8" t="s">
        <v>162</v>
      </c>
      <c r="B40">
        <f>B35</f>
        <v>3.8611109907229331E-2</v>
      </c>
      <c r="C40" t="s">
        <v>143</v>
      </c>
      <c r="E40" s="13"/>
      <c r="L40" s="96" t="s">
        <v>164</v>
      </c>
      <c r="M40" s="96"/>
      <c r="N40" s="96"/>
      <c r="O40" s="96" t="s">
        <v>165</v>
      </c>
      <c r="P40" s="96"/>
      <c r="Q40" s="96"/>
    </row>
    <row r="41" spans="1:17" ht="18.75" x14ac:dyDescent="0.35">
      <c r="A41" s="97" t="s">
        <v>166</v>
      </c>
      <c r="B41" s="97"/>
      <c r="C41" s="97"/>
      <c r="D41" s="97"/>
      <c r="E41" s="97"/>
      <c r="L41" s="31" t="s">
        <v>167</v>
      </c>
      <c r="N41" s="13"/>
      <c r="O41" t="s">
        <v>168</v>
      </c>
      <c r="P41" s="94">
        <v>39.997109999999999</v>
      </c>
      <c r="Q41" s="13" t="s">
        <v>169</v>
      </c>
    </row>
    <row r="42" spans="1:17" ht="18.75" x14ac:dyDescent="0.35">
      <c r="A42" s="8" t="s">
        <v>170</v>
      </c>
      <c r="B42">
        <f>IF(B30&lt;0,B40,B38)</f>
        <v>3.8611109907229331E-2</v>
      </c>
      <c r="C42" t="s">
        <v>143</v>
      </c>
      <c r="E42" s="13"/>
      <c r="L42" s="8" t="s">
        <v>168</v>
      </c>
      <c r="M42">
        <f>B14/100</f>
        <v>0.47</v>
      </c>
      <c r="N42" s="13"/>
      <c r="O42" s="25" t="s">
        <v>171</v>
      </c>
      <c r="P42" s="95">
        <v>18.015280000000001</v>
      </c>
      <c r="Q42" s="3" t="s">
        <v>169</v>
      </c>
    </row>
    <row r="43" spans="1:17" ht="18" x14ac:dyDescent="0.35">
      <c r="A43" s="84" t="s">
        <v>172</v>
      </c>
      <c r="B43" s="84"/>
      <c r="E43" s="13"/>
      <c r="L43" s="8" t="s">
        <v>171</v>
      </c>
      <c r="M43">
        <f>1-M42</f>
        <v>0.53</v>
      </c>
      <c r="N43" s="13"/>
    </row>
    <row r="44" spans="1:17" ht="17.25" x14ac:dyDescent="0.25">
      <c r="A44" s="24" t="s">
        <v>173</v>
      </c>
      <c r="B44" s="25">
        <f>IF(B24&lt;B25,0,B42)</f>
        <v>3.8611109907229331E-2</v>
      </c>
      <c r="C44" s="25" t="s">
        <v>143</v>
      </c>
      <c r="D44" s="25"/>
      <c r="E44" s="3"/>
      <c r="L44" s="31" t="s">
        <v>174</v>
      </c>
      <c r="N44" s="13"/>
    </row>
    <row r="45" spans="1:17" x14ac:dyDescent="0.25">
      <c r="L45" s="8" t="s">
        <v>168</v>
      </c>
      <c r="M45">
        <f>(M42/P41)/((M42/P41)+(M43/P42))</f>
        <v>0.28542039795325708</v>
      </c>
      <c r="N45" s="13"/>
    </row>
    <row r="46" spans="1:17" ht="18" x14ac:dyDescent="0.35">
      <c r="L46" s="8" t="s">
        <v>171</v>
      </c>
      <c r="M46">
        <f>(M43/P42)/((M42/P41)+(M43/P42))</f>
        <v>0.71457960204674298</v>
      </c>
      <c r="N46" s="13"/>
    </row>
    <row r="47" spans="1:17" ht="17.25" x14ac:dyDescent="0.25">
      <c r="L47" s="90" t="s">
        <v>175</v>
      </c>
      <c r="M47" s="25">
        <f>M38/P41</f>
        <v>37.542712460975309</v>
      </c>
      <c r="N47" s="3" t="s">
        <v>176</v>
      </c>
    </row>
    <row r="49" spans="12:15" x14ac:dyDescent="0.25">
      <c r="L49" s="96" t="s">
        <v>177</v>
      </c>
      <c r="M49" s="96"/>
      <c r="N49" s="96"/>
      <c r="O49" s="96"/>
    </row>
    <row r="50" spans="12:15" x14ac:dyDescent="0.25">
      <c r="L50" s="8"/>
      <c r="M50" t="s">
        <v>164</v>
      </c>
      <c r="N50" t="s">
        <v>178</v>
      </c>
      <c r="O50" s="13" t="s">
        <v>179</v>
      </c>
    </row>
    <row r="51" spans="12:15" ht="17.25" x14ac:dyDescent="0.25">
      <c r="L51" s="8" t="s">
        <v>180</v>
      </c>
      <c r="M51">
        <f>M47</f>
        <v>37.542712460975309</v>
      </c>
      <c r="N51">
        <v>0</v>
      </c>
      <c r="O51" s="13">
        <f>B13</f>
        <v>1</v>
      </c>
    </row>
    <row r="52" spans="12:15" ht="17.25" x14ac:dyDescent="0.25">
      <c r="L52" s="8" t="s">
        <v>181</v>
      </c>
      <c r="N52">
        <f>B44</f>
        <v>3.8611109907229331E-2</v>
      </c>
      <c r="O52" s="13">
        <f>N52/(1-O51/M51)</f>
        <v>3.9667712094285448E-2</v>
      </c>
    </row>
    <row r="53" spans="12:15" x14ac:dyDescent="0.25">
      <c r="L53" s="24" t="s">
        <v>182</v>
      </c>
      <c r="M53" s="25"/>
      <c r="N53" s="25"/>
      <c r="O53" s="3"/>
    </row>
  </sheetData>
  <mergeCells count="15">
    <mergeCell ref="A41:E41"/>
    <mergeCell ref="A43:B43"/>
    <mergeCell ref="L49:O49"/>
    <mergeCell ref="N6:V6"/>
    <mergeCell ref="A16:C16"/>
    <mergeCell ref="A20:E20"/>
    <mergeCell ref="D34:E34"/>
    <mergeCell ref="L40:N40"/>
    <mergeCell ref="O40:Q40"/>
    <mergeCell ref="A1:C1"/>
    <mergeCell ref="A3:K3"/>
    <mergeCell ref="A4:M4"/>
    <mergeCell ref="A5:L5"/>
    <mergeCell ref="A6:D6"/>
    <mergeCell ref="L6:M6"/>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3"/>
  <sheetViews>
    <sheetView workbookViewId="0">
      <selection sqref="A1:C1"/>
    </sheetView>
  </sheetViews>
  <sheetFormatPr defaultRowHeight="15" x14ac:dyDescent="0.25"/>
  <cols>
    <col min="1" max="1" width="16.5703125" bestFit="1" customWidth="1"/>
    <col min="2" max="2" width="12" bestFit="1" customWidth="1"/>
    <col min="3" max="3" width="15.28515625" customWidth="1"/>
    <col min="4" max="16" width="9.140625" customWidth="1"/>
    <col min="17" max="17" width="14.7109375" bestFit="1" customWidth="1"/>
    <col min="18" max="18" width="12" bestFit="1" customWidth="1"/>
    <col min="19" max="19" width="12.85546875" bestFit="1" customWidth="1"/>
    <col min="20" max="20" width="14" bestFit="1" customWidth="1"/>
    <col min="21" max="21" width="15.7109375" bestFit="1" customWidth="1"/>
    <col min="22" max="22" width="18.28515625" bestFit="1" customWidth="1"/>
    <col min="23" max="23" width="27" bestFit="1" customWidth="1"/>
    <col min="24" max="24" width="21" bestFit="1" customWidth="1"/>
    <col min="25" max="25" width="9.140625" customWidth="1"/>
  </cols>
  <sheetData>
    <row r="1" spans="1:24" x14ac:dyDescent="0.25">
      <c r="A1" s="41" t="s">
        <v>0</v>
      </c>
      <c r="B1" s="41"/>
      <c r="C1" s="41"/>
      <c r="Q1" s="107" t="s">
        <v>183</v>
      </c>
      <c r="R1" s="107"/>
      <c r="S1" s="107"/>
      <c r="T1" s="107"/>
      <c r="U1" s="107"/>
      <c r="V1" s="107"/>
      <c r="W1" s="107"/>
      <c r="X1" s="107"/>
    </row>
    <row r="2" spans="1:24" ht="17.25" x14ac:dyDescent="0.25">
      <c r="A2" s="1" t="s">
        <v>286</v>
      </c>
      <c r="B2" s="2">
        <v>43061</v>
      </c>
      <c r="C2" s="3"/>
      <c r="Q2" s="37"/>
      <c r="R2" s="98" t="s">
        <v>184</v>
      </c>
      <c r="S2" s="98" t="s">
        <v>185</v>
      </c>
      <c r="T2" s="99" t="s">
        <v>186</v>
      </c>
      <c r="U2" s="99" t="s">
        <v>187</v>
      </c>
      <c r="V2" s="99" t="s">
        <v>188</v>
      </c>
      <c r="W2" s="99" t="s">
        <v>189</v>
      </c>
      <c r="X2" s="89" t="s">
        <v>190</v>
      </c>
    </row>
    <row r="3" spans="1:24" x14ac:dyDescent="0.25">
      <c r="A3" s="108" t="s">
        <v>191</v>
      </c>
      <c r="B3" s="108"/>
      <c r="C3" s="108"/>
      <c r="D3" s="108"/>
      <c r="E3" s="108"/>
      <c r="F3" s="108"/>
      <c r="G3" s="108"/>
      <c r="H3" s="108"/>
      <c r="I3" s="108"/>
      <c r="J3" s="108"/>
      <c r="K3" s="108"/>
      <c r="L3" s="108"/>
      <c r="M3" s="108"/>
      <c r="N3" s="108"/>
      <c r="O3" s="108"/>
      <c r="P3" s="108"/>
      <c r="Q3" s="100" t="s">
        <v>192</v>
      </c>
      <c r="T3">
        <v>1500</v>
      </c>
      <c r="U3">
        <v>523.15</v>
      </c>
      <c r="V3">
        <f>(SUM(R4:R7))/(((SUM(S4:S7))*$N$21*U3)/T3)</f>
        <v>9.8721889382837844</v>
      </c>
      <c r="W3">
        <f>((SUM(S4:S7))*$N$21*U3)/T3</f>
        <v>36.706107661121479</v>
      </c>
      <c r="X3" s="13">
        <f>SQRT((4*(W3/3600))/(PI()*$N$20))</f>
        <v>2.9418962078352151E-2</v>
      </c>
    </row>
    <row r="4" spans="1:24" x14ac:dyDescent="0.25">
      <c r="A4" s="108"/>
      <c r="B4" s="108"/>
      <c r="C4" s="108"/>
      <c r="D4" s="108"/>
      <c r="E4" s="108"/>
      <c r="F4" s="108"/>
      <c r="G4" s="108"/>
      <c r="H4" s="108"/>
      <c r="I4" s="108"/>
      <c r="J4" s="108"/>
      <c r="K4" s="108"/>
      <c r="L4" s="108"/>
      <c r="M4" s="108"/>
      <c r="N4" s="108"/>
      <c r="O4" s="108"/>
      <c r="P4" s="108"/>
      <c r="Q4" s="29" t="s">
        <v>193</v>
      </c>
      <c r="R4">
        <f>C7*C8</f>
        <v>100</v>
      </c>
      <c r="S4">
        <f>R4/I21</f>
        <v>3.5646608082654505</v>
      </c>
      <c r="X4" s="13"/>
    </row>
    <row r="5" spans="1:24" x14ac:dyDescent="0.25">
      <c r="A5" s="43" t="s">
        <v>194</v>
      </c>
      <c r="B5" s="43"/>
      <c r="C5" s="43"/>
      <c r="D5" s="43"/>
      <c r="E5" s="43"/>
      <c r="F5" s="43"/>
      <c r="G5" s="43"/>
      <c r="H5" s="43"/>
      <c r="I5" s="43"/>
      <c r="J5" s="43"/>
      <c r="K5" s="43"/>
      <c r="L5" s="43"/>
      <c r="M5" s="43"/>
      <c r="N5" s="43"/>
      <c r="O5" s="43"/>
      <c r="Q5" s="29"/>
      <c r="X5" s="13"/>
    </row>
    <row r="6" spans="1:24" x14ac:dyDescent="0.25">
      <c r="A6" s="44" t="s">
        <v>195</v>
      </c>
      <c r="B6" s="44"/>
      <c r="C6" s="44"/>
      <c r="D6" s="44"/>
      <c r="Q6" s="29" t="s">
        <v>196</v>
      </c>
      <c r="R6">
        <f>S6*I25</f>
        <v>61.110481306205791</v>
      </c>
      <c r="S6">
        <f>C29</f>
        <v>1.9097741573498317</v>
      </c>
      <c r="X6" s="13"/>
    </row>
    <row r="7" spans="1:24" ht="17.25" x14ac:dyDescent="0.25">
      <c r="A7" s="48" t="s">
        <v>197</v>
      </c>
      <c r="B7" s="48"/>
      <c r="C7" s="12">
        <v>100</v>
      </c>
      <c r="D7" s="13" t="s">
        <v>198</v>
      </c>
      <c r="Q7" s="29" t="s">
        <v>199</v>
      </c>
      <c r="R7">
        <f>S7*I26</f>
        <v>201.25914871337136</v>
      </c>
      <c r="S7">
        <f>C30</f>
        <v>7.184388496696986</v>
      </c>
      <c r="X7" s="13"/>
    </row>
    <row r="8" spans="1:24" x14ac:dyDescent="0.25">
      <c r="A8" s="33" t="s">
        <v>200</v>
      </c>
      <c r="B8" s="5"/>
      <c r="C8" s="12">
        <v>1</v>
      </c>
      <c r="D8" s="13" t="s">
        <v>201</v>
      </c>
      <c r="Q8" s="29"/>
      <c r="X8" s="13"/>
    </row>
    <row r="9" spans="1:24" x14ac:dyDescent="0.25">
      <c r="A9" s="109" t="s">
        <v>202</v>
      </c>
      <c r="B9" s="109"/>
      <c r="C9" s="12">
        <v>30</v>
      </c>
      <c r="D9" s="13" t="s">
        <v>39</v>
      </c>
      <c r="Q9" s="100" t="s">
        <v>203</v>
      </c>
      <c r="T9">
        <v>1500</v>
      </c>
      <c r="U9">
        <v>523.15</v>
      </c>
      <c r="V9">
        <f>(SUM(R10:R12))/(((SUM(S10:S12))*$N$21*U9)/T9)</f>
        <v>9.8521945331691967</v>
      </c>
      <c r="W9">
        <f>((SUM(S10:S13))*$N$21*U9)/T9</f>
        <v>40.840609537796574</v>
      </c>
      <c r="X9" s="13">
        <f>SQRT((4*(W9/3600))/(PI()*$N$20))</f>
        <v>3.1031608465792931E-2</v>
      </c>
    </row>
    <row r="10" spans="1:24" x14ac:dyDescent="0.25">
      <c r="A10" s="81" t="s">
        <v>204</v>
      </c>
      <c r="B10" s="81"/>
      <c r="C10" s="12">
        <v>60</v>
      </c>
      <c r="D10" s="13" t="s">
        <v>39</v>
      </c>
      <c r="Q10" s="29" t="s">
        <v>193</v>
      </c>
      <c r="R10">
        <f>R4+(100-C10)</f>
        <v>140</v>
      </c>
      <c r="S10">
        <f>R10/I21</f>
        <v>4.9905251315716308</v>
      </c>
      <c r="X10" s="13"/>
    </row>
    <row r="11" spans="1:24" x14ac:dyDescent="0.25">
      <c r="A11" s="24" t="s">
        <v>205</v>
      </c>
      <c r="B11" s="25"/>
      <c r="C11" s="69">
        <v>4</v>
      </c>
      <c r="D11" s="3" t="s">
        <v>39</v>
      </c>
      <c r="Q11" s="29" t="s">
        <v>196</v>
      </c>
      <c r="R11">
        <f>R6</f>
        <v>61.110481306205791</v>
      </c>
      <c r="S11">
        <f>R11/I25</f>
        <v>1.9097741573498317</v>
      </c>
      <c r="X11" s="13"/>
    </row>
    <row r="12" spans="1:24" x14ac:dyDescent="0.25">
      <c r="A12" s="11"/>
      <c r="B12" s="11"/>
      <c r="C12" s="11"/>
      <c r="D12" s="11"/>
      <c r="Q12" s="29" t="s">
        <v>199</v>
      </c>
      <c r="R12">
        <f>R7</f>
        <v>201.25914871337136</v>
      </c>
      <c r="S12">
        <f>R12/I26</f>
        <v>7.184388496696986</v>
      </c>
      <c r="X12" s="13"/>
    </row>
    <row r="13" spans="1:24" x14ac:dyDescent="0.25">
      <c r="A13" s="44" t="s">
        <v>33</v>
      </c>
      <c r="B13" s="44"/>
      <c r="C13" s="44"/>
      <c r="D13" s="44"/>
      <c r="Q13" s="29"/>
      <c r="X13" s="13"/>
    </row>
    <row r="14" spans="1:24" x14ac:dyDescent="0.25">
      <c r="A14" s="48" t="s">
        <v>206</v>
      </c>
      <c r="B14" s="48"/>
      <c r="C14" s="23">
        <f>S16/(S19+S20)</f>
        <v>5.9999999999999991</v>
      </c>
      <c r="D14" s="101"/>
      <c r="Q14" s="100" t="s">
        <v>207</v>
      </c>
      <c r="T14">
        <v>1500</v>
      </c>
      <c r="U14">
        <v>523.15</v>
      </c>
      <c r="V14">
        <f>(SUM(R15:R20))/(((SUM(S15:S20))*$N$21*U14)/T14)</f>
        <v>11.136631943339697</v>
      </c>
      <c r="W14">
        <f>((SUM(S15:S20))*$N$21*U14)/T14</f>
        <v>32.538529769432991</v>
      </c>
      <c r="X14" s="13">
        <f>SQRT((4*(W14/3600))/(PI()*$N$20))</f>
        <v>2.7698556865062819E-2</v>
      </c>
    </row>
    <row r="15" spans="1:24" ht="18" x14ac:dyDescent="0.35">
      <c r="A15" s="81" t="s">
        <v>208</v>
      </c>
      <c r="B15" s="81"/>
      <c r="C15" s="23">
        <f>S20/(S19+S16)</f>
        <v>7.6923076923076941E-2</v>
      </c>
      <c r="D15" s="101"/>
      <c r="Q15" s="29" t="s">
        <v>193</v>
      </c>
      <c r="R15">
        <f>S15*I21</f>
        <v>16.000000000000007</v>
      </c>
      <c r="S15">
        <f>S4-(B22+B24)</f>
        <v>0.57034572932247229</v>
      </c>
      <c r="X15" s="13"/>
    </row>
    <row r="16" spans="1:24" x14ac:dyDescent="0.25">
      <c r="A16" s="81" t="s">
        <v>209</v>
      </c>
      <c r="B16" s="81"/>
      <c r="C16" s="23">
        <f>((S28+S29+S30)/(S23+S24+S25))*100</f>
        <v>46.428956837878772</v>
      </c>
      <c r="D16" s="13" t="s">
        <v>39</v>
      </c>
      <c r="Q16" s="29" t="s">
        <v>210</v>
      </c>
      <c r="R16">
        <f>S16*I22</f>
        <v>126.63095488707867</v>
      </c>
      <c r="S16">
        <f>D22</f>
        <v>2.8745424757852591</v>
      </c>
      <c r="X16" s="13"/>
    </row>
    <row r="17" spans="1:24" x14ac:dyDescent="0.25">
      <c r="A17" s="81" t="s">
        <v>211</v>
      </c>
      <c r="B17" s="81"/>
      <c r="C17" s="23">
        <f>((S39+S40)/S36)*100</f>
        <v>23.778769841269849</v>
      </c>
      <c r="D17" s="13" t="s">
        <v>39</v>
      </c>
      <c r="Q17" s="29" t="s">
        <v>196</v>
      </c>
      <c r="R17">
        <f>S17*I25</f>
        <v>3.6217876973574472</v>
      </c>
      <c r="S17">
        <f>C29-(C22+C24)</f>
        <v>0.11318510998404463</v>
      </c>
      <c r="X17" s="13"/>
    </row>
    <row r="18" spans="1:24" x14ac:dyDescent="0.25">
      <c r="A18" s="24" t="s">
        <v>212</v>
      </c>
      <c r="B18" s="25"/>
      <c r="C18" s="26">
        <f>(S46/(S39+S40))*100</f>
        <v>16.558888564395676</v>
      </c>
      <c r="D18" s="3" t="s">
        <v>39</v>
      </c>
      <c r="Q18" s="29" t="s">
        <v>199</v>
      </c>
      <c r="R18">
        <f>S18*I26</f>
        <v>201.25914871337136</v>
      </c>
      <c r="S18">
        <f>S12</f>
        <v>7.184388496696986</v>
      </c>
      <c r="X18" s="13"/>
    </row>
    <row r="19" spans="1:24" x14ac:dyDescent="0.25">
      <c r="Q19" s="29" t="s">
        <v>10</v>
      </c>
      <c r="R19">
        <f>S19*I23</f>
        <v>4.3154739644303897</v>
      </c>
      <c r="S19">
        <f>E24</f>
        <v>0.2395452063154383</v>
      </c>
      <c r="X19" s="13"/>
    </row>
    <row r="20" spans="1:24" ht="17.25" x14ac:dyDescent="0.25">
      <c r="A20" s="44" t="s">
        <v>213</v>
      </c>
      <c r="B20" s="44"/>
      <c r="C20" s="44"/>
      <c r="D20" s="44"/>
      <c r="E20" s="44"/>
      <c r="G20" s="44" t="s">
        <v>214</v>
      </c>
      <c r="H20" s="44"/>
      <c r="I20" s="44"/>
      <c r="K20" s="110" t="s">
        <v>215</v>
      </c>
      <c r="L20" s="110"/>
      <c r="M20" s="110"/>
      <c r="N20" s="102">
        <v>15</v>
      </c>
      <c r="O20" s="40" t="s">
        <v>15</v>
      </c>
      <c r="Q20" s="29" t="s">
        <v>216</v>
      </c>
      <c r="R20">
        <f>S20*I24</f>
        <v>10.542264757339282</v>
      </c>
      <c r="S20">
        <f>D24</f>
        <v>0.2395452063154383</v>
      </c>
      <c r="X20" s="13"/>
    </row>
    <row r="21" spans="1:24" ht="18.75" x14ac:dyDescent="0.35">
      <c r="A21" s="8" t="s">
        <v>217</v>
      </c>
      <c r="B21" t="s">
        <v>218</v>
      </c>
      <c r="C21" t="s">
        <v>219</v>
      </c>
      <c r="D21" t="s">
        <v>220</v>
      </c>
      <c r="E21" s="13"/>
      <c r="G21" s="8" t="s">
        <v>193</v>
      </c>
      <c r="H21" s="40"/>
      <c r="I21" s="103">
        <v>28.053159999999998</v>
      </c>
      <c r="K21" s="87" t="s">
        <v>221</v>
      </c>
      <c r="L21" s="87"/>
      <c r="M21" s="25"/>
      <c r="N21" s="25">
        <v>8.3140000000000001</v>
      </c>
      <c r="O21" s="3" t="s">
        <v>222</v>
      </c>
      <c r="Q21" s="29"/>
      <c r="X21" s="13"/>
    </row>
    <row r="22" spans="1:24" x14ac:dyDescent="0.25">
      <c r="A22" s="8" t="s">
        <v>223</v>
      </c>
      <c r="B22">
        <f>S10*((100-C11)/100)*(C10/100)</f>
        <v>2.8745424757852591</v>
      </c>
      <c r="C22">
        <f>B22/2</f>
        <v>1.4372712378926296</v>
      </c>
      <c r="D22">
        <f>B22</f>
        <v>2.8745424757852591</v>
      </c>
      <c r="E22" s="13"/>
      <c r="G22" s="111" t="s">
        <v>210</v>
      </c>
      <c r="H22" s="111"/>
      <c r="I22" s="103">
        <v>44.05256</v>
      </c>
      <c r="Q22" s="100" t="s">
        <v>224</v>
      </c>
      <c r="T22">
        <v>1500</v>
      </c>
      <c r="U22">
        <v>523.15</v>
      </c>
      <c r="V22">
        <f>(SUM(R23:R25))/(((SUM(S23:S25))*$N$21*U22)/T22)</f>
        <v>9.7256300780698819</v>
      </c>
      <c r="W22">
        <f>((SUM(S23:S25))*$N$21*U22)/T22</f>
        <v>22.22137647641549</v>
      </c>
      <c r="X22" s="13">
        <f>SQRT((4*(W22/3600))/(PI()*$N$20))</f>
        <v>2.2889887492329009E-2</v>
      </c>
    </row>
    <row r="23" spans="1:24" ht="18" x14ac:dyDescent="0.35">
      <c r="A23" s="8" t="s">
        <v>225</v>
      </c>
      <c r="B23" t="s">
        <v>226</v>
      </c>
      <c r="C23" t="s">
        <v>227</v>
      </c>
      <c r="D23" t="s">
        <v>228</v>
      </c>
      <c r="E23" s="13" t="s">
        <v>229</v>
      </c>
      <c r="G23" s="8" t="s">
        <v>10</v>
      </c>
      <c r="H23" s="13"/>
      <c r="I23" s="103">
        <v>18.015280000000001</v>
      </c>
      <c r="Q23" s="29" t="s">
        <v>10</v>
      </c>
      <c r="R23">
        <f>S23*I23</f>
        <v>4.3154739644303897</v>
      </c>
      <c r="S23">
        <f>S19</f>
        <v>0.2395452063154383</v>
      </c>
      <c r="X23" s="13"/>
    </row>
    <row r="24" spans="1:24" x14ac:dyDescent="0.25">
      <c r="A24" s="24" t="s">
        <v>223</v>
      </c>
      <c r="B24" s="25">
        <f>S10*(C11/100)*(C10/100)</f>
        <v>0.11977260315771915</v>
      </c>
      <c r="C24" s="25">
        <f>B24*3</f>
        <v>0.35931780947315745</v>
      </c>
      <c r="D24" s="25">
        <f>B24*2</f>
        <v>0.2395452063154383</v>
      </c>
      <c r="E24" s="3">
        <f>B24*2</f>
        <v>0.2395452063154383</v>
      </c>
      <c r="G24" s="111" t="s">
        <v>216</v>
      </c>
      <c r="H24" s="111"/>
      <c r="I24" s="103">
        <v>44.009500000000003</v>
      </c>
      <c r="Q24" s="29" t="s">
        <v>216</v>
      </c>
      <c r="R24">
        <f>S24*I24</f>
        <v>10.542264757339282</v>
      </c>
      <c r="S24">
        <f>S20</f>
        <v>0.2395452063154383</v>
      </c>
      <c r="X24" s="13"/>
    </row>
    <row r="25" spans="1:24" x14ac:dyDescent="0.25">
      <c r="G25" s="8" t="s">
        <v>196</v>
      </c>
      <c r="I25" s="104">
        <v>31.998799999999999</v>
      </c>
      <c r="Q25" s="29" t="s">
        <v>199</v>
      </c>
      <c r="R25">
        <f>S25*I26</f>
        <v>201.25914871337136</v>
      </c>
      <c r="S25">
        <f>S18</f>
        <v>7.184388496696986</v>
      </c>
      <c r="X25" s="13"/>
    </row>
    <row r="26" spans="1:24" x14ac:dyDescent="0.25">
      <c r="A26" s="44" t="s">
        <v>43</v>
      </c>
      <c r="B26" s="44"/>
      <c r="C26" s="44"/>
      <c r="D26" s="44"/>
      <c r="G26" s="82" t="s">
        <v>199</v>
      </c>
      <c r="H26" s="25"/>
      <c r="I26" s="105">
        <v>28.013400000000001</v>
      </c>
      <c r="Q26" s="29"/>
      <c r="X26" s="13"/>
    </row>
    <row r="27" spans="1:24" x14ac:dyDescent="0.25">
      <c r="A27" s="110" t="s">
        <v>230</v>
      </c>
      <c r="B27" s="110"/>
      <c r="C27">
        <f>C22+C24</f>
        <v>1.7965890473657871</v>
      </c>
      <c r="D27" s="13" t="s">
        <v>231</v>
      </c>
      <c r="Q27" s="100" t="s">
        <v>232</v>
      </c>
      <c r="T27">
        <v>1500</v>
      </c>
      <c r="U27">
        <v>523.15</v>
      </c>
      <c r="V27">
        <f>(SUM(R28:R33))/(((SUM(S28:S33))*$N$21*U27)/T27)</f>
        <v>14.175687656343916</v>
      </c>
      <c r="W27">
        <f>((SUM(S28:S33))*$N$21*U27)/T27</f>
        <v>10.317153293017496</v>
      </c>
      <c r="X27" s="13">
        <f>SQRT((4*(W27/3600))/(PI()*$N$20))</f>
        <v>1.5596894017580505E-2</v>
      </c>
    </row>
    <row r="28" spans="1:24" x14ac:dyDescent="0.25">
      <c r="A28" s="70" t="s">
        <v>233</v>
      </c>
      <c r="C28">
        <f>C9*(21/100)</f>
        <v>6.3</v>
      </c>
      <c r="D28" s="13" t="s">
        <v>39</v>
      </c>
      <c r="Q28" s="29" t="s">
        <v>193</v>
      </c>
      <c r="R28">
        <f>S28*I21</f>
        <v>16.000000000000007</v>
      </c>
      <c r="S28">
        <f>S15</f>
        <v>0.57034572932247229</v>
      </c>
      <c r="X28" s="13"/>
    </row>
    <row r="29" spans="1:24" x14ac:dyDescent="0.25">
      <c r="A29" s="31" t="s">
        <v>234</v>
      </c>
      <c r="C29">
        <f>C27+((C28/100)*C27)</f>
        <v>1.9097741573498317</v>
      </c>
      <c r="D29" s="13" t="s">
        <v>231</v>
      </c>
      <c r="Q29" s="29" t="s">
        <v>210</v>
      </c>
      <c r="R29">
        <f>S29*I22</f>
        <v>126.63095488707867</v>
      </c>
      <c r="S29">
        <f>S16</f>
        <v>2.8745424757852591</v>
      </c>
      <c r="X29" s="13"/>
    </row>
    <row r="30" spans="1:24" x14ac:dyDescent="0.25">
      <c r="A30" s="87" t="s">
        <v>235</v>
      </c>
      <c r="B30" s="87"/>
      <c r="C30" s="25">
        <f>C29*(79/21)</f>
        <v>7.184388496696986</v>
      </c>
      <c r="D30" s="3" t="s">
        <v>231</v>
      </c>
      <c r="Q30" s="29" t="s">
        <v>196</v>
      </c>
      <c r="R30">
        <f>S30*I25</f>
        <v>3.6217876973574472</v>
      </c>
      <c r="S30">
        <f>S17</f>
        <v>0.11318510998404463</v>
      </c>
      <c r="X30" s="13"/>
    </row>
    <row r="31" spans="1:24" x14ac:dyDescent="0.25">
      <c r="Q31" s="29" t="s">
        <v>199</v>
      </c>
      <c r="R31" t="s">
        <v>236</v>
      </c>
      <c r="S31" t="s">
        <v>236</v>
      </c>
      <c r="X31" s="13"/>
    </row>
    <row r="32" spans="1:24" x14ac:dyDescent="0.25">
      <c r="Q32" s="29" t="s">
        <v>10</v>
      </c>
      <c r="R32" t="s">
        <v>236</v>
      </c>
      <c r="S32" t="s">
        <v>236</v>
      </c>
      <c r="X32" s="13"/>
    </row>
    <row r="33" spans="17:24" x14ac:dyDescent="0.25">
      <c r="Q33" s="29" t="s">
        <v>216</v>
      </c>
      <c r="R33" t="s">
        <v>236</v>
      </c>
      <c r="S33" t="s">
        <v>236</v>
      </c>
      <c r="X33" s="13"/>
    </row>
    <row r="34" spans="17:24" x14ac:dyDescent="0.25">
      <c r="Q34" s="29"/>
      <c r="X34" s="13"/>
    </row>
    <row r="35" spans="17:24" x14ac:dyDescent="0.25">
      <c r="Q35" s="100" t="s">
        <v>237</v>
      </c>
      <c r="T35">
        <v>1500</v>
      </c>
      <c r="U35">
        <v>523.15</v>
      </c>
      <c r="V35">
        <f>(SUM(R36:R36))/(((SUM(S36:S36))*$N$21*U35)/T35)</f>
        <v>15.19239210137164</v>
      </c>
      <c r="W35">
        <f>((SUM(S36:S36))*$N$21*U35)/T35</f>
        <v>8.3351557833769867</v>
      </c>
      <c r="X35" s="13">
        <f>SQRT((4*(W35/3600))/(PI()*$N$20))</f>
        <v>1.4018935577311386E-2</v>
      </c>
    </row>
    <row r="36" spans="17:24" x14ac:dyDescent="0.25">
      <c r="Q36" s="29" t="s">
        <v>210</v>
      </c>
      <c r="R36">
        <f>S36*I22</f>
        <v>126.63095488707867</v>
      </c>
      <c r="S36">
        <f>S29</f>
        <v>2.8745424757852591</v>
      </c>
      <c r="X36" s="13"/>
    </row>
    <row r="37" spans="17:24" x14ac:dyDescent="0.25">
      <c r="Q37" s="29"/>
      <c r="X37" s="13"/>
    </row>
    <row r="38" spans="17:24" x14ac:dyDescent="0.25">
      <c r="Q38" s="100" t="s">
        <v>238</v>
      </c>
      <c r="T38">
        <v>1500</v>
      </c>
      <c r="U38">
        <v>523.15</v>
      </c>
      <c r="V38">
        <f>(SUM(R39:R43))/(((SUM(S39:S43))*$N$21*U38)/T38)</f>
        <v>9.9000062320544675</v>
      </c>
      <c r="W38">
        <f>((SUM(S39:S43))*$N$21*U38)/T38</f>
        <v>1.9819975096405071</v>
      </c>
      <c r="X38" s="13">
        <f>SQRT((4*(W38/3600))/(PI()*$N$20))</f>
        <v>6.8361208499288237E-3</v>
      </c>
    </row>
    <row r="39" spans="17:24" x14ac:dyDescent="0.25">
      <c r="Q39" s="29" t="s">
        <v>193</v>
      </c>
      <c r="R39">
        <f>S39*I21</f>
        <v>16.000000000000007</v>
      </c>
      <c r="S39">
        <f>S28</f>
        <v>0.57034572932247229</v>
      </c>
      <c r="X39" s="13"/>
    </row>
    <row r="40" spans="17:24" x14ac:dyDescent="0.25">
      <c r="Q40" s="29" t="s">
        <v>196</v>
      </c>
      <c r="R40">
        <f>S40*I25</f>
        <v>3.6217876973574472</v>
      </c>
      <c r="S40">
        <f>S30</f>
        <v>0.11318510998404463</v>
      </c>
      <c r="X40" s="13"/>
    </row>
    <row r="41" spans="17:24" x14ac:dyDescent="0.25">
      <c r="Q41" s="29" t="s">
        <v>199</v>
      </c>
      <c r="R41" t="s">
        <v>236</v>
      </c>
      <c r="S41" t="s">
        <v>236</v>
      </c>
      <c r="X41" s="13"/>
    </row>
    <row r="42" spans="17:24" x14ac:dyDescent="0.25">
      <c r="Q42" s="29" t="s">
        <v>10</v>
      </c>
      <c r="R42" t="s">
        <v>236</v>
      </c>
      <c r="S42" t="s">
        <v>236</v>
      </c>
      <c r="X42" s="13"/>
    </row>
    <row r="43" spans="17:24" x14ac:dyDescent="0.25">
      <c r="Q43" s="29" t="s">
        <v>216</v>
      </c>
      <c r="R43" t="s">
        <v>236</v>
      </c>
      <c r="S43" t="s">
        <v>236</v>
      </c>
      <c r="X43" s="13"/>
    </row>
    <row r="44" spans="17:24" x14ac:dyDescent="0.25">
      <c r="Q44" s="29"/>
      <c r="X44" s="13"/>
    </row>
    <row r="45" spans="17:24" x14ac:dyDescent="0.25">
      <c r="Q45" s="100" t="s">
        <v>239</v>
      </c>
      <c r="T45">
        <v>1500</v>
      </c>
      <c r="U45">
        <v>523.15</v>
      </c>
      <c r="V45">
        <f>(SUM(R46:R49))/(((SUM(S46:S49))*$N$21*U45)/T45)</f>
        <v>11.035415793619501</v>
      </c>
      <c r="W45">
        <f>((SUM(S46:S49))*$N$21*U45)/T45</f>
        <v>0.32819675897046907</v>
      </c>
      <c r="X45" s="13">
        <f>SQRT((4*(W45/3600))/(PI()*$N$20))</f>
        <v>2.7817962887551236E-3</v>
      </c>
    </row>
    <row r="46" spans="17:24" x14ac:dyDescent="0.25">
      <c r="Q46" s="29" t="s">
        <v>196</v>
      </c>
      <c r="R46">
        <f>S46*I25</f>
        <v>3.6217876973574472</v>
      </c>
      <c r="S46">
        <f>S40</f>
        <v>0.11318510998404463</v>
      </c>
      <c r="X46" s="13"/>
    </row>
    <row r="47" spans="17:24" x14ac:dyDescent="0.25">
      <c r="Q47" s="29" t="s">
        <v>199</v>
      </c>
      <c r="R47" t="s">
        <v>236</v>
      </c>
      <c r="S47" t="s">
        <v>236</v>
      </c>
      <c r="X47" s="13"/>
    </row>
    <row r="48" spans="17:24" x14ac:dyDescent="0.25">
      <c r="Q48" s="29" t="s">
        <v>10</v>
      </c>
      <c r="R48" t="s">
        <v>236</v>
      </c>
      <c r="S48" t="s">
        <v>236</v>
      </c>
      <c r="X48" s="13"/>
    </row>
    <row r="49" spans="17:24" x14ac:dyDescent="0.25">
      <c r="Q49" s="29" t="s">
        <v>216</v>
      </c>
      <c r="R49" t="s">
        <v>236</v>
      </c>
      <c r="S49" t="s">
        <v>236</v>
      </c>
      <c r="X49" s="13"/>
    </row>
    <row r="50" spans="17:24" x14ac:dyDescent="0.25">
      <c r="Q50" s="29"/>
      <c r="X50" s="13"/>
    </row>
    <row r="51" spans="17:24" x14ac:dyDescent="0.25">
      <c r="Q51" s="100" t="s">
        <v>240</v>
      </c>
      <c r="T51">
        <v>1500</v>
      </c>
      <c r="U51">
        <v>523.15</v>
      </c>
      <c r="V51">
        <f>(SUM(R52:R52))/(((SUM(S52:S52))*$N$21*U51)/T51)</f>
        <v>9.6746842045618866</v>
      </c>
      <c r="W51">
        <f>((SUM(S52:S52))*$N$21*U51)/T51</f>
        <v>1.6538007506700381</v>
      </c>
      <c r="X51" s="13">
        <f>SQRT((4*(W51/3600))/(PI()*$N$20))</f>
        <v>6.2445302211375205E-3</v>
      </c>
    </row>
    <row r="52" spans="17:24" x14ac:dyDescent="0.25">
      <c r="Q52" s="37" t="s">
        <v>193</v>
      </c>
      <c r="R52" s="25">
        <f>S52*I21</f>
        <v>16.000000000000007</v>
      </c>
      <c r="S52" s="25">
        <f>S39</f>
        <v>0.57034572932247229</v>
      </c>
      <c r="T52" s="25"/>
      <c r="U52" s="25"/>
      <c r="V52" s="25"/>
      <c r="W52" s="25"/>
      <c r="X52" s="3"/>
    </row>
    <row r="53" spans="17:24" x14ac:dyDescent="0.25">
      <c r="X53" s="39"/>
    </row>
  </sheetData>
  <mergeCells count="22">
    <mergeCell ref="G24:H24"/>
    <mergeCell ref="A26:D26"/>
    <mergeCell ref="A27:B27"/>
    <mergeCell ref="A30:B30"/>
    <mergeCell ref="A17:B17"/>
    <mergeCell ref="A20:E20"/>
    <mergeCell ref="G20:I20"/>
    <mergeCell ref="K20:M20"/>
    <mergeCell ref="K21:L21"/>
    <mergeCell ref="G22:H22"/>
    <mergeCell ref="A9:B9"/>
    <mergeCell ref="A10:B10"/>
    <mergeCell ref="A13:D13"/>
    <mergeCell ref="A14:B14"/>
    <mergeCell ref="A15:B15"/>
    <mergeCell ref="A16:B16"/>
    <mergeCell ref="A1:C1"/>
    <mergeCell ref="Q1:X1"/>
    <mergeCell ref="A3:P4"/>
    <mergeCell ref="A5:O5"/>
    <mergeCell ref="A6:D6"/>
    <mergeCell ref="A7:B7"/>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7"/>
  <sheetViews>
    <sheetView workbookViewId="0">
      <selection sqref="A1:C1"/>
    </sheetView>
  </sheetViews>
  <sheetFormatPr defaultRowHeight="15" x14ac:dyDescent="0.25"/>
  <cols>
    <col min="1" max="1" width="16.5703125" bestFit="1" customWidth="1"/>
    <col min="2" max="2" width="12.85546875" customWidth="1"/>
    <col min="3" max="3" width="14.5703125" customWidth="1"/>
    <col min="4" max="5" width="9.140625" customWidth="1"/>
    <col min="6" max="6" width="9.85546875" bestFit="1" customWidth="1"/>
    <col min="7" max="7" width="9.140625" customWidth="1"/>
    <col min="8" max="8" width="14.140625" bestFit="1" customWidth="1"/>
    <col min="9" max="9" width="10.140625" bestFit="1" customWidth="1"/>
    <col min="10" max="10" width="7.5703125" bestFit="1" customWidth="1"/>
    <col min="11" max="12" width="9.140625" customWidth="1"/>
    <col min="13" max="13" width="10.28515625" bestFit="1" customWidth="1"/>
    <col min="14" max="14" width="12.7109375" bestFit="1" customWidth="1"/>
    <col min="15" max="16" width="9.140625" customWidth="1"/>
    <col min="17" max="17" width="12" bestFit="1" customWidth="1"/>
    <col min="18" max="18" width="9.140625" customWidth="1"/>
    <col min="19" max="19" width="11.140625" bestFit="1" customWidth="1"/>
    <col min="20" max="20" width="9.140625" customWidth="1"/>
  </cols>
  <sheetData>
    <row r="1" spans="1:21" x14ac:dyDescent="0.25">
      <c r="A1" s="41" t="s">
        <v>0</v>
      </c>
      <c r="B1" s="41"/>
      <c r="C1" s="41"/>
    </row>
    <row r="2" spans="1:21" x14ac:dyDescent="0.25">
      <c r="A2" s="1" t="s">
        <v>286</v>
      </c>
      <c r="B2" s="2">
        <v>43062</v>
      </c>
      <c r="C2" s="3"/>
    </row>
    <row r="3" spans="1:21" x14ac:dyDescent="0.25">
      <c r="A3" s="43" t="s">
        <v>241</v>
      </c>
      <c r="B3" s="43"/>
      <c r="C3" s="43"/>
      <c r="D3" s="43"/>
      <c r="E3" s="43"/>
      <c r="F3" s="43"/>
      <c r="G3" s="43"/>
      <c r="H3" s="43"/>
      <c r="I3" s="43"/>
      <c r="J3" s="43"/>
      <c r="K3" s="43"/>
      <c r="L3" s="43"/>
      <c r="M3" s="43"/>
      <c r="N3" s="43"/>
      <c r="O3" s="43"/>
      <c r="P3" s="43"/>
      <c r="Q3" s="43"/>
      <c r="R3" s="43"/>
    </row>
    <row r="4" spans="1:21" x14ac:dyDescent="0.25">
      <c r="A4" s="43" t="s">
        <v>242</v>
      </c>
      <c r="B4" s="43"/>
      <c r="C4" s="43"/>
      <c r="D4" s="43"/>
      <c r="E4" s="43"/>
      <c r="F4" s="43"/>
      <c r="G4" s="43"/>
      <c r="H4" s="43"/>
      <c r="I4" s="43"/>
    </row>
    <row r="6" spans="1:21" x14ac:dyDescent="0.25">
      <c r="A6" s="44" t="s">
        <v>6</v>
      </c>
      <c r="B6" s="44"/>
      <c r="C6" s="44"/>
      <c r="D6" s="44"/>
      <c r="F6" s="44" t="s">
        <v>243</v>
      </c>
      <c r="G6" s="44"/>
      <c r="H6" s="44"/>
      <c r="I6" s="44"/>
      <c r="J6" s="44"/>
      <c r="M6" s="44" t="s">
        <v>244</v>
      </c>
      <c r="N6" s="44"/>
      <c r="O6" s="44"/>
      <c r="P6" s="44"/>
      <c r="Q6" s="44"/>
      <c r="R6" s="44"/>
      <c r="S6" s="44"/>
      <c r="T6" s="44"/>
      <c r="U6" s="44"/>
    </row>
    <row r="7" spans="1:21" ht="18" x14ac:dyDescent="0.35">
      <c r="A7" s="8" t="s">
        <v>245</v>
      </c>
      <c r="B7" t="s">
        <v>246</v>
      </c>
      <c r="C7" s="12">
        <v>298</v>
      </c>
      <c r="D7" s="13" t="s">
        <v>247</v>
      </c>
      <c r="F7" s="112"/>
      <c r="G7" s="113" t="s">
        <v>248</v>
      </c>
      <c r="H7" s="114" t="s">
        <v>249</v>
      </c>
      <c r="I7" s="114" t="s">
        <v>250</v>
      </c>
      <c r="J7" s="115" t="s">
        <v>251</v>
      </c>
      <c r="M7" s="116"/>
      <c r="N7" s="96" t="s">
        <v>252</v>
      </c>
      <c r="O7" s="96"/>
      <c r="P7" s="96"/>
      <c r="Q7" s="96" t="s">
        <v>253</v>
      </c>
      <c r="R7" s="96"/>
      <c r="S7" s="96" t="s">
        <v>254</v>
      </c>
      <c r="T7" s="96"/>
      <c r="U7" s="96"/>
    </row>
    <row r="8" spans="1:21" ht="18.75" x14ac:dyDescent="0.35">
      <c r="A8" s="8" t="s">
        <v>255</v>
      </c>
      <c r="B8" t="s">
        <v>256</v>
      </c>
      <c r="C8" s="12">
        <v>350</v>
      </c>
      <c r="D8" s="13" t="s">
        <v>247</v>
      </c>
      <c r="F8" s="29" t="s">
        <v>257</v>
      </c>
      <c r="G8" s="117">
        <v>1</v>
      </c>
      <c r="H8" s="117">
        <f>10^3</f>
        <v>1000</v>
      </c>
      <c r="I8" s="117">
        <f>10^6</f>
        <v>1000000</v>
      </c>
      <c r="J8" s="118">
        <f>10^-5</f>
        <v>1.0000000000000001E-5</v>
      </c>
      <c r="M8" s="37"/>
      <c r="N8" s="24" t="s">
        <v>258</v>
      </c>
      <c r="O8" s="25" t="s">
        <v>259</v>
      </c>
      <c r="P8" s="3" t="s">
        <v>260</v>
      </c>
      <c r="Q8" s="24" t="s">
        <v>261</v>
      </c>
      <c r="R8" s="3" t="s">
        <v>262</v>
      </c>
      <c r="S8" s="24" t="s">
        <v>263</v>
      </c>
      <c r="T8" s="25" t="s">
        <v>259</v>
      </c>
      <c r="U8" s="3" t="s">
        <v>264</v>
      </c>
    </row>
    <row r="9" spans="1:21" ht="18" x14ac:dyDescent="0.35">
      <c r="A9" s="8" t="s">
        <v>265</v>
      </c>
      <c r="C9" s="16">
        <f>C7</f>
        <v>298</v>
      </c>
      <c r="D9" s="13" t="s">
        <v>247</v>
      </c>
      <c r="F9" s="29" t="s">
        <v>266</v>
      </c>
      <c r="G9">
        <v>1.702</v>
      </c>
      <c r="H9">
        <v>9.0809999999999995</v>
      </c>
      <c r="I9">
        <v>-2.1640000000000001</v>
      </c>
      <c r="J9" s="13"/>
      <c r="M9" s="29" t="s">
        <v>266</v>
      </c>
      <c r="N9">
        <f>$J$18*(((G9/$G$8)*($C$8-$C$7))+((H9/$H$8)*(($C$8^2)-($C$7^2)))+((I9/$I$8)*(($C$8^3)-($C$7^3)))+((J9/$J$8)*(($C$8^(-2))-($C$7^(-2)))))</f>
        <v>2984.5854026776315</v>
      </c>
      <c r="O9">
        <f>N9/1000</f>
        <v>2.9845854026776313</v>
      </c>
      <c r="P9" s="40">
        <f>O9*G22</f>
        <v>298.45854026776311</v>
      </c>
      <c r="Q9">
        <f>J17</f>
        <v>-890</v>
      </c>
      <c r="R9" s="40">
        <f>Q9*G22</f>
        <v>-89000</v>
      </c>
      <c r="S9">
        <f>$J$18*(((G9/$G$8)*($C$14-$C$9))+((H9/$H$8)*(($C$14^2)-($C$9^2)))+((I9/$I$8)*(($C$14^3)-($C$9^3)))+((J9/$J$8)*(($C$14^(-2))-($C$9^(-2)))))</f>
        <v>180754.37815820618</v>
      </c>
      <c r="T9">
        <f>S9/1000</f>
        <v>180.75437815820618</v>
      </c>
      <c r="U9" s="13">
        <f>T9*I22</f>
        <v>0</v>
      </c>
    </row>
    <row r="10" spans="1:21" ht="18.75" x14ac:dyDescent="0.35">
      <c r="A10" s="8" t="s">
        <v>267</v>
      </c>
      <c r="C10" s="12">
        <v>100</v>
      </c>
      <c r="D10" s="13" t="s">
        <v>268</v>
      </c>
      <c r="F10" s="29" t="s">
        <v>269</v>
      </c>
      <c r="G10">
        <v>3.6389999999999998</v>
      </c>
      <c r="H10">
        <v>0.50600000000000001</v>
      </c>
      <c r="J10" s="13">
        <v>-0.22700000000000001</v>
      </c>
      <c r="M10" s="29" t="s">
        <v>269</v>
      </c>
      <c r="N10">
        <f>$J$18*(((G10/$G$8)*($C$8-$C$7))+((H10/$H$8)*(($C$8^2)-($C$7^2)))+((I10/$I$8)*(($C$8^3)-($C$7^3)))+((J10/$J$8)*(($C$8^(-2))-($C$7^(-2)))))</f>
        <v>1715.5813374945117</v>
      </c>
      <c r="O10">
        <f>N10/1000</f>
        <v>1.7155813374945117</v>
      </c>
      <c r="P10" s="13">
        <f>O10*G23</f>
        <v>343.11626749890235</v>
      </c>
      <c r="R10" s="13"/>
      <c r="S10">
        <f>$J$18*(((G10/$G$8)*($C$14-$C$9))+((H10/$H$8)*(($C$14^2)-($C$9^2)))+((I10/$I$8)*(($C$14^3)-($C$9^3)))+((J10/$J$8)*(($C$14^(-2))-($C$9^(-2)))))</f>
        <v>70266.995142527725</v>
      </c>
      <c r="T10">
        <f>S10/1000</f>
        <v>70.266995142527719</v>
      </c>
      <c r="U10" s="13">
        <f>T10*I23</f>
        <v>0</v>
      </c>
    </row>
    <row r="11" spans="1:21" ht="18" x14ac:dyDescent="0.35">
      <c r="A11" s="24" t="s">
        <v>200</v>
      </c>
      <c r="B11" s="25"/>
      <c r="C11" s="69">
        <v>1</v>
      </c>
      <c r="D11" s="3" t="s">
        <v>270</v>
      </c>
      <c r="F11" s="29" t="s">
        <v>271</v>
      </c>
      <c r="G11">
        <v>3.28</v>
      </c>
      <c r="H11">
        <v>0.59299999999999997</v>
      </c>
      <c r="J11" s="13">
        <v>0.04</v>
      </c>
      <c r="M11" s="29" t="s">
        <v>271</v>
      </c>
      <c r="N11">
        <f>$J$18*(((G11/$G$8)*($C$8-$C$7))+((H11/$H$8)*(($C$8^2)-($C$7^2)))+((I11/$I$8)*(($C$8^3)-($C$7^3)))+((J11/$J$8)*(($C$8^(-2))-($C$7^(-2)))))</f>
        <v>1584.0609165073283</v>
      </c>
      <c r="O11">
        <f>N11/1000</f>
        <v>1.5840609165073283</v>
      </c>
      <c r="P11" s="13">
        <f>O11*G24</f>
        <v>1191.8172609912281</v>
      </c>
      <c r="R11" s="13"/>
      <c r="S11">
        <f>$J$18*(((G11/$G$8)*($C$14-$C$9))+((H11/$H$8)*(($C$14^2)-($C$9^2)))+((I11/$I$8)*(($C$14^3)-($C$9^3)))+((J11/$J$8)*(($C$14^(-2))-($C$9^(-2)))))</f>
        <v>68010.838380379864</v>
      </c>
      <c r="T11">
        <f>S11/1000</f>
        <v>68.010838380379866</v>
      </c>
      <c r="U11" s="13">
        <f>T11*I24</f>
        <v>51170.059352857235</v>
      </c>
    </row>
    <row r="12" spans="1:21" ht="18" x14ac:dyDescent="0.35">
      <c r="F12" s="29" t="s">
        <v>272</v>
      </c>
      <c r="G12">
        <v>5.4569999999999999</v>
      </c>
      <c r="H12">
        <v>1.0449999999999999</v>
      </c>
      <c r="J12" s="13">
        <v>-1.157</v>
      </c>
      <c r="M12" s="29" t="s">
        <v>272</v>
      </c>
      <c r="N12">
        <f>$J$18*(((G12/$G$8)*($C$8-$C$7))+((H12/$H$8)*(($C$8^2)-($C$7^2)))+((I12/$I$8)*(($C$8^3)-($C$7^3)))+((J12/$J$8)*(($C$8^(-2))-($C$7^(-2)))))</f>
        <v>2654.9486911791282</v>
      </c>
      <c r="O12">
        <f>N12/1000</f>
        <v>2.6549486911791282</v>
      </c>
      <c r="P12" s="13">
        <f>O12*G25</f>
        <v>0</v>
      </c>
      <c r="R12" s="13"/>
      <c r="S12">
        <f>$J$18*(((G12/$G$8)*($C$14-$C$9))+((H12/$H$8)*(($C$14^2)-($C$9^2)))+((I12/$I$8)*(($C$14^3)-($C$9^3)))+((J12/$J$8)*(($C$14^(-2))-($C$9^(-2)))))</f>
        <v>115158.04320915276</v>
      </c>
      <c r="T12">
        <f>S12/1000</f>
        <v>115.15804320915277</v>
      </c>
      <c r="U12" s="13">
        <f>T12*I25</f>
        <v>11515.804320915277</v>
      </c>
    </row>
    <row r="13" spans="1:21" ht="18" x14ac:dyDescent="0.35">
      <c r="A13" s="44" t="s">
        <v>33</v>
      </c>
      <c r="B13" s="44"/>
      <c r="C13" s="44"/>
      <c r="D13" s="44"/>
      <c r="F13" s="37" t="s">
        <v>171</v>
      </c>
      <c r="G13" s="25">
        <v>3.47</v>
      </c>
      <c r="H13" s="25">
        <v>1.45</v>
      </c>
      <c r="I13" s="25"/>
      <c r="J13" s="3">
        <v>0.121</v>
      </c>
      <c r="M13" s="37" t="s">
        <v>171</v>
      </c>
      <c r="N13" s="25">
        <f>$J$18*(((G13/$G$8)*($C$8-$C$7))+((H13/$H$8)*(($C$8^2)-($C$7^2)))+((I13/$I$8)*(($C$8^3)-($C$7^3)))+((J13/$J$8)*(($C$8^(-2))-($C$7^(-2)))))</f>
        <v>1906.0819432938681</v>
      </c>
      <c r="O13" s="25">
        <f>N13/1000</f>
        <v>1.906081943293868</v>
      </c>
      <c r="P13" s="3">
        <f>O13*G26</f>
        <v>0</v>
      </c>
      <c r="Q13" s="25"/>
      <c r="R13" s="3"/>
      <c r="S13" s="25">
        <f>$J$18*(((G13/$G$8)*($C$14-$C$9))+((H13/$H$8)*(($C$14^2)-($C$9^2)))+((I13/$I$8)*(($C$14^3)-($C$9^3)))+((J13/$J$8)*(($C$14^(-2))-($C$9^(-2)))))+IF(C14&gt;373,J16*1000,0)</f>
        <v>140737.64197495335</v>
      </c>
      <c r="T13" s="25">
        <f>S13/1000</f>
        <v>140.73764197495336</v>
      </c>
      <c r="U13" s="3">
        <f>T13*I26</f>
        <v>28147.528394990673</v>
      </c>
    </row>
    <row r="14" spans="1:21" x14ac:dyDescent="0.25">
      <c r="A14" s="123" t="s">
        <v>273</v>
      </c>
      <c r="B14" s="123"/>
      <c r="C14" s="119">
        <v>2049.0090929560088</v>
      </c>
      <c r="D14" s="3" t="s">
        <v>247</v>
      </c>
      <c r="M14" s="106" t="s">
        <v>274</v>
      </c>
      <c r="N14" s="25"/>
      <c r="O14" s="25"/>
      <c r="P14" s="3">
        <f>SUM(P9:P13)</f>
        <v>1833.3920687578934</v>
      </c>
      <c r="Q14" s="25"/>
      <c r="R14" s="3">
        <f>SUM(R9:R13)</f>
        <v>-89000</v>
      </c>
      <c r="S14" s="25"/>
      <c r="T14" s="25"/>
      <c r="U14" s="3">
        <f>SUM(U9:U13)</f>
        <v>90833.392068763176</v>
      </c>
    </row>
    <row r="15" spans="1:21" x14ac:dyDescent="0.25">
      <c r="F15" s="44" t="s">
        <v>275</v>
      </c>
      <c r="G15" s="44"/>
      <c r="H15" s="44"/>
      <c r="I15" s="44"/>
      <c r="J15" s="44"/>
      <c r="K15" s="44"/>
    </row>
    <row r="16" spans="1:21" ht="18.75" x14ac:dyDescent="0.35">
      <c r="A16" s="32"/>
      <c r="F16" s="48" t="s">
        <v>276</v>
      </c>
      <c r="G16" s="48"/>
      <c r="H16" s="48"/>
      <c r="I16" s="48"/>
      <c r="J16">
        <v>40.68</v>
      </c>
      <c r="K16" s="13" t="s">
        <v>277</v>
      </c>
      <c r="M16" s="120" t="s">
        <v>278</v>
      </c>
      <c r="N16" s="39">
        <f>P14-R14</f>
        <v>90833.392068757894</v>
      </c>
      <c r="O16" s="40" t="s">
        <v>279</v>
      </c>
    </row>
    <row r="17" spans="6:15" ht="17.25" x14ac:dyDescent="0.25">
      <c r="F17" s="81" t="s">
        <v>280</v>
      </c>
      <c r="G17" s="81"/>
      <c r="H17" s="81"/>
      <c r="I17" s="81"/>
      <c r="J17">
        <v>-890</v>
      </c>
      <c r="K17" s="13" t="s">
        <v>277</v>
      </c>
      <c r="M17" s="8" t="s">
        <v>38</v>
      </c>
      <c r="N17" s="121">
        <f>N16-U14</f>
        <v>-5.2823452278971672E-9</v>
      </c>
      <c r="O17" s="13" t="s">
        <v>279</v>
      </c>
    </row>
    <row r="18" spans="6:15" ht="17.25" x14ac:dyDescent="0.25">
      <c r="F18" s="83" t="s">
        <v>221</v>
      </c>
      <c r="G18" s="83"/>
      <c r="H18" s="25"/>
      <c r="I18" s="25"/>
      <c r="J18" s="122">
        <v>8.3140000000000001</v>
      </c>
      <c r="K18" s="3" t="s">
        <v>222</v>
      </c>
      <c r="M18" s="24" t="s">
        <v>281</v>
      </c>
      <c r="N18" s="25">
        <v>0</v>
      </c>
      <c r="O18" s="3" t="s">
        <v>279</v>
      </c>
    </row>
    <row r="20" spans="6:15" x14ac:dyDescent="0.25">
      <c r="F20" s="44" t="s">
        <v>282</v>
      </c>
      <c r="G20" s="44"/>
      <c r="H20" s="44"/>
      <c r="I20" s="44"/>
    </row>
    <row r="21" spans="6:15" x14ac:dyDescent="0.25">
      <c r="F21" s="112"/>
      <c r="G21" s="114" t="s">
        <v>283</v>
      </c>
      <c r="H21" s="114" t="s">
        <v>284</v>
      </c>
      <c r="I21" s="115" t="s">
        <v>285</v>
      </c>
    </row>
    <row r="22" spans="6:15" ht="18" x14ac:dyDescent="0.35">
      <c r="F22" s="29" t="s">
        <v>266</v>
      </c>
      <c r="G22">
        <f>C10*C11</f>
        <v>100</v>
      </c>
      <c r="H22">
        <f>G22</f>
        <v>100</v>
      </c>
      <c r="I22" s="13">
        <f>G22-H22</f>
        <v>0</v>
      </c>
    </row>
    <row r="23" spans="6:15" ht="18" x14ac:dyDescent="0.35">
      <c r="F23" s="29" t="s">
        <v>269</v>
      </c>
      <c r="G23">
        <f>2*G22</f>
        <v>200</v>
      </c>
      <c r="H23">
        <f>2*G22</f>
        <v>200</v>
      </c>
      <c r="I23" s="13">
        <f>G23-H23</f>
        <v>0</v>
      </c>
    </row>
    <row r="24" spans="6:15" ht="18" x14ac:dyDescent="0.35">
      <c r="F24" s="29" t="s">
        <v>271</v>
      </c>
      <c r="G24">
        <f>G23*(79/21)</f>
        <v>752.38095238095241</v>
      </c>
      <c r="H24">
        <v>0</v>
      </c>
      <c r="I24" s="13">
        <f>G24-H24</f>
        <v>752.38095238095241</v>
      </c>
    </row>
    <row r="25" spans="6:15" ht="18" x14ac:dyDescent="0.35">
      <c r="F25" s="29" t="s">
        <v>272</v>
      </c>
      <c r="G25">
        <v>0</v>
      </c>
      <c r="H25">
        <f>-G22</f>
        <v>-100</v>
      </c>
      <c r="I25" s="13">
        <f>G25-H25</f>
        <v>100</v>
      </c>
    </row>
    <row r="26" spans="6:15" ht="18" x14ac:dyDescent="0.35">
      <c r="F26" s="37" t="s">
        <v>171</v>
      </c>
      <c r="G26" s="25">
        <v>0</v>
      </c>
      <c r="H26" s="25">
        <f>-H23</f>
        <v>-200</v>
      </c>
      <c r="I26" s="3">
        <f>G26-H26</f>
        <v>200</v>
      </c>
    </row>
    <row r="27" spans="6:15" x14ac:dyDescent="0.25">
      <c r="F27" s="16"/>
    </row>
  </sheetData>
  <mergeCells count="16">
    <mergeCell ref="F16:I16"/>
    <mergeCell ref="F17:I17"/>
    <mergeCell ref="F18:G18"/>
    <mergeCell ref="F20:I20"/>
    <mergeCell ref="N7:P7"/>
    <mergeCell ref="Q7:R7"/>
    <mergeCell ref="S7:U7"/>
    <mergeCell ref="A13:D13"/>
    <mergeCell ref="A14:B14"/>
    <mergeCell ref="F15:K15"/>
    <mergeCell ref="A1:C1"/>
    <mergeCell ref="A3:R3"/>
    <mergeCell ref="A4:I4"/>
    <mergeCell ref="A6:D6"/>
    <mergeCell ref="F6:J6"/>
    <mergeCell ref="M6:U6"/>
  </mergeCells>
  <pageMargins left="0.70000000000000007" right="0.70000000000000007" top="0.75" bottom="0.75" header="0.30000000000000004" footer="0.30000000000000004"/>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Q1</vt:lpstr>
      <vt:lpstr>Q2</vt:lpstr>
      <vt:lpstr>Q3</vt:lpstr>
      <vt:lpstr>Q4</vt:lpstr>
      <vt:lpstr>Q5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Bethany Mulliner</dc:creator>
  <dc:description/>
  <cp:lastModifiedBy>Bethany Mulliner</cp:lastModifiedBy>
  <dcterms:created xsi:type="dcterms:W3CDTF">2017-11-13T12:20:48Z</dcterms:created>
  <dcterms:modified xsi:type="dcterms:W3CDTF">2019-10-16T12:33:19Z</dcterms:modified>
</cp:coreProperties>
</file>