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Apprentice Training\B. Mulliner\Portfolio\University Portfolio\"/>
    </mc:Choice>
  </mc:AlternateContent>
  <bookViews>
    <workbookView xWindow="0" yWindow="600" windowWidth="28800" windowHeight="11685"/>
  </bookViews>
  <sheets>
    <sheet name="Q1" sheetId="1" r:id="rId1"/>
    <sheet name="Q2" sheetId="2" r:id="rId2"/>
    <sheet name="Q3_" sheetId="3" r:id="rId3"/>
    <sheet name="Q4" sheetId="4" r:id="rId4"/>
    <sheet name="Q5" sheetId="5" r:id="rId5"/>
    <sheet name="Q6" sheetId="6" r:id="rId6"/>
  </sheets>
  <definedNames>
    <definedName name="Q1_AREA">'Q1'!$D$17</definedName>
    <definedName name="Q1_DIAM">'Q1'!$D$9</definedName>
    <definedName name="Q1_HT">'Q1'!$D$10</definedName>
    <definedName name="Q1_MASS">'Q1'!$D$16</definedName>
    <definedName name="Q1_RHO">'Q1'!$D$12</definedName>
    <definedName name="Q1_VOL">'Q1'!$D$15</definedName>
    <definedName name="Q1_WT">'Q1'!$D$11</definedName>
    <definedName name="Q2_DIAM">'Q2'!$D$9</definedName>
    <definedName name="Q2_DRY_MASS">'Q2'!$D$18</definedName>
    <definedName name="Q2_FILL">'Q2'!$D$13</definedName>
    <definedName name="Q2_LENGTH">'Q2'!$D$10</definedName>
    <definedName name="Q2_METAL">'Q2'!$D$14</definedName>
    <definedName name="Q2_RHO_LIQ">'Q2'!$D$12</definedName>
    <definedName name="Q2_RHO_METAL">'Q2'!$D$15</definedName>
    <definedName name="Q2_TOTAL_MASS">'Q2'!$D$19</definedName>
    <definedName name="Q2_WT">'Q2'!$D$11</definedName>
    <definedName name="Q3_OD">Q3_!$T$7</definedName>
    <definedName name="Q3_SCH">Q3_!$T$4</definedName>
    <definedName name="Q3_SIZE">Q3_!$T$3</definedName>
    <definedName name="Q3_WT">Q3_!$T$8</definedName>
    <definedName name="Q4_CONC">'Q4'!$D$16</definedName>
    <definedName name="Q4_DEPTH">'Q4'!$D$11</definedName>
    <definedName name="Q4_DISSOLVE">'Q4'!#REF!</definedName>
    <definedName name="Q4_LENGTH">'Q4'!$D$10</definedName>
    <definedName name="Q4_MASS">'Q4'!$D$12</definedName>
    <definedName name="Q4_TEMP">'Q4'!$D$13</definedName>
    <definedName name="Q4_WIDTH">'Q4'!$D$9</definedName>
    <definedName name="Q5_ATM_PRESSURE">'Q5'!$D$14</definedName>
    <definedName name="Q5_AVMM">'Q5'!$D$18</definedName>
    <definedName name="Q5_C1">'Q5'!$I$10</definedName>
    <definedName name="Q5_C2">'Q5'!$I$11</definedName>
    <definedName name="Q5_C3">'Q5'!$I$12</definedName>
    <definedName name="Q5_C4">'Q5'!$I$13</definedName>
    <definedName name="Q5_COMPOSITION">'Q5'!$I$10:$I$13</definedName>
    <definedName name="Q5_CONDENSATION">'Q5'!$D$22</definedName>
    <definedName name="Q5_DIAM">'Q5'!$D$9</definedName>
    <definedName name="Q5_MASS">'Q5'!$D$19</definedName>
    <definedName name="Q5_PARTPRESS">'Q5'!$D$20</definedName>
    <definedName name="Q5_TEMP">'Q5'!$D$15</definedName>
    <definedName name="Q5_VAPPRESS">'Q5'!$D$21</definedName>
    <definedName name="Q5_WT">'Q5'!$D$11</definedName>
    <definedName name="Q6_C1">'Q6'!$H$19</definedName>
    <definedName name="Q6_C2">'Q6'!$H$20</definedName>
    <definedName name="Q6_C3">'Q6'!$H$21</definedName>
    <definedName name="Q6_C4">'Q6'!$H$22</definedName>
    <definedName name="Q6_C5">'Q6'!$H$23</definedName>
    <definedName name="Q6_C7">'Q6'!$H$24</definedName>
    <definedName name="Q6_C8">'Q6'!$H$25</definedName>
    <definedName name="Q6_CAUSTIC_CONC">'Q6'!$D$9</definedName>
    <definedName name="Q6_CAUSTIC_MASS">'Q6'!$B$9</definedName>
    <definedName name="Q6_CLO2_USED">'Q6'!$D$11</definedName>
    <definedName name="Q6_NaClO2_STRENGTH">'Q6'!$K$22</definedName>
    <definedName name="Q6_PEROXIDE_CONC">'Q6'!$D$10</definedName>
    <definedName name="Q6_PEROXIDE_MASS">'Q6'!$B$10</definedName>
    <definedName name="x">'Q4'!$S$9</definedName>
  </definedNames>
  <calcPr calcId="162913"/>
</workbook>
</file>

<file path=xl/calcChain.xml><?xml version="1.0" encoding="utf-8"?>
<calcChain xmlns="http://schemas.openxmlformats.org/spreadsheetml/2006/main">
  <c r="B25" i="6" l="1"/>
  <c r="D25" i="6" s="1"/>
  <c r="B24" i="6"/>
  <c r="D24" i="6" s="1"/>
  <c r="C23" i="6"/>
  <c r="D23" i="6" s="1"/>
  <c r="B23" i="6"/>
  <c r="D22" i="6"/>
  <c r="B22" i="6"/>
  <c r="C21" i="6"/>
  <c r="D21" i="6" s="1"/>
  <c r="B21" i="6"/>
  <c r="C20" i="6"/>
  <c r="D20" i="6" s="1"/>
  <c r="B20" i="6"/>
  <c r="C19" i="6"/>
  <c r="D19" i="6" s="1"/>
  <c r="B19" i="6"/>
  <c r="D31" i="5"/>
  <c r="C53" i="5" s="1"/>
  <c r="C54" i="5" s="1"/>
  <c r="D21" i="5" s="1"/>
  <c r="D30" i="5"/>
  <c r="D44" i="5" s="1"/>
  <c r="D29" i="5"/>
  <c r="D28" i="5"/>
  <c r="D39" i="5" s="1"/>
  <c r="D41" i="5" s="1"/>
  <c r="D27" i="5"/>
  <c r="D38" i="5" s="1"/>
  <c r="D40" i="5" s="1"/>
  <c r="D18" i="5"/>
  <c r="J15" i="5"/>
  <c r="I14" i="5"/>
  <c r="D24" i="4"/>
  <c r="D29" i="4" s="1"/>
  <c r="D22" i="4"/>
  <c r="D21" i="4"/>
  <c r="D20" i="4"/>
  <c r="T7" i="3"/>
  <c r="T8" i="3" s="1"/>
  <c r="D27" i="2"/>
  <c r="D26" i="2"/>
  <c r="D25" i="2"/>
  <c r="D35" i="2" s="1"/>
  <c r="D24" i="2"/>
  <c r="D34" i="2" s="1"/>
  <c r="D36" i="2" s="1"/>
  <c r="D38" i="2" s="1"/>
  <c r="D42" i="2" s="1"/>
  <c r="D43" i="2" s="1"/>
  <c r="D15" i="2"/>
  <c r="G25" i="1"/>
  <c r="D23" i="1"/>
  <c r="D15" i="1" s="1"/>
  <c r="G26" i="1" s="1"/>
  <c r="D22" i="1"/>
  <c r="D17" i="1"/>
  <c r="L12" i="5" l="1"/>
  <c r="L11" i="5"/>
  <c r="D20" i="5" s="1"/>
  <c r="L10" i="5"/>
  <c r="L13" i="5"/>
  <c r="D22" i="5" s="1"/>
  <c r="E32" i="6"/>
  <c r="G27" i="1"/>
  <c r="D16" i="1" s="1"/>
  <c r="D37" i="2"/>
  <c r="E19" i="6"/>
  <c r="C30" i="6"/>
  <c r="F19" i="6"/>
  <c r="D42" i="5"/>
  <c r="D47" i="5" s="1"/>
  <c r="D31" i="6"/>
  <c r="F20" i="6"/>
  <c r="E20" i="6"/>
  <c r="D30" i="2"/>
  <c r="D31" i="2"/>
  <c r="D40" i="2" s="1"/>
  <c r="D18" i="2" s="1"/>
  <c r="D19" i="2" s="1"/>
  <c r="D34" i="5"/>
  <c r="D31" i="4"/>
  <c r="D34" i="4" s="1"/>
  <c r="D35" i="5"/>
  <c r="C26" i="6"/>
  <c r="K10" i="5" l="1"/>
  <c r="K12" i="5"/>
  <c r="M12" i="5" s="1"/>
  <c r="K13" i="5"/>
  <c r="M13" i="5" s="1"/>
  <c r="K11" i="5"/>
  <c r="M11" i="5" s="1"/>
  <c r="G19" i="6"/>
  <c r="C32" i="6"/>
  <c r="C43" i="6" s="1"/>
  <c r="E43" i="6"/>
  <c r="H32" i="6"/>
  <c r="H43" i="6" s="1"/>
  <c r="G32" i="6"/>
  <c r="G43" i="6" s="1"/>
  <c r="F32" i="6"/>
  <c r="F43" i="6" s="1"/>
  <c r="D32" i="6"/>
  <c r="D43" i="6" s="1"/>
  <c r="D42" i="6"/>
  <c r="H31" i="6"/>
  <c r="H42" i="6" s="1"/>
  <c r="G31" i="6"/>
  <c r="G42" i="6" s="1"/>
  <c r="F31" i="6"/>
  <c r="F42" i="6" s="1"/>
  <c r="E31" i="6"/>
  <c r="E42" i="6" s="1"/>
  <c r="C31" i="6"/>
  <c r="C42" i="6" s="1"/>
  <c r="L14" i="5"/>
  <c r="F30" i="6"/>
  <c r="F41" i="6" s="1"/>
  <c r="E30" i="6"/>
  <c r="E41" i="6" s="1"/>
  <c r="G30" i="6"/>
  <c r="G41" i="6" s="1"/>
  <c r="D30" i="6"/>
  <c r="D41" i="6" s="1"/>
  <c r="C41" i="6"/>
  <c r="C35" i="6"/>
  <c r="H30" i="6"/>
  <c r="H41" i="6" s="1"/>
  <c r="D35" i="4"/>
  <c r="D36" i="4" s="1"/>
  <c r="D16" i="4" s="1"/>
  <c r="G20" i="6"/>
  <c r="J19" i="6" l="1"/>
  <c r="J20" i="6"/>
  <c r="E35" i="6"/>
  <c r="C34" i="6"/>
  <c r="C36" i="6" s="1"/>
  <c r="D35" i="6"/>
  <c r="E34" i="6"/>
  <c r="D34" i="6"/>
  <c r="K14" i="5"/>
  <c r="M10" i="5"/>
  <c r="M14" i="5" s="1"/>
  <c r="D19" i="5" s="1"/>
  <c r="D36" i="6" l="1"/>
  <c r="D37" i="6" s="1"/>
  <c r="E36" i="6"/>
  <c r="E22" i="6" l="1"/>
  <c r="F22" i="6" s="1"/>
  <c r="E21" i="6"/>
  <c r="F21" i="6" s="1"/>
  <c r="C50" i="6"/>
  <c r="C47" i="6"/>
  <c r="E50" i="6" l="1"/>
  <c r="D50" i="6"/>
  <c r="E23" i="6" s="1"/>
  <c r="F23" i="6" s="1"/>
  <c r="E47" i="6"/>
  <c r="E24" i="6" s="1"/>
  <c r="F24" i="6" s="1"/>
  <c r="F26" i="6" s="1"/>
  <c r="D47" i="6"/>
  <c r="E25" i="6" s="1"/>
  <c r="F25" i="6" s="1"/>
  <c r="G21" i="6"/>
  <c r="G22" i="6"/>
  <c r="H20" i="6" l="1"/>
  <c r="H19" i="6"/>
  <c r="H22" i="6"/>
  <c r="H21" i="6"/>
  <c r="J22" i="6"/>
  <c r="J21" i="6"/>
  <c r="H25" i="6"/>
  <c r="G25" i="6"/>
  <c r="H23" i="6"/>
  <c r="G23" i="6"/>
  <c r="H24" i="6"/>
  <c r="G24" i="6"/>
  <c r="I25" i="6" l="1"/>
  <c r="I24" i="6"/>
  <c r="H26" i="6"/>
  <c r="J23" i="6"/>
  <c r="J26" i="6" s="1"/>
  <c r="I23" i="6"/>
  <c r="G26" i="6"/>
  <c r="K20" i="6" l="1"/>
  <c r="K19" i="6"/>
  <c r="K21" i="6"/>
  <c r="K22" i="6"/>
  <c r="K23" i="6"/>
  <c r="M27" i="6"/>
  <c r="I19" i="6"/>
  <c r="I20" i="6"/>
  <c r="I22" i="6"/>
  <c r="I21" i="6"/>
  <c r="I26" i="6" l="1"/>
  <c r="K26" i="6"/>
</calcChain>
</file>

<file path=xl/sharedStrings.xml><?xml version="1.0" encoding="utf-8"?>
<sst xmlns="http://schemas.openxmlformats.org/spreadsheetml/2006/main" count="510" uniqueCount="244">
  <si>
    <t>B48BA Process Industries C : Spreadsheet Solution</t>
  </si>
  <si>
    <t>This sheet calculates the maximum working volume inside a vertical, upright, cylindrical storage tank fabricated from PVC.</t>
  </si>
  <si>
    <t>It is also calculates the mass of PVC required and the outer surface area of the tank for the specified  dimensions of the tank.</t>
  </si>
  <si>
    <r>
      <t xml:space="preserve">Altering any variable under </t>
    </r>
    <r>
      <rPr>
        <b/>
        <sz val="11"/>
        <color rgb="FF000000"/>
        <rFont val="Calibri"/>
        <family val="2"/>
      </rPr>
      <t>Dimensions of Tank</t>
    </r>
    <r>
      <rPr>
        <sz val="11"/>
        <color rgb="FF000000"/>
        <rFont val="Calibri"/>
        <family val="2"/>
      </rPr>
      <t xml:space="preserve"> will change the </t>
    </r>
    <r>
      <rPr>
        <b/>
        <sz val="11"/>
        <color rgb="FF000000"/>
        <rFont val="Calibri"/>
        <family val="2"/>
      </rPr>
      <t>Results</t>
    </r>
    <r>
      <rPr>
        <sz val="11"/>
        <color rgb="FF000000"/>
        <rFont val="Calibri"/>
        <family val="2"/>
      </rPr>
      <t>.</t>
    </r>
  </si>
  <si>
    <t>Dimensions of Tank</t>
  </si>
  <si>
    <t>Outer diameter of base</t>
  </si>
  <si>
    <t>m</t>
  </si>
  <si>
    <t>Height of outside</t>
  </si>
  <si>
    <t>Wall thickness</t>
  </si>
  <si>
    <t>mm</t>
  </si>
  <si>
    <t>Density of tank PVC</t>
  </si>
  <si>
    <r>
      <t>kg/m</t>
    </r>
    <r>
      <rPr>
        <vertAlign val="superscript"/>
        <sz val="11"/>
        <color rgb="FF000000"/>
        <rFont val="Calibri"/>
        <family val="2"/>
      </rPr>
      <t>3</t>
    </r>
  </si>
  <si>
    <t>Results</t>
  </si>
  <si>
    <t>Maximum volume inside tank</t>
  </si>
  <si>
    <r>
      <t>m</t>
    </r>
    <r>
      <rPr>
        <vertAlign val="superscript"/>
        <sz val="11"/>
        <color rgb="FF000000"/>
        <rFont val="Calibri"/>
        <family val="2"/>
      </rPr>
      <t>3</t>
    </r>
  </si>
  <si>
    <t>Mass of PVC used</t>
  </si>
  <si>
    <t>kg</t>
  </si>
  <si>
    <t>Outside surface area</t>
  </si>
  <si>
    <r>
      <t>m</t>
    </r>
    <r>
      <rPr>
        <vertAlign val="superscript"/>
        <sz val="11"/>
        <color rgb="FF000000"/>
        <rFont val="Calibri"/>
        <family val="2"/>
      </rPr>
      <t>2</t>
    </r>
  </si>
  <si>
    <t>Working</t>
  </si>
  <si>
    <t>Inner diameter of base</t>
  </si>
  <si>
    <t>Inner height</t>
  </si>
  <si>
    <t>Volume of solid PVC cylinder with outer dimensions</t>
  </si>
  <si>
    <t>Volume of solid PVC cylinder with inner dimensions</t>
  </si>
  <si>
    <t>Volume of PVC required for tank</t>
  </si>
  <si>
    <t>This sheet calculates the dry and total mass of a horizontal cylindrical storage drum with hemispherical ends partially filled with liquid.</t>
  </si>
  <si>
    <t>The variables are the diameter and length of the cylindrical drum, the thickness of the wall, the density of the liquid contained within, and the material used.</t>
  </si>
  <si>
    <r>
      <t xml:space="preserve">To set the density of the material used, simply enter a material listed under the </t>
    </r>
    <r>
      <rPr>
        <b/>
        <sz val="11"/>
        <color rgb="FF000000"/>
        <rFont val="Calibri"/>
        <family val="2"/>
      </rPr>
      <t xml:space="preserve">Density Table </t>
    </r>
    <r>
      <rPr>
        <sz val="11"/>
        <color rgb="FF000000"/>
        <rFont val="Calibri"/>
        <family val="2"/>
      </rPr>
      <t>in 'Type of material used' and the sheet will automatically obtain its density.</t>
    </r>
  </si>
  <si>
    <t>Density Table</t>
  </si>
  <si>
    <t>lbm/in3</t>
  </si>
  <si>
    <t>Dimensions (Outside)  of Cylindical Drum</t>
  </si>
  <si>
    <t>Diameter of Drum</t>
  </si>
  <si>
    <t>in</t>
  </si>
  <si>
    <t>Stainless Steels</t>
  </si>
  <si>
    <t>Length of Drum (Cylindrical Shell)</t>
  </si>
  <si>
    <t>ft</t>
  </si>
  <si>
    <t>302 SS</t>
  </si>
  <si>
    <t>304 SS</t>
  </si>
  <si>
    <t>Density of liquid contents</t>
  </si>
  <si>
    <t>kg/m3</t>
  </si>
  <si>
    <t>316 SS</t>
  </si>
  <si>
    <t xml:space="preserve">Filling level </t>
  </si>
  <si>
    <t>347 SS</t>
  </si>
  <si>
    <t>Type of material used</t>
  </si>
  <si>
    <t>Carbon Steels</t>
  </si>
  <si>
    <t xml:space="preserve">Density of </t>
  </si>
  <si>
    <t>Plain Carbon Steel</t>
  </si>
  <si>
    <t>Carbon-Silicon</t>
  </si>
  <si>
    <t>Chromium Steels</t>
  </si>
  <si>
    <t>Dry mass of drum</t>
  </si>
  <si>
    <t>Plastics</t>
  </si>
  <si>
    <t>Total mass of drum and liquid</t>
  </si>
  <si>
    <t>PVC</t>
  </si>
  <si>
    <t>PolyPropylene</t>
  </si>
  <si>
    <t>Calculations</t>
  </si>
  <si>
    <t>Polycarbonate</t>
  </si>
  <si>
    <t>Converting to SI</t>
  </si>
  <si>
    <t>Outer Diameter of Drum</t>
  </si>
  <si>
    <t>Wall Thickness</t>
  </si>
  <si>
    <t>Drum Material Density</t>
  </si>
  <si>
    <r>
      <t>kgm</t>
    </r>
    <r>
      <rPr>
        <vertAlign val="superscript"/>
        <sz val="11"/>
        <color rgb="FF000000"/>
        <rFont val="Calibri"/>
        <family val="2"/>
      </rPr>
      <t>-3</t>
    </r>
  </si>
  <si>
    <t>Outer Dimensions</t>
  </si>
  <si>
    <t xml:space="preserve">Total Length of Storage Drum </t>
  </si>
  <si>
    <t>Outer Volume</t>
  </si>
  <si>
    <t>Inner Dimensions</t>
  </si>
  <si>
    <t>Inner Diameter of Drum</t>
  </si>
  <si>
    <t>Height of Hemisphere</t>
  </si>
  <si>
    <t>Total Length</t>
  </si>
  <si>
    <t>Inner Volume</t>
  </si>
  <si>
    <t>Volume of Drum Material</t>
  </si>
  <si>
    <t>Volume of Liquid</t>
  </si>
  <si>
    <t>Mass of Liquid</t>
  </si>
  <si>
    <t>ASME B36.10 B36.19 Pipeline Sizes</t>
  </si>
  <si>
    <t>NPS</t>
  </si>
  <si>
    <t>N.D.</t>
  </si>
  <si>
    <t>O.D.</t>
  </si>
  <si>
    <t>STD</t>
  </si>
  <si>
    <t>XS</t>
  </si>
  <si>
    <t>XXS</t>
  </si>
  <si>
    <t>Specify Pipeline Size</t>
  </si>
  <si>
    <t>inches</t>
  </si>
  <si>
    <t>Pipesize</t>
  </si>
  <si>
    <t xml:space="preserve">Schedule </t>
  </si>
  <si>
    <t>This sheet identifies the actual diameter and actual wall thickness of standard pipes (ASME B36.10) from the two variables: pipe size and schedule.</t>
  </si>
  <si>
    <t>1/8</t>
  </si>
  <si>
    <t>-</t>
  </si>
  <si>
    <t>1/4</t>
  </si>
  <si>
    <t>Results from Table</t>
  </si>
  <si>
    <t>3/8</t>
  </si>
  <si>
    <t>OD</t>
  </si>
  <si>
    <t>The OD is found using VLOOKUP, and the wall thickness from an HLOOKUP and MATCH solution.</t>
  </si>
  <si>
    <t>1/2</t>
  </si>
  <si>
    <t>3/4</t>
  </si>
  <si>
    <t>To find the desired results, simply input the pipeline size.</t>
  </si>
  <si>
    <t>1.1/4</t>
  </si>
  <si>
    <t>1.1/2</t>
  </si>
  <si>
    <t>2.1/2</t>
  </si>
  <si>
    <t>3.1/2</t>
  </si>
  <si>
    <t>This sheet calculates the concentration of KCl in a liquid in a rectangular tank.</t>
  </si>
  <si>
    <t>It also accounts for how the solubility of KCl will be affected by the temperature of the tank.</t>
  </si>
  <si>
    <t>To find the final concentration of KCl, input the tank dimensions, the filling depth, the mass of KCl added and the tank temperature.</t>
  </si>
  <si>
    <t>Tank Dimensions</t>
  </si>
  <si>
    <t>Solubility of KCl in water (as a mass % of the solution)</t>
  </si>
  <si>
    <t>Width</t>
  </si>
  <si>
    <t>T(K)</t>
  </si>
  <si>
    <t>Solubility</t>
  </si>
  <si>
    <t>Length</t>
  </si>
  <si>
    <t>Filling depth</t>
  </si>
  <si>
    <t>Mass of KCl added</t>
  </si>
  <si>
    <t>Tank temperature</t>
  </si>
  <si>
    <t>C</t>
  </si>
  <si>
    <t xml:space="preserve">Final concentration </t>
  </si>
  <si>
    <t>wt %</t>
  </si>
  <si>
    <t>Water</t>
  </si>
  <si>
    <t>Volume of Water in Tank</t>
  </si>
  <si>
    <t>Density of Solution</t>
  </si>
  <si>
    <t>Mass of Water in Tank</t>
  </si>
  <si>
    <t>Tank Temperature in K</t>
  </si>
  <si>
    <t>K</t>
  </si>
  <si>
    <t>Equation of the line</t>
  </si>
  <si>
    <t>Gradient</t>
  </si>
  <si>
    <t>Y-intercept</t>
  </si>
  <si>
    <t>mass %</t>
  </si>
  <si>
    <t xml:space="preserve">Solubility Limit </t>
  </si>
  <si>
    <t>Test to see if limit is exceeded and find final concentration</t>
  </si>
  <si>
    <t>KCl % as mass of solution</t>
  </si>
  <si>
    <t>Mass of dissolved KCl</t>
  </si>
  <si>
    <t>Final concentration</t>
  </si>
  <si>
    <t>wt%</t>
  </si>
  <si>
    <t>ppg</t>
  </si>
  <si>
    <t>mg/l</t>
  </si>
  <si>
    <t>degF</t>
  </si>
  <si>
    <t>1% 8.39 3.5 99.46% 4,786 5,278 10,064 37</t>
  </si>
  <si>
    <t>2% 8.44 7.07 99.08% 9,608 10,596 20,203 36</t>
  </si>
  <si>
    <t>3% 8.5 10.67 98.69% 14,500 15,991 30,491 35</t>
  </si>
  <si>
    <t>4% 8.55 14.35 98.29% 19,464 21,465 40,928 34</t>
  </si>
  <si>
    <t>5% 8.6 18.03 97.88% 24,498 27,017 51,515 34</t>
  </si>
  <si>
    <t>6% 8.66 21.77 97.47% 29,603 32,647 62,250 33</t>
  </si>
  <si>
    <t>7% 8.71 25.55 97.04% 34,744 38,316 73,060 32</t>
  </si>
  <si>
    <t>8% 8.77 29.4 96.60% 39,955 44,064 84,019 31</t>
  </si>
  <si>
    <t>9% 8.82 33.29 96.16% 45,238 49,889 95,127 31</t>
  </si>
  <si>
    <t>10% 8.88 37.21 95.70% 50,556 55,754 106,310 29</t>
  </si>
  <si>
    <t>12% 8.99 45.23 94.76% 61,440 67,757 129,197 28</t>
  </si>
  <si>
    <t>14% 9.11 53.46 93.78% 72,607 80,073 152,680 26</t>
  </si>
  <si>
    <t>16% 9.22 61.86 92.77% 84,023 92,663 176,686 24</t>
  </si>
  <si>
    <t>18% 9.34 70.47 91.71% 95,758 105,605 201,362 22</t>
  </si>
  <si>
    <t>20% 9.46 79.33 90.62% 107,741 118,820 226,560 24</t>
  </si>
  <si>
    <t>24% 9.7 97.63 88.33% 120,043 132,387 252,430 66</t>
  </si>
  <si>
    <t>This sheet calculates the average molar mass of a gas stored in a horizontal cylindrical tank with hemispherical ends.</t>
  </si>
  <si>
    <t>It also calculates the mass of gas the tank can contain and the partial pressure of n-butane for the specified temperature and pressure.</t>
  </si>
  <si>
    <t>The sheet also calculates the vapour pressure of n-Pentane, and whether or not this component will condense at the specified variables.</t>
  </si>
  <si>
    <t>To find the desired results, input the tank dimensions, the pressure within the tank, the atmospheric pressure and the temperature within the tank.</t>
  </si>
  <si>
    <t>N.B. For an ideal gas, mol% = vol%.</t>
  </si>
  <si>
    <t>Dimensions (Outside)  of Cylindical Tank</t>
  </si>
  <si>
    <t>Commercial Butane Compostion</t>
  </si>
  <si>
    <t>Diameter of Tank</t>
  </si>
  <si>
    <t>vol %</t>
  </si>
  <si>
    <r>
      <t>MW(Kgkmol</t>
    </r>
    <r>
      <rPr>
        <vertAlign val="superscript"/>
        <sz val="11"/>
        <color rgb="FF000000"/>
        <rFont val="Calibri"/>
        <family val="2"/>
      </rPr>
      <t>-1</t>
    </r>
    <r>
      <rPr>
        <sz val="11"/>
        <color rgb="FF000000"/>
        <rFont val="Calibri"/>
        <family val="2"/>
      </rPr>
      <t>)</t>
    </r>
  </si>
  <si>
    <t>kmols</t>
  </si>
  <si>
    <t>Partial Pressure (kPa)</t>
  </si>
  <si>
    <t>Mass (kg)</t>
  </si>
  <si>
    <t>Length of Tank (cylindical shell)</t>
  </si>
  <si>
    <t>Propane</t>
  </si>
  <si>
    <t>n-Butane</t>
  </si>
  <si>
    <t>iso-Butane</t>
  </si>
  <si>
    <t>Tank pressure</t>
  </si>
  <si>
    <t>psi</t>
  </si>
  <si>
    <t>(gauge)</t>
  </si>
  <si>
    <t>n-Pentane</t>
  </si>
  <si>
    <t>Atmospheric pressure</t>
  </si>
  <si>
    <t>kPa</t>
  </si>
  <si>
    <t>Sum</t>
  </si>
  <si>
    <t>Temperature</t>
  </si>
  <si>
    <t>Average</t>
  </si>
  <si>
    <t>Average molar mass of gas</t>
  </si>
  <si>
    <t>kg/kmol</t>
  </si>
  <si>
    <t>Mass of gas inside tank</t>
  </si>
  <si>
    <t xml:space="preserve">kg </t>
  </si>
  <si>
    <t>Partial Pressure n-Butane</t>
  </si>
  <si>
    <t>Vapour pressure of n-Pentane</t>
  </si>
  <si>
    <t>Condensation?</t>
  </si>
  <si>
    <t>Tank Pressure</t>
  </si>
  <si>
    <t>Absolute Pressure</t>
  </si>
  <si>
    <t>Gas Constant</t>
  </si>
  <si>
    <r>
      <t>kJK</t>
    </r>
    <r>
      <rPr>
        <vertAlign val="superscript"/>
        <sz val="11"/>
        <color rgb="FF000000"/>
        <rFont val="Calibri"/>
        <family val="2"/>
      </rPr>
      <t>-1</t>
    </r>
    <r>
      <rPr>
        <sz val="11"/>
        <color rgb="FF000000"/>
        <rFont val="Calibri"/>
        <family val="2"/>
      </rPr>
      <t>mol</t>
    </r>
    <r>
      <rPr>
        <vertAlign val="superscript"/>
        <sz val="11"/>
        <color rgb="FF000000"/>
        <rFont val="Calibri"/>
        <family val="2"/>
      </rPr>
      <t xml:space="preserve">-1 </t>
    </r>
    <r>
      <rPr>
        <sz val="11"/>
        <color rgb="FF000000"/>
        <rFont val="Calibri"/>
        <family val="2"/>
      </rPr>
      <t xml:space="preserve">(from </t>
    </r>
    <r>
      <rPr>
        <i/>
        <sz val="11"/>
        <color rgb="FF000000"/>
        <rFont val="Calibri"/>
        <family val="2"/>
      </rPr>
      <t>SI Units for Chemical Engineers</t>
    </r>
    <r>
      <rPr>
        <sz val="11"/>
        <color rgb="FF000000"/>
        <rFont val="Calibri"/>
        <family val="2"/>
      </rPr>
      <t>)</t>
    </r>
  </si>
  <si>
    <t>Moles</t>
  </si>
  <si>
    <t>kmol</t>
  </si>
  <si>
    <t>Antoine Equation for n-pentane</t>
  </si>
  <si>
    <t>A</t>
  </si>
  <si>
    <r>
      <t xml:space="preserve">Constants from </t>
    </r>
    <r>
      <rPr>
        <i/>
        <sz val="11"/>
        <color rgb="FF000000"/>
        <rFont val="Calibri"/>
        <family val="2"/>
      </rPr>
      <t>Basic Principles and Calculations in Chemical Engineering (7th Edition)</t>
    </r>
  </si>
  <si>
    <t>B</t>
  </si>
  <si>
    <t>Vapor Pressure</t>
  </si>
  <si>
    <t>mmHg</t>
  </si>
  <si>
    <t>This sheet calculates a material balance for a reaction between Chlorine Dioxide, Hydrogen Peroxide and Sodium Hydroxide producing Sodium Chlorite, Water and Oxygen.</t>
  </si>
  <si>
    <t>It also accounts for any unreacted Chlorine Dioxide breaking down into Chlorine and Water, as well as any unreacted Hydrogen Peroxide breaking down into Water and Oxygen.</t>
  </si>
  <si>
    <t>The sheet calculates the molar and mass composition of the product from the reaction and the strength of the chlorite solution after the gas has been liberated. It also accounts for any of the 3 reagents being limiting.</t>
  </si>
  <si>
    <t>To obtain the desired results, simply enter the mass and strength of the caustic and peroxide solutions, and the mass of chlorine dioxide supplied.</t>
  </si>
  <si>
    <t>Feed Conditions</t>
  </si>
  <si>
    <t>Mass and strength of caustic and peroxide solution</t>
  </si>
  <si>
    <t>Caustic</t>
  </si>
  <si>
    <t>Peroxide</t>
  </si>
  <si>
    <t>Mass of chlorine dioxide supplied</t>
  </si>
  <si>
    <t>Material Balance</t>
  </si>
  <si>
    <t>Component</t>
  </si>
  <si>
    <t>Mol.Mass</t>
  </si>
  <si>
    <t>Feed Mass</t>
  </si>
  <si>
    <t>Reacting</t>
  </si>
  <si>
    <t>After</t>
  </si>
  <si>
    <t>Composition</t>
  </si>
  <si>
    <t>Without O2 and Cl2</t>
  </si>
  <si>
    <t>Molar %</t>
  </si>
  <si>
    <t>Mass %</t>
  </si>
  <si>
    <t>%</t>
  </si>
  <si>
    <t>ClO2</t>
  </si>
  <si>
    <t>H2O2</t>
  </si>
  <si>
    <t>NaOH</t>
  </si>
  <si>
    <t>NaClO2</t>
  </si>
  <si>
    <t>H2O</t>
  </si>
  <si>
    <t>O2</t>
  </si>
  <si>
    <t>Cl2</t>
  </si>
  <si>
    <t>Total</t>
  </si>
  <si>
    <t>Test:</t>
  </si>
  <si>
    <t>Reaction Equation</t>
  </si>
  <si>
    <r>
      <t>2ClO</t>
    </r>
    <r>
      <rPr>
        <vertAlign val="subscript"/>
        <sz val="11"/>
        <color rgb="FF000000"/>
        <rFont val="Calibri"/>
        <family val="2"/>
      </rPr>
      <t>2</t>
    </r>
    <r>
      <rPr>
        <sz val="11"/>
        <color rgb="FF000000"/>
        <rFont val="Calibri"/>
        <family val="2"/>
      </rPr>
      <t xml:space="preserve"> + </t>
    </r>
  </si>
  <si>
    <r>
      <t>H</t>
    </r>
    <r>
      <rPr>
        <vertAlign val="subscript"/>
        <sz val="11"/>
        <color rgb="FF000000"/>
        <rFont val="Calibri"/>
        <family val="2"/>
      </rPr>
      <t>2</t>
    </r>
    <r>
      <rPr>
        <sz val="11"/>
        <color rgb="FF000000"/>
        <rFont val="Calibri"/>
        <family val="2"/>
      </rPr>
      <t>O</t>
    </r>
    <r>
      <rPr>
        <vertAlign val="subscript"/>
        <sz val="11"/>
        <color rgb="FF000000"/>
        <rFont val="Calibri"/>
        <family val="2"/>
      </rPr>
      <t xml:space="preserve">2 </t>
    </r>
    <r>
      <rPr>
        <sz val="11"/>
        <color rgb="FF000000"/>
        <rFont val="Calibri"/>
        <family val="2"/>
      </rPr>
      <t>+</t>
    </r>
  </si>
  <si>
    <t>2NaOH -&gt;</t>
  </si>
  <si>
    <r>
      <t>2NaClO</t>
    </r>
    <r>
      <rPr>
        <vertAlign val="subscript"/>
        <sz val="11"/>
        <color rgb="FF000000"/>
        <rFont val="Calibri"/>
        <family val="2"/>
      </rPr>
      <t>2</t>
    </r>
    <r>
      <rPr>
        <sz val="11"/>
        <color rgb="FF000000"/>
        <rFont val="Calibri"/>
        <family val="2"/>
      </rPr>
      <t xml:space="preserve"> +</t>
    </r>
  </si>
  <si>
    <r>
      <t>2H</t>
    </r>
    <r>
      <rPr>
        <vertAlign val="subscript"/>
        <sz val="11"/>
        <color rgb="FF000000"/>
        <rFont val="Calibri"/>
        <family val="2"/>
      </rPr>
      <t>2</t>
    </r>
    <r>
      <rPr>
        <sz val="11"/>
        <color rgb="FF000000"/>
        <rFont val="Calibri"/>
        <family val="2"/>
      </rPr>
      <t xml:space="preserve">O + </t>
    </r>
  </si>
  <si>
    <r>
      <t>O</t>
    </r>
    <r>
      <rPr>
        <vertAlign val="subscript"/>
        <sz val="11"/>
        <color rgb="FF000000"/>
        <rFont val="Calibri"/>
        <family val="2"/>
      </rPr>
      <t>2</t>
    </r>
  </si>
  <si>
    <r>
      <t>Assume ClO</t>
    </r>
    <r>
      <rPr>
        <vertAlign val="subscript"/>
        <sz val="11"/>
        <color rgb="FF000000"/>
        <rFont val="Calibri"/>
        <family val="2"/>
      </rPr>
      <t>2</t>
    </r>
    <r>
      <rPr>
        <sz val="11"/>
        <color rgb="FF000000"/>
        <rFont val="Calibri"/>
        <family val="2"/>
      </rPr>
      <t xml:space="preserve"> limits</t>
    </r>
  </si>
  <si>
    <r>
      <t>Assume H</t>
    </r>
    <r>
      <rPr>
        <vertAlign val="subscript"/>
        <sz val="11"/>
        <color rgb="FF000000"/>
        <rFont val="Calibri"/>
        <family val="2"/>
      </rPr>
      <t>2</t>
    </r>
    <r>
      <rPr>
        <sz val="11"/>
        <color rgb="FF000000"/>
        <rFont val="Calibri"/>
        <family val="2"/>
      </rPr>
      <t>O</t>
    </r>
    <r>
      <rPr>
        <vertAlign val="subscript"/>
        <sz val="11"/>
        <color rgb="FF000000"/>
        <rFont val="Calibri"/>
        <family val="2"/>
      </rPr>
      <t xml:space="preserve">2 </t>
    </r>
    <r>
      <rPr>
        <sz val="11"/>
        <color rgb="FF000000"/>
        <rFont val="Calibri"/>
        <family val="2"/>
      </rPr>
      <t>limits</t>
    </r>
  </si>
  <si>
    <t>Assume NaOH limits</t>
  </si>
  <si>
    <t>Find limiting reagent:</t>
  </si>
  <si>
    <t>Differences</t>
  </si>
  <si>
    <t>Which Material is Limiting</t>
  </si>
  <si>
    <t>Lookup Table</t>
  </si>
  <si>
    <t>Chlorine Dioxide</t>
  </si>
  <si>
    <t>Secondary Reactions</t>
  </si>
  <si>
    <r>
      <t>2ClO</t>
    </r>
    <r>
      <rPr>
        <vertAlign val="subscript"/>
        <sz val="11"/>
        <color rgb="FF000000"/>
        <rFont val="Calibri"/>
        <family val="2"/>
      </rPr>
      <t xml:space="preserve">2 </t>
    </r>
    <r>
      <rPr>
        <sz val="11"/>
        <color rgb="FF000000"/>
        <rFont val="Calibri"/>
        <family val="2"/>
      </rPr>
      <t>-&gt;</t>
    </r>
  </si>
  <si>
    <r>
      <t>Cl</t>
    </r>
    <r>
      <rPr>
        <vertAlign val="subscript"/>
        <sz val="11"/>
        <color rgb="FF000000"/>
        <rFont val="Calibri"/>
        <family val="2"/>
      </rPr>
      <t xml:space="preserve">2 </t>
    </r>
    <r>
      <rPr>
        <sz val="11"/>
        <color rgb="FF000000"/>
        <rFont val="Calibri"/>
        <family val="2"/>
      </rPr>
      <t>+</t>
    </r>
  </si>
  <si>
    <r>
      <t>2O</t>
    </r>
    <r>
      <rPr>
        <vertAlign val="subscript"/>
        <sz val="11"/>
        <color rgb="FF000000"/>
        <rFont val="Calibri"/>
        <family val="2"/>
      </rPr>
      <t>2</t>
    </r>
  </si>
  <si>
    <r>
      <t>2H</t>
    </r>
    <r>
      <rPr>
        <vertAlign val="subscript"/>
        <sz val="11"/>
        <color rgb="FF000000"/>
        <rFont val="Calibri"/>
        <family val="2"/>
      </rPr>
      <t>2</t>
    </r>
    <r>
      <rPr>
        <sz val="11"/>
        <color rgb="FF000000"/>
        <rFont val="Calibri"/>
        <family val="2"/>
      </rPr>
      <t>O</t>
    </r>
    <r>
      <rPr>
        <vertAlign val="subscript"/>
        <sz val="11"/>
        <color rgb="FF000000"/>
        <rFont val="Calibri"/>
        <family val="2"/>
      </rPr>
      <t xml:space="preserve">2 </t>
    </r>
    <r>
      <rPr>
        <sz val="11"/>
        <color rgb="FF000000"/>
        <rFont val="Calibri"/>
        <family val="2"/>
      </rPr>
      <t>-&gt;</t>
    </r>
  </si>
  <si>
    <r>
      <t>2H</t>
    </r>
    <r>
      <rPr>
        <vertAlign val="subscript"/>
        <sz val="11"/>
        <color rgb="FF000000"/>
        <rFont val="Calibri"/>
        <family val="2"/>
      </rPr>
      <t>2</t>
    </r>
    <r>
      <rPr>
        <sz val="11"/>
        <color rgb="FF000000"/>
        <rFont val="Calibri"/>
        <family val="2"/>
      </rPr>
      <t>O +</t>
    </r>
  </si>
  <si>
    <t>Bethany Mulliner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</si>
</sst>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
    <numFmt numFmtId="166" formatCode="0.000"/>
  </numFmts>
  <fonts count="9" x14ac:knownFonts="1">
    <font>
      <sz val="11"/>
      <color rgb="FF000000"/>
      <name val="Calibri"/>
      <family val="2"/>
    </font>
    <font>
      <u/>
      <sz val="11"/>
      <color rgb="FF954F72"/>
      <name val="Calibri"/>
      <family val="2"/>
    </font>
    <font>
      <u/>
      <sz val="11"/>
      <color rgb="FF0563C1"/>
      <name val="Calibri"/>
      <family val="2"/>
    </font>
    <font>
      <b/>
      <sz val="11"/>
      <color rgb="FF000000"/>
      <name val="Calibri"/>
      <family val="2"/>
    </font>
    <font>
      <vertAlign val="superscript"/>
      <sz val="11"/>
      <color rgb="FF000000"/>
      <name val="Calibri"/>
      <family val="2"/>
    </font>
    <font>
      <b/>
      <sz val="10"/>
      <color rgb="FF000000"/>
      <name val="Arial"/>
      <family val="2"/>
    </font>
    <font>
      <i/>
      <sz val="11"/>
      <color rgb="FF000000"/>
      <name val="Calibri"/>
      <family val="2"/>
    </font>
    <font>
      <vertAlign val="subscript"/>
      <sz val="11"/>
      <color rgb="FF000000"/>
      <name val="Calibri"/>
      <family val="2"/>
    </font>
    <font>
      <sz val="11"/>
      <color rgb="FFFF0000"/>
      <name val="Calibri"/>
      <family val="2"/>
    </font>
  </fonts>
  <fills count="5">
    <fill>
      <patternFill patternType="none"/>
    </fill>
    <fill>
      <patternFill patternType="gray125"/>
    </fill>
    <fill>
      <patternFill patternType="solid">
        <fgColor rgb="FFFFF2CC"/>
        <bgColor rgb="FFFFF2CC"/>
      </patternFill>
    </fill>
    <fill>
      <patternFill patternType="solid">
        <fgColor rgb="FFF2F2F2"/>
        <bgColor rgb="FFF2F2F2"/>
      </patternFill>
    </fill>
    <fill>
      <patternFill patternType="solid">
        <fgColor rgb="FFFFFFFF"/>
        <bgColor rgb="FFFFFFFF"/>
      </patternFill>
    </fill>
  </fills>
  <borders count="25">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00">
    <xf numFmtId="0" fontId="0" fillId="0" borderId="0" xfId="0"/>
    <xf numFmtId="15" fontId="3" fillId="0" borderId="0" xfId="0" applyNumberFormat="1" applyFont="1"/>
    <xf numFmtId="0" fontId="0" fillId="0" borderId="0" xfId="0" applyAlignment="1">
      <alignment horizontal="left"/>
    </xf>
    <xf numFmtId="0" fontId="3" fillId="0" borderId="0" xfId="0" applyFont="1"/>
    <xf numFmtId="0" fontId="0" fillId="2" borderId="0" xfId="0" applyFill="1"/>
    <xf numFmtId="2" fontId="0" fillId="3" borderId="0" xfId="0" applyNumberFormat="1" applyFill="1"/>
    <xf numFmtId="165" fontId="0" fillId="3" borderId="0" xfId="0" applyNumberFormat="1" applyFill="1"/>
    <xf numFmtId="2" fontId="0" fillId="0" borderId="0" xfId="0" applyNumberFormat="1"/>
    <xf numFmtId="0" fontId="3" fillId="0" borderId="0" xfId="0" applyFont="1" applyAlignment="1">
      <alignment horizontal="left"/>
    </xf>
    <xf numFmtId="0" fontId="0" fillId="0" borderId="0" xfId="0" applyAlignment="1">
      <alignment horizontal="left"/>
    </xf>
    <xf numFmtId="0" fontId="3" fillId="0" borderId="1" xfId="0" applyFont="1" applyBorder="1"/>
    <xf numFmtId="0" fontId="0" fillId="0" borderId="2" xfId="0" applyBorder="1"/>
    <xf numFmtId="0" fontId="0" fillId="0" borderId="3" xfId="0" applyBorder="1"/>
    <xf numFmtId="164" fontId="0" fillId="0" borderId="4" xfId="0" applyNumberFormat="1" applyBorder="1"/>
    <xf numFmtId="9" fontId="0" fillId="2" borderId="0" xfId="0" applyNumberFormat="1" applyFill="1"/>
    <xf numFmtId="0" fontId="0" fillId="0" borderId="5" xfId="0" applyBorder="1"/>
    <xf numFmtId="164" fontId="0" fillId="0" borderId="6" xfId="0" applyNumberFormat="1" applyBorder="1"/>
    <xf numFmtId="0" fontId="0" fillId="2" borderId="0" xfId="0" applyFill="1" applyAlignment="1">
      <alignment horizontal="right"/>
    </xf>
    <xf numFmtId="0" fontId="3" fillId="0" borderId="3" xfId="0" applyFont="1" applyBorder="1"/>
    <xf numFmtId="166" fontId="0" fillId="2" borderId="0" xfId="0" applyNumberFormat="1" applyFill="1"/>
    <xf numFmtId="0" fontId="3" fillId="0" borderId="7" xfId="0" applyFont="1" applyBorder="1"/>
    <xf numFmtId="164" fontId="0" fillId="0" borderId="8" xfId="0" applyNumberFormat="1" applyBorder="1"/>
    <xf numFmtId="1" fontId="0" fillId="3" borderId="0" xfId="0" applyNumberFormat="1" applyFill="1"/>
    <xf numFmtId="0" fontId="0" fillId="0" borderId="4" xfId="0" applyBorder="1"/>
    <xf numFmtId="164" fontId="0" fillId="0" borderId="0" xfId="0" applyNumberFormat="1"/>
    <xf numFmtId="0" fontId="3" fillId="0" borderId="0" xfId="0" applyFont="1" applyAlignment="1"/>
    <xf numFmtId="164" fontId="0" fillId="0" borderId="0" xfId="0" applyNumberFormat="1" applyAlignment="1"/>
    <xf numFmtId="0" fontId="0" fillId="0" borderId="0" xfId="0" applyFont="1"/>
    <xf numFmtId="0" fontId="5" fillId="4" borderId="1"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0" fillId="2" borderId="0" xfId="0" applyFill="1" applyAlignment="1">
      <alignment horizontal="center"/>
    </xf>
    <xf numFmtId="0" fontId="0" fillId="4" borderId="7" xfId="0" applyFont="1" applyFill="1" applyBorder="1" applyAlignment="1">
      <alignment horizontal="center" vertical="center" wrapText="1"/>
    </xf>
    <xf numFmtId="0" fontId="0" fillId="3" borderId="0" xfId="0" applyFill="1" applyAlignment="1">
      <alignment horizontal="center"/>
    </xf>
    <xf numFmtId="0" fontId="0" fillId="0" borderId="0" xfId="0" applyAlignment="1">
      <alignment horizontal="center"/>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horizontal="left" wrapText="1"/>
    </xf>
    <xf numFmtId="0" fontId="0" fillId="0" borderId="0" xfId="0" applyAlignment="1"/>
    <xf numFmtId="0" fontId="3" fillId="0" borderId="5" xfId="0" applyFont="1" applyBorder="1" applyAlignment="1">
      <alignment horizontal="center"/>
    </xf>
    <xf numFmtId="0" fontId="0" fillId="0" borderId="7" xfId="0" applyBorder="1"/>
    <xf numFmtId="165" fontId="0" fillId="0" borderId="0" xfId="0" applyNumberFormat="1"/>
    <xf numFmtId="0" fontId="3" fillId="0" borderId="7" xfId="0" applyFont="1" applyFill="1" applyBorder="1" applyAlignment="1">
      <alignment horizontal="center"/>
    </xf>
    <xf numFmtId="0" fontId="0" fillId="0" borderId="0" xfId="0" applyAlignment="1"/>
    <xf numFmtId="0" fontId="0" fillId="0" borderId="10" xfId="0" applyBorder="1"/>
    <xf numFmtId="0" fontId="0" fillId="0" borderId="8" xfId="0" applyBorder="1"/>
    <xf numFmtId="0" fontId="0" fillId="0" borderId="11" xfId="0" applyBorder="1" applyAlignment="1">
      <alignment horizontal="center"/>
    </xf>
    <xf numFmtId="0" fontId="0" fillId="0" borderId="11" xfId="0" applyBorder="1"/>
    <xf numFmtId="0" fontId="0" fillId="0" borderId="12" xfId="0" applyBorder="1"/>
    <xf numFmtId="2" fontId="0" fillId="0" borderId="0" xfId="0" applyNumberFormat="1" applyFont="1"/>
    <xf numFmtId="0" fontId="0" fillId="2" borderId="13" xfId="0" applyFill="1" applyBorder="1" applyAlignment="1">
      <alignment horizontal="center"/>
    </xf>
    <xf numFmtId="2" fontId="0" fillId="0" borderId="13" xfId="0" applyNumberFormat="1" applyFont="1" applyBorder="1"/>
    <xf numFmtId="164" fontId="0" fillId="0" borderId="13" xfId="0" applyNumberFormat="1" applyBorder="1"/>
    <xf numFmtId="164" fontId="0" fillId="0" borderId="11" xfId="0" applyNumberFormat="1" applyBorder="1"/>
    <xf numFmtId="0" fontId="0" fillId="0" borderId="9" xfId="0" applyBorder="1"/>
    <xf numFmtId="0" fontId="0" fillId="0" borderId="6" xfId="0" applyBorder="1"/>
    <xf numFmtId="0" fontId="0" fillId="0" borderId="13" xfId="0" applyBorder="1"/>
    <xf numFmtId="2" fontId="0" fillId="0" borderId="13" xfId="0" applyNumberFormat="1" applyBorder="1"/>
    <xf numFmtId="0" fontId="0" fillId="3" borderId="0" xfId="0" applyFill="1" applyAlignment="1">
      <alignment horizontal="right"/>
    </xf>
    <xf numFmtId="166" fontId="0" fillId="0" borderId="0" xfId="0" applyNumberFormat="1"/>
    <xf numFmtId="166" fontId="0" fillId="0" borderId="0" xfId="0" applyNumberFormat="1" applyAlignment="1">
      <alignment horizontal="center"/>
    </xf>
    <xf numFmtId="164" fontId="0" fillId="0" borderId="0" xfId="0" applyNumberFormat="1" applyAlignment="1">
      <alignment horizontal="right"/>
    </xf>
    <xf numFmtId="0" fontId="0" fillId="0" borderId="3" xfId="0" applyFill="1" applyBorder="1" applyAlignment="1">
      <alignment horizontal="left"/>
    </xf>
    <xf numFmtId="0" fontId="0" fillId="0" borderId="5" xfId="0" applyFill="1" applyBorder="1" applyAlignment="1">
      <alignment horizontal="left"/>
    </xf>
    <xf numFmtId="0" fontId="3" fillId="0" borderId="0" xfId="0" applyFont="1" applyAlignment="1"/>
    <xf numFmtId="0" fontId="0" fillId="0" borderId="14" xfId="0" applyBorder="1"/>
    <xf numFmtId="0" fontId="0" fillId="0" borderId="16" xfId="0" applyBorder="1"/>
    <xf numFmtId="0" fontId="0" fillId="0" borderId="18" xfId="0"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xf numFmtId="0" fontId="0" fillId="0" borderId="24" xfId="0" applyBorder="1"/>
    <xf numFmtId="164" fontId="0" fillId="0" borderId="0" xfId="0" applyNumberFormat="1" applyAlignment="1">
      <alignment horizontal="center"/>
    </xf>
    <xf numFmtId="2" fontId="0" fillId="0" borderId="20" xfId="0" applyNumberFormat="1" applyBorder="1" applyAlignment="1">
      <alignment horizontal="center"/>
    </xf>
    <xf numFmtId="165" fontId="0" fillId="2" borderId="19" xfId="0" applyNumberFormat="1" applyFill="1" applyBorder="1" applyAlignment="1">
      <alignment horizontal="center"/>
    </xf>
    <xf numFmtId="165" fontId="0" fillId="0" borderId="20" xfId="0" applyNumberFormat="1" applyBorder="1" applyAlignment="1">
      <alignment horizontal="center"/>
    </xf>
    <xf numFmtId="2" fontId="0" fillId="0" borderId="0" xfId="0" applyNumberFormat="1" applyAlignment="1">
      <alignment horizontal="center"/>
    </xf>
    <xf numFmtId="165" fontId="0" fillId="2" borderId="20" xfId="0" applyNumberForma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66" fontId="0" fillId="0" borderId="23" xfId="0" applyNumberFormat="1" applyBorder="1" applyAlignment="1">
      <alignment horizontal="center"/>
    </xf>
    <xf numFmtId="0" fontId="0" fillId="0" borderId="24" xfId="0" applyBorder="1" applyAlignment="1">
      <alignment horizontal="center"/>
    </xf>
    <xf numFmtId="165" fontId="0" fillId="0" borderId="22" xfId="0" applyNumberFormat="1" applyBorder="1"/>
    <xf numFmtId="165" fontId="0" fillId="0" borderId="24" xfId="0" applyNumberFormat="1" applyBorder="1"/>
    <xf numFmtId="2" fontId="0" fillId="0" borderId="23" xfId="0" applyNumberFormat="1" applyBorder="1" applyAlignment="1">
      <alignment horizontal="center"/>
    </xf>
    <xf numFmtId="165" fontId="0" fillId="0" borderId="24" xfId="0" applyNumberFormat="1" applyBorder="1" applyAlignment="1">
      <alignment horizontal="center"/>
    </xf>
    <xf numFmtId="0" fontId="8" fillId="0" borderId="0" xfId="0" applyFont="1" applyAlignment="1">
      <alignment horizontal="center"/>
    </xf>
    <xf numFmtId="166" fontId="8" fillId="0" borderId="0" xfId="0" applyNumberFormat="1" applyFont="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166" fontId="0" fillId="0" borderId="0" xfId="0" applyNumberFormat="1" applyFont="1" applyAlignment="1">
      <alignment horizontal="center"/>
    </xf>
    <xf numFmtId="0" fontId="0" fillId="0" borderId="15" xfId="0" applyFill="1" applyBorder="1" applyAlignment="1">
      <alignment horizontal="center"/>
    </xf>
    <xf numFmtId="0" fontId="0" fillId="0" borderId="17" xfId="0" applyFill="1" applyBorder="1" applyAlignment="1">
      <alignment horizontal="center"/>
    </xf>
    <xf numFmtId="0" fontId="0" fillId="0" borderId="14" xfId="0" applyFill="1" applyBorder="1" applyAlignment="1">
      <alignment horizontal="center"/>
    </xf>
  </cellXfs>
  <cellStyles count="3">
    <cellStyle name="Followed Hyperlink" xfId="1"/>
    <cellStyle name="Hyperlink" xfId="2"/>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600" b="1" i="0" u="none" strike="noStrike" kern="1200" cap="all" spc="120" baseline="0">
                <a:solidFill>
                  <a:srgbClr val="595959"/>
                </a:solidFill>
                <a:latin typeface="Calibri"/>
              </a:defRPr>
            </a:pPr>
            <a:r>
              <a:rPr lang="en-GB" sz="1600" b="1" i="0" u="none" strike="noStrike" kern="1200" cap="all" spc="120" baseline="0">
                <a:solidFill>
                  <a:srgbClr val="595959"/>
                </a:solidFill>
                <a:uFillTx/>
                <a:latin typeface="Calibri"/>
              </a:rPr>
              <a:t>Solubility of KCl</a:t>
            </a:r>
          </a:p>
        </c:rich>
      </c:tx>
      <c:layout/>
      <c:overlay val="0"/>
      <c:spPr>
        <a:noFill/>
        <a:ln>
          <a:noFill/>
        </a:ln>
      </c:spPr>
    </c:title>
    <c:autoTitleDeleted val="0"/>
    <c:plotArea>
      <c:layout/>
      <c:scatterChart>
        <c:scatterStyle val="lineMarker"/>
        <c:varyColors val="0"/>
        <c:ser>
          <c:idx val="0"/>
          <c:order val="0"/>
          <c:spPr>
            <a:ln>
              <a:noFill/>
            </a:ln>
          </c:spPr>
          <c:marker>
            <c:symbol val="diamond"/>
            <c:size val="6"/>
          </c:marker>
          <c:trendline>
            <c:spPr>
              <a:ln w="9528" cap="rnd">
                <a:solidFill>
                  <a:srgbClr val="5B9BD5"/>
                </a:solidFill>
                <a:prstDash val="solid"/>
              </a:ln>
            </c:spPr>
            <c:trendlineType val="linear"/>
            <c:dispRSqr val="0"/>
            <c:dispEq val="1"/>
            <c:trendlineLbl>
              <c:layout>
                <c:manualLayout>
                  <c:x val="-0.10391919572927644"/>
                  <c:y val="0.15721439293816325"/>
                </c:manualLayout>
              </c:layout>
              <c:numFmt formatCode="General" sourceLinked="0"/>
              <c:spPr>
                <a:noFill/>
                <a:ln>
                  <a:noFill/>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595959"/>
                      </a:solidFill>
                      <a:latin typeface="Calibri"/>
                    </a:defRPr>
                  </a:pPr>
                  <a:endParaRPr lang="en-US"/>
                </a:p>
              </c:txPr>
            </c:trendlineLbl>
          </c:trendline>
          <c:xVal>
            <c:numRef>
              <c:f>'Q4'!$N$10:$N$14</c:f>
              <c:numCache>
                <c:formatCode>General</c:formatCode>
                <c:ptCount val="5"/>
                <c:pt idx="0">
                  <c:v>298</c:v>
                </c:pt>
                <c:pt idx="1">
                  <c:v>313</c:v>
                </c:pt>
                <c:pt idx="2">
                  <c:v>323</c:v>
                </c:pt>
                <c:pt idx="3">
                  <c:v>343</c:v>
                </c:pt>
                <c:pt idx="4">
                  <c:v>353</c:v>
                </c:pt>
              </c:numCache>
            </c:numRef>
          </c:xVal>
          <c:yVal>
            <c:numRef>
              <c:f>'Q4'!$O$10:$O$14</c:f>
              <c:numCache>
                <c:formatCode>General</c:formatCode>
                <c:ptCount val="5"/>
                <c:pt idx="0">
                  <c:v>26.475999999999999</c:v>
                </c:pt>
                <c:pt idx="1">
                  <c:v>28.728000000000002</c:v>
                </c:pt>
                <c:pt idx="2">
                  <c:v>30.094000000000001</c:v>
                </c:pt>
                <c:pt idx="3">
                  <c:v>32.582000000000001</c:v>
                </c:pt>
                <c:pt idx="4">
                  <c:v>33.709000000000003</c:v>
                </c:pt>
              </c:numCache>
            </c:numRef>
          </c:yVal>
          <c:smooth val="0"/>
        </c:ser>
        <c:dLbls>
          <c:showLegendKey val="0"/>
          <c:showVal val="0"/>
          <c:showCatName val="0"/>
          <c:showSerName val="0"/>
          <c:showPercent val="0"/>
          <c:showBubbleSize val="0"/>
        </c:dLbls>
        <c:axId val="2024101295"/>
        <c:axId val="2024099631"/>
      </c:scatterChart>
      <c:valAx>
        <c:axId val="2024099631"/>
        <c:scaling>
          <c:orientation val="minMax"/>
        </c:scaling>
        <c:delete val="0"/>
        <c:axPos val="l"/>
        <c:majorGridlines>
          <c:spPr>
            <a:ln w="9528" cap="flat">
              <a:solidFill>
                <a:srgbClr val="D9D9D9"/>
              </a:solidFill>
              <a:prstDash val="solid"/>
              <a:round/>
            </a:ln>
          </c:spPr>
        </c:majorGridlines>
        <c:title>
          <c:tx>
            <c:rich>
              <a:bodyPr lIns="0" tIns="0" rIns="0" bIns="0"/>
              <a:lstStyle/>
              <a:p>
                <a:pPr marL="0" marR="0" indent="0" algn="ctr" defTabSz="914400" fontAlgn="auto" hangingPunct="1">
                  <a:lnSpc>
                    <a:spcPct val="100000"/>
                  </a:lnSpc>
                  <a:spcBef>
                    <a:spcPts val="0"/>
                  </a:spcBef>
                  <a:spcAft>
                    <a:spcPts val="0"/>
                  </a:spcAft>
                  <a:tabLst/>
                  <a:defRPr sz="900" b="0" i="0" u="none" strike="noStrike" kern="1200" cap="all" baseline="0">
                    <a:solidFill>
                      <a:srgbClr val="595959"/>
                    </a:solidFill>
                    <a:latin typeface="Calibri"/>
                  </a:defRPr>
                </a:pPr>
                <a:r>
                  <a:rPr lang="en-GB" sz="900" b="0" i="0" u="none" strike="noStrike" kern="1200" cap="all" spc="0" baseline="0">
                    <a:solidFill>
                      <a:srgbClr val="595959"/>
                    </a:solidFill>
                    <a:uFillTx/>
                    <a:latin typeface="Calibri"/>
                  </a:rPr>
                  <a:t>Solubility (mass % of solution)</a:t>
                </a:r>
              </a:p>
            </c:rich>
          </c:tx>
          <c:layout/>
          <c:overlay val="0"/>
          <c:spPr>
            <a:noFill/>
            <a:ln>
              <a:noFill/>
            </a:ln>
          </c:spPr>
        </c:title>
        <c:numFmt formatCode="General" sourceLinked="1"/>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2024101295"/>
        <c:crosses val="autoZero"/>
        <c:crossBetween val="midCat"/>
      </c:valAx>
      <c:valAx>
        <c:axId val="2024101295"/>
        <c:scaling>
          <c:orientation val="minMax"/>
        </c:scaling>
        <c:delete val="0"/>
        <c:axPos val="b"/>
        <c:majorGridlines>
          <c:spPr>
            <a:ln w="9528" cap="flat">
              <a:solidFill>
                <a:srgbClr val="D9D9D9"/>
              </a:solidFill>
              <a:prstDash val="solid"/>
              <a:round/>
            </a:ln>
          </c:spPr>
        </c:majorGridlines>
        <c:title>
          <c:tx>
            <c:rich>
              <a:bodyPr lIns="0" tIns="0" rIns="0" bIns="0"/>
              <a:lstStyle/>
              <a:p>
                <a:pPr marL="0" marR="0" indent="0" algn="ctr" defTabSz="914400" fontAlgn="auto" hangingPunct="1">
                  <a:lnSpc>
                    <a:spcPct val="100000"/>
                  </a:lnSpc>
                  <a:spcBef>
                    <a:spcPts val="0"/>
                  </a:spcBef>
                  <a:spcAft>
                    <a:spcPts val="0"/>
                  </a:spcAft>
                  <a:tabLst/>
                  <a:defRPr sz="900" b="0" i="0" u="none" strike="noStrike" kern="1200" cap="all" baseline="0">
                    <a:solidFill>
                      <a:srgbClr val="595959"/>
                    </a:solidFill>
                    <a:latin typeface="Calibri"/>
                  </a:defRPr>
                </a:pPr>
                <a:r>
                  <a:rPr lang="en-GB" sz="900" b="0" i="0" u="none" strike="noStrike" kern="1200" cap="all" spc="0" baseline="0">
                    <a:solidFill>
                      <a:srgbClr val="595959"/>
                    </a:solidFill>
                    <a:uFillTx/>
                    <a:latin typeface="Calibri"/>
                  </a:rPr>
                  <a:t>Temperature (K)</a:t>
                </a:r>
              </a:p>
            </c:rich>
          </c:tx>
          <c:layout/>
          <c:overlay val="0"/>
          <c:spPr>
            <a:noFill/>
            <a:ln>
              <a:noFill/>
            </a:ln>
          </c:spPr>
        </c:title>
        <c:numFmt formatCode="General" sourceLinked="1"/>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cap="all" spc="120" baseline="0">
                <a:solidFill>
                  <a:srgbClr val="595959"/>
                </a:solidFill>
                <a:latin typeface="Calibri"/>
              </a:defRPr>
            </a:pPr>
            <a:endParaRPr lang="en-US"/>
          </a:p>
        </c:txPr>
        <c:crossAx val="2024099631"/>
        <c:crosses val="autoZero"/>
        <c:crossBetween val="midCat"/>
      </c:val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GB" sz="9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0</xdr:colOff>
      <xdr:row>8</xdr:row>
      <xdr:rowOff>14282</xdr:rowOff>
    </xdr:from>
    <xdr:ext cx="4772025" cy="2700342"/>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workbookViewId="0">
      <selection sqref="A1:E1"/>
    </sheetView>
  </sheetViews>
  <sheetFormatPr defaultColWidth="8.85546875" defaultRowHeight="15" x14ac:dyDescent="0.25"/>
  <cols>
    <col min="1" max="2" width="8.85546875" customWidth="1"/>
    <col min="3" max="3" width="9.85546875" bestFit="1" customWidth="1"/>
    <col min="4" max="4" width="8.85546875" customWidth="1"/>
  </cols>
  <sheetData>
    <row r="1" spans="1:13" x14ac:dyDescent="0.25">
      <c r="A1" s="8" t="s">
        <v>0</v>
      </c>
      <c r="B1" s="8"/>
      <c r="C1" s="8"/>
      <c r="D1" s="8"/>
      <c r="E1" s="8"/>
    </row>
    <row r="2" spans="1:13" x14ac:dyDescent="0.25">
      <c r="A2" s="8" t="s">
        <v>243</v>
      </c>
      <c r="B2" s="8"/>
      <c r="C2" s="1">
        <v>43019</v>
      </c>
    </row>
    <row r="3" spans="1:13" x14ac:dyDescent="0.25">
      <c r="A3" s="9" t="s">
        <v>1</v>
      </c>
      <c r="B3" s="9"/>
      <c r="C3" s="9"/>
      <c r="D3" s="9"/>
      <c r="E3" s="9"/>
      <c r="F3" s="9"/>
      <c r="G3" s="9"/>
      <c r="H3" s="9"/>
      <c r="I3" s="9"/>
      <c r="J3" s="9"/>
      <c r="K3" s="9"/>
      <c r="L3" s="9"/>
      <c r="M3" s="9"/>
    </row>
    <row r="4" spans="1:13" x14ac:dyDescent="0.25">
      <c r="A4" s="9" t="s">
        <v>2</v>
      </c>
      <c r="B4" s="9"/>
      <c r="C4" s="9"/>
      <c r="D4" s="9"/>
      <c r="E4" s="9"/>
      <c r="F4" s="9"/>
      <c r="G4" s="9"/>
      <c r="H4" s="9"/>
      <c r="I4" s="9"/>
      <c r="J4" s="9"/>
      <c r="K4" s="9"/>
      <c r="L4" s="9"/>
      <c r="M4" s="9"/>
    </row>
    <row r="5" spans="1:13" x14ac:dyDescent="0.25">
      <c r="A5" s="9" t="s">
        <v>3</v>
      </c>
      <c r="B5" s="9"/>
      <c r="C5" s="9"/>
      <c r="D5" s="9"/>
      <c r="E5" s="9"/>
      <c r="F5" s="9"/>
      <c r="G5" s="9"/>
      <c r="H5" s="9"/>
    </row>
    <row r="8" spans="1:13" x14ac:dyDescent="0.25">
      <c r="A8" s="3" t="s">
        <v>4</v>
      </c>
    </row>
    <row r="9" spans="1:13" x14ac:dyDescent="0.25">
      <c r="A9" t="s">
        <v>5</v>
      </c>
      <c r="D9" s="4">
        <v>4</v>
      </c>
      <c r="E9" t="s">
        <v>6</v>
      </c>
    </row>
    <row r="10" spans="1:13" x14ac:dyDescent="0.25">
      <c r="A10" t="s">
        <v>7</v>
      </c>
      <c r="D10" s="4">
        <v>4</v>
      </c>
      <c r="E10" t="s">
        <v>6</v>
      </c>
    </row>
    <row r="11" spans="1:13" x14ac:dyDescent="0.25">
      <c r="A11" t="s">
        <v>8</v>
      </c>
      <c r="D11" s="4">
        <v>15</v>
      </c>
      <c r="E11" t="s">
        <v>9</v>
      </c>
    </row>
    <row r="12" spans="1:13" ht="17.25" x14ac:dyDescent="0.25">
      <c r="A12" t="s">
        <v>10</v>
      </c>
      <c r="D12" s="4">
        <v>1350</v>
      </c>
      <c r="E12" t="s">
        <v>11</v>
      </c>
    </row>
    <row r="14" spans="1:13" x14ac:dyDescent="0.25">
      <c r="A14" s="3" t="s">
        <v>12</v>
      </c>
    </row>
    <row r="15" spans="1:13" ht="17.25" x14ac:dyDescent="0.25">
      <c r="A15" t="s">
        <v>13</v>
      </c>
      <c r="D15" s="5">
        <f>(PI()*((0.5*D22)^2))*D23</f>
        <v>49.142970196558657</v>
      </c>
      <c r="E15" t="s">
        <v>14</v>
      </c>
    </row>
    <row r="16" spans="1:13" x14ac:dyDescent="0.25">
      <c r="A16" t="s">
        <v>15</v>
      </c>
      <c r="D16" s="6">
        <f>G27*D12</f>
        <v>1515.3915521853439</v>
      </c>
      <c r="E16" t="s">
        <v>16</v>
      </c>
    </row>
    <row r="17" spans="1:8" ht="17.25" x14ac:dyDescent="0.25">
      <c r="A17" t="s">
        <v>17</v>
      </c>
      <c r="D17" s="6">
        <f>(PI()*D9)*((0.5*D9)+D10)</f>
        <v>75.398223686155035</v>
      </c>
      <c r="E17" t="s">
        <v>18</v>
      </c>
    </row>
    <row r="21" spans="1:8" x14ac:dyDescent="0.25">
      <c r="A21" s="3" t="s">
        <v>19</v>
      </c>
    </row>
    <row r="22" spans="1:8" x14ac:dyDescent="0.25">
      <c r="A22" s="9" t="s">
        <v>20</v>
      </c>
      <c r="B22" s="9"/>
      <c r="C22" s="9"/>
      <c r="D22">
        <f>D9-(D11*2*0.001)</f>
        <v>3.97</v>
      </c>
      <c r="E22" t="s">
        <v>6</v>
      </c>
    </row>
    <row r="23" spans="1:8" x14ac:dyDescent="0.25">
      <c r="A23" s="9" t="s">
        <v>21</v>
      </c>
      <c r="B23" s="9"/>
      <c r="D23">
        <f>D10-(D11*2*0.001)</f>
        <v>3.97</v>
      </c>
      <c r="E23" t="s">
        <v>6</v>
      </c>
    </row>
    <row r="25" spans="1:8" ht="17.25" x14ac:dyDescent="0.25">
      <c r="A25" s="9" t="s">
        <v>22</v>
      </c>
      <c r="B25" s="9"/>
      <c r="C25" s="9"/>
      <c r="D25" s="9"/>
      <c r="E25" s="9"/>
      <c r="F25" s="9"/>
      <c r="G25" s="7">
        <f>PI()*((0.5*D9)^2)*D10</f>
        <v>50.26548245743669</v>
      </c>
      <c r="H25" t="s">
        <v>14</v>
      </c>
    </row>
    <row r="26" spans="1:8" ht="17.25" x14ac:dyDescent="0.25">
      <c r="A26" s="9" t="s">
        <v>23</v>
      </c>
      <c r="B26" s="9"/>
      <c r="C26" s="9"/>
      <c r="D26" s="9"/>
      <c r="E26" s="9"/>
      <c r="F26" s="9"/>
      <c r="G26" s="7">
        <f>D15</f>
        <v>49.142970196558657</v>
      </c>
      <c r="H26" t="s">
        <v>14</v>
      </c>
    </row>
    <row r="27" spans="1:8" ht="17.25" x14ac:dyDescent="0.25">
      <c r="A27" t="s">
        <v>24</v>
      </c>
      <c r="G27" s="7">
        <f>G25-G26</f>
        <v>1.1225122608780325</v>
      </c>
      <c r="H27" t="s">
        <v>14</v>
      </c>
    </row>
  </sheetData>
  <mergeCells count="9">
    <mergeCell ref="A23:B23"/>
    <mergeCell ref="A25:F25"/>
    <mergeCell ref="A26:F26"/>
    <mergeCell ref="A1:E1"/>
    <mergeCell ref="A2:B2"/>
    <mergeCell ref="A3:M3"/>
    <mergeCell ref="A4:M4"/>
    <mergeCell ref="A5:H5"/>
    <mergeCell ref="A22:C22"/>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election activeCell="D2" sqref="D2"/>
    </sheetView>
  </sheetViews>
  <sheetFormatPr defaultColWidth="8.85546875" defaultRowHeight="15" x14ac:dyDescent="0.25"/>
  <cols>
    <col min="1" max="2" width="8.85546875" customWidth="1"/>
    <col min="3" max="3" width="13.140625" customWidth="1"/>
    <col min="4" max="4" width="9.5703125" bestFit="1" customWidth="1"/>
    <col min="5" max="8" width="8.85546875" customWidth="1"/>
    <col min="9" max="9" width="5.5703125" customWidth="1"/>
    <col min="10" max="10" width="16.85546875" customWidth="1"/>
    <col min="11" max="11" width="8.85546875" customWidth="1"/>
  </cols>
  <sheetData>
    <row r="1" spans="1:16" x14ac:dyDescent="0.25">
      <c r="A1" s="8" t="s">
        <v>0</v>
      </c>
      <c r="B1" s="8"/>
      <c r="C1" s="8"/>
      <c r="D1" s="8"/>
      <c r="E1" s="8"/>
    </row>
    <row r="2" spans="1:16" x14ac:dyDescent="0.25">
      <c r="A2" s="8" t="s">
        <v>243</v>
      </c>
      <c r="B2" s="8"/>
      <c r="C2" s="1">
        <v>43019</v>
      </c>
    </row>
    <row r="3" spans="1:16" x14ac:dyDescent="0.25">
      <c r="A3" s="9" t="s">
        <v>25</v>
      </c>
      <c r="B3" s="9"/>
      <c r="C3" s="9"/>
      <c r="D3" s="9"/>
      <c r="E3" s="9"/>
      <c r="F3" s="9"/>
      <c r="G3" s="9"/>
      <c r="H3" s="9"/>
      <c r="I3" s="9"/>
      <c r="J3" s="9"/>
      <c r="K3" s="9"/>
      <c r="L3" s="9"/>
      <c r="M3" s="9"/>
    </row>
    <row r="4" spans="1:16" x14ac:dyDescent="0.25">
      <c r="A4" s="9" t="s">
        <v>26</v>
      </c>
      <c r="B4" s="9"/>
      <c r="C4" s="9"/>
      <c r="D4" s="9"/>
      <c r="E4" s="9"/>
      <c r="F4" s="9"/>
      <c r="G4" s="9"/>
      <c r="H4" s="9"/>
      <c r="I4" s="9"/>
      <c r="J4" s="9"/>
      <c r="K4" s="9"/>
      <c r="L4" s="9"/>
      <c r="M4" s="9"/>
      <c r="N4" s="9"/>
      <c r="O4" s="9"/>
    </row>
    <row r="5" spans="1:16" x14ac:dyDescent="0.25">
      <c r="A5" s="9" t="s">
        <v>27</v>
      </c>
      <c r="B5" s="9"/>
      <c r="C5" s="9"/>
      <c r="D5" s="9"/>
      <c r="E5" s="9"/>
      <c r="F5" s="9"/>
      <c r="G5" s="9"/>
      <c r="H5" s="9"/>
      <c r="I5" s="9"/>
      <c r="J5" s="9"/>
      <c r="K5" s="9"/>
      <c r="L5" s="9"/>
      <c r="M5" s="9"/>
      <c r="N5" s="9"/>
      <c r="O5" s="9"/>
      <c r="P5" s="9"/>
    </row>
    <row r="7" spans="1:16" x14ac:dyDescent="0.25">
      <c r="J7" s="3" t="s">
        <v>28</v>
      </c>
      <c r="L7" t="s">
        <v>29</v>
      </c>
    </row>
    <row r="8" spans="1:16" x14ac:dyDescent="0.25">
      <c r="A8" s="8" t="s">
        <v>30</v>
      </c>
      <c r="B8" s="8"/>
      <c r="C8" s="8"/>
      <c r="D8" s="8"/>
    </row>
    <row r="9" spans="1:16" x14ac:dyDescent="0.25">
      <c r="A9" s="9" t="s">
        <v>31</v>
      </c>
      <c r="B9" s="9"/>
      <c r="D9" s="4">
        <v>36</v>
      </c>
      <c r="E9" t="s">
        <v>32</v>
      </c>
      <c r="J9" s="10" t="s">
        <v>33</v>
      </c>
      <c r="K9" s="11"/>
    </row>
    <row r="10" spans="1:16" x14ac:dyDescent="0.25">
      <c r="A10" s="9" t="s">
        <v>34</v>
      </c>
      <c r="B10" s="9"/>
      <c r="C10" s="9"/>
      <c r="D10" s="4">
        <v>36</v>
      </c>
      <c r="E10" t="s">
        <v>35</v>
      </c>
      <c r="J10" s="12" t="s">
        <v>36</v>
      </c>
      <c r="K10" s="13">
        <v>0.29108796296296297</v>
      </c>
    </row>
    <row r="11" spans="1:16" x14ac:dyDescent="0.25">
      <c r="A11" s="9" t="s">
        <v>8</v>
      </c>
      <c r="B11" s="9"/>
      <c r="D11" s="4">
        <v>0.25</v>
      </c>
      <c r="E11" t="s">
        <v>32</v>
      </c>
      <c r="J11" s="12" t="s">
        <v>37</v>
      </c>
      <c r="K11" s="13">
        <v>0.28541666666666671</v>
      </c>
    </row>
    <row r="12" spans="1:16" x14ac:dyDescent="0.25">
      <c r="A12" s="9" t="s">
        <v>38</v>
      </c>
      <c r="B12" s="9"/>
      <c r="C12" s="9"/>
      <c r="D12" s="4">
        <v>900</v>
      </c>
      <c r="E12" t="s">
        <v>39</v>
      </c>
      <c r="J12" s="12" t="s">
        <v>40</v>
      </c>
      <c r="K12" s="13">
        <v>0.2976273148148148</v>
      </c>
    </row>
    <row r="13" spans="1:16" x14ac:dyDescent="0.25">
      <c r="A13" s="9" t="s">
        <v>41</v>
      </c>
      <c r="B13" s="9"/>
      <c r="D13" s="14">
        <v>0.75</v>
      </c>
      <c r="J13" s="15" t="s">
        <v>42</v>
      </c>
      <c r="K13" s="16">
        <v>0.28819444444444448</v>
      </c>
    </row>
    <row r="14" spans="1:16" x14ac:dyDescent="0.25">
      <c r="A14" s="9" t="s">
        <v>43</v>
      </c>
      <c r="B14" s="9"/>
      <c r="C14" s="9"/>
      <c r="D14" s="17" t="s">
        <v>37</v>
      </c>
      <c r="J14" s="18" t="s">
        <v>44</v>
      </c>
      <c r="K14" s="13"/>
    </row>
    <row r="15" spans="1:16" x14ac:dyDescent="0.25">
      <c r="A15" s="9" t="s">
        <v>45</v>
      </c>
      <c r="B15" s="9"/>
      <c r="D15" s="19">
        <f>VLOOKUP(D14,J9:K21,2,FALSE)</f>
        <v>0.28541666666666671</v>
      </c>
      <c r="E15" t="s">
        <v>29</v>
      </c>
      <c r="J15" s="12" t="s">
        <v>46</v>
      </c>
      <c r="K15" s="13">
        <v>0.28373842592592591</v>
      </c>
    </row>
    <row r="16" spans="1:16" x14ac:dyDescent="0.25">
      <c r="J16" s="15" t="s">
        <v>47</v>
      </c>
      <c r="K16" s="16">
        <v>0.28240740740740738</v>
      </c>
    </row>
    <row r="17" spans="1:11" x14ac:dyDescent="0.25">
      <c r="A17" s="3" t="s">
        <v>12</v>
      </c>
      <c r="J17" s="20" t="s">
        <v>48</v>
      </c>
      <c r="K17" s="21">
        <v>0.28258101851851852</v>
      </c>
    </row>
    <row r="18" spans="1:11" x14ac:dyDescent="0.25">
      <c r="A18" s="9" t="s">
        <v>49</v>
      </c>
      <c r="B18" s="9"/>
      <c r="D18" s="22">
        <f>D40*D27</f>
        <v>1700.3049931141704</v>
      </c>
      <c r="E18" t="s">
        <v>16</v>
      </c>
      <c r="J18" s="18" t="s">
        <v>50</v>
      </c>
      <c r="K18" s="23"/>
    </row>
    <row r="19" spans="1:11" x14ac:dyDescent="0.25">
      <c r="A19" s="9" t="s">
        <v>51</v>
      </c>
      <c r="B19" s="9"/>
      <c r="C19" s="9"/>
      <c r="D19" s="22">
        <f>D18+D43</f>
        <v>6689.1357386057243</v>
      </c>
      <c r="E19" t="s">
        <v>16</v>
      </c>
      <c r="J19" s="12" t="s">
        <v>52</v>
      </c>
      <c r="K19" s="13">
        <v>5.0999999999999997E-2</v>
      </c>
    </row>
    <row r="20" spans="1:11" x14ac:dyDescent="0.25">
      <c r="J20" s="12" t="s">
        <v>53</v>
      </c>
      <c r="K20" s="13">
        <v>0.9</v>
      </c>
    </row>
    <row r="21" spans="1:11" x14ac:dyDescent="0.25">
      <c r="A21" s="3" t="s">
        <v>54</v>
      </c>
      <c r="J21" s="15" t="s">
        <v>55</v>
      </c>
      <c r="K21" s="16">
        <v>1.2</v>
      </c>
    </row>
    <row r="23" spans="1:11" x14ac:dyDescent="0.25">
      <c r="A23" s="8" t="s">
        <v>56</v>
      </c>
      <c r="B23" s="8"/>
    </row>
    <row r="24" spans="1:11" x14ac:dyDescent="0.25">
      <c r="A24" s="9" t="s">
        <v>57</v>
      </c>
      <c r="B24" s="9"/>
      <c r="C24" s="9"/>
      <c r="D24">
        <f>CONVERT(D9,E9,"m")</f>
        <v>0.91439999999999999</v>
      </c>
      <c r="E24" t="s">
        <v>6</v>
      </c>
    </row>
    <row r="25" spans="1:11" x14ac:dyDescent="0.25">
      <c r="A25" s="9" t="s">
        <v>34</v>
      </c>
      <c r="B25" s="9"/>
      <c r="C25" s="9"/>
      <c r="D25">
        <f>CONVERT(D10,E10,"m")</f>
        <v>10.972799999999999</v>
      </c>
      <c r="E25" t="s">
        <v>6</v>
      </c>
    </row>
    <row r="26" spans="1:11" x14ac:dyDescent="0.25">
      <c r="A26" s="9" t="s">
        <v>58</v>
      </c>
      <c r="B26" s="9"/>
      <c r="D26" s="24">
        <f>CONVERT(D11,E11,"m")</f>
        <v>6.3499999999999997E-3</v>
      </c>
      <c r="E26" t="s">
        <v>6</v>
      </c>
    </row>
    <row r="27" spans="1:11" ht="17.25" x14ac:dyDescent="0.25">
      <c r="A27" s="9" t="s">
        <v>59</v>
      </c>
      <c r="B27" s="9"/>
      <c r="C27" s="9"/>
      <c r="D27" s="24">
        <f>D15*27680</f>
        <v>7900.3333333333348</v>
      </c>
      <c r="E27" t="s">
        <v>60</v>
      </c>
    </row>
    <row r="29" spans="1:11" x14ac:dyDescent="0.25">
      <c r="A29" s="8" t="s">
        <v>61</v>
      </c>
      <c r="B29" s="8"/>
    </row>
    <row r="30" spans="1:11" x14ac:dyDescent="0.25">
      <c r="A30" s="9" t="s">
        <v>62</v>
      </c>
      <c r="B30" s="9"/>
      <c r="C30" s="9"/>
      <c r="D30">
        <f>D25+D24</f>
        <v>11.8872</v>
      </c>
      <c r="E30" t="s">
        <v>6</v>
      </c>
    </row>
    <row r="31" spans="1:11" ht="17.25" x14ac:dyDescent="0.25">
      <c r="A31" t="s">
        <v>63</v>
      </c>
      <c r="D31" s="24">
        <f>(PI()*((0.5*D24)^2)*D25)+((4/3)*PI()*((0.5*D24)^3))</f>
        <v>7.606079762844919</v>
      </c>
      <c r="E31" t="s">
        <v>14</v>
      </c>
    </row>
    <row r="33" spans="1:5" x14ac:dyDescent="0.25">
      <c r="A33" s="8" t="s">
        <v>64</v>
      </c>
      <c r="B33" s="8"/>
      <c r="D33" s="7"/>
    </row>
    <row r="34" spans="1:5" x14ac:dyDescent="0.25">
      <c r="A34" s="9" t="s">
        <v>65</v>
      </c>
      <c r="B34" s="9"/>
      <c r="C34" s="9"/>
      <c r="D34" s="24">
        <f>D24-(2*D26)</f>
        <v>0.90169999999999995</v>
      </c>
      <c r="E34" t="s">
        <v>6</v>
      </c>
    </row>
    <row r="35" spans="1:5" x14ac:dyDescent="0.25">
      <c r="A35" s="9" t="s">
        <v>34</v>
      </c>
      <c r="B35" s="9"/>
      <c r="C35" s="9"/>
      <c r="D35" s="24">
        <f>D25</f>
        <v>10.972799999999999</v>
      </c>
      <c r="E35" t="s">
        <v>6</v>
      </c>
    </row>
    <row r="36" spans="1:5" x14ac:dyDescent="0.25">
      <c r="A36" s="9" t="s">
        <v>66</v>
      </c>
      <c r="B36" s="9"/>
      <c r="C36" s="9"/>
      <c r="D36" s="24">
        <f>(0.5*D34)</f>
        <v>0.45084999999999997</v>
      </c>
      <c r="E36" t="s">
        <v>6</v>
      </c>
    </row>
    <row r="37" spans="1:5" x14ac:dyDescent="0.25">
      <c r="A37" s="9" t="s">
        <v>67</v>
      </c>
      <c r="B37" s="9"/>
      <c r="D37" s="24">
        <f>D35+(2*D36)</f>
        <v>11.874499999999999</v>
      </c>
      <c r="E37" t="s">
        <v>6</v>
      </c>
    </row>
    <row r="38" spans="1:5" ht="17.25" x14ac:dyDescent="0.25">
      <c r="A38" s="9" t="s">
        <v>68</v>
      </c>
      <c r="B38" s="9"/>
      <c r="D38" s="24">
        <f>(PI()*(D36^2)*D35)+((4/3)*PI()*(D36^3))</f>
        <v>7.3908603636911909</v>
      </c>
      <c r="E38" t="s">
        <v>14</v>
      </c>
    </row>
    <row r="40" spans="1:5" ht="17.25" x14ac:dyDescent="0.25">
      <c r="A40" s="8" t="s">
        <v>69</v>
      </c>
      <c r="B40" s="8"/>
      <c r="C40" s="8"/>
      <c r="D40" s="24">
        <f>D31-D38</f>
        <v>0.21521939915372812</v>
      </c>
      <c r="E40" t="s">
        <v>14</v>
      </c>
    </row>
    <row r="42" spans="1:5" ht="17.25" x14ac:dyDescent="0.25">
      <c r="A42" s="8" t="s">
        <v>70</v>
      </c>
      <c r="B42" s="8"/>
      <c r="C42" s="25"/>
      <c r="D42" s="26">
        <f>D38*D13</f>
        <v>5.5431452727683936</v>
      </c>
      <c r="E42" t="s">
        <v>14</v>
      </c>
    </row>
    <row r="43" spans="1:5" x14ac:dyDescent="0.25">
      <c r="A43" s="8" t="s">
        <v>71</v>
      </c>
      <c r="B43" s="8"/>
      <c r="D43" s="24">
        <f>D12*D42</f>
        <v>4988.8307454915539</v>
      </c>
      <c r="E43" t="s">
        <v>16</v>
      </c>
    </row>
    <row r="46" spans="1:5" x14ac:dyDescent="0.25">
      <c r="D46" s="7"/>
    </row>
  </sheetData>
  <mergeCells count="31">
    <mergeCell ref="A43:B43"/>
    <mergeCell ref="A35:C35"/>
    <mergeCell ref="A36:C36"/>
    <mergeCell ref="A37:B37"/>
    <mergeCell ref="A38:B38"/>
    <mergeCell ref="A40:C40"/>
    <mergeCell ref="A42:B42"/>
    <mergeCell ref="A26:B26"/>
    <mergeCell ref="A27:C27"/>
    <mergeCell ref="A29:B29"/>
    <mergeCell ref="A30:C30"/>
    <mergeCell ref="A33:B33"/>
    <mergeCell ref="A34:C34"/>
    <mergeCell ref="A15:B15"/>
    <mergeCell ref="A18:B18"/>
    <mergeCell ref="A19:C19"/>
    <mergeCell ref="A23:B23"/>
    <mergeCell ref="A24:C24"/>
    <mergeCell ref="A25:C25"/>
    <mergeCell ref="A9:B9"/>
    <mergeCell ref="A10:C10"/>
    <mergeCell ref="A11:B11"/>
    <mergeCell ref="A12:C12"/>
    <mergeCell ref="A13:B13"/>
    <mergeCell ref="A14:C14"/>
    <mergeCell ref="A1:E1"/>
    <mergeCell ref="A2:B2"/>
    <mergeCell ref="A3:M3"/>
    <mergeCell ref="A4:O4"/>
    <mergeCell ref="A5:P5"/>
    <mergeCell ref="A8:D8"/>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workbookViewId="0">
      <selection sqref="A1:I1"/>
    </sheetView>
  </sheetViews>
  <sheetFormatPr defaultRowHeight="15" x14ac:dyDescent="0.25"/>
  <cols>
    <col min="1" max="1" width="9.140625" customWidth="1"/>
  </cols>
  <sheetData>
    <row r="1" spans="1:29" x14ac:dyDescent="0.25">
      <c r="A1" s="36" t="s">
        <v>72</v>
      </c>
      <c r="B1" s="36"/>
      <c r="C1" s="36"/>
      <c r="D1" s="36"/>
      <c r="E1" s="36"/>
      <c r="F1" s="36"/>
      <c r="G1" s="36"/>
      <c r="H1" s="36"/>
      <c r="I1" s="36"/>
      <c r="J1" s="27"/>
      <c r="K1" s="27"/>
      <c r="L1" s="27"/>
      <c r="M1" s="27"/>
      <c r="N1" s="27"/>
      <c r="O1" s="27"/>
      <c r="P1" s="27"/>
      <c r="Q1" s="27"/>
    </row>
    <row r="2" spans="1:29" x14ac:dyDescent="0.25">
      <c r="A2" s="28" t="s">
        <v>73</v>
      </c>
      <c r="B2" s="28" t="s">
        <v>74</v>
      </c>
      <c r="C2" s="28" t="s">
        <v>75</v>
      </c>
      <c r="D2" s="37">
        <v>10</v>
      </c>
      <c r="E2" s="37">
        <v>20</v>
      </c>
      <c r="F2" s="37">
        <v>30</v>
      </c>
      <c r="G2" s="37" t="s">
        <v>76</v>
      </c>
      <c r="H2" s="37">
        <v>40</v>
      </c>
      <c r="I2" s="37">
        <v>60</v>
      </c>
      <c r="J2" s="37" t="s">
        <v>77</v>
      </c>
      <c r="K2" s="37">
        <v>80</v>
      </c>
      <c r="L2" s="37">
        <v>100</v>
      </c>
      <c r="M2" s="37">
        <v>120</v>
      </c>
      <c r="N2" s="37">
        <v>140</v>
      </c>
      <c r="O2" s="37">
        <v>160</v>
      </c>
      <c r="P2" s="37" t="s">
        <v>78</v>
      </c>
      <c r="Q2" s="27"/>
      <c r="R2" s="8" t="s">
        <v>79</v>
      </c>
      <c r="S2" s="8"/>
      <c r="T2" s="8"/>
      <c r="W2" s="8" t="s">
        <v>0</v>
      </c>
      <c r="X2" s="8"/>
      <c r="Y2" s="8"/>
      <c r="Z2" s="8"/>
      <c r="AA2" s="8"/>
    </row>
    <row r="3" spans="1:29" x14ac:dyDescent="0.25">
      <c r="A3" s="28" t="s">
        <v>80</v>
      </c>
      <c r="B3" s="30" t="s">
        <v>9</v>
      </c>
      <c r="C3" s="30" t="s">
        <v>9</v>
      </c>
      <c r="D3" s="37"/>
      <c r="E3" s="37"/>
      <c r="F3" s="37"/>
      <c r="G3" s="37"/>
      <c r="H3" s="37"/>
      <c r="I3" s="37"/>
      <c r="J3" s="37"/>
      <c r="K3" s="37"/>
      <c r="L3" s="37"/>
      <c r="M3" s="37"/>
      <c r="N3" s="37"/>
      <c r="O3" s="37"/>
      <c r="P3" s="37"/>
      <c r="Q3" s="27"/>
      <c r="R3" t="s">
        <v>81</v>
      </c>
      <c r="T3" s="31">
        <v>12</v>
      </c>
      <c r="U3" t="s">
        <v>80</v>
      </c>
      <c r="W3" s="8" t="s">
        <v>243</v>
      </c>
      <c r="X3" s="8"/>
      <c r="Y3" s="1">
        <v>43019</v>
      </c>
    </row>
    <row r="4" spans="1:29" ht="15" customHeight="1" x14ac:dyDescent="0.25">
      <c r="A4" s="28"/>
      <c r="B4" s="30"/>
      <c r="C4" s="30"/>
      <c r="D4" s="30"/>
      <c r="E4" s="30"/>
      <c r="F4" s="30"/>
      <c r="G4" s="30"/>
      <c r="H4" s="30"/>
      <c r="I4" s="30"/>
      <c r="J4" s="30"/>
      <c r="K4" s="30"/>
      <c r="L4" s="30"/>
      <c r="M4" s="30"/>
      <c r="N4" s="30"/>
      <c r="O4" s="30"/>
      <c r="P4" s="30"/>
      <c r="Q4" s="27"/>
      <c r="R4" t="s">
        <v>82</v>
      </c>
      <c r="T4" s="31" t="s">
        <v>77</v>
      </c>
      <c r="W4" s="38" t="s">
        <v>83</v>
      </c>
      <c r="X4" s="38"/>
      <c r="Y4" s="38"/>
      <c r="Z4" s="38"/>
      <c r="AA4" s="38"/>
      <c r="AB4" s="38"/>
      <c r="AC4" s="38"/>
    </row>
    <row r="5" spans="1:29" x14ac:dyDescent="0.25">
      <c r="A5" s="28" t="s">
        <v>84</v>
      </c>
      <c r="B5" s="29" t="s">
        <v>85</v>
      </c>
      <c r="C5" s="29">
        <v>10.3</v>
      </c>
      <c r="D5" s="32">
        <v>1.24</v>
      </c>
      <c r="E5" s="32" t="s">
        <v>85</v>
      </c>
      <c r="F5" s="32">
        <v>1.45</v>
      </c>
      <c r="G5" s="32">
        <v>1.73</v>
      </c>
      <c r="H5" s="32">
        <v>1.73</v>
      </c>
      <c r="I5" s="32" t="s">
        <v>85</v>
      </c>
      <c r="J5" s="32">
        <v>2.41</v>
      </c>
      <c r="K5" s="32">
        <v>2.41</v>
      </c>
      <c r="L5" s="32" t="s">
        <v>85</v>
      </c>
      <c r="M5" s="32" t="s">
        <v>85</v>
      </c>
      <c r="N5" s="32" t="s">
        <v>85</v>
      </c>
      <c r="O5" s="32" t="s">
        <v>85</v>
      </c>
      <c r="P5" s="32" t="s">
        <v>85</v>
      </c>
      <c r="Q5" s="27"/>
      <c r="W5" s="38"/>
      <c r="X5" s="38"/>
      <c r="Y5" s="38"/>
      <c r="Z5" s="38"/>
      <c r="AA5" s="38"/>
      <c r="AB5" s="38"/>
      <c r="AC5" s="38"/>
    </row>
    <row r="6" spans="1:29" x14ac:dyDescent="0.25">
      <c r="A6" s="28" t="s">
        <v>86</v>
      </c>
      <c r="B6" s="29">
        <v>6</v>
      </c>
      <c r="C6" s="29">
        <v>13.7</v>
      </c>
      <c r="D6" s="32">
        <v>1.65</v>
      </c>
      <c r="E6" s="32" t="s">
        <v>85</v>
      </c>
      <c r="F6" s="32">
        <v>1.85</v>
      </c>
      <c r="G6" s="32">
        <v>2.2400000000000002</v>
      </c>
      <c r="H6" s="32">
        <v>2.2400000000000002</v>
      </c>
      <c r="I6" s="32" t="s">
        <v>85</v>
      </c>
      <c r="J6" s="32">
        <v>3.02</v>
      </c>
      <c r="K6" s="32">
        <v>3.02</v>
      </c>
      <c r="L6" s="32" t="s">
        <v>85</v>
      </c>
      <c r="M6" s="32" t="s">
        <v>85</v>
      </c>
      <c r="N6" s="32" t="s">
        <v>85</v>
      </c>
      <c r="O6" s="32" t="s">
        <v>85</v>
      </c>
      <c r="P6" s="32" t="s">
        <v>85</v>
      </c>
      <c r="Q6" s="27"/>
      <c r="R6" s="8" t="s">
        <v>87</v>
      </c>
      <c r="S6" s="8"/>
      <c r="W6" s="38"/>
      <c r="X6" s="38"/>
      <c r="Y6" s="38"/>
      <c r="Z6" s="38"/>
      <c r="AA6" s="38"/>
      <c r="AB6" s="38"/>
      <c r="AC6" s="38"/>
    </row>
    <row r="7" spans="1:29" x14ac:dyDescent="0.25">
      <c r="A7" s="28" t="s">
        <v>88</v>
      </c>
      <c r="B7" s="29">
        <v>10</v>
      </c>
      <c r="C7" s="29">
        <v>17.100000000000001</v>
      </c>
      <c r="D7" s="32">
        <v>1.65</v>
      </c>
      <c r="E7" s="32" t="s">
        <v>85</v>
      </c>
      <c r="F7" s="32">
        <v>1.85</v>
      </c>
      <c r="G7" s="32">
        <v>2.31</v>
      </c>
      <c r="H7" s="32">
        <v>2.31</v>
      </c>
      <c r="I7" s="32" t="s">
        <v>85</v>
      </c>
      <c r="J7" s="32">
        <v>3.2</v>
      </c>
      <c r="K7" s="32">
        <v>3.2</v>
      </c>
      <c r="L7" s="32" t="s">
        <v>85</v>
      </c>
      <c r="M7" s="32" t="s">
        <v>85</v>
      </c>
      <c r="N7" s="32" t="s">
        <v>85</v>
      </c>
      <c r="O7" s="32" t="s">
        <v>85</v>
      </c>
      <c r="P7" s="32" t="s">
        <v>85</v>
      </c>
      <c r="Q7" s="27"/>
      <c r="R7" t="s">
        <v>89</v>
      </c>
      <c r="T7" s="33">
        <f>VLOOKUP(T3,A2:P35,3,FALSE)</f>
        <v>323.89999999999998</v>
      </c>
      <c r="U7" t="s">
        <v>9</v>
      </c>
      <c r="W7" s="38" t="s">
        <v>90</v>
      </c>
      <c r="X7" s="38"/>
      <c r="Y7" s="38"/>
      <c r="Z7" s="38"/>
      <c r="AA7" s="38"/>
      <c r="AB7" s="38"/>
      <c r="AC7" s="38"/>
    </row>
    <row r="8" spans="1:29" x14ac:dyDescent="0.25">
      <c r="A8" s="28" t="s">
        <v>91</v>
      </c>
      <c r="B8" s="29">
        <v>15</v>
      </c>
      <c r="C8" s="29">
        <v>21.34</v>
      </c>
      <c r="D8" s="32">
        <v>2.11</v>
      </c>
      <c r="E8" s="32" t="s">
        <v>85</v>
      </c>
      <c r="F8" s="32">
        <v>2.41</v>
      </c>
      <c r="G8" s="32">
        <v>2.77</v>
      </c>
      <c r="H8" s="32">
        <v>2.77</v>
      </c>
      <c r="I8" s="32" t="s">
        <v>85</v>
      </c>
      <c r="J8" s="32">
        <v>3.73</v>
      </c>
      <c r="K8" s="32">
        <v>3.73</v>
      </c>
      <c r="L8" s="32" t="s">
        <v>85</v>
      </c>
      <c r="M8" s="32" t="s">
        <v>85</v>
      </c>
      <c r="N8" s="32" t="s">
        <v>85</v>
      </c>
      <c r="O8" s="32">
        <v>4.7699999999999996</v>
      </c>
      <c r="P8" s="32">
        <v>7.47</v>
      </c>
      <c r="Q8" s="27"/>
      <c r="R8" t="s">
        <v>8</v>
      </c>
      <c r="T8" s="33">
        <f>HLOOKUP(T4,A2:P35,MATCH(T7,C2:C35,0),FALSE)</f>
        <v>12.7</v>
      </c>
      <c r="U8" t="s">
        <v>9</v>
      </c>
      <c r="W8" s="38"/>
      <c r="X8" s="38"/>
      <c r="Y8" s="38"/>
      <c r="Z8" s="38"/>
      <c r="AA8" s="38"/>
      <c r="AB8" s="38"/>
      <c r="AC8" s="38"/>
    </row>
    <row r="9" spans="1:29" x14ac:dyDescent="0.25">
      <c r="A9" s="28" t="s">
        <v>92</v>
      </c>
      <c r="B9" s="29">
        <v>20</v>
      </c>
      <c r="C9" s="29">
        <v>26.67</v>
      </c>
      <c r="D9" s="32">
        <v>2.11</v>
      </c>
      <c r="E9" s="32" t="s">
        <v>85</v>
      </c>
      <c r="F9" s="32">
        <v>2.41</v>
      </c>
      <c r="G9" s="32">
        <v>2.87</v>
      </c>
      <c r="H9" s="32">
        <v>2.87</v>
      </c>
      <c r="I9" s="32" t="s">
        <v>85</v>
      </c>
      <c r="J9" s="32">
        <v>3.91</v>
      </c>
      <c r="K9" s="32">
        <v>3.91</v>
      </c>
      <c r="L9" s="32" t="s">
        <v>85</v>
      </c>
      <c r="M9" s="32" t="s">
        <v>85</v>
      </c>
      <c r="N9" s="32" t="s">
        <v>85</v>
      </c>
      <c r="O9" s="32">
        <v>5.56</v>
      </c>
      <c r="P9" s="32">
        <v>7.82</v>
      </c>
      <c r="Q9" s="27"/>
      <c r="W9" s="9" t="s">
        <v>93</v>
      </c>
      <c r="X9" s="9"/>
      <c r="Y9" s="9"/>
      <c r="Z9" s="9"/>
      <c r="AA9" s="9"/>
      <c r="AB9" s="9"/>
    </row>
    <row r="10" spans="1:29" x14ac:dyDescent="0.25">
      <c r="A10" s="28">
        <v>1</v>
      </c>
      <c r="B10" s="29">
        <v>25</v>
      </c>
      <c r="C10" s="29">
        <v>33.4</v>
      </c>
      <c r="D10" s="32">
        <v>2.77</v>
      </c>
      <c r="E10" s="32" t="s">
        <v>85</v>
      </c>
      <c r="F10" s="32">
        <v>2.9</v>
      </c>
      <c r="G10" s="32">
        <v>3.38</v>
      </c>
      <c r="H10" s="32">
        <v>3.38</v>
      </c>
      <c r="I10" s="32" t="s">
        <v>85</v>
      </c>
      <c r="J10" s="32">
        <v>4.55</v>
      </c>
      <c r="K10" s="32">
        <v>4.55</v>
      </c>
      <c r="L10" s="32" t="s">
        <v>85</v>
      </c>
      <c r="M10" s="32" t="s">
        <v>85</v>
      </c>
      <c r="N10" s="32" t="s">
        <v>85</v>
      </c>
      <c r="O10" s="32">
        <v>6.35</v>
      </c>
      <c r="P10" s="32">
        <v>9.09</v>
      </c>
      <c r="Q10" s="27"/>
    </row>
    <row r="11" spans="1:29" x14ac:dyDescent="0.25">
      <c r="A11" s="28" t="s">
        <v>94</v>
      </c>
      <c r="B11" s="29">
        <v>32</v>
      </c>
      <c r="C11" s="29">
        <v>42.16</v>
      </c>
      <c r="D11" s="32">
        <v>2.77</v>
      </c>
      <c r="E11" s="32" t="s">
        <v>85</v>
      </c>
      <c r="F11" s="32">
        <v>2.97</v>
      </c>
      <c r="G11" s="32">
        <v>3.56</v>
      </c>
      <c r="H11" s="32">
        <v>3.56</v>
      </c>
      <c r="I11" s="32" t="s">
        <v>85</v>
      </c>
      <c r="J11" s="32">
        <v>4.8499999999999996</v>
      </c>
      <c r="K11" s="32">
        <v>4.8499999999999996</v>
      </c>
      <c r="L11" s="32" t="s">
        <v>85</v>
      </c>
      <c r="M11" s="32" t="s">
        <v>85</v>
      </c>
      <c r="N11" s="32" t="s">
        <v>85</v>
      </c>
      <c r="O11" s="32">
        <v>6.35</v>
      </c>
      <c r="P11" s="32">
        <v>9.6999999999999993</v>
      </c>
      <c r="Q11" s="27"/>
      <c r="R11" s="3"/>
    </row>
    <row r="12" spans="1:29" x14ac:dyDescent="0.25">
      <c r="A12" s="28" t="s">
        <v>95</v>
      </c>
      <c r="B12" s="29">
        <v>40</v>
      </c>
      <c r="C12" s="29">
        <v>48.26</v>
      </c>
      <c r="D12" s="32">
        <v>2.77</v>
      </c>
      <c r="E12" s="32" t="s">
        <v>85</v>
      </c>
      <c r="F12" s="32">
        <v>3.18</v>
      </c>
      <c r="G12" s="32">
        <v>3.68</v>
      </c>
      <c r="H12" s="32">
        <v>3.68</v>
      </c>
      <c r="I12" s="32" t="s">
        <v>85</v>
      </c>
      <c r="J12" s="32">
        <v>5.08</v>
      </c>
      <c r="K12" s="32">
        <v>5.08</v>
      </c>
      <c r="L12" s="32" t="s">
        <v>85</v>
      </c>
      <c r="M12" s="32" t="s">
        <v>85</v>
      </c>
      <c r="N12" s="32" t="s">
        <v>85</v>
      </c>
      <c r="O12" s="32">
        <v>7.14</v>
      </c>
      <c r="P12" s="32">
        <v>10.16</v>
      </c>
      <c r="Q12" s="27"/>
    </row>
    <row r="13" spans="1:29" x14ac:dyDescent="0.25">
      <c r="A13" s="28">
        <v>2</v>
      </c>
      <c r="B13" s="29">
        <v>50</v>
      </c>
      <c r="C13" s="29">
        <v>60.32</v>
      </c>
      <c r="D13" s="32">
        <v>2.77</v>
      </c>
      <c r="E13" s="32" t="s">
        <v>85</v>
      </c>
      <c r="F13" s="32">
        <v>3.18</v>
      </c>
      <c r="G13" s="32">
        <v>3.91</v>
      </c>
      <c r="H13" s="32">
        <v>3.91</v>
      </c>
      <c r="I13" s="32" t="s">
        <v>85</v>
      </c>
      <c r="J13" s="32">
        <v>5.54</v>
      </c>
      <c r="K13" s="32">
        <v>5.54</v>
      </c>
      <c r="L13" s="32" t="s">
        <v>85</v>
      </c>
      <c r="M13" s="32" t="s">
        <v>85</v>
      </c>
      <c r="N13" s="32" t="s">
        <v>85</v>
      </c>
      <c r="O13" s="32">
        <v>8.74</v>
      </c>
      <c r="P13" s="32">
        <v>11.07</v>
      </c>
      <c r="Q13" s="27"/>
      <c r="R13" s="34"/>
    </row>
    <row r="14" spans="1:29" x14ac:dyDescent="0.25">
      <c r="A14" s="28" t="s">
        <v>96</v>
      </c>
      <c r="B14" s="29">
        <v>65</v>
      </c>
      <c r="C14" s="29">
        <v>73.02</v>
      </c>
      <c r="D14" s="32">
        <v>3.05</v>
      </c>
      <c r="E14" s="32" t="s">
        <v>85</v>
      </c>
      <c r="F14" s="32">
        <v>4.78</v>
      </c>
      <c r="G14" s="32">
        <v>5.16</v>
      </c>
      <c r="H14" s="32">
        <v>5.16</v>
      </c>
      <c r="I14" s="32" t="s">
        <v>85</v>
      </c>
      <c r="J14" s="32">
        <v>7.01</v>
      </c>
      <c r="K14" s="32">
        <v>7.01</v>
      </c>
      <c r="L14" s="32" t="s">
        <v>85</v>
      </c>
      <c r="M14" s="32" t="s">
        <v>85</v>
      </c>
      <c r="N14" s="32" t="s">
        <v>85</v>
      </c>
      <c r="O14" s="32">
        <v>9.52</v>
      </c>
      <c r="P14" s="32">
        <v>14.02</v>
      </c>
      <c r="Q14" s="27"/>
      <c r="R14" s="34"/>
    </row>
    <row r="15" spans="1:29" x14ac:dyDescent="0.25">
      <c r="A15" s="28">
        <v>3</v>
      </c>
      <c r="B15" s="29">
        <v>80</v>
      </c>
      <c r="C15" s="29">
        <v>88.9</v>
      </c>
      <c r="D15" s="32">
        <v>3.05</v>
      </c>
      <c r="E15" s="32" t="s">
        <v>85</v>
      </c>
      <c r="F15" s="32">
        <v>4.78</v>
      </c>
      <c r="G15" s="32">
        <v>5.49</v>
      </c>
      <c r="H15" s="32">
        <v>5.49</v>
      </c>
      <c r="I15" s="32" t="s">
        <v>85</v>
      </c>
      <c r="J15" s="32">
        <v>7.62</v>
      </c>
      <c r="K15" s="32">
        <v>7.62</v>
      </c>
      <c r="L15" s="32" t="s">
        <v>85</v>
      </c>
      <c r="M15" s="32" t="s">
        <v>85</v>
      </c>
      <c r="N15" s="32" t="s">
        <v>85</v>
      </c>
      <c r="O15" s="32">
        <v>11.12</v>
      </c>
      <c r="P15" s="32">
        <v>15.24</v>
      </c>
      <c r="Q15" s="27"/>
      <c r="R15" s="34"/>
    </row>
    <row r="16" spans="1:29" x14ac:dyDescent="0.25">
      <c r="A16" s="28" t="s">
        <v>97</v>
      </c>
      <c r="B16" s="29">
        <v>90</v>
      </c>
      <c r="C16" s="29">
        <v>101.6</v>
      </c>
      <c r="D16" s="32">
        <v>3.05</v>
      </c>
      <c r="E16" s="32" t="s">
        <v>85</v>
      </c>
      <c r="F16" s="32">
        <v>4.78</v>
      </c>
      <c r="G16" s="32">
        <v>5.74</v>
      </c>
      <c r="H16" s="32">
        <v>5.74</v>
      </c>
      <c r="I16" s="32" t="s">
        <v>85</v>
      </c>
      <c r="J16" s="32">
        <v>8.08</v>
      </c>
      <c r="K16" s="32">
        <v>8.08</v>
      </c>
      <c r="L16" s="32" t="s">
        <v>85</v>
      </c>
      <c r="M16" s="32" t="s">
        <v>85</v>
      </c>
      <c r="N16" s="32" t="s">
        <v>85</v>
      </c>
      <c r="O16" s="32" t="s">
        <v>85</v>
      </c>
      <c r="P16" s="32">
        <v>16.149999999999999</v>
      </c>
      <c r="Q16" s="27"/>
      <c r="R16" s="34"/>
    </row>
    <row r="17" spans="1:18" x14ac:dyDescent="0.25">
      <c r="A17" s="28">
        <v>4</v>
      </c>
      <c r="B17" s="29">
        <v>100</v>
      </c>
      <c r="C17" s="29">
        <v>114.3</v>
      </c>
      <c r="D17" s="32">
        <v>3.05</v>
      </c>
      <c r="E17" s="32" t="s">
        <v>85</v>
      </c>
      <c r="F17" s="32">
        <v>4.78</v>
      </c>
      <c r="G17" s="32">
        <v>6.02</v>
      </c>
      <c r="H17" s="32">
        <v>6.02</v>
      </c>
      <c r="I17" s="32" t="s">
        <v>85</v>
      </c>
      <c r="J17" s="32">
        <v>8.56</v>
      </c>
      <c r="K17" s="32">
        <v>8.56</v>
      </c>
      <c r="L17" s="32" t="s">
        <v>85</v>
      </c>
      <c r="M17" s="32">
        <v>11.12</v>
      </c>
      <c r="N17" s="32" t="s">
        <v>85</v>
      </c>
      <c r="O17" s="32">
        <v>13.49</v>
      </c>
      <c r="P17" s="32">
        <v>17.12</v>
      </c>
      <c r="Q17" s="27"/>
      <c r="R17" s="34"/>
    </row>
    <row r="18" spans="1:18" x14ac:dyDescent="0.25">
      <c r="A18" s="28">
        <v>5</v>
      </c>
      <c r="B18" s="29">
        <v>125</v>
      </c>
      <c r="C18" s="29">
        <v>141.30000000000001</v>
      </c>
      <c r="D18" s="32">
        <v>3.4</v>
      </c>
      <c r="E18" s="32" t="s">
        <v>85</v>
      </c>
      <c r="F18" s="32" t="s">
        <v>85</v>
      </c>
      <c r="G18" s="32">
        <v>6.55</v>
      </c>
      <c r="H18" s="32">
        <v>6.55</v>
      </c>
      <c r="I18" s="32" t="s">
        <v>85</v>
      </c>
      <c r="J18" s="32">
        <v>9.52</v>
      </c>
      <c r="K18" s="32">
        <v>9.52</v>
      </c>
      <c r="L18" s="32" t="s">
        <v>85</v>
      </c>
      <c r="M18" s="32">
        <v>12.7</v>
      </c>
      <c r="N18" s="32" t="s">
        <v>85</v>
      </c>
      <c r="O18" s="32">
        <v>15.87</v>
      </c>
      <c r="P18" s="32">
        <v>19.05</v>
      </c>
      <c r="Q18" s="27"/>
      <c r="R18" s="34"/>
    </row>
    <row r="19" spans="1:18" x14ac:dyDescent="0.25">
      <c r="A19" s="28">
        <v>6</v>
      </c>
      <c r="B19" s="29">
        <v>150</v>
      </c>
      <c r="C19" s="29">
        <v>168.3</v>
      </c>
      <c r="D19" s="32">
        <v>3.4</v>
      </c>
      <c r="E19" s="32" t="s">
        <v>85</v>
      </c>
      <c r="F19" s="32" t="s">
        <v>85</v>
      </c>
      <c r="G19" s="32">
        <v>7.11</v>
      </c>
      <c r="H19" s="32">
        <v>7.11</v>
      </c>
      <c r="I19" s="32" t="s">
        <v>85</v>
      </c>
      <c r="J19" s="32">
        <v>10.97</v>
      </c>
      <c r="K19" s="32">
        <v>10.97</v>
      </c>
      <c r="L19" s="32" t="s">
        <v>85</v>
      </c>
      <c r="M19" s="32">
        <v>14.27</v>
      </c>
      <c r="N19" s="32" t="s">
        <v>85</v>
      </c>
      <c r="O19" s="32">
        <v>18.260000000000002</v>
      </c>
      <c r="P19" s="32">
        <v>21.95</v>
      </c>
      <c r="Q19" s="27"/>
      <c r="R19" s="34"/>
    </row>
    <row r="20" spans="1:18" x14ac:dyDescent="0.25">
      <c r="A20" s="28">
        <v>8</v>
      </c>
      <c r="B20" s="29">
        <v>200</v>
      </c>
      <c r="C20" s="29">
        <v>219.1</v>
      </c>
      <c r="D20" s="32">
        <v>3.76</v>
      </c>
      <c r="E20" s="32">
        <v>6.35</v>
      </c>
      <c r="F20" s="32">
        <v>7.04</v>
      </c>
      <c r="G20" s="32">
        <v>8.18</v>
      </c>
      <c r="H20" s="32">
        <v>8.18</v>
      </c>
      <c r="I20" s="32">
        <v>10.31</v>
      </c>
      <c r="J20" s="32">
        <v>12.7</v>
      </c>
      <c r="K20" s="32">
        <v>12.7</v>
      </c>
      <c r="L20" s="32">
        <v>15.08</v>
      </c>
      <c r="M20" s="32">
        <v>18.260000000000002</v>
      </c>
      <c r="N20" s="32">
        <v>20.63</v>
      </c>
      <c r="O20" s="32">
        <v>23.01</v>
      </c>
      <c r="P20" s="32">
        <v>22.22</v>
      </c>
      <c r="Q20" s="27"/>
      <c r="R20" s="34"/>
    </row>
    <row r="21" spans="1:18" x14ac:dyDescent="0.25">
      <c r="A21" s="28">
        <v>10</v>
      </c>
      <c r="B21" s="29">
        <v>250</v>
      </c>
      <c r="C21" s="29">
        <v>273</v>
      </c>
      <c r="D21" s="32">
        <v>4.1900000000000004</v>
      </c>
      <c r="E21" s="32">
        <v>6.35</v>
      </c>
      <c r="F21" s="32">
        <v>7.8</v>
      </c>
      <c r="G21" s="32">
        <v>9.27</v>
      </c>
      <c r="H21" s="32">
        <v>9.27</v>
      </c>
      <c r="I21" s="32">
        <v>12.7</v>
      </c>
      <c r="J21" s="32">
        <v>12.7</v>
      </c>
      <c r="K21" s="32">
        <v>15.08</v>
      </c>
      <c r="L21" s="32">
        <v>18.260000000000002</v>
      </c>
      <c r="M21" s="32">
        <v>21.44</v>
      </c>
      <c r="N21" s="32">
        <v>25.4</v>
      </c>
      <c r="O21" s="32">
        <v>28.57</v>
      </c>
      <c r="P21" s="32">
        <v>25.4</v>
      </c>
      <c r="Q21" s="27"/>
      <c r="R21" s="34"/>
    </row>
    <row r="22" spans="1:18" x14ac:dyDescent="0.25">
      <c r="A22" s="28">
        <v>12</v>
      </c>
      <c r="B22" s="29">
        <v>300</v>
      </c>
      <c r="C22" s="29">
        <v>323.89999999999998</v>
      </c>
      <c r="D22" s="32">
        <v>4.57</v>
      </c>
      <c r="E22" s="32">
        <v>6.35</v>
      </c>
      <c r="F22" s="32">
        <v>8.3800000000000008</v>
      </c>
      <c r="G22" s="32">
        <v>9.52</v>
      </c>
      <c r="H22" s="32">
        <v>10.31</v>
      </c>
      <c r="I22" s="32">
        <v>14.27</v>
      </c>
      <c r="J22" s="32">
        <v>12.7</v>
      </c>
      <c r="K22" s="32">
        <v>17.47</v>
      </c>
      <c r="L22" s="32">
        <v>21.44</v>
      </c>
      <c r="M22" s="32">
        <v>25.4</v>
      </c>
      <c r="N22" s="32">
        <v>28.57</v>
      </c>
      <c r="O22" s="32">
        <v>33.32</v>
      </c>
      <c r="P22" s="32">
        <v>25.4</v>
      </c>
      <c r="Q22" s="27"/>
      <c r="R22" s="34"/>
    </row>
    <row r="23" spans="1:18" x14ac:dyDescent="0.25">
      <c r="A23" s="28">
        <v>14</v>
      </c>
      <c r="B23" s="29">
        <v>350</v>
      </c>
      <c r="C23" s="29">
        <v>355.6</v>
      </c>
      <c r="D23" s="32">
        <v>6.35</v>
      </c>
      <c r="E23" s="32">
        <v>7.92</v>
      </c>
      <c r="F23" s="32">
        <v>9.5299999999999994</v>
      </c>
      <c r="G23" s="32">
        <v>9.52</v>
      </c>
      <c r="H23" s="32">
        <v>11.12</v>
      </c>
      <c r="I23" s="32">
        <v>15.09</v>
      </c>
      <c r="J23" s="32">
        <v>12.7</v>
      </c>
      <c r="K23" s="32">
        <v>19.05</v>
      </c>
      <c r="L23" s="32">
        <v>23.82</v>
      </c>
      <c r="M23" s="32">
        <v>27.79</v>
      </c>
      <c r="N23" s="32">
        <v>31.75</v>
      </c>
      <c r="O23" s="32">
        <v>35.71</v>
      </c>
      <c r="P23" s="32" t="s">
        <v>85</v>
      </c>
      <c r="Q23" s="27"/>
      <c r="R23" s="34"/>
    </row>
    <row r="24" spans="1:18" x14ac:dyDescent="0.25">
      <c r="A24" s="28">
        <v>16</v>
      </c>
      <c r="B24" s="29">
        <v>400</v>
      </c>
      <c r="C24" s="29">
        <v>406.4</v>
      </c>
      <c r="D24" s="32">
        <v>6.35</v>
      </c>
      <c r="E24" s="32">
        <v>7.92</v>
      </c>
      <c r="F24" s="32">
        <v>9.5299999999999994</v>
      </c>
      <c r="G24" s="32">
        <v>9.52</v>
      </c>
      <c r="H24" s="32">
        <v>12.7</v>
      </c>
      <c r="I24" s="32">
        <v>16.66</v>
      </c>
      <c r="J24" s="32">
        <v>12.7</v>
      </c>
      <c r="K24" s="32">
        <v>21.44</v>
      </c>
      <c r="L24" s="32">
        <v>26.19</v>
      </c>
      <c r="M24" s="32">
        <v>30.96</v>
      </c>
      <c r="N24" s="32">
        <v>36.520000000000003</v>
      </c>
      <c r="O24" s="32">
        <v>40.49</v>
      </c>
      <c r="P24" s="32" t="s">
        <v>85</v>
      </c>
      <c r="Q24" s="27"/>
      <c r="R24" s="34"/>
    </row>
    <row r="25" spans="1:18" x14ac:dyDescent="0.25">
      <c r="A25" s="28">
        <v>18</v>
      </c>
      <c r="B25" s="29">
        <v>450</v>
      </c>
      <c r="C25" s="29">
        <v>457.2</v>
      </c>
      <c r="D25" s="32">
        <v>6.35</v>
      </c>
      <c r="E25" s="32">
        <v>7.92</v>
      </c>
      <c r="F25" s="32">
        <v>11.13</v>
      </c>
      <c r="G25" s="32">
        <v>9.52</v>
      </c>
      <c r="H25" s="32">
        <v>14.27</v>
      </c>
      <c r="I25" s="32">
        <v>19.05</v>
      </c>
      <c r="J25" s="32">
        <v>12.7</v>
      </c>
      <c r="K25" s="32">
        <v>23.82</v>
      </c>
      <c r="L25" s="32">
        <v>29.36</v>
      </c>
      <c r="M25" s="32">
        <v>34.92</v>
      </c>
      <c r="N25" s="32">
        <v>39.67</v>
      </c>
      <c r="O25" s="32">
        <v>45.24</v>
      </c>
      <c r="P25" s="32" t="s">
        <v>85</v>
      </c>
      <c r="Q25" s="27"/>
      <c r="R25" s="34"/>
    </row>
    <row r="26" spans="1:18" x14ac:dyDescent="0.25">
      <c r="A26" s="28">
        <v>20</v>
      </c>
      <c r="B26" s="29">
        <v>500</v>
      </c>
      <c r="C26" s="29">
        <v>508</v>
      </c>
      <c r="D26" s="32">
        <v>6.35</v>
      </c>
      <c r="E26" s="32">
        <v>9.5299999999999994</v>
      </c>
      <c r="F26" s="32">
        <v>12.7</v>
      </c>
      <c r="G26" s="32">
        <v>9.52</v>
      </c>
      <c r="H26" s="32">
        <v>15.08</v>
      </c>
      <c r="I26" s="32">
        <v>20.62</v>
      </c>
      <c r="J26" s="32">
        <v>12.7</v>
      </c>
      <c r="K26" s="32">
        <v>26.19</v>
      </c>
      <c r="L26" s="32">
        <v>32.54</v>
      </c>
      <c r="M26" s="32">
        <v>38.1</v>
      </c>
      <c r="N26" s="32">
        <v>44.45</v>
      </c>
      <c r="O26" s="32">
        <v>50.01</v>
      </c>
      <c r="P26" s="32" t="s">
        <v>85</v>
      </c>
      <c r="Q26" s="27"/>
    </row>
    <row r="27" spans="1:18" x14ac:dyDescent="0.25">
      <c r="A27" s="28">
        <v>22</v>
      </c>
      <c r="B27" s="29">
        <v>550</v>
      </c>
      <c r="C27" s="29">
        <v>558.79999999999995</v>
      </c>
      <c r="D27" s="32">
        <v>6.35</v>
      </c>
      <c r="E27" s="32">
        <v>9.5299999999999994</v>
      </c>
      <c r="F27" s="32">
        <v>12.7</v>
      </c>
      <c r="G27" s="32">
        <v>9.52</v>
      </c>
      <c r="H27" s="32">
        <v>15.87</v>
      </c>
      <c r="I27" s="32">
        <v>22.22</v>
      </c>
      <c r="J27" s="32">
        <v>12.7</v>
      </c>
      <c r="K27" s="32">
        <v>28.57</v>
      </c>
      <c r="L27" s="32">
        <v>34.92</v>
      </c>
      <c r="M27" s="32">
        <v>41.27</v>
      </c>
      <c r="N27" s="32">
        <v>47.62</v>
      </c>
      <c r="O27" s="32">
        <v>53.97</v>
      </c>
      <c r="P27" s="32" t="s">
        <v>85</v>
      </c>
      <c r="Q27" s="27"/>
    </row>
    <row r="28" spans="1:18" x14ac:dyDescent="0.25">
      <c r="A28" s="28">
        <v>24</v>
      </c>
      <c r="B28" s="29">
        <v>600</v>
      </c>
      <c r="C28" s="29">
        <v>609.6</v>
      </c>
      <c r="D28" s="32">
        <v>6.35</v>
      </c>
      <c r="E28" s="32">
        <v>9.5299999999999994</v>
      </c>
      <c r="F28" s="32">
        <v>12.7</v>
      </c>
      <c r="G28" s="32">
        <v>9.52</v>
      </c>
      <c r="H28" s="32">
        <v>17.47</v>
      </c>
      <c r="I28" s="32">
        <v>24.61</v>
      </c>
      <c r="J28" s="32">
        <v>12.7</v>
      </c>
      <c r="K28" s="32">
        <v>30.96</v>
      </c>
      <c r="L28" s="32">
        <v>38.89</v>
      </c>
      <c r="M28" s="32">
        <v>46.02</v>
      </c>
      <c r="N28" s="32">
        <v>52.37</v>
      </c>
      <c r="O28" s="32">
        <v>59.54</v>
      </c>
      <c r="P28" s="32" t="s">
        <v>85</v>
      </c>
      <c r="Q28" s="27"/>
    </row>
    <row r="29" spans="1:18" x14ac:dyDescent="0.25">
      <c r="A29" s="28">
        <v>26</v>
      </c>
      <c r="B29" s="29">
        <v>650</v>
      </c>
      <c r="C29" s="29">
        <v>660.4</v>
      </c>
      <c r="D29" s="32">
        <v>7.92</v>
      </c>
      <c r="E29" s="32">
        <v>12.7</v>
      </c>
      <c r="F29" s="32" t="s">
        <v>85</v>
      </c>
      <c r="G29" s="32">
        <v>9.52</v>
      </c>
      <c r="H29" s="32" t="s">
        <v>85</v>
      </c>
      <c r="I29" s="32" t="s">
        <v>85</v>
      </c>
      <c r="J29" s="32">
        <v>12.7</v>
      </c>
      <c r="K29" s="32" t="s">
        <v>85</v>
      </c>
      <c r="L29" s="32" t="s">
        <v>85</v>
      </c>
      <c r="M29" s="32" t="s">
        <v>85</v>
      </c>
      <c r="N29" s="32" t="s">
        <v>85</v>
      </c>
      <c r="O29" s="32" t="s">
        <v>85</v>
      </c>
      <c r="P29" s="32" t="s">
        <v>85</v>
      </c>
      <c r="Q29" s="27"/>
    </row>
    <row r="30" spans="1:18" x14ac:dyDescent="0.25">
      <c r="A30" s="28">
        <v>28</v>
      </c>
      <c r="B30" s="29">
        <v>700</v>
      </c>
      <c r="C30" s="29">
        <v>711.2</v>
      </c>
      <c r="D30" s="32">
        <v>7.92</v>
      </c>
      <c r="E30" s="32">
        <v>12.7</v>
      </c>
      <c r="F30" s="32">
        <v>15.88</v>
      </c>
      <c r="G30" s="32">
        <v>9.52</v>
      </c>
      <c r="H30" s="32" t="s">
        <v>85</v>
      </c>
      <c r="I30" s="32" t="s">
        <v>85</v>
      </c>
      <c r="J30" s="32">
        <v>12.7</v>
      </c>
      <c r="K30" s="32" t="s">
        <v>85</v>
      </c>
      <c r="L30" s="32" t="s">
        <v>85</v>
      </c>
      <c r="M30" s="32" t="s">
        <v>85</v>
      </c>
      <c r="N30" s="32" t="s">
        <v>85</v>
      </c>
      <c r="O30" s="32" t="s">
        <v>85</v>
      </c>
      <c r="P30" s="32" t="s">
        <v>85</v>
      </c>
      <c r="Q30" s="27"/>
    </row>
    <row r="31" spans="1:18" x14ac:dyDescent="0.25">
      <c r="A31" s="28">
        <v>30</v>
      </c>
      <c r="B31" s="29">
        <v>750</v>
      </c>
      <c r="C31" s="29">
        <v>762</v>
      </c>
      <c r="D31" s="32">
        <v>7.92</v>
      </c>
      <c r="E31" s="32">
        <v>12.7</v>
      </c>
      <c r="F31" s="32">
        <v>15.88</v>
      </c>
      <c r="G31" s="32">
        <v>9.52</v>
      </c>
      <c r="H31" s="32" t="s">
        <v>85</v>
      </c>
      <c r="I31" s="32" t="s">
        <v>85</v>
      </c>
      <c r="J31" s="32">
        <v>12.7</v>
      </c>
      <c r="K31" s="32" t="s">
        <v>85</v>
      </c>
      <c r="L31" s="32" t="s">
        <v>85</v>
      </c>
      <c r="M31" s="32" t="s">
        <v>85</v>
      </c>
      <c r="N31" s="32" t="s">
        <v>85</v>
      </c>
      <c r="O31" s="32" t="s">
        <v>85</v>
      </c>
      <c r="P31" s="32" t="s">
        <v>85</v>
      </c>
      <c r="Q31" s="27"/>
    </row>
    <row r="32" spans="1:18" x14ac:dyDescent="0.25">
      <c r="A32" s="28">
        <v>32</v>
      </c>
      <c r="B32" s="29">
        <v>800</v>
      </c>
      <c r="C32" s="29">
        <v>812.8</v>
      </c>
      <c r="D32" s="32">
        <v>7.92</v>
      </c>
      <c r="E32" s="32">
        <v>12.7</v>
      </c>
      <c r="F32" s="32">
        <v>15.88</v>
      </c>
      <c r="G32" s="32">
        <v>9.52</v>
      </c>
      <c r="H32" s="32">
        <v>17.47</v>
      </c>
      <c r="I32" s="32" t="s">
        <v>85</v>
      </c>
      <c r="J32" s="32">
        <v>12.7</v>
      </c>
      <c r="K32" s="32" t="s">
        <v>85</v>
      </c>
      <c r="L32" s="32" t="s">
        <v>85</v>
      </c>
      <c r="M32" s="32" t="s">
        <v>85</v>
      </c>
      <c r="N32" s="32" t="s">
        <v>85</v>
      </c>
      <c r="O32" s="32" t="s">
        <v>85</v>
      </c>
      <c r="P32" s="32" t="s">
        <v>85</v>
      </c>
      <c r="Q32" s="27"/>
    </row>
    <row r="33" spans="1:17" x14ac:dyDescent="0.25">
      <c r="A33" s="28">
        <v>34</v>
      </c>
      <c r="B33" s="29">
        <v>850</v>
      </c>
      <c r="C33" s="29">
        <v>863.6</v>
      </c>
      <c r="D33" s="32">
        <v>7.92</v>
      </c>
      <c r="E33" s="32">
        <v>12.7</v>
      </c>
      <c r="F33" s="32">
        <v>15.88</v>
      </c>
      <c r="G33" s="32">
        <v>9.52</v>
      </c>
      <c r="H33" s="32">
        <v>17.47</v>
      </c>
      <c r="I33" s="32" t="s">
        <v>85</v>
      </c>
      <c r="J33" s="32">
        <v>12.7</v>
      </c>
      <c r="K33" s="32" t="s">
        <v>85</v>
      </c>
      <c r="L33" s="32" t="s">
        <v>85</v>
      </c>
      <c r="M33" s="32" t="s">
        <v>85</v>
      </c>
      <c r="N33" s="32" t="s">
        <v>85</v>
      </c>
      <c r="O33" s="32" t="s">
        <v>85</v>
      </c>
      <c r="P33" s="32" t="s">
        <v>85</v>
      </c>
      <c r="Q33" s="27"/>
    </row>
    <row r="34" spans="1:17" x14ac:dyDescent="0.25">
      <c r="A34" s="28">
        <v>36</v>
      </c>
      <c r="B34" s="29">
        <v>900</v>
      </c>
      <c r="C34" s="29">
        <v>914.4</v>
      </c>
      <c r="D34" s="32">
        <v>7.92</v>
      </c>
      <c r="E34" s="32">
        <v>12.7</v>
      </c>
      <c r="F34" s="32">
        <v>15.88</v>
      </c>
      <c r="G34" s="32">
        <v>9.52</v>
      </c>
      <c r="H34" s="32">
        <v>19.05</v>
      </c>
      <c r="I34" s="32" t="s">
        <v>85</v>
      </c>
      <c r="J34" s="32">
        <v>12.7</v>
      </c>
      <c r="K34" s="32" t="s">
        <v>85</v>
      </c>
      <c r="L34" s="32" t="s">
        <v>85</v>
      </c>
      <c r="M34" s="32" t="s">
        <v>85</v>
      </c>
      <c r="N34" s="32" t="s">
        <v>85</v>
      </c>
      <c r="O34" s="32" t="s">
        <v>85</v>
      </c>
      <c r="P34" s="32" t="s">
        <v>85</v>
      </c>
      <c r="Q34" s="27"/>
    </row>
    <row r="35" spans="1:17" x14ac:dyDescent="0.25">
      <c r="A35" s="29">
        <v>40</v>
      </c>
      <c r="B35" s="35">
        <v>1000</v>
      </c>
      <c r="C35" s="29">
        <v>1016</v>
      </c>
      <c r="D35" s="32" t="s">
        <v>85</v>
      </c>
      <c r="E35" s="32" t="s">
        <v>85</v>
      </c>
      <c r="F35" s="32" t="s">
        <v>85</v>
      </c>
      <c r="G35" s="32">
        <v>9.5299999999999994</v>
      </c>
      <c r="H35" s="32" t="s">
        <v>85</v>
      </c>
      <c r="I35" s="32" t="s">
        <v>85</v>
      </c>
      <c r="J35" s="32">
        <v>12.7</v>
      </c>
      <c r="K35" s="32" t="s">
        <v>85</v>
      </c>
      <c r="L35" s="32" t="s">
        <v>85</v>
      </c>
      <c r="M35" s="32" t="s">
        <v>85</v>
      </c>
      <c r="N35" s="32" t="s">
        <v>85</v>
      </c>
      <c r="O35" s="32" t="s">
        <v>85</v>
      </c>
      <c r="P35" s="32" t="s">
        <v>85</v>
      </c>
      <c r="Q35" s="27"/>
    </row>
    <row r="36" spans="1:17" x14ac:dyDescent="0.25">
      <c r="B36" s="27"/>
      <c r="C36" s="27"/>
      <c r="D36" s="27"/>
      <c r="E36" s="27"/>
      <c r="F36" s="27"/>
      <c r="G36" s="27"/>
      <c r="H36" s="27"/>
      <c r="I36" s="27"/>
      <c r="J36" s="27"/>
      <c r="K36" s="27"/>
      <c r="L36" s="27"/>
      <c r="M36" s="27"/>
      <c r="N36" s="27"/>
      <c r="O36" s="27"/>
      <c r="P36" s="27"/>
      <c r="Q36" s="27"/>
    </row>
  </sheetData>
  <mergeCells count="21">
    <mergeCell ref="W7:AC8"/>
    <mergeCell ref="W9:AB9"/>
    <mergeCell ref="P2:P3"/>
    <mergeCell ref="R2:T2"/>
    <mergeCell ref="W2:AA2"/>
    <mergeCell ref="W3:X3"/>
    <mergeCell ref="W4:AC6"/>
    <mergeCell ref="R6:S6"/>
    <mergeCell ref="J2:J3"/>
    <mergeCell ref="K2:K3"/>
    <mergeCell ref="L2:L3"/>
    <mergeCell ref="M2:M3"/>
    <mergeCell ref="N2:N3"/>
    <mergeCell ref="O2:O3"/>
    <mergeCell ref="A1:I1"/>
    <mergeCell ref="D2:D3"/>
    <mergeCell ref="E2:E3"/>
    <mergeCell ref="F2:F3"/>
    <mergeCell ref="G2:G3"/>
    <mergeCell ref="H2:H3"/>
    <mergeCell ref="I2:I3"/>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workbookViewId="0">
      <selection sqref="A1:E1"/>
    </sheetView>
  </sheetViews>
  <sheetFormatPr defaultColWidth="8.85546875" defaultRowHeight="15" x14ac:dyDescent="0.25"/>
  <cols>
    <col min="1" max="2" width="8.85546875" customWidth="1"/>
    <col min="3" max="3" width="10.42578125" customWidth="1"/>
    <col min="4" max="7" width="8.85546875" customWidth="1"/>
    <col min="8" max="8" width="9.7109375" bestFit="1" customWidth="1"/>
    <col min="9" max="14" width="8.85546875" customWidth="1"/>
    <col min="15" max="15" width="9" customWidth="1"/>
    <col min="16" max="16" width="8.85546875" customWidth="1"/>
  </cols>
  <sheetData>
    <row r="1" spans="1:19" x14ac:dyDescent="0.25">
      <c r="A1" s="8" t="s">
        <v>0</v>
      </c>
      <c r="B1" s="8"/>
      <c r="C1" s="8"/>
      <c r="D1" s="8"/>
      <c r="E1" s="8"/>
    </row>
    <row r="2" spans="1:19" x14ac:dyDescent="0.25">
      <c r="A2" s="8" t="s">
        <v>243</v>
      </c>
      <c r="B2" s="8"/>
      <c r="C2" s="1">
        <v>43026</v>
      </c>
    </row>
    <row r="3" spans="1:19" x14ac:dyDescent="0.25">
      <c r="A3" s="9" t="s">
        <v>98</v>
      </c>
      <c r="B3" s="9"/>
      <c r="C3" s="9"/>
      <c r="D3" s="9"/>
      <c r="E3" s="9"/>
      <c r="F3" s="9"/>
      <c r="G3" s="9"/>
      <c r="H3" s="9"/>
    </row>
    <row r="4" spans="1:19" x14ac:dyDescent="0.25">
      <c r="A4" s="9" t="s">
        <v>99</v>
      </c>
      <c r="B4" s="9"/>
      <c r="C4" s="9"/>
      <c r="D4" s="9"/>
      <c r="E4" s="9"/>
      <c r="F4" s="9"/>
      <c r="G4" s="9"/>
      <c r="H4" s="9"/>
      <c r="I4" s="9"/>
    </row>
    <row r="5" spans="1:19" x14ac:dyDescent="0.25">
      <c r="A5" s="9" t="s">
        <v>100</v>
      </c>
      <c r="B5" s="9"/>
      <c r="C5" s="9"/>
      <c r="D5" s="9"/>
      <c r="E5" s="9"/>
      <c r="F5" s="9"/>
      <c r="G5" s="9"/>
      <c r="H5" s="9"/>
      <c r="I5" s="9"/>
      <c r="J5" s="9"/>
      <c r="K5" s="9"/>
      <c r="L5" s="9"/>
      <c r="M5" s="9"/>
    </row>
    <row r="8" spans="1:19" x14ac:dyDescent="0.25">
      <c r="A8" s="8" t="s">
        <v>101</v>
      </c>
      <c r="B8" s="8"/>
      <c r="J8" s="25"/>
      <c r="K8" s="43" t="s">
        <v>102</v>
      </c>
      <c r="L8" s="43"/>
      <c r="M8" s="43"/>
      <c r="N8" s="43"/>
      <c r="O8" s="43"/>
      <c r="P8" s="43"/>
      <c r="R8" s="25"/>
      <c r="S8" s="25"/>
    </row>
    <row r="9" spans="1:19" x14ac:dyDescent="0.25">
      <c r="A9" t="s">
        <v>103</v>
      </c>
      <c r="D9" s="4">
        <v>2</v>
      </c>
      <c r="E9" t="s">
        <v>6</v>
      </c>
      <c r="J9" s="39"/>
      <c r="K9" s="39"/>
      <c r="L9" s="39"/>
      <c r="M9" s="39"/>
      <c r="N9" s="40" t="s">
        <v>104</v>
      </c>
      <c r="O9" s="40" t="s">
        <v>105</v>
      </c>
      <c r="P9" s="39"/>
      <c r="S9" s="7"/>
    </row>
    <row r="10" spans="1:19" x14ac:dyDescent="0.25">
      <c r="A10" t="s">
        <v>106</v>
      </c>
      <c r="D10" s="4">
        <v>3</v>
      </c>
      <c r="E10" t="s">
        <v>6</v>
      </c>
      <c r="J10" s="25"/>
      <c r="K10" s="25"/>
      <c r="N10" s="41">
        <v>298</v>
      </c>
      <c r="O10" s="41">
        <v>26.475999999999999</v>
      </c>
    </row>
    <row r="11" spans="1:19" x14ac:dyDescent="0.25">
      <c r="A11" s="9" t="s">
        <v>107</v>
      </c>
      <c r="B11" s="9"/>
      <c r="D11" s="4">
        <v>1</v>
      </c>
      <c r="E11" t="s">
        <v>6</v>
      </c>
      <c r="J11" s="25"/>
      <c r="K11" s="25"/>
      <c r="N11" s="41">
        <v>313</v>
      </c>
      <c r="O11" s="41">
        <v>28.728000000000002</v>
      </c>
    </row>
    <row r="12" spans="1:19" x14ac:dyDescent="0.25">
      <c r="A12" s="9" t="s">
        <v>108</v>
      </c>
      <c r="B12" s="9"/>
      <c r="D12" s="4">
        <v>30</v>
      </c>
      <c r="E12" t="s">
        <v>16</v>
      </c>
      <c r="N12" s="41">
        <v>323</v>
      </c>
      <c r="O12" s="41">
        <v>30.094000000000001</v>
      </c>
    </row>
    <row r="13" spans="1:19" x14ac:dyDescent="0.25">
      <c r="A13" s="44" t="s">
        <v>109</v>
      </c>
      <c r="B13" s="44"/>
      <c r="D13" s="4">
        <v>20</v>
      </c>
      <c r="E13" t="s">
        <v>110</v>
      </c>
      <c r="N13" s="41">
        <v>343</v>
      </c>
      <c r="O13" s="41">
        <v>32.582000000000001</v>
      </c>
    </row>
    <row r="14" spans="1:19" x14ac:dyDescent="0.25">
      <c r="N14" s="41">
        <v>353</v>
      </c>
      <c r="O14" s="41">
        <v>33.709000000000003</v>
      </c>
    </row>
    <row r="15" spans="1:19" x14ac:dyDescent="0.25">
      <c r="A15" s="3" t="s">
        <v>12</v>
      </c>
    </row>
    <row r="16" spans="1:19" x14ac:dyDescent="0.25">
      <c r="A16" s="9" t="s">
        <v>111</v>
      </c>
      <c r="B16" s="9"/>
      <c r="D16" s="5">
        <f>D36</f>
        <v>0.49751243781094528</v>
      </c>
      <c r="E16" t="s">
        <v>112</v>
      </c>
    </row>
    <row r="18" spans="1:7" x14ac:dyDescent="0.25">
      <c r="A18" s="8" t="s">
        <v>54</v>
      </c>
      <c r="B18" s="8"/>
    </row>
    <row r="19" spans="1:7" x14ac:dyDescent="0.25">
      <c r="A19" s="3" t="s">
        <v>113</v>
      </c>
    </row>
    <row r="20" spans="1:7" ht="17.25" x14ac:dyDescent="0.25">
      <c r="A20" s="9" t="s">
        <v>114</v>
      </c>
      <c r="B20" s="9"/>
      <c r="C20" s="9"/>
      <c r="D20" s="7">
        <f>PRODUCT(D9:D11)</f>
        <v>6</v>
      </c>
      <c r="E20" t="s">
        <v>14</v>
      </c>
    </row>
    <row r="21" spans="1:7" ht="17.25" x14ac:dyDescent="0.25">
      <c r="A21" s="9" t="s">
        <v>115</v>
      </c>
      <c r="B21" s="9"/>
      <c r="C21" s="9"/>
      <c r="D21" s="7">
        <f>1000</f>
        <v>1000</v>
      </c>
      <c r="E21" t="s">
        <v>60</v>
      </c>
    </row>
    <row r="22" spans="1:7" x14ac:dyDescent="0.25">
      <c r="A22" s="2" t="s">
        <v>116</v>
      </c>
      <c r="B22" s="2"/>
      <c r="C22" s="2"/>
      <c r="D22" s="7">
        <f>D20*D21</f>
        <v>6000</v>
      </c>
      <c r="E22" t="s">
        <v>16</v>
      </c>
    </row>
    <row r="23" spans="1:7" x14ac:dyDescent="0.25">
      <c r="A23" s="2"/>
      <c r="B23" s="2"/>
      <c r="C23" s="2"/>
      <c r="D23" s="7"/>
    </row>
    <row r="24" spans="1:7" x14ac:dyDescent="0.25">
      <c r="A24" s="8" t="s">
        <v>117</v>
      </c>
      <c r="B24" s="8"/>
      <c r="C24" s="8"/>
      <c r="D24" s="7">
        <f>CONVERT(D13,E13,"K")</f>
        <v>293.14999999999998</v>
      </c>
      <c r="E24" t="s">
        <v>118</v>
      </c>
    </row>
    <row r="25" spans="1:7" x14ac:dyDescent="0.25">
      <c r="A25" s="25"/>
      <c r="B25" s="25"/>
      <c r="C25" s="25"/>
      <c r="D25" s="7"/>
    </row>
    <row r="26" spans="1:7" x14ac:dyDescent="0.25">
      <c r="A26" s="8" t="s">
        <v>119</v>
      </c>
      <c r="B26" s="8"/>
      <c r="C26" s="8"/>
    </row>
    <row r="27" spans="1:7" x14ac:dyDescent="0.25">
      <c r="A27" s="39" t="s">
        <v>120</v>
      </c>
      <c r="C27" s="25"/>
      <c r="D27" s="39">
        <v>0.1308</v>
      </c>
    </row>
    <row r="28" spans="1:7" x14ac:dyDescent="0.25">
      <c r="A28" s="9" t="s">
        <v>121</v>
      </c>
      <c r="B28" s="9"/>
      <c r="D28">
        <v>-12.32</v>
      </c>
    </row>
    <row r="29" spans="1:7" x14ac:dyDescent="0.25">
      <c r="A29" s="9" t="s">
        <v>105</v>
      </c>
      <c r="B29" s="9"/>
      <c r="C29" s="25"/>
      <c r="D29" s="26">
        <f>(D24*D27)+D28</f>
        <v>26.02402</v>
      </c>
      <c r="E29" s="39" t="s">
        <v>122</v>
      </c>
      <c r="F29" s="25"/>
      <c r="G29" s="25"/>
    </row>
    <row r="30" spans="1:7" x14ac:dyDescent="0.25">
      <c r="A30" s="39"/>
      <c r="B30" s="39"/>
    </row>
    <row r="31" spans="1:7" x14ac:dyDescent="0.25">
      <c r="A31" s="8" t="s">
        <v>123</v>
      </c>
      <c r="B31" s="8"/>
      <c r="D31" s="26">
        <f>(D12/(D12+D22))*100</f>
        <v>0.49751243781094528</v>
      </c>
      <c r="E31" t="s">
        <v>122</v>
      </c>
    </row>
    <row r="33" spans="1:6" x14ac:dyDescent="0.25">
      <c r="A33" s="8" t="s">
        <v>124</v>
      </c>
      <c r="B33" s="8"/>
      <c r="C33" s="8"/>
      <c r="D33" s="8"/>
      <c r="E33" s="8"/>
      <c r="F33" s="8"/>
    </row>
    <row r="34" spans="1:6" x14ac:dyDescent="0.25">
      <c r="A34" s="9" t="s">
        <v>125</v>
      </c>
      <c r="B34" s="9"/>
      <c r="C34" s="9"/>
      <c r="D34" s="24">
        <f>IF(D31&gt;D29,D31,D29)</f>
        <v>26.02402</v>
      </c>
      <c r="E34" t="s">
        <v>122</v>
      </c>
    </row>
    <row r="35" spans="1:6" x14ac:dyDescent="0.25">
      <c r="A35" s="9" t="s">
        <v>126</v>
      </c>
      <c r="B35" s="9"/>
      <c r="C35" s="9"/>
      <c r="D35">
        <f>((D12+D22)/100)*D31</f>
        <v>30</v>
      </c>
      <c r="E35" t="s">
        <v>16</v>
      </c>
    </row>
    <row r="36" spans="1:6" x14ac:dyDescent="0.25">
      <c r="A36" s="9" t="s">
        <v>127</v>
      </c>
      <c r="B36" s="9"/>
      <c r="D36" s="24">
        <f>(D35/(D12+D22))*100</f>
        <v>0.49751243781094528</v>
      </c>
      <c r="E36" t="s">
        <v>112</v>
      </c>
    </row>
    <row r="60" spans="3:5" x14ac:dyDescent="0.25">
      <c r="C60" s="7"/>
    </row>
    <row r="62" spans="3:5" x14ac:dyDescent="0.25">
      <c r="E62" s="42"/>
    </row>
    <row r="63" spans="3:5" x14ac:dyDescent="0.25">
      <c r="C63" s="7"/>
    </row>
    <row r="70" spans="1:6" x14ac:dyDescent="0.25">
      <c r="F70" s="7"/>
    </row>
    <row r="71" spans="1:6" x14ac:dyDescent="0.25">
      <c r="E71" s="42"/>
    </row>
    <row r="72" spans="1:6" x14ac:dyDescent="0.25">
      <c r="C72" s="7"/>
    </row>
    <row r="79" spans="1:6" x14ac:dyDescent="0.25">
      <c r="A79" t="s">
        <v>128</v>
      </c>
      <c r="B79" t="s">
        <v>129</v>
      </c>
      <c r="C79" t="s">
        <v>130</v>
      </c>
      <c r="D79" t="s">
        <v>130</v>
      </c>
      <c r="E79" t="s">
        <v>131</v>
      </c>
    </row>
    <row r="80" spans="1:6" x14ac:dyDescent="0.25">
      <c r="A80" t="s">
        <v>132</v>
      </c>
    </row>
    <row r="81" spans="1:1" x14ac:dyDescent="0.25">
      <c r="A81" t="s">
        <v>133</v>
      </c>
    </row>
    <row r="82" spans="1:1" x14ac:dyDescent="0.25">
      <c r="A82" t="s">
        <v>134</v>
      </c>
    </row>
    <row r="83" spans="1:1" x14ac:dyDescent="0.25">
      <c r="A83" t="s">
        <v>135</v>
      </c>
    </row>
    <row r="84" spans="1:1" x14ac:dyDescent="0.25">
      <c r="A84" t="s">
        <v>136</v>
      </c>
    </row>
    <row r="85" spans="1:1" x14ac:dyDescent="0.25">
      <c r="A85" t="s">
        <v>137</v>
      </c>
    </row>
    <row r="86" spans="1:1" x14ac:dyDescent="0.25">
      <c r="A86" t="s">
        <v>138</v>
      </c>
    </row>
    <row r="87" spans="1:1" x14ac:dyDescent="0.25">
      <c r="A87" t="s">
        <v>139</v>
      </c>
    </row>
    <row r="88" spans="1:1" x14ac:dyDescent="0.25">
      <c r="A88" t="s">
        <v>140</v>
      </c>
    </row>
    <row r="89" spans="1:1" x14ac:dyDescent="0.25">
      <c r="A89" t="s">
        <v>141</v>
      </c>
    </row>
    <row r="90" spans="1:1" x14ac:dyDescent="0.25">
      <c r="A90" t="s">
        <v>142</v>
      </c>
    </row>
    <row r="91" spans="1:1" x14ac:dyDescent="0.25">
      <c r="A91" t="s">
        <v>143</v>
      </c>
    </row>
    <row r="92" spans="1:1" x14ac:dyDescent="0.25">
      <c r="A92" t="s">
        <v>144</v>
      </c>
    </row>
    <row r="93" spans="1:1" x14ac:dyDescent="0.25">
      <c r="A93" t="s">
        <v>145</v>
      </c>
    </row>
    <row r="94" spans="1:1" x14ac:dyDescent="0.25">
      <c r="A94" t="s">
        <v>146</v>
      </c>
    </row>
    <row r="95" spans="1:1" x14ac:dyDescent="0.25">
      <c r="A95" t="s">
        <v>147</v>
      </c>
    </row>
  </sheetData>
  <sortState ref="N10:O14">
    <sortCondition ref="N10:N14"/>
  </sortState>
  <mergeCells count="23">
    <mergeCell ref="A33:F33"/>
    <mergeCell ref="A34:C34"/>
    <mergeCell ref="A35:C35"/>
    <mergeCell ref="A36:B36"/>
    <mergeCell ref="A21:C21"/>
    <mergeCell ref="A24:C24"/>
    <mergeCell ref="A26:C26"/>
    <mergeCell ref="A28:B28"/>
    <mergeCell ref="A29:B29"/>
    <mergeCell ref="A31:B31"/>
    <mergeCell ref="A11:B11"/>
    <mergeCell ref="A12:B12"/>
    <mergeCell ref="A13:B13"/>
    <mergeCell ref="A16:B16"/>
    <mergeCell ref="A18:B18"/>
    <mergeCell ref="A20:C20"/>
    <mergeCell ref="A1:E1"/>
    <mergeCell ref="A2:B2"/>
    <mergeCell ref="A3:H3"/>
    <mergeCell ref="A4:I4"/>
    <mergeCell ref="A5:M5"/>
    <mergeCell ref="A8:B8"/>
    <mergeCell ref="K8:P8"/>
  </mergeCells>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workbookViewId="0">
      <selection sqref="A1:E1"/>
    </sheetView>
  </sheetViews>
  <sheetFormatPr defaultColWidth="8.85546875" defaultRowHeight="15" x14ac:dyDescent="0.25"/>
  <cols>
    <col min="1" max="2" width="8.85546875" customWidth="1"/>
    <col min="3" max="3" width="12.28515625" customWidth="1"/>
    <col min="4" max="4" width="10.42578125" bestFit="1" customWidth="1"/>
    <col min="5" max="9" width="8.85546875" customWidth="1"/>
    <col min="10" max="10" width="13.85546875" bestFit="1" customWidth="1"/>
    <col min="11" max="11" width="8.85546875" customWidth="1"/>
    <col min="12" max="12" width="20.140625" bestFit="1" customWidth="1"/>
    <col min="13" max="13" width="8.85546875" customWidth="1"/>
  </cols>
  <sheetData>
    <row r="1" spans="1:13" x14ac:dyDescent="0.25">
      <c r="A1" s="8" t="s">
        <v>0</v>
      </c>
      <c r="B1" s="8"/>
      <c r="C1" s="8"/>
      <c r="D1" s="8"/>
      <c r="E1" s="8"/>
    </row>
    <row r="2" spans="1:13" x14ac:dyDescent="0.25">
      <c r="A2" s="8" t="s">
        <v>243</v>
      </c>
      <c r="B2" s="8"/>
      <c r="C2" s="1">
        <v>43027</v>
      </c>
    </row>
    <row r="3" spans="1:13" x14ac:dyDescent="0.25">
      <c r="A3" s="9" t="s">
        <v>148</v>
      </c>
      <c r="B3" s="9"/>
      <c r="C3" s="9"/>
      <c r="D3" s="9"/>
      <c r="E3" s="9"/>
      <c r="F3" s="9"/>
      <c r="G3" s="9"/>
      <c r="H3" s="9"/>
      <c r="I3" s="9"/>
      <c r="J3" s="9"/>
      <c r="K3" s="9"/>
    </row>
    <row r="4" spans="1:13" x14ac:dyDescent="0.25">
      <c r="A4" s="9" t="s">
        <v>149</v>
      </c>
      <c r="B4" s="9"/>
      <c r="C4" s="9"/>
      <c r="D4" s="9"/>
      <c r="E4" s="9"/>
      <c r="F4" s="9"/>
      <c r="G4" s="9"/>
      <c r="H4" s="9"/>
      <c r="I4" s="9"/>
      <c r="J4" s="9"/>
      <c r="K4" s="9"/>
      <c r="L4" s="9"/>
    </row>
    <row r="5" spans="1:13" x14ac:dyDescent="0.25">
      <c r="A5" s="9" t="s">
        <v>150</v>
      </c>
      <c r="B5" s="9"/>
      <c r="C5" s="9"/>
      <c r="D5" s="9"/>
      <c r="E5" s="9"/>
      <c r="F5" s="9"/>
      <c r="G5" s="9"/>
      <c r="H5" s="9"/>
      <c r="I5" s="9"/>
      <c r="J5" s="9"/>
      <c r="K5" s="9"/>
      <c r="L5" s="9"/>
    </row>
    <row r="6" spans="1:13" x14ac:dyDescent="0.25">
      <c r="A6" s="9" t="s">
        <v>151</v>
      </c>
      <c r="B6" s="9"/>
      <c r="C6" s="9"/>
      <c r="D6" s="9"/>
      <c r="E6" s="9"/>
      <c r="F6" s="9"/>
      <c r="G6" s="9"/>
      <c r="H6" s="9"/>
      <c r="I6" s="9"/>
      <c r="J6" s="9"/>
      <c r="K6" s="9"/>
      <c r="L6" s="9"/>
      <c r="M6" s="9"/>
    </row>
    <row r="7" spans="1:13" x14ac:dyDescent="0.25">
      <c r="A7" t="s">
        <v>152</v>
      </c>
    </row>
    <row r="8" spans="1:13" x14ac:dyDescent="0.25">
      <c r="A8" s="8" t="s">
        <v>153</v>
      </c>
      <c r="B8" s="8"/>
      <c r="C8" s="8"/>
      <c r="D8" s="8"/>
      <c r="G8" s="8" t="s">
        <v>154</v>
      </c>
      <c r="H8" s="8"/>
      <c r="I8" s="8"/>
      <c r="J8" s="8"/>
    </row>
    <row r="9" spans="1:13" ht="17.25" x14ac:dyDescent="0.25">
      <c r="A9" s="9" t="s">
        <v>155</v>
      </c>
      <c r="B9" s="9"/>
      <c r="D9" s="4">
        <v>36</v>
      </c>
      <c r="E9" t="s">
        <v>32</v>
      </c>
      <c r="G9" s="45"/>
      <c r="H9" s="46"/>
      <c r="I9" s="47" t="s">
        <v>156</v>
      </c>
      <c r="J9" s="48" t="s">
        <v>157</v>
      </c>
      <c r="K9" s="48" t="s">
        <v>158</v>
      </c>
      <c r="L9" s="48" t="s">
        <v>159</v>
      </c>
      <c r="M9" s="46" t="s">
        <v>160</v>
      </c>
    </row>
    <row r="10" spans="1:13" x14ac:dyDescent="0.25">
      <c r="A10" s="9" t="s">
        <v>161</v>
      </c>
      <c r="B10" s="9"/>
      <c r="C10" s="9"/>
      <c r="D10" s="4">
        <v>36</v>
      </c>
      <c r="E10" t="s">
        <v>35</v>
      </c>
      <c r="G10" s="49" t="s">
        <v>162</v>
      </c>
      <c r="H10" s="23"/>
      <c r="I10" s="31">
        <v>0.5</v>
      </c>
      <c r="J10" s="50">
        <v>44.095619999999997</v>
      </c>
      <c r="K10" s="24">
        <f>$D$47*(I10/100)</f>
        <v>3.290399056322169E-3</v>
      </c>
      <c r="L10" s="24">
        <f>$D$44*(I10/100)</f>
        <v>1.1961007293168362</v>
      </c>
      <c r="M10" s="13">
        <f>J10*K10</f>
        <v>0.14509218643594096</v>
      </c>
    </row>
    <row r="11" spans="1:13" x14ac:dyDescent="0.25">
      <c r="A11" s="9" t="s">
        <v>8</v>
      </c>
      <c r="B11" s="9"/>
      <c r="D11" s="4">
        <v>0.25</v>
      </c>
      <c r="E11" t="s">
        <v>32</v>
      </c>
      <c r="G11" s="49" t="s">
        <v>163</v>
      </c>
      <c r="H11" s="23"/>
      <c r="I11" s="31">
        <v>95</v>
      </c>
      <c r="J11" s="50">
        <v>58.122199999999999</v>
      </c>
      <c r="K11" s="24">
        <f>$D$47*(I11/100)</f>
        <v>0.62517582070121214</v>
      </c>
      <c r="L11" s="24">
        <f>$D$44*(I11/100)</f>
        <v>227.25913857019887</v>
      </c>
      <c r="M11" s="13">
        <f>J11*K11</f>
        <v>36.336594085959995</v>
      </c>
    </row>
    <row r="12" spans="1:13" x14ac:dyDescent="0.25">
      <c r="G12" s="63" t="s">
        <v>164</v>
      </c>
      <c r="H12" s="63"/>
      <c r="I12" s="31">
        <v>3</v>
      </c>
      <c r="J12" s="50">
        <v>58.122199999999999</v>
      </c>
      <c r="K12" s="24">
        <f>$D$47*(I12/100)</f>
        <v>1.9742394337933015E-2</v>
      </c>
      <c r="L12" s="24">
        <f>$D$44*(I12/100)</f>
        <v>7.1766043759010172</v>
      </c>
      <c r="M12" s="13">
        <f>J12*K12</f>
        <v>1.1474713921882103</v>
      </c>
    </row>
    <row r="13" spans="1:13" x14ac:dyDescent="0.25">
      <c r="A13" s="9" t="s">
        <v>165</v>
      </c>
      <c r="B13" s="9"/>
      <c r="D13" s="4">
        <v>20</v>
      </c>
      <c r="E13" t="s">
        <v>166</v>
      </c>
      <c r="F13" t="s">
        <v>167</v>
      </c>
      <c r="G13" s="64" t="s">
        <v>168</v>
      </c>
      <c r="H13" s="64"/>
      <c r="I13" s="51">
        <v>1.5</v>
      </c>
      <c r="J13" s="52">
        <v>72.148780000000002</v>
      </c>
      <c r="K13" s="53">
        <f>$D$47*(I13/100)</f>
        <v>9.8711971689665074E-3</v>
      </c>
      <c r="L13" s="53">
        <f>$D$44*(I13/100)</f>
        <v>3.5883021879505086</v>
      </c>
      <c r="M13" s="16">
        <f>J13*K13</f>
        <v>0.71219483288038743</v>
      </c>
    </row>
    <row r="14" spans="1:13" x14ac:dyDescent="0.25">
      <c r="A14" s="9" t="s">
        <v>169</v>
      </c>
      <c r="B14" s="9"/>
      <c r="C14" s="9"/>
      <c r="D14" s="4">
        <v>101.325</v>
      </c>
      <c r="E14" t="s">
        <v>170</v>
      </c>
      <c r="G14" s="45" t="s">
        <v>171</v>
      </c>
      <c r="H14" s="46"/>
      <c r="I14" s="47">
        <f>SUM(I10:I13)</f>
        <v>100</v>
      </c>
      <c r="J14" s="48"/>
      <c r="K14" s="54">
        <f>SUM(K10:K13)</f>
        <v>0.65807981126443393</v>
      </c>
      <c r="L14" s="54">
        <f>SUM(L10:L13)</f>
        <v>239.22014586336724</v>
      </c>
      <c r="M14" s="21">
        <f>SUM(M10:M13)</f>
        <v>38.341352497464527</v>
      </c>
    </row>
    <row r="15" spans="1:13" x14ac:dyDescent="0.25">
      <c r="A15" s="9" t="s">
        <v>172</v>
      </c>
      <c r="B15" s="9"/>
      <c r="D15" s="4">
        <v>50</v>
      </c>
      <c r="E15" t="s">
        <v>110</v>
      </c>
      <c r="G15" s="55" t="s">
        <v>173</v>
      </c>
      <c r="H15" s="56"/>
      <c r="I15" s="57"/>
      <c r="J15" s="58">
        <f>AVERAGE(J10:J13)</f>
        <v>58.122199999999992</v>
      </c>
      <c r="K15" s="57"/>
      <c r="L15" s="57"/>
      <c r="M15" s="56"/>
    </row>
    <row r="17" spans="1:6" x14ac:dyDescent="0.25">
      <c r="A17" s="3" t="s">
        <v>12</v>
      </c>
    </row>
    <row r="18" spans="1:6" x14ac:dyDescent="0.25">
      <c r="A18" s="9" t="s">
        <v>174</v>
      </c>
      <c r="B18" s="9"/>
      <c r="C18" s="9"/>
      <c r="D18" s="5">
        <f>J15</f>
        <v>58.122199999999992</v>
      </c>
      <c r="E18" t="s">
        <v>175</v>
      </c>
    </row>
    <row r="19" spans="1:6" x14ac:dyDescent="0.25">
      <c r="A19" s="9" t="s">
        <v>176</v>
      </c>
      <c r="B19" s="9"/>
      <c r="C19" s="9"/>
      <c r="D19" s="5">
        <f>M14</f>
        <v>38.341352497464527</v>
      </c>
      <c r="E19" t="s">
        <v>177</v>
      </c>
    </row>
    <row r="20" spans="1:6" x14ac:dyDescent="0.25">
      <c r="A20" s="9" t="s">
        <v>178</v>
      </c>
      <c r="B20" s="9"/>
      <c r="C20" s="9"/>
      <c r="D20" s="5">
        <f>L11</f>
        <v>227.25913857019887</v>
      </c>
      <c r="E20" s="7" t="s">
        <v>170</v>
      </c>
    </row>
    <row r="21" spans="1:6" x14ac:dyDescent="0.25">
      <c r="A21" s="9" t="s">
        <v>179</v>
      </c>
      <c r="B21" s="9"/>
      <c r="C21" s="9"/>
      <c r="D21" s="5">
        <f>C54</f>
        <v>159.47779818666888</v>
      </c>
      <c r="E21" s="7" t="s">
        <v>170</v>
      </c>
    </row>
    <row r="22" spans="1:6" x14ac:dyDescent="0.25">
      <c r="A22" s="9" t="s">
        <v>180</v>
      </c>
      <c r="B22" s="9"/>
      <c r="D22" s="59" t="str">
        <f>IF(L13&lt;D21,"Yes","No")</f>
        <v>Yes</v>
      </c>
      <c r="E22" s="7"/>
    </row>
    <row r="24" spans="1:6" x14ac:dyDescent="0.25">
      <c r="A24" s="65" t="s">
        <v>54</v>
      </c>
      <c r="B24" s="65"/>
    </row>
    <row r="26" spans="1:6" x14ac:dyDescent="0.25">
      <c r="A26" s="8" t="s">
        <v>56</v>
      </c>
      <c r="B26" s="8"/>
      <c r="F26" s="7"/>
    </row>
    <row r="27" spans="1:6" x14ac:dyDescent="0.25">
      <c r="A27" s="9" t="s">
        <v>57</v>
      </c>
      <c r="B27" s="9"/>
      <c r="C27" s="9"/>
      <c r="D27">
        <f>CONVERT(D9,E9,"m")</f>
        <v>0.91439999999999999</v>
      </c>
      <c r="E27" t="s">
        <v>6</v>
      </c>
      <c r="F27" s="7"/>
    </row>
    <row r="28" spans="1:6" x14ac:dyDescent="0.25">
      <c r="A28" s="9" t="s">
        <v>34</v>
      </c>
      <c r="B28" s="9"/>
      <c r="C28" s="9"/>
      <c r="D28">
        <f>CONVERT(D10,E10,"m")</f>
        <v>10.972799999999999</v>
      </c>
      <c r="E28" t="s">
        <v>6</v>
      </c>
      <c r="F28" s="7"/>
    </row>
    <row r="29" spans="1:6" x14ac:dyDescent="0.25">
      <c r="A29" s="9" t="s">
        <v>58</v>
      </c>
      <c r="B29" s="9"/>
      <c r="D29" s="24">
        <f>CONVERT(D11,E11,"m")</f>
        <v>6.3499999999999997E-3</v>
      </c>
      <c r="E29" t="s">
        <v>6</v>
      </c>
    </row>
    <row r="30" spans="1:6" x14ac:dyDescent="0.25">
      <c r="A30" s="9" t="s">
        <v>181</v>
      </c>
      <c r="B30" s="9"/>
      <c r="D30" s="24">
        <f>CONVERT(D13,E13,"Pa")/1000</f>
        <v>137.89514586336725</v>
      </c>
      <c r="E30" t="s">
        <v>170</v>
      </c>
    </row>
    <row r="31" spans="1:6" x14ac:dyDescent="0.25">
      <c r="A31" s="9" t="s">
        <v>172</v>
      </c>
      <c r="B31" s="9"/>
      <c r="D31">
        <f>CONVERT(D15,E15,"K")</f>
        <v>323.14999999999998</v>
      </c>
      <c r="E31" t="s">
        <v>118</v>
      </c>
    </row>
    <row r="33" spans="1:9" x14ac:dyDescent="0.25">
      <c r="A33" s="8" t="s">
        <v>61</v>
      </c>
      <c r="B33" s="8"/>
    </row>
    <row r="34" spans="1:9" x14ac:dyDescent="0.25">
      <c r="A34" s="9" t="s">
        <v>62</v>
      </c>
      <c r="B34" s="9"/>
      <c r="C34" s="9"/>
      <c r="D34">
        <f>D27+D28</f>
        <v>11.8872</v>
      </c>
      <c r="E34" t="s">
        <v>6</v>
      </c>
    </row>
    <row r="35" spans="1:9" ht="17.25" x14ac:dyDescent="0.25">
      <c r="A35" t="s">
        <v>63</v>
      </c>
      <c r="D35" s="24">
        <f>(PI()*((0.5*D27)^2)*D28)+((4/3)*PI()*((0.5*D27)^3))</f>
        <v>7.606079762844919</v>
      </c>
      <c r="E35" t="s">
        <v>14</v>
      </c>
    </row>
    <row r="36" spans="1:9" x14ac:dyDescent="0.25">
      <c r="D36" s="7"/>
    </row>
    <row r="37" spans="1:9" x14ac:dyDescent="0.25">
      <c r="A37" s="8" t="s">
        <v>64</v>
      </c>
      <c r="B37" s="8"/>
      <c r="D37" s="7"/>
    </row>
    <row r="38" spans="1:9" x14ac:dyDescent="0.25">
      <c r="A38" s="9" t="s">
        <v>65</v>
      </c>
      <c r="B38" s="9"/>
      <c r="C38" s="9"/>
      <c r="D38" s="24">
        <f>D27-(2*D29)</f>
        <v>0.90169999999999995</v>
      </c>
      <c r="E38" t="s">
        <v>6</v>
      </c>
    </row>
    <row r="39" spans="1:9" x14ac:dyDescent="0.25">
      <c r="A39" s="9" t="s">
        <v>34</v>
      </c>
      <c r="B39" s="9"/>
      <c r="C39" s="9"/>
      <c r="D39" s="24">
        <f>D28</f>
        <v>10.972799999999999</v>
      </c>
      <c r="E39" t="s">
        <v>6</v>
      </c>
    </row>
    <row r="40" spans="1:9" x14ac:dyDescent="0.25">
      <c r="A40" s="9" t="s">
        <v>66</v>
      </c>
      <c r="B40" s="9"/>
      <c r="C40" s="9"/>
      <c r="D40" s="24">
        <f>(0.5*D38)</f>
        <v>0.45084999999999997</v>
      </c>
      <c r="E40" t="s">
        <v>6</v>
      </c>
    </row>
    <row r="41" spans="1:9" x14ac:dyDescent="0.25">
      <c r="A41" s="9" t="s">
        <v>67</v>
      </c>
      <c r="B41" s="9"/>
      <c r="D41" s="24">
        <f>D39+(2*D40)</f>
        <v>11.874499999999999</v>
      </c>
      <c r="E41" t="s">
        <v>6</v>
      </c>
    </row>
    <row r="42" spans="1:9" ht="17.25" x14ac:dyDescent="0.25">
      <c r="A42" s="9" t="s">
        <v>68</v>
      </c>
      <c r="B42" s="9"/>
      <c r="D42" s="24">
        <f>(PI()*(D40^2)*D39)+((4/3)*PI()*(D40^3))</f>
        <v>7.3908603636911909</v>
      </c>
      <c r="E42" t="s">
        <v>14</v>
      </c>
    </row>
    <row r="43" spans="1:9" x14ac:dyDescent="0.25">
      <c r="D43" s="7"/>
    </row>
    <row r="44" spans="1:9" x14ac:dyDescent="0.25">
      <c r="A44" s="8" t="s">
        <v>182</v>
      </c>
      <c r="B44" s="8"/>
      <c r="D44" s="24">
        <f>D14+D30</f>
        <v>239.22014586336724</v>
      </c>
      <c r="E44" t="s">
        <v>170</v>
      </c>
    </row>
    <row r="45" spans="1:9" ht="14.25" customHeight="1" x14ac:dyDescent="0.25">
      <c r="A45" s="8" t="s">
        <v>183</v>
      </c>
      <c r="B45" s="8"/>
      <c r="D45" s="60">
        <v>8.3140000000000001</v>
      </c>
      <c r="E45" s="9" t="s">
        <v>184</v>
      </c>
      <c r="F45" s="9"/>
      <c r="G45" s="9"/>
      <c r="H45" s="9"/>
      <c r="I45" s="9"/>
    </row>
    <row r="47" spans="1:9" x14ac:dyDescent="0.25">
      <c r="A47" s="3" t="s">
        <v>185</v>
      </c>
      <c r="D47" s="24">
        <f>((D44*D42)/(D45*D31))</f>
        <v>0.65807981126443382</v>
      </c>
      <c r="E47" t="s">
        <v>186</v>
      </c>
    </row>
    <row r="48" spans="1:9" x14ac:dyDescent="0.25">
      <c r="D48" s="7"/>
    </row>
    <row r="49" spans="1:11" x14ac:dyDescent="0.25">
      <c r="A49" s="8" t="s">
        <v>187</v>
      </c>
      <c r="B49" s="8"/>
      <c r="C49" s="8"/>
      <c r="D49" s="7"/>
    </row>
    <row r="50" spans="1:11" x14ac:dyDescent="0.25">
      <c r="A50" t="s">
        <v>188</v>
      </c>
      <c r="B50">
        <v>15.833299999999999</v>
      </c>
      <c r="C50" s="34"/>
      <c r="D50" s="9" t="s">
        <v>189</v>
      </c>
      <c r="E50" s="9"/>
      <c r="F50" s="9"/>
      <c r="G50" s="9"/>
      <c r="H50" s="9"/>
      <c r="I50" s="9"/>
      <c r="J50" s="9"/>
      <c r="K50" s="9"/>
    </row>
    <row r="51" spans="1:11" x14ac:dyDescent="0.25">
      <c r="A51" t="s">
        <v>190</v>
      </c>
      <c r="B51">
        <v>2477.0700000000002</v>
      </c>
      <c r="D51" s="7"/>
    </row>
    <row r="52" spans="1:11" x14ac:dyDescent="0.25">
      <c r="A52" t="s">
        <v>110</v>
      </c>
      <c r="B52">
        <v>-39.94</v>
      </c>
      <c r="C52" s="34"/>
      <c r="D52" s="61"/>
      <c r="E52" s="61"/>
    </row>
    <row r="53" spans="1:11" x14ac:dyDescent="0.25">
      <c r="A53" s="9" t="s">
        <v>191</v>
      </c>
      <c r="B53" s="9"/>
      <c r="C53" s="62">
        <f>EXP(B50-(B51/(B52+D31)))</f>
        <v>1196.1851621387982</v>
      </c>
      <c r="D53" s="61" t="s">
        <v>192</v>
      </c>
      <c r="E53" s="61"/>
    </row>
    <row r="54" spans="1:11" x14ac:dyDescent="0.25">
      <c r="C54" s="62">
        <f>CONVERT(C53,D53,"Pa")/1000</f>
        <v>159.47779818666888</v>
      </c>
      <c r="D54" s="61" t="s">
        <v>170</v>
      </c>
      <c r="E54" s="61"/>
    </row>
    <row r="55" spans="1:11" x14ac:dyDescent="0.25">
      <c r="C55" s="34"/>
      <c r="D55" s="61"/>
      <c r="E55" s="61"/>
    </row>
    <row r="60" spans="1:11" x14ac:dyDescent="0.25">
      <c r="A60" s="3"/>
    </row>
    <row r="71" spans="1:14" x14ac:dyDescent="0.25">
      <c r="A71" s="3"/>
    </row>
    <row r="76" spans="1:14" x14ac:dyDescent="0.25">
      <c r="A76" s="3"/>
    </row>
    <row r="77" spans="1:14" x14ac:dyDescent="0.25">
      <c r="L77" s="34"/>
      <c r="M77" s="34"/>
      <c r="N77" s="34"/>
    </row>
  </sheetData>
  <mergeCells count="42">
    <mergeCell ref="A44:B44"/>
    <mergeCell ref="A45:B45"/>
    <mergeCell ref="E45:I45"/>
    <mergeCell ref="A49:C49"/>
    <mergeCell ref="D50:K50"/>
    <mergeCell ref="A53:B53"/>
    <mergeCell ref="A37:B37"/>
    <mergeCell ref="A38:C38"/>
    <mergeCell ref="A39:C39"/>
    <mergeCell ref="A40:C40"/>
    <mergeCell ref="A41:B41"/>
    <mergeCell ref="A42:B42"/>
    <mergeCell ref="A28:C28"/>
    <mergeCell ref="A29:B29"/>
    <mergeCell ref="A30:B30"/>
    <mergeCell ref="A31:B31"/>
    <mergeCell ref="A33:B33"/>
    <mergeCell ref="A34:C34"/>
    <mergeCell ref="A20:C20"/>
    <mergeCell ref="A21:C21"/>
    <mergeCell ref="A22:B22"/>
    <mergeCell ref="A24:B24"/>
    <mergeCell ref="A26:B26"/>
    <mergeCell ref="A27:C27"/>
    <mergeCell ref="A13:B13"/>
    <mergeCell ref="G13:H13"/>
    <mergeCell ref="A14:C14"/>
    <mergeCell ref="A15:B15"/>
    <mergeCell ref="A18:C18"/>
    <mergeCell ref="A19:C19"/>
    <mergeCell ref="A8:D8"/>
    <mergeCell ref="G8:J8"/>
    <mergeCell ref="A9:B9"/>
    <mergeCell ref="A10:C10"/>
    <mergeCell ref="A11:B11"/>
    <mergeCell ref="G12:H12"/>
    <mergeCell ref="A1:E1"/>
    <mergeCell ref="A2:B2"/>
    <mergeCell ref="A3:K3"/>
    <mergeCell ref="A4:L4"/>
    <mergeCell ref="A5:L5"/>
    <mergeCell ref="A6:M6"/>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sqref="A1:E1"/>
    </sheetView>
  </sheetViews>
  <sheetFormatPr defaultColWidth="8.85546875" defaultRowHeight="15" x14ac:dyDescent="0.25"/>
  <cols>
    <col min="1" max="1" width="11" customWidth="1"/>
    <col min="2" max="2" width="11.28515625" bestFit="1" customWidth="1"/>
    <col min="3" max="3" width="13.140625" customWidth="1"/>
    <col min="4" max="4" width="12" bestFit="1" customWidth="1"/>
    <col min="5" max="5" width="9.42578125" customWidth="1"/>
    <col min="6" max="6" width="10.28515625" bestFit="1" customWidth="1"/>
    <col min="7" max="9" width="9.42578125" customWidth="1"/>
    <col min="10" max="10" width="8.85546875" customWidth="1"/>
    <col min="11" max="11" width="9.85546875" customWidth="1"/>
    <col min="12" max="12" width="8.85546875" customWidth="1"/>
  </cols>
  <sheetData>
    <row r="1" spans="1:21" x14ac:dyDescent="0.25">
      <c r="A1" s="8" t="s">
        <v>0</v>
      </c>
      <c r="B1" s="8"/>
      <c r="C1" s="8"/>
      <c r="D1" s="8"/>
      <c r="E1" s="8"/>
    </row>
    <row r="2" spans="1:21" x14ac:dyDescent="0.25">
      <c r="A2" s="8" t="s">
        <v>243</v>
      </c>
      <c r="B2" s="8"/>
      <c r="C2" s="1">
        <v>43027</v>
      </c>
      <c r="D2" s="9" t="s">
        <v>193</v>
      </c>
      <c r="E2" s="9"/>
      <c r="F2" s="9"/>
      <c r="G2" s="9"/>
      <c r="H2" s="9"/>
      <c r="I2" s="9"/>
      <c r="J2" s="9"/>
      <c r="K2" s="9"/>
      <c r="L2" s="9"/>
      <c r="M2" s="9"/>
      <c r="N2" s="9"/>
      <c r="O2" s="9"/>
      <c r="P2" s="9"/>
      <c r="Q2" s="9"/>
      <c r="R2" s="9"/>
      <c r="S2" s="9"/>
      <c r="T2" s="9"/>
      <c r="U2" s="39"/>
    </row>
    <row r="3" spans="1:21" x14ac:dyDescent="0.25">
      <c r="A3" s="9" t="s">
        <v>194</v>
      </c>
      <c r="B3" s="9"/>
      <c r="C3" s="9"/>
      <c r="D3" s="9"/>
      <c r="E3" s="9"/>
      <c r="F3" s="9"/>
      <c r="G3" s="9"/>
      <c r="H3" s="9"/>
      <c r="I3" s="9"/>
      <c r="J3" s="9"/>
      <c r="K3" s="9"/>
      <c r="L3" s="9"/>
      <c r="M3" s="9"/>
      <c r="N3" s="9"/>
      <c r="O3" s="9"/>
      <c r="P3" s="9"/>
      <c r="Q3" s="9"/>
    </row>
    <row r="4" spans="1:21" x14ac:dyDescent="0.25">
      <c r="A4" s="44" t="s">
        <v>195</v>
      </c>
      <c r="B4" s="44"/>
      <c r="C4" s="44"/>
      <c r="D4" s="44"/>
      <c r="E4" s="44"/>
      <c r="F4" s="44"/>
      <c r="G4" s="44"/>
      <c r="H4" s="44"/>
      <c r="I4" s="44"/>
      <c r="J4" s="44"/>
      <c r="K4" s="44"/>
      <c r="L4" s="44"/>
      <c r="M4" s="44"/>
      <c r="N4" s="44"/>
      <c r="O4" s="44"/>
      <c r="P4" s="44"/>
      <c r="Q4" s="44"/>
      <c r="R4" s="44"/>
      <c r="S4" s="44"/>
      <c r="T4" s="44"/>
      <c r="U4" s="44"/>
    </row>
    <row r="5" spans="1:21" x14ac:dyDescent="0.25">
      <c r="A5" s="9" t="s">
        <v>196</v>
      </c>
      <c r="B5" s="9"/>
      <c r="C5" s="9"/>
      <c r="D5" s="9"/>
      <c r="E5" s="9"/>
      <c r="F5" s="9"/>
      <c r="G5" s="9"/>
      <c r="H5" s="9"/>
      <c r="I5" s="9"/>
      <c r="J5" s="9"/>
      <c r="K5" s="9"/>
      <c r="L5" s="9"/>
      <c r="M5" s="9"/>
      <c r="N5" s="9"/>
    </row>
    <row r="6" spans="1:21" x14ac:dyDescent="0.25">
      <c r="A6" s="8" t="s">
        <v>197</v>
      </c>
      <c r="B6" s="8"/>
    </row>
    <row r="8" spans="1:21" x14ac:dyDescent="0.25">
      <c r="A8" s="9" t="s">
        <v>198</v>
      </c>
      <c r="B8" s="9"/>
      <c r="C8" s="9"/>
      <c r="D8" s="9"/>
      <c r="E8" s="9"/>
    </row>
    <row r="9" spans="1:21" x14ac:dyDescent="0.25">
      <c r="A9" t="s">
        <v>199</v>
      </c>
      <c r="B9" s="4">
        <v>100</v>
      </c>
      <c r="C9" s="34" t="s">
        <v>16</v>
      </c>
      <c r="D9" s="4">
        <v>47</v>
      </c>
      <c r="E9" t="s">
        <v>128</v>
      </c>
    </row>
    <row r="10" spans="1:21" x14ac:dyDescent="0.25">
      <c r="A10" t="s">
        <v>200</v>
      </c>
      <c r="B10" s="4">
        <v>200</v>
      </c>
      <c r="C10" s="34" t="s">
        <v>16</v>
      </c>
      <c r="D10" s="4">
        <v>35</v>
      </c>
      <c r="E10" t="s">
        <v>128</v>
      </c>
    </row>
    <row r="11" spans="1:21" x14ac:dyDescent="0.25">
      <c r="A11" s="9" t="s">
        <v>201</v>
      </c>
      <c r="B11" s="9"/>
      <c r="C11" s="9"/>
      <c r="D11" s="4">
        <v>100</v>
      </c>
      <c r="E11" t="s">
        <v>16</v>
      </c>
    </row>
    <row r="14" spans="1:21" x14ac:dyDescent="0.25">
      <c r="A14" s="8" t="s">
        <v>202</v>
      </c>
      <c r="B14" s="8"/>
    </row>
    <row r="15" spans="1:21" ht="15.75" thickBot="1" x14ac:dyDescent="0.3"/>
    <row r="16" spans="1:21" x14ac:dyDescent="0.25">
      <c r="A16" s="66" t="s">
        <v>203</v>
      </c>
      <c r="B16" s="66" t="s">
        <v>204</v>
      </c>
      <c r="C16" s="97" t="s">
        <v>205</v>
      </c>
      <c r="D16" s="97"/>
      <c r="E16" s="67" t="s">
        <v>206</v>
      </c>
      <c r="F16" s="98" t="s">
        <v>207</v>
      </c>
      <c r="G16" s="98"/>
      <c r="H16" s="99" t="s">
        <v>208</v>
      </c>
      <c r="I16" s="99"/>
      <c r="J16" s="99" t="s">
        <v>209</v>
      </c>
      <c r="K16" s="99"/>
    </row>
    <row r="17" spans="1:14" x14ac:dyDescent="0.25">
      <c r="A17" s="68"/>
      <c r="B17" s="69" t="s">
        <v>175</v>
      </c>
      <c r="C17" s="70" t="s">
        <v>16</v>
      </c>
      <c r="D17" s="34" t="s">
        <v>158</v>
      </c>
      <c r="F17" s="34" t="s">
        <v>158</v>
      </c>
      <c r="G17" s="71" t="s">
        <v>16</v>
      </c>
      <c r="H17" s="70" t="s">
        <v>210</v>
      </c>
      <c r="I17" s="71" t="s">
        <v>211</v>
      </c>
      <c r="J17" s="34" t="s">
        <v>16</v>
      </c>
      <c r="K17" s="71" t="s">
        <v>212</v>
      </c>
    </row>
    <row r="18" spans="1:14" ht="15.75" thickBot="1" x14ac:dyDescent="0.3">
      <c r="A18" s="72"/>
      <c r="B18" s="72"/>
      <c r="C18" s="73"/>
      <c r="D18" s="74"/>
      <c r="E18" s="74"/>
      <c r="F18" s="74"/>
      <c r="G18" s="75"/>
      <c r="H18" s="73"/>
      <c r="I18" s="75"/>
      <c r="J18" s="74"/>
      <c r="K18" s="75"/>
    </row>
    <row r="19" spans="1:14" x14ac:dyDescent="0.25">
      <c r="A19" s="68" t="s">
        <v>213</v>
      </c>
      <c r="B19" s="69">
        <f>35.5+32</f>
        <v>67.5</v>
      </c>
      <c r="C19" s="70">
        <f>D11</f>
        <v>100</v>
      </c>
      <c r="D19" s="76">
        <f t="shared" ref="D19:D25" si="0">C19/B19</f>
        <v>1.4814814814814814</v>
      </c>
      <c r="E19" s="61">
        <f>-D19</f>
        <v>-1.4814814814814814</v>
      </c>
      <c r="F19" s="61">
        <f t="shared" ref="F19:F25" si="1">D19+E19</f>
        <v>0</v>
      </c>
      <c r="G19" s="77">
        <f t="shared" ref="G19:G25" si="2">F19*B19</f>
        <v>0</v>
      </c>
      <c r="H19" s="78">
        <f t="shared" ref="H19:H25" si="3">(F19/$F$26)*100</f>
        <v>0</v>
      </c>
      <c r="I19" s="79">
        <f t="shared" ref="I19:I25" si="4">(G19/$G$26)*100</f>
        <v>0</v>
      </c>
      <c r="J19" s="80">
        <f>G19</f>
        <v>0</v>
      </c>
      <c r="K19" s="79">
        <f>(J19/$J$26)*100</f>
        <v>0</v>
      </c>
    </row>
    <row r="20" spans="1:14" x14ac:dyDescent="0.25">
      <c r="A20" s="68" t="s">
        <v>214</v>
      </c>
      <c r="B20" s="69">
        <f>2+16+16</f>
        <v>34</v>
      </c>
      <c r="C20" s="70">
        <f>(D10/100)*B10</f>
        <v>70</v>
      </c>
      <c r="D20" s="76">
        <f t="shared" si="0"/>
        <v>2.0588235294117645</v>
      </c>
      <c r="E20" s="61">
        <f>-D20</f>
        <v>-2.0588235294117645</v>
      </c>
      <c r="F20" s="61">
        <f t="shared" si="1"/>
        <v>0</v>
      </c>
      <c r="G20" s="77">
        <f t="shared" si="2"/>
        <v>0</v>
      </c>
      <c r="H20" s="78">
        <f t="shared" si="3"/>
        <v>0</v>
      </c>
      <c r="I20" s="79">
        <f t="shared" si="4"/>
        <v>0</v>
      </c>
      <c r="J20" s="80">
        <f>G20</f>
        <v>0</v>
      </c>
      <c r="K20" s="79">
        <f>(J20/$J$26)*100</f>
        <v>0</v>
      </c>
    </row>
    <row r="21" spans="1:14" x14ac:dyDescent="0.25">
      <c r="A21" s="68" t="s">
        <v>215</v>
      </c>
      <c r="B21" s="69">
        <f>23+16+1</f>
        <v>40</v>
      </c>
      <c r="C21" s="70">
        <f>(D9/100)*B9</f>
        <v>47</v>
      </c>
      <c r="D21" s="76">
        <f t="shared" si="0"/>
        <v>1.175</v>
      </c>
      <c r="E21" s="61">
        <f>-VLOOKUP($D$37,$A$39:$H$43,5,FALSE)</f>
        <v>-1.175</v>
      </c>
      <c r="F21" s="61">
        <f t="shared" si="1"/>
        <v>0</v>
      </c>
      <c r="G21" s="77">
        <f t="shared" si="2"/>
        <v>0</v>
      </c>
      <c r="H21" s="78">
        <f t="shared" si="3"/>
        <v>0</v>
      </c>
      <c r="I21" s="79">
        <f t="shared" si="4"/>
        <v>0</v>
      </c>
      <c r="J21" s="80">
        <f>G21</f>
        <v>0</v>
      </c>
      <c r="K21" s="79">
        <f>(J21/$J$26)*100</f>
        <v>0</v>
      </c>
    </row>
    <row r="22" spans="1:14" x14ac:dyDescent="0.25">
      <c r="A22" s="68" t="s">
        <v>216</v>
      </c>
      <c r="B22" s="69">
        <f>23+35.5+16+16</f>
        <v>90.5</v>
      </c>
      <c r="C22" s="70">
        <v>0</v>
      </c>
      <c r="D22" s="76">
        <f t="shared" si="0"/>
        <v>0</v>
      </c>
      <c r="E22" s="61">
        <f>VLOOKUP($D$37,$A$39:$H$43,6,FALSE)</f>
        <v>1.175</v>
      </c>
      <c r="F22" s="61">
        <f t="shared" si="1"/>
        <v>1.175</v>
      </c>
      <c r="G22" s="77">
        <f t="shared" si="2"/>
        <v>106.33750000000001</v>
      </c>
      <c r="H22" s="78">
        <f t="shared" si="3"/>
        <v>7.4504430532207815</v>
      </c>
      <c r="I22" s="79">
        <f t="shared" si="4"/>
        <v>26.584375000000005</v>
      </c>
      <c r="J22" s="80">
        <f>G22</f>
        <v>106.33750000000001</v>
      </c>
      <c r="K22" s="81">
        <f>(J22/$J$26)*100</f>
        <v>31.556839580955792</v>
      </c>
    </row>
    <row r="23" spans="1:14" x14ac:dyDescent="0.25">
      <c r="A23" s="68" t="s">
        <v>217</v>
      </c>
      <c r="B23" s="69">
        <f>2+16</f>
        <v>18</v>
      </c>
      <c r="C23" s="70">
        <f>(((100-D9)/100)*B9)+(((100-D10)/100)*B10)</f>
        <v>183</v>
      </c>
      <c r="D23" s="76">
        <f t="shared" si="0"/>
        <v>10.166666666666666</v>
      </c>
      <c r="E23" s="61">
        <f>VLOOKUP($D$37,$A$39:$H$43,7,FALSE)+D50</f>
        <v>2.6463235294117649</v>
      </c>
      <c r="F23" s="61">
        <f t="shared" si="1"/>
        <v>12.812990196078431</v>
      </c>
      <c r="G23" s="77">
        <f t="shared" si="2"/>
        <v>230.63382352941176</v>
      </c>
      <c r="H23" s="78">
        <f t="shared" si="3"/>
        <v>81.244641529666822</v>
      </c>
      <c r="I23" s="79">
        <f t="shared" si="4"/>
        <v>57.658455882352946</v>
      </c>
      <c r="J23" s="80">
        <f>G23</f>
        <v>230.63382352941176</v>
      </c>
      <c r="K23" s="79">
        <f>(J23/$J$26)*100</f>
        <v>68.443160419044219</v>
      </c>
    </row>
    <row r="24" spans="1:14" x14ac:dyDescent="0.25">
      <c r="A24" s="68" t="s">
        <v>218</v>
      </c>
      <c r="B24" s="69">
        <f>32</f>
        <v>32</v>
      </c>
      <c r="C24" s="70">
        <v>0</v>
      </c>
      <c r="D24" s="76">
        <f t="shared" si="0"/>
        <v>0</v>
      </c>
      <c r="E24" s="61">
        <f>E47+E50+VLOOKUP($D$37,$A$39:$H$43,8,FALSE)</f>
        <v>1.6296432461873636</v>
      </c>
      <c r="F24" s="61">
        <f t="shared" si="1"/>
        <v>1.6296432461873636</v>
      </c>
      <c r="G24" s="77">
        <f t="shared" si="2"/>
        <v>52.148583877995634</v>
      </c>
      <c r="H24" s="78">
        <f t="shared" si="3"/>
        <v>10.333246130029622</v>
      </c>
      <c r="I24" s="79">
        <f t="shared" si="4"/>
        <v>13.037145969498912</v>
      </c>
      <c r="J24" s="80" t="s">
        <v>85</v>
      </c>
      <c r="K24" s="77" t="s">
        <v>85</v>
      </c>
    </row>
    <row r="25" spans="1:14" x14ac:dyDescent="0.25">
      <c r="A25" s="68" t="s">
        <v>219</v>
      </c>
      <c r="B25" s="69">
        <f>35.5*2</f>
        <v>71</v>
      </c>
      <c r="C25" s="70">
        <v>0</v>
      </c>
      <c r="D25" s="76">
        <f t="shared" si="0"/>
        <v>0</v>
      </c>
      <c r="E25" s="61">
        <f>D47</f>
        <v>0.15324074074074068</v>
      </c>
      <c r="F25" s="61">
        <f t="shared" si="1"/>
        <v>0.15324074074074068</v>
      </c>
      <c r="G25" s="77">
        <f t="shared" si="2"/>
        <v>10.880092592592588</v>
      </c>
      <c r="H25" s="78">
        <f t="shared" si="3"/>
        <v>0.97166928708277278</v>
      </c>
      <c r="I25" s="79">
        <f t="shared" si="4"/>
        <v>2.7200231481481474</v>
      </c>
      <c r="J25" s="80" t="s">
        <v>85</v>
      </c>
      <c r="K25" s="77" t="s">
        <v>85</v>
      </c>
    </row>
    <row r="26" spans="1:14" ht="15.75" thickBot="1" x14ac:dyDescent="0.3">
      <c r="A26" s="72" t="s">
        <v>220</v>
      </c>
      <c r="B26" s="82"/>
      <c r="C26" s="83">
        <f>SUM(C19:C25)</f>
        <v>400</v>
      </c>
      <c r="D26" s="84"/>
      <c r="E26" s="84"/>
      <c r="F26" s="85">
        <f>SUM(F19:F25)</f>
        <v>15.770874183006535</v>
      </c>
      <c r="G26" s="86">
        <f>SUM(G19:G25)</f>
        <v>399.99999999999994</v>
      </c>
      <c r="H26" s="87">
        <f>SUM(H19:H25)</f>
        <v>100</v>
      </c>
      <c r="I26" s="88">
        <f>SUM(I19:I25)</f>
        <v>100</v>
      </c>
      <c r="J26" s="89">
        <f>SUM(J19:J23)</f>
        <v>336.97132352941173</v>
      </c>
      <c r="K26" s="90">
        <f>SUM(K19:K23)</f>
        <v>100.00000000000001</v>
      </c>
    </row>
    <row r="27" spans="1:14" x14ac:dyDescent="0.25">
      <c r="L27" s="3" t="s">
        <v>221</v>
      </c>
      <c r="M27" s="8" t="str">
        <f>IF(C26=G26,"Balance is correct","Balance is incorrect")</f>
        <v>Balance is correct</v>
      </c>
      <c r="N27" s="8"/>
    </row>
    <row r="28" spans="1:14" x14ac:dyDescent="0.25">
      <c r="A28" s="8" t="s">
        <v>222</v>
      </c>
      <c r="B28" s="8"/>
    </row>
    <row r="29" spans="1:14" ht="18" x14ac:dyDescent="0.35">
      <c r="C29" s="34" t="s">
        <v>223</v>
      </c>
      <c r="D29" t="s">
        <v>224</v>
      </c>
      <c r="E29" t="s">
        <v>225</v>
      </c>
      <c r="F29" t="s">
        <v>226</v>
      </c>
      <c r="G29" s="42" t="s">
        <v>227</v>
      </c>
      <c r="H29" t="s">
        <v>228</v>
      </c>
    </row>
    <row r="30" spans="1:14" ht="18" x14ac:dyDescent="0.35">
      <c r="A30" s="9" t="s">
        <v>229</v>
      </c>
      <c r="B30" s="9"/>
      <c r="C30" s="62">
        <f>D19</f>
        <v>1.4814814814814814</v>
      </c>
      <c r="D30" s="62">
        <f>C30/2</f>
        <v>0.7407407407407407</v>
      </c>
      <c r="E30" s="62">
        <f>C30</f>
        <v>1.4814814814814814</v>
      </c>
      <c r="F30" s="62">
        <f>C30</f>
        <v>1.4814814814814814</v>
      </c>
      <c r="G30" s="62">
        <f>C30</f>
        <v>1.4814814814814814</v>
      </c>
      <c r="H30" s="62">
        <f>C30/2</f>
        <v>0.7407407407407407</v>
      </c>
    </row>
    <row r="31" spans="1:14" ht="18" x14ac:dyDescent="0.35">
      <c r="A31" s="9" t="s">
        <v>230</v>
      </c>
      <c r="B31" s="9"/>
      <c r="C31" s="62">
        <f>2*D31</f>
        <v>4.117647058823529</v>
      </c>
      <c r="D31" s="62">
        <f>D20</f>
        <v>2.0588235294117645</v>
      </c>
      <c r="E31" s="62">
        <f>D31*2</f>
        <v>4.117647058823529</v>
      </c>
      <c r="F31" s="62">
        <f>D31*2</f>
        <v>4.117647058823529</v>
      </c>
      <c r="G31" s="62">
        <f>D31*2</f>
        <v>4.117647058823529</v>
      </c>
      <c r="H31" s="62">
        <f>D31</f>
        <v>2.0588235294117645</v>
      </c>
    </row>
    <row r="32" spans="1:14" x14ac:dyDescent="0.25">
      <c r="A32" s="9" t="s">
        <v>231</v>
      </c>
      <c r="B32" s="9"/>
      <c r="C32" s="62">
        <f>E32</f>
        <v>1.175</v>
      </c>
      <c r="D32" s="62">
        <f>E32/2</f>
        <v>0.58750000000000002</v>
      </c>
      <c r="E32" s="62">
        <f>D21</f>
        <v>1.175</v>
      </c>
      <c r="F32" s="62">
        <f>E32</f>
        <v>1.175</v>
      </c>
      <c r="G32" s="62">
        <f>E32</f>
        <v>1.175</v>
      </c>
      <c r="H32" s="62">
        <f>E32/2</f>
        <v>0.58750000000000002</v>
      </c>
    </row>
    <row r="33" spans="1:21" x14ac:dyDescent="0.25">
      <c r="A33" s="8" t="s">
        <v>232</v>
      </c>
      <c r="B33" s="8"/>
    </row>
    <row r="34" spans="1:21" x14ac:dyDescent="0.25">
      <c r="B34" t="s">
        <v>233</v>
      </c>
      <c r="C34" s="24">
        <f>C30-C31</f>
        <v>-2.6361655773420476</v>
      </c>
      <c r="D34" s="62">
        <f>D31-D30</f>
        <v>1.3180827886710238</v>
      </c>
      <c r="E34" s="76">
        <f>E32-E30</f>
        <v>-0.30648148148148135</v>
      </c>
      <c r="F34" s="34"/>
      <c r="G34" s="34"/>
      <c r="H34" s="34"/>
      <c r="I34" s="34"/>
    </row>
    <row r="35" spans="1:21" x14ac:dyDescent="0.25">
      <c r="C35" s="24">
        <f>C30-C32</f>
        <v>0.30648148148148135</v>
      </c>
      <c r="D35" s="62">
        <f>D31-D32</f>
        <v>1.4713235294117646</v>
      </c>
      <c r="E35" s="76">
        <f>E32-E31</f>
        <v>-2.9426470588235292</v>
      </c>
      <c r="F35" s="91"/>
      <c r="G35" s="34"/>
      <c r="H35" s="34"/>
      <c r="I35" s="34"/>
    </row>
    <row r="36" spans="1:21" x14ac:dyDescent="0.25">
      <c r="C36" t="str">
        <f>IF(AND(C34&lt;0,C35&lt;0),"Limiting","Not Limiting")</f>
        <v>Not Limiting</v>
      </c>
      <c r="D36" t="str">
        <f>IF(AND(D34&lt;0,D35&lt;0),"Limiting","Not Limiting")</f>
        <v>Not Limiting</v>
      </c>
      <c r="E36" t="str">
        <f>IF(AND(E34&lt;0,E35&lt;0),"Limiting","Not Limiting")</f>
        <v>Limiting</v>
      </c>
      <c r="F36" s="60"/>
      <c r="K36" s="2"/>
      <c r="S36" s="60"/>
      <c r="T36" s="60"/>
      <c r="U36" s="60"/>
    </row>
    <row r="37" spans="1:21" x14ac:dyDescent="0.25">
      <c r="A37" s="8" t="s">
        <v>234</v>
      </c>
      <c r="B37" s="8"/>
      <c r="C37" s="8"/>
      <c r="D37" s="60" t="str">
        <f>IF(C36="Limiting","Chlorine Dioxide",IF(D36="Limiting","Peroxide","Caustic"))</f>
        <v>Caustic</v>
      </c>
      <c r="E37" s="60"/>
      <c r="F37" s="60"/>
      <c r="S37" s="24"/>
      <c r="T37" s="24"/>
      <c r="U37" s="24"/>
    </row>
    <row r="38" spans="1:21" x14ac:dyDescent="0.25">
      <c r="D38" s="92"/>
      <c r="E38" s="76"/>
      <c r="F38" s="76"/>
      <c r="G38" s="76"/>
      <c r="H38" s="76"/>
      <c r="I38" s="76"/>
    </row>
    <row r="39" spans="1:21" x14ac:dyDescent="0.25">
      <c r="A39" s="8" t="s">
        <v>235</v>
      </c>
      <c r="B39" s="8"/>
      <c r="D39" s="60"/>
      <c r="E39" s="60"/>
      <c r="F39" s="60"/>
    </row>
    <row r="40" spans="1:21" ht="18" x14ac:dyDescent="0.35">
      <c r="C40" s="34" t="s">
        <v>223</v>
      </c>
      <c r="D40" t="s">
        <v>224</v>
      </c>
      <c r="E40" t="s">
        <v>225</v>
      </c>
      <c r="F40" t="s">
        <v>226</v>
      </c>
      <c r="G40" s="42" t="s">
        <v>227</v>
      </c>
      <c r="H40" t="s">
        <v>228</v>
      </c>
      <c r="S40" s="60"/>
      <c r="T40" s="60"/>
      <c r="U40" s="60"/>
    </row>
    <row r="41" spans="1:21" x14ac:dyDescent="0.25">
      <c r="A41" s="9" t="s">
        <v>236</v>
      </c>
      <c r="B41" s="9"/>
      <c r="C41" s="76">
        <f t="shared" ref="C41:H43" si="5">C30</f>
        <v>1.4814814814814814</v>
      </c>
      <c r="D41" s="76">
        <f t="shared" si="5"/>
        <v>0.7407407407407407</v>
      </c>
      <c r="E41" s="76">
        <f t="shared" si="5"/>
        <v>1.4814814814814814</v>
      </c>
      <c r="F41" s="76">
        <f t="shared" si="5"/>
        <v>1.4814814814814814</v>
      </c>
      <c r="G41" s="76">
        <f t="shared" si="5"/>
        <v>1.4814814814814814</v>
      </c>
      <c r="H41" s="76">
        <f t="shared" si="5"/>
        <v>0.7407407407407407</v>
      </c>
      <c r="I41" s="76"/>
    </row>
    <row r="42" spans="1:21" x14ac:dyDescent="0.25">
      <c r="A42" t="s">
        <v>200</v>
      </c>
      <c r="C42" s="76">
        <f t="shared" si="5"/>
        <v>4.117647058823529</v>
      </c>
      <c r="D42" s="76">
        <f t="shared" si="5"/>
        <v>2.0588235294117645</v>
      </c>
      <c r="E42" s="76">
        <f t="shared" si="5"/>
        <v>4.117647058823529</v>
      </c>
      <c r="F42" s="76">
        <f t="shared" si="5"/>
        <v>4.117647058823529</v>
      </c>
      <c r="G42" s="76">
        <f t="shared" si="5"/>
        <v>4.117647058823529</v>
      </c>
      <c r="H42" s="76">
        <f t="shared" si="5"/>
        <v>2.0588235294117645</v>
      </c>
      <c r="S42" s="24"/>
      <c r="T42" s="24"/>
      <c r="U42" s="24"/>
    </row>
    <row r="43" spans="1:21" x14ac:dyDescent="0.25">
      <c r="A43" t="s">
        <v>199</v>
      </c>
      <c r="C43" s="76">
        <f t="shared" si="5"/>
        <v>1.175</v>
      </c>
      <c r="D43" s="76">
        <f t="shared" si="5"/>
        <v>0.58750000000000002</v>
      </c>
      <c r="E43" s="76">
        <f t="shared" si="5"/>
        <v>1.175</v>
      </c>
      <c r="F43" s="76">
        <f t="shared" si="5"/>
        <v>1.175</v>
      </c>
      <c r="G43" s="76">
        <f t="shared" si="5"/>
        <v>1.175</v>
      </c>
      <c r="H43" s="76">
        <f t="shared" si="5"/>
        <v>0.58750000000000002</v>
      </c>
    </row>
    <row r="44" spans="1:21" x14ac:dyDescent="0.25">
      <c r="C44" s="34"/>
      <c r="D44" s="34"/>
      <c r="E44" s="91"/>
      <c r="F44" s="34"/>
      <c r="G44" s="34"/>
      <c r="H44" s="34"/>
    </row>
    <row r="45" spans="1:21" x14ac:dyDescent="0.25">
      <c r="A45" s="8" t="s">
        <v>237</v>
      </c>
      <c r="B45" s="8"/>
      <c r="C45" s="34"/>
      <c r="D45" s="34"/>
      <c r="E45" s="91"/>
      <c r="F45" s="34"/>
      <c r="G45" s="34"/>
      <c r="H45" s="34"/>
    </row>
    <row r="46" spans="1:21" ht="18" x14ac:dyDescent="0.35">
      <c r="C46" s="34" t="s">
        <v>238</v>
      </c>
      <c r="D46" s="34" t="s">
        <v>239</v>
      </c>
      <c r="E46" s="93" t="s">
        <v>240</v>
      </c>
      <c r="F46" s="34"/>
      <c r="G46" s="34"/>
      <c r="H46" s="34"/>
    </row>
    <row r="47" spans="1:21" x14ac:dyDescent="0.25">
      <c r="C47" s="76">
        <f>D19-VLOOKUP($D$37,$A$39:$H$43,3,FALSE)</f>
        <v>0.30648148148148135</v>
      </c>
      <c r="D47" s="76">
        <f>C47/2</f>
        <v>0.15324074074074068</v>
      </c>
      <c r="E47" s="94">
        <f>C47</f>
        <v>0.30648148148148135</v>
      </c>
      <c r="F47" s="34"/>
      <c r="G47" s="34"/>
      <c r="H47" s="34"/>
    </row>
    <row r="48" spans="1:21" x14ac:dyDescent="0.25">
      <c r="C48" s="34"/>
      <c r="D48" s="34"/>
      <c r="E48" s="91"/>
      <c r="F48" s="34"/>
      <c r="G48" s="34"/>
      <c r="H48" s="34"/>
    </row>
    <row r="49" spans="1:9" ht="18" x14ac:dyDescent="0.35">
      <c r="C49" s="34" t="s">
        <v>241</v>
      </c>
      <c r="D49" s="34" t="s">
        <v>242</v>
      </c>
      <c r="E49" t="s">
        <v>228</v>
      </c>
      <c r="F49" s="34"/>
      <c r="G49" s="34"/>
      <c r="H49" s="34"/>
    </row>
    <row r="50" spans="1:9" x14ac:dyDescent="0.25">
      <c r="C50" s="76">
        <f>D20-VLOOKUP($D$37,$A$39:$H$43,4,FALSE)</f>
        <v>1.4713235294117646</v>
      </c>
      <c r="D50" s="76">
        <f>C50</f>
        <v>1.4713235294117646</v>
      </c>
      <c r="E50" s="34">
        <f>C50/2</f>
        <v>0.73566176470588229</v>
      </c>
      <c r="F50" s="34"/>
      <c r="G50" s="34"/>
      <c r="H50" s="34"/>
      <c r="I50" s="34"/>
    </row>
    <row r="51" spans="1:9" x14ac:dyDescent="0.25">
      <c r="C51" s="34"/>
      <c r="D51" s="34"/>
      <c r="E51" s="95"/>
      <c r="F51" s="34"/>
      <c r="G51" s="34"/>
      <c r="H51" s="34"/>
    </row>
    <row r="52" spans="1:9" x14ac:dyDescent="0.25">
      <c r="A52" s="25"/>
      <c r="B52" s="25"/>
      <c r="C52" s="25"/>
      <c r="D52" s="61"/>
      <c r="E52" s="96"/>
      <c r="F52" s="61"/>
      <c r="G52" s="34"/>
      <c r="H52" s="34"/>
    </row>
    <row r="53" spans="1:9" x14ac:dyDescent="0.25">
      <c r="B53" s="7"/>
      <c r="G53" s="34"/>
      <c r="H53" s="34"/>
    </row>
    <row r="54" spans="1:9" x14ac:dyDescent="0.25">
      <c r="D54" s="34"/>
      <c r="E54" s="34"/>
      <c r="F54" s="34"/>
      <c r="G54" s="34"/>
      <c r="H54" s="34"/>
    </row>
    <row r="55" spans="1:9" x14ac:dyDescent="0.25">
      <c r="D55" s="61"/>
      <c r="E55" s="61"/>
      <c r="F55" s="61"/>
      <c r="G55" s="34"/>
      <c r="H55" s="34"/>
    </row>
    <row r="56" spans="1:9" x14ac:dyDescent="0.25">
      <c r="G56" s="34"/>
      <c r="H56" s="34"/>
    </row>
    <row r="57" spans="1:9" x14ac:dyDescent="0.25">
      <c r="D57" s="34"/>
      <c r="E57" s="34"/>
      <c r="F57" s="34"/>
      <c r="G57" s="34"/>
      <c r="H57" s="34"/>
    </row>
    <row r="58" spans="1:9" x14ac:dyDescent="0.25">
      <c r="D58" s="61"/>
      <c r="E58" s="61"/>
      <c r="F58" s="61"/>
      <c r="G58" s="34"/>
      <c r="H58" s="34"/>
    </row>
    <row r="59" spans="1:9" x14ac:dyDescent="0.25">
      <c r="C59" s="34"/>
      <c r="D59" s="34"/>
      <c r="E59" s="91"/>
      <c r="F59" s="34"/>
      <c r="G59" s="34"/>
      <c r="H59" s="34"/>
    </row>
    <row r="60" spans="1:9" x14ac:dyDescent="0.25">
      <c r="C60" s="34"/>
      <c r="D60" s="34"/>
      <c r="E60" s="91"/>
      <c r="F60" s="34"/>
      <c r="G60" s="34"/>
      <c r="H60" s="34"/>
    </row>
    <row r="61" spans="1:9" x14ac:dyDescent="0.25">
      <c r="C61" s="34"/>
      <c r="D61" s="34"/>
      <c r="E61" s="91"/>
      <c r="F61" s="34"/>
      <c r="G61" s="34"/>
      <c r="H61" s="34"/>
    </row>
    <row r="62" spans="1:9" x14ac:dyDescent="0.25">
      <c r="C62" s="34"/>
      <c r="D62" s="34"/>
      <c r="E62" s="91"/>
      <c r="F62" s="34"/>
      <c r="G62" s="34"/>
      <c r="H62" s="34"/>
    </row>
    <row r="63" spans="1:9" x14ac:dyDescent="0.25">
      <c r="C63" s="34"/>
      <c r="D63" s="34"/>
      <c r="E63" s="91"/>
      <c r="F63" s="34"/>
      <c r="G63" s="34"/>
      <c r="H63" s="34"/>
    </row>
    <row r="76" spans="3:8" x14ac:dyDescent="0.25">
      <c r="C76" s="34"/>
      <c r="D76" s="34"/>
      <c r="E76" s="34"/>
      <c r="F76" s="34"/>
      <c r="G76" s="34"/>
      <c r="H76" s="34"/>
    </row>
    <row r="83" spans="3:8" x14ac:dyDescent="0.25">
      <c r="C83" s="34"/>
      <c r="D83" s="34"/>
      <c r="E83" s="34"/>
    </row>
    <row r="84" spans="3:8" x14ac:dyDescent="0.25">
      <c r="C84" s="61"/>
      <c r="D84" s="61"/>
      <c r="E84" s="61"/>
    </row>
    <row r="86" spans="3:8" x14ac:dyDescent="0.25">
      <c r="C86" s="34"/>
      <c r="D86" s="34"/>
      <c r="E86" s="34"/>
    </row>
    <row r="87" spans="3:8" x14ac:dyDescent="0.25">
      <c r="C87" s="61"/>
      <c r="D87" s="61"/>
      <c r="E87" s="61"/>
    </row>
    <row r="90" spans="3:8" x14ac:dyDescent="0.25">
      <c r="C90" s="34"/>
      <c r="D90" s="34"/>
      <c r="E90" s="34"/>
      <c r="F90" s="34"/>
      <c r="G90" s="34"/>
      <c r="H90" s="34"/>
    </row>
    <row r="97" spans="3:5" x14ac:dyDescent="0.25">
      <c r="C97" s="34"/>
      <c r="D97" s="34"/>
      <c r="E97" s="34"/>
    </row>
    <row r="98" spans="3:5" x14ac:dyDescent="0.25">
      <c r="C98" s="61"/>
      <c r="D98" s="61"/>
      <c r="E98" s="61"/>
    </row>
    <row r="100" spans="3:5" x14ac:dyDescent="0.25">
      <c r="C100" s="34"/>
      <c r="D100" s="34"/>
      <c r="E100" s="34"/>
    </row>
    <row r="101" spans="3:5" x14ac:dyDescent="0.25">
      <c r="C101" s="61"/>
      <c r="D101" s="61"/>
      <c r="E101" s="61"/>
    </row>
  </sheetData>
  <mergeCells count="24">
    <mergeCell ref="A32:B32"/>
    <mergeCell ref="A33:B33"/>
    <mergeCell ref="A37:C37"/>
    <mergeCell ref="A39:B39"/>
    <mergeCell ref="A41:B41"/>
    <mergeCell ref="A45:B45"/>
    <mergeCell ref="H16:I16"/>
    <mergeCell ref="J16:K16"/>
    <mergeCell ref="M27:N27"/>
    <mergeCell ref="A28:B28"/>
    <mergeCell ref="A30:B30"/>
    <mergeCell ref="A31:B31"/>
    <mergeCell ref="A6:B6"/>
    <mergeCell ref="A8:E8"/>
    <mergeCell ref="A11:C11"/>
    <mergeCell ref="A14:B14"/>
    <mergeCell ref="C16:D16"/>
    <mergeCell ref="F16:G16"/>
    <mergeCell ref="A1:E1"/>
    <mergeCell ref="A2:B2"/>
    <mergeCell ref="D2:T2"/>
    <mergeCell ref="A3:Q3"/>
    <mergeCell ref="A4:U4"/>
    <mergeCell ref="A5:N5"/>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54</vt:i4>
      </vt:variant>
    </vt:vector>
  </HeadingPairs>
  <TitlesOfParts>
    <vt:vector size="60" baseType="lpstr">
      <vt:lpstr>Q1</vt:lpstr>
      <vt:lpstr>Q2</vt:lpstr>
      <vt:lpstr>Q3_</vt:lpstr>
      <vt:lpstr>Q4</vt:lpstr>
      <vt:lpstr>Q5</vt:lpstr>
      <vt:lpstr>Q6</vt:lpstr>
      <vt:lpstr>Q1_AREA</vt:lpstr>
      <vt:lpstr>Q1_DIAM</vt:lpstr>
      <vt:lpstr>Q1_HT</vt:lpstr>
      <vt:lpstr>Q1_MASS</vt:lpstr>
      <vt:lpstr>Q1_RHO</vt:lpstr>
      <vt:lpstr>Q1_VOL</vt:lpstr>
      <vt:lpstr>Q1_WT</vt:lpstr>
      <vt:lpstr>Q2_DIAM</vt:lpstr>
      <vt:lpstr>Q2_DRY_MASS</vt:lpstr>
      <vt:lpstr>Q2_FILL</vt:lpstr>
      <vt:lpstr>Q2_LENGTH</vt:lpstr>
      <vt:lpstr>Q2_METAL</vt:lpstr>
      <vt:lpstr>Q2_RHO_LIQ</vt:lpstr>
      <vt:lpstr>Q2_RHO_METAL</vt:lpstr>
      <vt:lpstr>Q2_TOTAL_MASS</vt:lpstr>
      <vt:lpstr>Q2_WT</vt:lpstr>
      <vt:lpstr>Q3_OD</vt:lpstr>
      <vt:lpstr>Q3_SCH</vt:lpstr>
      <vt:lpstr>Q3_SIZE</vt:lpstr>
      <vt:lpstr>Q3_WT</vt:lpstr>
      <vt:lpstr>Q4_CONC</vt:lpstr>
      <vt:lpstr>Q4_DEPTH</vt:lpstr>
      <vt:lpstr>Q4_LENGTH</vt:lpstr>
      <vt:lpstr>Q4_MASS</vt:lpstr>
      <vt:lpstr>Q4_TEMP</vt:lpstr>
      <vt:lpstr>Q4_WIDTH</vt:lpstr>
      <vt:lpstr>Q5_ATM_PRESSURE</vt:lpstr>
      <vt:lpstr>Q5_AVMM</vt:lpstr>
      <vt:lpstr>Q5_C1</vt:lpstr>
      <vt:lpstr>Q5_C2</vt:lpstr>
      <vt:lpstr>Q5_C3</vt:lpstr>
      <vt:lpstr>Q5_C4</vt:lpstr>
      <vt:lpstr>Q5_COMPOSITION</vt:lpstr>
      <vt:lpstr>Q5_CONDENSATION</vt:lpstr>
      <vt:lpstr>Q5_DIAM</vt:lpstr>
      <vt:lpstr>Q5_MASS</vt:lpstr>
      <vt:lpstr>Q5_PARTPRESS</vt:lpstr>
      <vt:lpstr>Q5_TEMP</vt:lpstr>
      <vt:lpstr>Q5_VAPPRESS</vt:lpstr>
      <vt:lpstr>Q5_WT</vt:lpstr>
      <vt:lpstr>Q6_C1</vt:lpstr>
      <vt:lpstr>Q6_C2</vt:lpstr>
      <vt:lpstr>Q6_C3</vt:lpstr>
      <vt:lpstr>Q6_C4</vt:lpstr>
      <vt:lpstr>Q6_C5</vt:lpstr>
      <vt:lpstr>Q6_C7</vt:lpstr>
      <vt:lpstr>Q6_C8</vt:lpstr>
      <vt:lpstr>Q6_CAUSTIC_CONC</vt:lpstr>
      <vt:lpstr>Q6_CAUSTIC_MASS</vt:lpstr>
      <vt:lpstr>Q6_CLO2_USED</vt:lpstr>
      <vt:lpstr>Q6_NaClO2_STRENGTH</vt:lpstr>
      <vt:lpstr>Q6_PEROXIDE_CONC</vt:lpstr>
      <vt:lpstr>Q6_PEROXIDE_MASS</vt:lpstr>
      <vt:lpstr>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B48BA Problem 1 Template</dc:title>
  <dc:subject>Process Industries C</dc:subject>
  <dc:creator>Bethany Mulliner</dc:creator>
  <dc:description>Tempate for sudent submissions using named cells.</dc:description>
  <cp:lastModifiedBy>Bethany Mulliner</cp:lastModifiedBy>
  <dcterms:created xsi:type="dcterms:W3CDTF">2016-08-08T07:46:20Z</dcterms:created>
  <dcterms:modified xsi:type="dcterms:W3CDTF">2019-10-16T12:41:52Z</dcterms:modified>
</cp:coreProperties>
</file>