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<sst xmlns="http://schemas.openxmlformats.org/spreadsheetml/2006/main" uniqueCount="72">
  <si>
    <t>Paramètres de l'analyse</t>
  </si>
  <si>
    <t>Durée (année)</t>
  </si>
  <si>
    <t>Durée (jours)</t>
  </si>
  <si>
    <t>Durée (secondes)</t>
  </si>
  <si>
    <t>Paramètres du site et valeurs générales</t>
  </si>
  <si>
    <t>Irradiance moyenne  (W/m^2)</t>
  </si>
  <si>
    <t>Température moyenne  (°C)</t>
  </si>
  <si>
    <t>Coefficient de convection moyen (W/(m^2*K))</t>
  </si>
  <si>
    <t>Température moyenne du sol (°C)</t>
  </si>
  <si>
    <t>Capacité thermique massique de l'air (J/(kg*K))</t>
  </si>
  <si>
    <t>Masse volumique de l'air (kg/m^3)</t>
  </si>
  <si>
    <t>Capacité thermique massique de l'eau (J/(kg*K))</t>
  </si>
  <si>
    <t>Masse volumique de l'eau (kg/m^3)</t>
  </si>
  <si>
    <t>Température de l'eau courrante (°C)</t>
  </si>
  <si>
    <t>Prix du kilowattheure ($/kWh)</t>
  </si>
  <si>
    <t>Paramètres des installations</t>
  </si>
  <si>
    <t>Température moyenne intérieure  (°C)</t>
  </si>
  <si>
    <t>Débit de renouvelement d'air (m^3/s)</t>
  </si>
  <si>
    <t>Superficie en contact avec le sol (m^2)</t>
  </si>
  <si>
    <t>Superficie en contact avec l'air (m^2)</t>
  </si>
  <si>
    <t>Superficie de la fenestration (m^2)</t>
  </si>
  <si>
    <t>Consommation d'eau chaude (L/jour)</t>
  </si>
  <si>
    <t>Température de l'eau chaude (°C)</t>
  </si>
  <si>
    <t>Superficie de panneaux photovoltaïques (m^2)</t>
  </si>
  <si>
    <t>Efficacité des panneaux photovoltaïques (%)</t>
  </si>
  <si>
    <t>Paramètres des murs et planchers</t>
  </si>
  <si>
    <t>Matériau</t>
  </si>
  <si>
    <t>Conductivité (W/(m*K))</t>
  </si>
  <si>
    <t>Épaisseur (m)</t>
  </si>
  <si>
    <t>Finition intérieure</t>
  </si>
  <si>
    <t>Bois</t>
  </si>
  <si>
    <t>Conteneur</t>
  </si>
  <si>
    <t>Acier</t>
  </si>
  <si>
    <t>Isolation</t>
  </si>
  <si>
    <t>Paille compressée</t>
  </si>
  <si>
    <t>Finition extérieure</t>
  </si>
  <si>
    <t>Résistance thermique de conduction ((m^2*K)/W)</t>
  </si>
  <si>
    <t>Paramètre des fenêtres</t>
  </si>
  <si>
    <t>Pertes thermiques</t>
  </si>
  <si>
    <t>Pertes (Watts)</t>
  </si>
  <si>
    <t>Pertes (Joules)</t>
  </si>
  <si>
    <t>Pertes (kWh)</t>
  </si>
  <si>
    <t>Pertes par le sol</t>
  </si>
  <si>
    <t>Pertes par les fenêtres</t>
  </si>
  <si>
    <t>Pertes par les murs et plafonds</t>
  </si>
  <si>
    <t>Pertes par ventilation</t>
  </si>
  <si>
    <t>Pertes par eau chaude</t>
  </si>
  <si>
    <t>Total</t>
  </si>
  <si>
    <t>Production d'électricité</t>
  </si>
  <si>
    <t>Puissance (Watts)</t>
  </si>
  <si>
    <t>Production (Joules)</t>
  </si>
  <si>
    <t>Production (kWh)</t>
  </si>
  <si>
    <t>Panneaux photovoltaîques</t>
  </si>
  <si>
    <t>Consommation électrique hors chauffage</t>
  </si>
  <si>
    <t>Utilisation (heures/jour)</t>
  </si>
  <si>
    <t>Énergie annuelle (kWh)</t>
  </si>
  <si>
    <t>Lumière</t>
  </si>
  <si>
    <t>Télévision</t>
  </si>
  <si>
    <t>Ordinateur</t>
  </si>
  <si>
    <t>Four</t>
  </si>
  <si>
    <t>Four micro onde</t>
  </si>
  <si>
    <t>Réfrigérateur</t>
  </si>
  <si>
    <t>Machine à laver</t>
  </si>
  <si>
    <t>Lave vaisselle</t>
  </si>
  <si>
    <t>Chauffe-eau</t>
  </si>
  <si>
    <t>Balance énergétique</t>
  </si>
  <si>
    <t>Consommation électrique totale (kWh)</t>
  </si>
  <si>
    <t>Consommation électrique hors chauffage (kWh)</t>
  </si>
  <si>
    <t>Consommation électrique pour chauffage (kWh)</t>
  </si>
  <si>
    <t>Production électrique totale (kWh)</t>
  </si>
  <si>
    <t>Consommation électrique sur le réseau (kWh)</t>
  </si>
  <si>
    <t>Prix en électricité ($)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</si>
</sst>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00"/>
    <numFmt numFmtId="60" formatCode="#,##0.0000000000"/>
  </numFmts>
  <fonts count="10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Questrial"/>
    </font>
    <font>
      <b val="1"/>
      <sz val="10"/>
      <color indexed="9"/>
      <name val="Questrial"/>
    </font>
    <font>
      <sz val="10"/>
      <color indexed="9"/>
      <name val="Questrial"/>
    </font>
    <font>
      <sz val="10"/>
      <color indexed="9"/>
      <name val="Arial"/>
    </font>
    <font>
      <b val="1"/>
      <sz val="10"/>
      <color indexed="9"/>
      <name val="Arial"/>
    </font>
    <font>
      <sz val="10"/>
      <color indexed="8"/>
      <name val="Cambria"/>
    </font>
    <font>
      <sz val="10"/>
      <color indexed="8"/>
      <name val="Roboto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center"/>
    </xf>
    <xf numFmtId="49" fontId="4" fillId="4" borderId="7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4" fillId="4" borderId="8" applyNumberFormat="1" applyFont="1" applyFill="1" applyBorder="1" applyAlignment="1" applyProtection="0">
      <alignment horizontal="center" vertical="center"/>
    </xf>
    <xf numFmtId="0" fontId="5" fillId="5" borderId="9" applyNumberFormat="1" applyFont="1" applyFill="1" applyBorder="1" applyAlignment="1" applyProtection="0">
      <alignment horizontal="center" vertical="center"/>
    </xf>
    <xf numFmtId="49" fontId="4" fillId="4" borderId="10" applyNumberFormat="1" applyFont="1" applyFill="1" applyBorder="1" applyAlignment="1" applyProtection="0">
      <alignment horizontal="center" vertical="center"/>
    </xf>
    <xf numFmtId="0" fontId="5" fillId="5" borderId="10" applyNumberFormat="1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/>
    </xf>
    <xf numFmtId="49" fontId="5" fillId="4" borderId="9" applyNumberFormat="1" applyFont="1" applyFill="1" applyBorder="1" applyAlignment="1" applyProtection="0">
      <alignment horizontal="right" vertical="center"/>
    </xf>
    <xf numFmtId="0" fontId="3" fillId="2" borderId="12" applyNumberFormat="1" applyFont="1" applyFill="1" applyBorder="1" applyAlignment="1" applyProtection="0">
      <alignment horizontal="center" vertical="center"/>
    </xf>
    <xf numFmtId="49" fontId="5" fillId="4" borderId="8" applyNumberFormat="1" applyFont="1" applyFill="1" applyBorder="1" applyAlignment="1" applyProtection="0">
      <alignment horizontal="right" vertical="center"/>
    </xf>
    <xf numFmtId="0" fontId="3" fillId="2" borderId="13" applyNumberFormat="1" applyFont="1" applyFill="1" applyBorder="1" applyAlignment="1" applyProtection="0">
      <alignment horizontal="center" vertical="center"/>
    </xf>
    <xf numFmtId="49" fontId="5" fillId="4" borderId="10" applyNumberFormat="1" applyFont="1" applyFill="1" applyBorder="1" applyAlignment="1" applyProtection="0">
      <alignment horizontal="right" vertical="center"/>
    </xf>
    <xf numFmtId="0" fontId="3" fillId="2" borderId="14" applyNumberFormat="1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5" applyNumberFormat="1" applyFont="1" applyFill="1" applyBorder="1" applyAlignment="1" applyProtection="0">
      <alignment horizontal="center" vertical="center"/>
    </xf>
    <xf numFmtId="0" fontId="5" fillId="5" borderId="8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4" fillId="4" borderId="9" applyNumberFormat="0" applyFont="1" applyFill="1" applyBorder="1" applyAlignment="1" applyProtection="0">
      <alignment horizontal="center" vertical="center"/>
    </xf>
    <xf numFmtId="49" fontId="5" fillId="4" borderId="19" applyNumberFormat="1" applyFont="1" applyFill="1" applyBorder="1" applyAlignment="1" applyProtection="0">
      <alignment horizontal="center" vertical="center"/>
    </xf>
    <xf numFmtId="49" fontId="5" fillId="4" borderId="4" applyNumberFormat="1" applyFont="1" applyFill="1" applyBorder="1" applyAlignment="1" applyProtection="0">
      <alignment horizontal="center" vertical="center"/>
    </xf>
    <xf numFmtId="49" fontId="5" fillId="4" borderId="5" applyNumberFormat="1" applyFont="1" applyFill="1" applyBorder="1" applyAlignment="1" applyProtection="0">
      <alignment horizontal="center" vertical="center"/>
    </xf>
    <xf numFmtId="49" fontId="5" fillId="4" borderId="8" applyNumberFormat="1" applyFont="1" applyFill="1" applyBorder="1" applyAlignment="1" applyProtection="0">
      <alignment horizontal="center" vertical="center"/>
    </xf>
    <xf numFmtId="49" fontId="3" fillId="2" borderId="20" applyNumberFormat="1" applyFont="1" applyFill="1" applyBorder="1" applyAlignment="1" applyProtection="0">
      <alignment horizontal="center" vertical="center"/>
    </xf>
    <xf numFmtId="0" fontId="3" fillId="2" borderId="21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horizontal="center" vertical="center"/>
    </xf>
    <xf numFmtId="49" fontId="3" fillId="2" borderId="6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49" fontId="5" fillId="4" borderId="10" applyNumberFormat="1" applyFont="1" applyFill="1" applyBorder="1" applyAlignment="1" applyProtection="0">
      <alignment horizontal="center" vertical="center"/>
    </xf>
    <xf numFmtId="49" fontId="3" fillId="2" borderId="23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24" applyNumberFormat="1" applyFont="1" applyFill="1" applyBorder="1" applyAlignment="1" applyProtection="0">
      <alignment horizontal="center" vertical="center"/>
    </xf>
    <xf numFmtId="59" fontId="4" fillId="5" borderId="4" applyNumberFormat="1" applyFont="1" applyFill="1" applyBorder="1" applyAlignment="1" applyProtection="0">
      <alignment horizontal="center" vertical="center"/>
    </xf>
    <xf numFmtId="0" fontId="3" fillId="2" borderId="21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3" fillId="2" borderId="19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49" fontId="5" fillId="4" borderId="25" applyNumberFormat="1" applyFont="1" applyFill="1" applyBorder="1" applyAlignment="1" applyProtection="0">
      <alignment horizontal="center" vertical="center"/>
    </xf>
    <xf numFmtId="4" fontId="5" fillId="5" borderId="7" applyNumberFormat="1" applyFont="1" applyFill="1" applyBorder="1" applyAlignment="1" applyProtection="0">
      <alignment horizontal="center" vertical="center"/>
    </xf>
    <xf numFmtId="60" fontId="5" fillId="5" borderId="26" applyNumberFormat="1" applyFont="1" applyFill="1" applyBorder="1" applyAlignment="1" applyProtection="0">
      <alignment horizontal="center" vertical="center"/>
    </xf>
    <xf numFmtId="4" fontId="5" fillId="5" borderId="27" applyNumberFormat="1" applyFont="1" applyFill="1" applyBorder="1" applyAlignment="1" applyProtection="0">
      <alignment horizontal="center" vertical="center"/>
    </xf>
    <xf numFmtId="4" fontId="5" fillId="5" borderId="28" applyNumberFormat="1" applyFont="1" applyFill="1" applyBorder="1" applyAlignment="1" applyProtection="0">
      <alignment horizontal="center" vertical="center"/>
    </xf>
    <xf numFmtId="60" fontId="5" fillId="5" borderId="29" applyNumberFormat="1" applyFont="1" applyFill="1" applyBorder="1" applyAlignment="1" applyProtection="0">
      <alignment horizontal="center" vertical="center"/>
    </xf>
    <xf numFmtId="4" fontId="5" fillId="5" borderId="30" applyNumberFormat="1" applyFont="1" applyFill="1" applyBorder="1" applyAlignment="1" applyProtection="0">
      <alignment horizontal="center" vertical="center"/>
    </xf>
    <xf numFmtId="4" fontId="5" fillId="5" borderId="10" applyNumberFormat="1" applyFont="1" applyFill="1" applyBorder="1" applyAlignment="1" applyProtection="0">
      <alignment horizontal="center" vertical="center"/>
    </xf>
    <xf numFmtId="60" fontId="5" fillId="5" borderId="31" applyNumberFormat="1" applyFont="1" applyFill="1" applyBorder="1" applyAlignment="1" applyProtection="0">
      <alignment horizontal="center" vertical="center"/>
    </xf>
    <xf numFmtId="4" fontId="5" fillId="5" borderId="32" applyNumberFormat="1" applyFont="1" applyFill="1" applyBorder="1" applyAlignment="1" applyProtection="0">
      <alignment horizontal="center" vertical="center"/>
    </xf>
    <xf numFmtId="0" fontId="3" fillId="2" borderId="22" applyNumberFormat="0" applyFont="1" applyFill="1" applyBorder="1" applyAlignment="1" applyProtection="0">
      <alignment horizontal="center" vertical="center"/>
    </xf>
    <xf numFmtId="49" fontId="4" fillId="3" borderId="19" applyNumberFormat="1" applyFont="1" applyFill="1" applyBorder="1" applyAlignment="1" applyProtection="0">
      <alignment horizontal="right" vertical="center"/>
    </xf>
    <xf numFmtId="4" fontId="4" fillId="5" borderId="19" applyNumberFormat="1" applyFont="1" applyFill="1" applyBorder="1" applyAlignment="1" applyProtection="0">
      <alignment horizontal="center" vertical="center"/>
    </xf>
    <xf numFmtId="0" fontId="3" fillId="4" borderId="9" applyNumberFormat="0" applyFont="1" applyFill="1" applyBorder="1" applyAlignment="1" applyProtection="0">
      <alignment horizontal="center" vertical="center"/>
    </xf>
    <xf numFmtId="0" fontId="5" fillId="5" borderId="4" applyNumberFormat="1" applyFont="1" applyFill="1" applyBorder="1" applyAlignment="1" applyProtection="0">
      <alignment horizontal="center" vertical="center"/>
    </xf>
    <xf numFmtId="0" fontId="5" fillId="5" borderId="25" applyNumberFormat="1" applyFont="1" applyFill="1" applyBorder="1" applyAlignment="1" applyProtection="0">
      <alignment horizontal="center" vertical="center"/>
    </xf>
    <xf numFmtId="0" fontId="5" fillId="5" borderId="5" applyNumberFormat="1" applyFont="1" applyFill="1" applyBorder="1" applyAlignment="1" applyProtection="0">
      <alignment horizontal="center" vertical="center"/>
    </xf>
    <xf numFmtId="0" fontId="4" fillId="4" borderId="9" applyNumberFormat="0" applyFont="1" applyFill="1" applyBorder="1" applyAlignment="1" applyProtection="0">
      <alignment horizontal="right" vertical="center"/>
    </xf>
    <xf numFmtId="0" fontId="3" fillId="2" borderId="20" applyNumberFormat="1" applyFont="1" applyFill="1" applyBorder="1" applyAlignment="1" applyProtection="0">
      <alignment horizontal="center" vertical="center"/>
    </xf>
    <xf numFmtId="4" fontId="6" fillId="5" borderId="9" applyNumberFormat="1" applyFont="1" applyFill="1" applyBorder="1" applyAlignment="1" applyProtection="0">
      <alignment horizontal="center" vertical="bottom"/>
    </xf>
    <xf numFmtId="0" fontId="3" fillId="2" borderId="6" applyNumberFormat="1" applyFont="1" applyFill="1" applyBorder="1" applyAlignment="1" applyProtection="0">
      <alignment horizontal="center" vertical="center"/>
    </xf>
    <xf numFmtId="4" fontId="6" fillId="5" borderId="8" applyNumberFormat="1" applyFont="1" applyFill="1" applyBorder="1" applyAlignment="1" applyProtection="0">
      <alignment horizontal="center" vertical="bottom"/>
    </xf>
    <xf numFmtId="0" fontId="3" fillId="2" borderId="33" applyNumberFormat="0" applyFont="1" applyFill="1" applyBorder="1" applyAlignment="1" applyProtection="0">
      <alignment horizontal="center" vertical="center"/>
    </xf>
    <xf numFmtId="49" fontId="5" fillId="4" borderId="30" applyNumberFormat="1" applyFont="1" applyFill="1" applyBorder="1" applyAlignment="1" applyProtection="0">
      <alignment horizontal="right" vertical="center"/>
    </xf>
    <xf numFmtId="0" fontId="3" fillId="2" borderId="23" applyNumberFormat="1" applyFont="1" applyFill="1" applyBorder="1" applyAlignment="1" applyProtection="0">
      <alignment horizontal="center" vertical="center"/>
    </xf>
    <xf numFmtId="4" fontId="6" fillId="5" borderId="10" applyNumberFormat="1" applyFont="1" applyFill="1" applyBorder="1" applyAlignment="1" applyProtection="0">
      <alignment horizontal="center" vertical="bottom"/>
    </xf>
    <xf numFmtId="0" fontId="5" fillId="2" borderId="34" applyNumberFormat="0" applyFont="1" applyFill="1" applyBorder="1" applyAlignment="1" applyProtection="0">
      <alignment horizontal="right" vertical="center"/>
    </xf>
    <xf numFmtId="59" fontId="4" fillId="2" borderId="22" applyNumberFormat="1" applyFont="1" applyFill="1" applyBorder="1" applyAlignment="1" applyProtection="0">
      <alignment horizontal="center" vertical="center"/>
    </xf>
    <xf numFmtId="49" fontId="4" fillId="3" borderId="19" applyNumberFormat="1" applyFont="1" applyFill="1" applyBorder="1" applyAlignment="1" applyProtection="0">
      <alignment horizontal="center" vertical="center"/>
    </xf>
    <xf numFmtId="4" fontId="7" fillId="5" borderId="19" applyNumberFormat="1" applyFont="1" applyFill="1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center" vertical="center"/>
    </xf>
    <xf numFmtId="4" fontId="5" fillId="5" borderId="9" applyNumberFormat="1" applyFont="1" applyFill="1" applyBorder="1" applyAlignment="1" applyProtection="0">
      <alignment horizontal="center" vertical="center"/>
    </xf>
    <xf numFmtId="4" fontId="5" fillId="2" borderId="6" applyNumberFormat="1" applyFont="1" applyFill="1" applyBorder="1" applyAlignment="1" applyProtection="0">
      <alignment horizontal="center" vertical="center"/>
    </xf>
    <xf numFmtId="4" fontId="5" fillId="2" borderId="1" applyNumberFormat="1" applyFont="1" applyFill="1" applyBorder="1" applyAlignment="1" applyProtection="0">
      <alignment horizontal="center" vertical="center"/>
    </xf>
    <xf numFmtId="4" fontId="5" fillId="5" borderId="8" applyNumberFormat="1" applyFont="1" applyFill="1" applyBorder="1" applyAlignment="1" applyProtection="0">
      <alignment horizontal="center" vertical="center"/>
    </xf>
    <xf numFmtId="4" fontId="3" fillId="2" borderId="6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00ff"/>
      <rgbColor rgb="ff45818e"/>
      <rgbColor rgb="ffff9900"/>
      <rgbColor rgb="ff878787"/>
      <rgbColor rgb="ff434343"/>
      <rgbColor rgb="ff9900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502883"/>
          <c:h val="0.9875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34343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434343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9900FF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F990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45818E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990099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#,##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'Sheet 1'!$B$44:$B$48</c:f>
              <c:strCache>
                <c:ptCount val="5"/>
                <c:pt idx="0">
                  <c:v>Pertes par le sol</c:v>
                </c:pt>
                <c:pt idx="1">
                  <c:v>Pertes par les fenêtres</c:v>
                </c:pt>
                <c:pt idx="2">
                  <c:v>Pertes par les murs et plafonds</c:v>
                </c:pt>
                <c:pt idx="3">
                  <c:v>Pertes par ventilation</c:v>
                </c:pt>
                <c:pt idx="4">
                  <c:v>Pertes par eau chaude</c:v>
                </c:pt>
              </c:strCache>
            </c:strRef>
          </c:cat>
          <c:val>
            <c:numRef>
              <c:f>'Sheet 1'!$C$44:$C$48</c:f>
              <c:numCache>
                <c:ptCount val="5"/>
                <c:pt idx="0">
                  <c:v>238.966758</c:v>
                </c:pt>
                <c:pt idx="1">
                  <c:v>437.393705</c:v>
                </c:pt>
                <c:pt idx="2">
                  <c:v>912.971925</c:v>
                </c:pt>
                <c:pt idx="3">
                  <c:v>84.771750</c:v>
                </c:pt>
                <c:pt idx="4">
                  <c:v>53.281250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26967"/>
          <c:y val="0.368035"/>
          <c:w val="0.273033"/>
          <c:h val="0.2224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835172</xdr:colOff>
      <xdr:row>27</xdr:row>
      <xdr:rowOff>60817</xdr:rowOff>
    </xdr:from>
    <xdr:to>
      <xdr:col>14</xdr:col>
      <xdr:colOff>775759</xdr:colOff>
      <xdr:row>45</xdr:row>
      <xdr:rowOff>62762</xdr:rowOff>
    </xdr:to>
    <xdr:graphicFrame>
      <xdr:nvGraphicFramePr>
        <xdr:cNvPr id="2" name="ChartChart 1"/>
        <xdr:cNvGraphicFramePr/>
      </xdr:nvGraphicFramePr>
      <xdr:xfrm>
        <a:off x="11414272" y="5661517"/>
        <a:ext cx="7674888" cy="38595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015"/>
  <sheetViews>
    <sheetView workbookViewId="0" showGridLines="0" defaultGridColor="1"/>
  </sheetViews>
  <sheetFormatPr defaultColWidth="14.5" defaultRowHeight="15.75" customHeight="1" outlineLevelRow="0" outlineLevelCol="0"/>
  <cols>
    <col min="1" max="1" width="2.35156" style="1" customWidth="1"/>
    <col min="2" max="2" width="43" style="1" customWidth="1"/>
    <col min="3" max="5" width="21.5" style="1" customWidth="1"/>
    <col min="6" max="27" width="14.5" style="1" customWidth="1"/>
    <col min="28" max="256" width="14.5" style="1" customWidth="1"/>
  </cols>
  <sheetData>
    <row r="1" ht="11.25" customHeight="1">
      <c r="A1" s="2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4"/>
      <c r="B2" t="s" s="5">
        <v>0</v>
      </c>
      <c r="C2" s="6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t="s" s="8">
        <v>1</v>
      </c>
      <c r="C3" s="9">
        <v>1</v>
      </c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4"/>
      <c r="B4" t="s" s="10">
        <v>2</v>
      </c>
      <c r="C4" s="11">
        <f>C3*365</f>
        <v>365</v>
      </c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/>
      <c r="B5" t="s" s="12">
        <v>3</v>
      </c>
      <c r="C5" s="13">
        <f>C4*86400</f>
        <v>31536000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14"/>
      <c r="C6" s="1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2.5" customHeight="1">
      <c r="A7" s="4"/>
      <c r="B7" t="s" s="5">
        <v>4</v>
      </c>
      <c r="C7" s="6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t="s" s="15">
        <v>5</v>
      </c>
      <c r="C8" s="16">
        <v>160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t="s" s="17">
        <v>6</v>
      </c>
      <c r="C9" s="18">
        <v>7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t="s" s="17">
        <v>7</v>
      </c>
      <c r="C10" s="18">
        <v>23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t="s" s="17">
        <v>8</v>
      </c>
      <c r="C11" s="18">
        <v>8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t="s" s="17">
        <v>9</v>
      </c>
      <c r="C12" s="18">
        <v>1005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t="s" s="17">
        <v>10</v>
      </c>
      <c r="C13" s="18">
        <v>1.205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4"/>
      <c r="B14" t="s" s="17">
        <v>11</v>
      </c>
      <c r="C14" s="18">
        <v>4185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4"/>
      <c r="B15" t="s" s="17">
        <v>12</v>
      </c>
      <c r="C15" s="18">
        <v>1000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4"/>
      <c r="B16" t="s" s="17">
        <v>13</v>
      </c>
      <c r="C16" s="18">
        <v>18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/>
      <c r="B17" t="s" s="19">
        <v>14</v>
      </c>
      <c r="C17" s="20">
        <v>0.1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1"/>
      <c r="C18" s="2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2.5" customHeight="1">
      <c r="A19" s="4"/>
      <c r="B19" t="s" s="5">
        <v>15</v>
      </c>
      <c r="C19" s="6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/>
      <c r="B20" t="s" s="15">
        <v>16</v>
      </c>
      <c r="C20" s="16">
        <v>21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/>
      <c r="B21" t="s" s="17">
        <v>7</v>
      </c>
      <c r="C21" s="18">
        <v>8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/>
      <c r="B22" t="s" s="17">
        <v>17</v>
      </c>
      <c r="C22" s="22">
        <f>5/1000</f>
        <v>0.005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/>
      <c r="B23" t="s" s="17">
        <v>18</v>
      </c>
      <c r="C23" s="23">
        <f>4.88*12.19</f>
        <v>59.4872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/>
      <c r="B24" t="s" s="17">
        <v>19</v>
      </c>
      <c r="C24" s="23">
        <f>((12.19*2.59)*4)+((4.88*4)*2)+((4.88*2.59)*4)+(12.19*4.88)</f>
        <v>275.3724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/>
      <c r="B25" t="s" s="17">
        <v>20</v>
      </c>
      <c r="C25" s="24">
        <f>((1.5*7)*4)+((3*1.5)*3)+(3*2)</f>
        <v>61.5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/>
      <c r="B26" t="s" s="17">
        <v>21</v>
      </c>
      <c r="C26" s="18">
        <v>50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t="s" s="17">
        <v>22</v>
      </c>
      <c r="C27" s="18">
        <v>40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t="s" s="17">
        <v>23</v>
      </c>
      <c r="C28" s="18">
        <v>42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t="s" s="19">
        <v>24</v>
      </c>
      <c r="C29" s="20">
        <v>15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1"/>
      <c r="C30" s="21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2.5" customHeight="1">
      <c r="A31" s="4"/>
      <c r="B31" t="s" s="5">
        <v>25</v>
      </c>
      <c r="C31" s="25"/>
      <c r="D31" s="26"/>
      <c r="E31" s="27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28"/>
      <c r="C32" t="s" s="29">
        <v>26</v>
      </c>
      <c r="D32" t="s" s="30">
        <v>27</v>
      </c>
      <c r="E32" t="s" s="31">
        <v>28</v>
      </c>
      <c r="F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t="s" s="32">
        <v>29</v>
      </c>
      <c r="C33" t="s" s="33">
        <v>30</v>
      </c>
      <c r="D33" s="34">
        <v>0.15</v>
      </c>
      <c r="E33" s="35">
        <v>0.02</v>
      </c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t="s" s="32">
        <v>31</v>
      </c>
      <c r="C34" t="s" s="36">
        <v>32</v>
      </c>
      <c r="D34" s="37">
        <v>45</v>
      </c>
      <c r="E34" s="38">
        <v>0.002</v>
      </c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t="s" s="32">
        <v>33</v>
      </c>
      <c r="C35" t="s" s="36">
        <v>34</v>
      </c>
      <c r="D35" s="37">
        <v>0.09</v>
      </c>
      <c r="E35" s="38">
        <v>0.25</v>
      </c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t="s" s="39">
        <v>35</v>
      </c>
      <c r="C36" t="s" s="40">
        <v>30</v>
      </c>
      <c r="D36" s="41">
        <v>0.15</v>
      </c>
      <c r="E36" s="42">
        <v>0.03</v>
      </c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t="s" s="29">
        <v>36</v>
      </c>
      <c r="C37" s="43">
        <f>E33/D33+E34/D34+E35/D35+E36/D36</f>
        <v>3.11115555555556</v>
      </c>
      <c r="D37" s="25"/>
      <c r="E37" s="2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1"/>
      <c r="C38" s="21"/>
      <c r="D38" s="44"/>
      <c r="E38" s="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2.5" customHeight="1">
      <c r="A39" s="4"/>
      <c r="B39" t="s" s="5">
        <v>37</v>
      </c>
      <c r="C39" s="6"/>
      <c r="D39" s="7"/>
      <c r="E39" s="4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t="s" s="29">
        <v>36</v>
      </c>
      <c r="C40" s="46">
        <v>1.8</v>
      </c>
      <c r="D40" s="4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1"/>
      <c r="C41" s="21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2.5" customHeight="1">
      <c r="A42" s="4"/>
      <c r="B42" t="s" s="5">
        <v>38</v>
      </c>
      <c r="C42" s="25"/>
      <c r="D42" s="26"/>
      <c r="E42" s="27"/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28"/>
      <c r="C43" t="s" s="30">
        <v>39</v>
      </c>
      <c r="D43" t="s" s="48">
        <v>40</v>
      </c>
      <c r="E43" t="s" s="31">
        <v>41</v>
      </c>
      <c r="F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t="s" s="32">
        <v>42</v>
      </c>
      <c r="C44" s="49">
        <f>((C20-C11)*C23)/(C37+(1/C21))</f>
        <v>238.966757538094</v>
      </c>
      <c r="D44" s="50">
        <f>C44/C5</f>
        <v>7.57758617256767e-06</v>
      </c>
      <c r="E44" s="51">
        <f>(C44*C4*24)/1000</f>
        <v>2093.3487960337</v>
      </c>
      <c r="F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t="s" s="32">
        <v>43</v>
      </c>
      <c r="C45" s="52">
        <f>((C20-C9)*C25)/(C40+1/C21+1/C10)</f>
        <v>437.393705135284</v>
      </c>
      <c r="D45" s="53">
        <f>C45/C5</f>
        <v>1.38696634048479e-05</v>
      </c>
      <c r="E45" s="54">
        <f>C45/1000*(C4*24)</f>
        <v>3831.568856985090</v>
      </c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t="s" s="32">
        <v>44</v>
      </c>
      <c r="C46" s="52">
        <f>((C24-C25)*(C20-C9))/(C37+1/C21+1/C10)</f>
        <v>912.971925403477</v>
      </c>
      <c r="D46" s="53">
        <f>C46/C5</f>
        <v>2.89501498415613e-05</v>
      </c>
      <c r="E46" s="54">
        <f>(C46/1000)*(C4*24)</f>
        <v>7997.634066534460</v>
      </c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t="s" s="32">
        <v>45</v>
      </c>
      <c r="C47" s="52">
        <f>C22*(C20-C9)*C12*C13</f>
        <v>84.77175</v>
      </c>
      <c r="D47" s="53">
        <f>C47/C5</f>
        <v>2.6880945585997e-06</v>
      </c>
      <c r="E47" s="54">
        <f>C47/1000*365*24</f>
        <v>742.60053</v>
      </c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t="s" s="39">
        <v>46</v>
      </c>
      <c r="C48" s="55">
        <f>((C26/1000)*(C27-C16)*C14*C15)/86400</f>
        <v>53.28125</v>
      </c>
      <c r="D48" s="56">
        <f>C48/C5</f>
        <v>1.68953735413496e-06</v>
      </c>
      <c r="E48" s="57">
        <f>(C48/1000)*(C4*24)</f>
        <v>466.74375</v>
      </c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44"/>
      <c r="C49" s="58"/>
      <c r="D49" t="s" s="59">
        <v>47</v>
      </c>
      <c r="E49" s="60">
        <f>SUM(E44:E48)</f>
        <v>15131.8959995533</v>
      </c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3"/>
      <c r="C50" s="3"/>
      <c r="D50" s="21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2.5" customHeight="1">
      <c r="A51" s="4"/>
      <c r="B51" t="s" s="5">
        <v>48</v>
      </c>
      <c r="C51" s="25"/>
      <c r="D51" s="26"/>
      <c r="E51" s="27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61"/>
      <c r="C52" t="s" s="30">
        <v>49</v>
      </c>
      <c r="D52" t="s" s="48">
        <v>50</v>
      </c>
      <c r="E52" t="s" s="31">
        <v>51</v>
      </c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4"/>
      <c r="B53" t="s" s="39">
        <v>52</v>
      </c>
      <c r="C53" s="62">
        <f>(C8*C28)*0.15</f>
        <v>1008</v>
      </c>
      <c r="D53" s="63">
        <f>C53*C5</f>
        <v>31788288000</v>
      </c>
      <c r="E53" s="64">
        <f>(C53/1000)*(C4*24)</f>
        <v>8830.08</v>
      </c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1"/>
      <c r="C54" s="21"/>
      <c r="D54" s="21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2.5" customHeight="1">
      <c r="A55" s="4"/>
      <c r="B55" t="s" s="5">
        <v>53</v>
      </c>
      <c r="C55" s="25"/>
      <c r="D55" s="26"/>
      <c r="E55" s="27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65"/>
      <c r="C56" t="s" s="30">
        <v>49</v>
      </c>
      <c r="D56" t="s" s="48">
        <v>54</v>
      </c>
      <c r="E56" t="s" s="31">
        <v>55</v>
      </c>
      <c r="F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4"/>
      <c r="B57" t="s" s="17">
        <v>56</v>
      </c>
      <c r="C57" s="66">
        <v>30</v>
      </c>
      <c r="D57" s="35">
        <v>8</v>
      </c>
      <c r="E57" s="67">
        <f>(D57*C57)/1000*365</f>
        <v>87.59999999999999</v>
      </c>
      <c r="F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4"/>
      <c r="B58" t="s" s="17">
        <v>57</v>
      </c>
      <c r="C58" s="68">
        <v>30</v>
      </c>
      <c r="D58" s="38">
        <v>1</v>
      </c>
      <c r="E58" s="69">
        <f>(D58*C58)/1000*365</f>
        <v>10.95</v>
      </c>
      <c r="F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4"/>
      <c r="B59" t="s" s="17">
        <v>58</v>
      </c>
      <c r="C59" s="68">
        <v>100</v>
      </c>
      <c r="D59" s="38">
        <v>4</v>
      </c>
      <c r="E59" s="69">
        <f>(D59*C59)/1000*365</f>
        <v>146</v>
      </c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4"/>
      <c r="B60" t="s" s="17">
        <v>59</v>
      </c>
      <c r="C60" s="68">
        <v>1600</v>
      </c>
      <c r="D60" s="38">
        <v>0.75</v>
      </c>
      <c r="E60" s="69">
        <f>(D60*C60)/1000*365</f>
        <v>438</v>
      </c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4"/>
      <c r="B61" t="s" s="17">
        <v>60</v>
      </c>
      <c r="C61" s="68">
        <v>700</v>
      </c>
      <c r="D61" s="38">
        <v>0.25</v>
      </c>
      <c r="E61" s="69">
        <f>(D61*C61)/1000*365</f>
        <v>63.875</v>
      </c>
      <c r="F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4"/>
      <c r="B62" t="s" s="17">
        <v>61</v>
      </c>
      <c r="C62" s="68">
        <v>80</v>
      </c>
      <c r="D62" s="38">
        <v>24</v>
      </c>
      <c r="E62" s="69">
        <f>(D62*C62)/1000*365</f>
        <v>700.8</v>
      </c>
      <c r="F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4"/>
      <c r="B63" t="s" s="17">
        <v>62</v>
      </c>
      <c r="C63" s="68">
        <v>250</v>
      </c>
      <c r="D63" s="38">
        <v>0.5</v>
      </c>
      <c r="E63" s="69">
        <f>(D63*C63)/1000*365</f>
        <v>45.625</v>
      </c>
      <c r="F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4"/>
      <c r="B64" t="s" s="17">
        <v>63</v>
      </c>
      <c r="C64" s="68">
        <v>800</v>
      </c>
      <c r="D64" s="38">
        <v>1</v>
      </c>
      <c r="E64" s="69">
        <f>(D64*C64)/1000*365</f>
        <v>292</v>
      </c>
      <c r="F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70"/>
      <c r="B65" t="s" s="71">
        <v>64</v>
      </c>
      <c r="C65" s="72">
        <v>2400</v>
      </c>
      <c r="D65" s="42">
        <v>3</v>
      </c>
      <c r="E65" s="73">
        <f>(D65*C65)/1000*365</f>
        <v>2628</v>
      </c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74"/>
      <c r="C66" s="75"/>
      <c r="D66" t="s" s="76">
        <v>47</v>
      </c>
      <c r="E66" s="77">
        <f>SUM(E57:E65)</f>
        <v>4412.85</v>
      </c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3"/>
      <c r="C67" s="3"/>
      <c r="D67" s="44"/>
      <c r="E67" s="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2.5" customHeight="1">
      <c r="A68" s="4"/>
      <c r="B68" t="s" s="5">
        <v>65</v>
      </c>
      <c r="C68" s="6"/>
      <c r="D68" s="78"/>
      <c r="E68" s="4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4"/>
      <c r="B69" t="s" s="15">
        <v>66</v>
      </c>
      <c r="C69" s="79">
        <f>E49</f>
        <v>15131.8959995533</v>
      </c>
      <c r="D69" s="80"/>
      <c r="E69" s="8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t="s" s="17">
        <v>67</v>
      </c>
      <c r="C70" s="82">
        <f>E66</f>
        <v>4412.85</v>
      </c>
      <c r="D70" s="83"/>
      <c r="E70" s="8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t="s" s="17">
        <v>68</v>
      </c>
      <c r="C71" s="82">
        <f>E49-E66</f>
        <v>10719.0459995533</v>
      </c>
      <c r="D71" s="80"/>
      <c r="E71" s="8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4"/>
      <c r="B72" t="s" s="17">
        <v>69</v>
      </c>
      <c r="C72" s="82">
        <f>E53+1200</f>
        <v>10030.08</v>
      </c>
      <c r="D72" s="80"/>
      <c r="E72" s="8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4"/>
      <c r="B73" t="s" s="17">
        <v>70</v>
      </c>
      <c r="C73" s="82">
        <f>C69-C72</f>
        <v>5101.8159995533</v>
      </c>
      <c r="D73" s="80"/>
      <c r="E73" s="8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4"/>
      <c r="B74" t="s" s="19">
        <v>71</v>
      </c>
      <c r="C74" s="55">
        <f>C73*C17</f>
        <v>510.181599955330</v>
      </c>
      <c r="D74" s="80"/>
      <c r="E74" s="8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44"/>
      <c r="C75" s="4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</sheetData>
  <mergeCells count="10">
    <mergeCell ref="B7:C7"/>
    <mergeCell ref="B19:C19"/>
    <mergeCell ref="C37:E37"/>
    <mergeCell ref="B31:E31"/>
    <mergeCell ref="B39:C39"/>
    <mergeCell ref="B2:C2"/>
    <mergeCell ref="B55:E55"/>
    <mergeCell ref="B51:E51"/>
    <mergeCell ref="B68:C68"/>
    <mergeCell ref="B42:E4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