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\Materias\ANC\ANC_201701\ProspFinal\"/>
    </mc:Choice>
  </mc:AlternateContent>
  <bookViews>
    <workbookView xWindow="0" yWindow="0" windowWidth="25200" windowHeight="12570" activeTab="1"/>
  </bookViews>
  <sheets>
    <sheet name="Cassini_Titan" sheetId="1" r:id="rId1"/>
    <sheet name="Cassini_Saturn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2" l="1"/>
  <c r="R8" i="2"/>
  <c r="U8" i="2" s="1"/>
  <c r="S8" i="2"/>
  <c r="T8" i="2"/>
  <c r="R9" i="2"/>
  <c r="S9" i="2"/>
  <c r="T9" i="2"/>
  <c r="U9" i="2"/>
  <c r="R10" i="2"/>
  <c r="U10" i="2" s="1"/>
  <c r="S10" i="2"/>
  <c r="T10" i="2"/>
  <c r="R11" i="2"/>
  <c r="S11" i="2"/>
  <c r="T11" i="2"/>
  <c r="U11" i="2"/>
  <c r="R12" i="2"/>
  <c r="U12" i="2" s="1"/>
  <c r="S12" i="2"/>
  <c r="T12" i="2"/>
  <c r="R13" i="2"/>
  <c r="S13" i="2"/>
  <c r="T13" i="2"/>
  <c r="U13" i="2"/>
  <c r="R14" i="2"/>
  <c r="U14" i="2" s="1"/>
  <c r="S14" i="2"/>
  <c r="T14" i="2"/>
  <c r="R15" i="2"/>
  <c r="S15" i="2"/>
  <c r="T15" i="2"/>
  <c r="U15" i="2"/>
  <c r="R16" i="2"/>
  <c r="U16" i="2" s="1"/>
  <c r="S16" i="2"/>
  <c r="T16" i="2"/>
  <c r="R17" i="2"/>
  <c r="S17" i="2"/>
  <c r="T17" i="2"/>
  <c r="U17" i="2"/>
  <c r="U7" i="2"/>
  <c r="S7" i="2"/>
  <c r="T7" i="2"/>
  <c r="R7" i="2"/>
  <c r="Q17" i="2"/>
  <c r="P17" i="2"/>
  <c r="O17" i="2"/>
  <c r="Q16" i="2"/>
  <c r="P16" i="2"/>
  <c r="O16" i="2"/>
  <c r="Q15" i="2"/>
  <c r="P15" i="2"/>
  <c r="O15" i="2"/>
  <c r="Q14" i="2"/>
  <c r="P14" i="2"/>
  <c r="O14" i="2"/>
  <c r="Q13" i="2"/>
  <c r="P13" i="2"/>
  <c r="O13" i="2"/>
  <c r="Q12" i="2"/>
  <c r="P12" i="2"/>
  <c r="O12" i="2"/>
  <c r="Q11" i="2"/>
  <c r="P11" i="2"/>
  <c r="O11" i="2"/>
  <c r="Q10" i="2"/>
  <c r="P10" i="2"/>
  <c r="O10" i="2"/>
  <c r="Q9" i="2"/>
  <c r="P9" i="2"/>
  <c r="O9" i="2"/>
  <c r="Q8" i="2"/>
  <c r="P8" i="2"/>
  <c r="O8" i="2"/>
  <c r="Q7" i="2"/>
  <c r="P7" i="2"/>
  <c r="O7" i="2"/>
  <c r="L7" i="2"/>
  <c r="F8" i="2"/>
  <c r="G8" i="2" s="1"/>
  <c r="H8" i="2" s="1"/>
  <c r="I8" i="2" s="1"/>
  <c r="J8" i="2" s="1"/>
  <c r="K8" i="2"/>
  <c r="L8" i="2"/>
  <c r="M8" i="2"/>
  <c r="N8" i="2"/>
  <c r="F9" i="2"/>
  <c r="K9" i="2" s="1"/>
  <c r="G9" i="2"/>
  <c r="H9" i="2"/>
  <c r="I9" i="2"/>
  <c r="J9" i="2" s="1"/>
  <c r="L9" i="2"/>
  <c r="M9" i="2"/>
  <c r="N9" i="2"/>
  <c r="F10" i="2"/>
  <c r="G10" i="2" s="1"/>
  <c r="H10" i="2" s="1"/>
  <c r="I10" i="2" s="1"/>
  <c r="J10" i="2" s="1"/>
  <c r="K10" i="2"/>
  <c r="L10" i="2"/>
  <c r="M10" i="2"/>
  <c r="N10" i="2"/>
  <c r="F11" i="2"/>
  <c r="K11" i="2" s="1"/>
  <c r="G11" i="2"/>
  <c r="H11" i="2"/>
  <c r="I11" i="2"/>
  <c r="J11" i="2" s="1"/>
  <c r="L11" i="2"/>
  <c r="M11" i="2"/>
  <c r="N11" i="2"/>
  <c r="F12" i="2"/>
  <c r="G12" i="2" s="1"/>
  <c r="H12" i="2" s="1"/>
  <c r="I12" i="2" s="1"/>
  <c r="J12" i="2" s="1"/>
  <c r="K12" i="2"/>
  <c r="L12" i="2"/>
  <c r="M12" i="2"/>
  <c r="N12" i="2"/>
  <c r="F13" i="2"/>
  <c r="K13" i="2" s="1"/>
  <c r="G13" i="2"/>
  <c r="H13" i="2"/>
  <c r="I13" i="2"/>
  <c r="J13" i="2" s="1"/>
  <c r="L13" i="2"/>
  <c r="M13" i="2"/>
  <c r="N13" i="2"/>
  <c r="F14" i="2"/>
  <c r="G14" i="2" s="1"/>
  <c r="H14" i="2" s="1"/>
  <c r="I14" i="2" s="1"/>
  <c r="J14" i="2" s="1"/>
  <c r="K14" i="2"/>
  <c r="L14" i="2"/>
  <c r="M14" i="2"/>
  <c r="N14" i="2"/>
  <c r="F15" i="2"/>
  <c r="K15" i="2" s="1"/>
  <c r="G15" i="2"/>
  <c r="H15" i="2"/>
  <c r="I15" i="2"/>
  <c r="J15" i="2" s="1"/>
  <c r="L15" i="2"/>
  <c r="M15" i="2"/>
  <c r="N15" i="2"/>
  <c r="F16" i="2"/>
  <c r="G16" i="2" s="1"/>
  <c r="H16" i="2" s="1"/>
  <c r="I16" i="2" s="1"/>
  <c r="J16" i="2" s="1"/>
  <c r="K16" i="2"/>
  <c r="L16" i="2"/>
  <c r="M16" i="2"/>
  <c r="N16" i="2"/>
  <c r="F17" i="2"/>
  <c r="K17" i="2" s="1"/>
  <c r="G17" i="2"/>
  <c r="H17" i="2"/>
  <c r="I17" i="2"/>
  <c r="J17" i="2" s="1"/>
  <c r="L17" i="2"/>
  <c r="M17" i="2"/>
  <c r="N17" i="2"/>
  <c r="F7" i="2"/>
  <c r="D9" i="2"/>
  <c r="D10" i="2"/>
  <c r="D11" i="2"/>
  <c r="D12" i="2"/>
  <c r="D13" i="2"/>
  <c r="D14" i="2"/>
  <c r="D15" i="2"/>
  <c r="D16" i="2"/>
  <c r="D17" i="2"/>
  <c r="D7" i="2"/>
  <c r="D8" i="2"/>
  <c r="I4" i="2"/>
  <c r="E17" i="2"/>
  <c r="J3" i="2"/>
  <c r="J2" i="2"/>
  <c r="N7" i="2"/>
  <c r="M7" i="2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Q7" i="1"/>
  <c r="P7" i="1"/>
  <c r="O7" i="1"/>
  <c r="M7" i="1"/>
  <c r="N7" i="1"/>
  <c r="L7" i="1"/>
  <c r="D11" i="1"/>
  <c r="E11" i="1" s="1"/>
  <c r="F11" i="1" s="1"/>
  <c r="E10" i="1"/>
  <c r="F10" i="1"/>
  <c r="G10" i="1" s="1"/>
  <c r="H10" i="1" s="1"/>
  <c r="I10" i="1" s="1"/>
  <c r="J10" i="1" s="1"/>
  <c r="D10" i="1"/>
  <c r="D8" i="1"/>
  <c r="D9" i="1"/>
  <c r="E9" i="1" s="1"/>
  <c r="D7" i="1"/>
  <c r="E7" i="1" s="1"/>
  <c r="E8" i="1"/>
  <c r="F8" i="1" s="1"/>
  <c r="G8" i="1" s="1"/>
  <c r="E5" i="1"/>
  <c r="E14" i="2" l="1"/>
  <c r="E7" i="2"/>
  <c r="E13" i="2"/>
  <c r="E12" i="2"/>
  <c r="E9" i="2"/>
  <c r="E15" i="2"/>
  <c r="E8" i="2"/>
  <c r="E11" i="2"/>
  <c r="E10" i="2"/>
  <c r="E16" i="2"/>
  <c r="G11" i="1"/>
  <c r="H11" i="1" s="1"/>
  <c r="I11" i="1" s="1"/>
  <c r="J11" i="1" s="1"/>
  <c r="K11" i="1"/>
  <c r="K10" i="1"/>
  <c r="H8" i="1"/>
  <c r="I8" i="1" s="1"/>
  <c r="J8" i="1" s="1"/>
  <c r="K8" i="1"/>
  <c r="F9" i="1"/>
  <c r="F7" i="1"/>
  <c r="K7" i="2" l="1"/>
  <c r="K9" i="1"/>
  <c r="G9" i="1"/>
  <c r="G7" i="1"/>
  <c r="K7" i="1"/>
  <c r="G7" i="2" l="1"/>
  <c r="H7" i="2" s="1"/>
  <c r="I7" i="2" s="1"/>
  <c r="J7" i="2" s="1"/>
  <c r="H9" i="1"/>
  <c r="I9" i="1" s="1"/>
  <c r="J9" i="1" s="1"/>
  <c r="H7" i="1"/>
  <c r="I7" i="1" s="1"/>
  <c r="J7" i="1" s="1"/>
</calcChain>
</file>

<file path=xl/sharedStrings.xml><?xml version="1.0" encoding="utf-8"?>
<sst xmlns="http://schemas.openxmlformats.org/spreadsheetml/2006/main" count="59" uniqueCount="40">
  <si>
    <t>Masa de Titán</t>
  </si>
  <si>
    <t>radio de Titán</t>
  </si>
  <si>
    <t>G</t>
  </si>
  <si>
    <t>Vel angular (rad/seg)</t>
  </si>
  <si>
    <t>Período (días)</t>
  </si>
  <si>
    <t>Vtg (m/seg)</t>
  </si>
  <si>
    <t>Período (seg)</t>
  </si>
  <si>
    <t>Período (min)</t>
  </si>
  <si>
    <t>Período (Hrs)</t>
  </si>
  <si>
    <t>radios de giro</t>
  </si>
  <si>
    <t>altura en Rt</t>
  </si>
  <si>
    <t>rx</t>
  </si>
  <si>
    <t>ry</t>
  </si>
  <si>
    <t>rz</t>
  </si>
  <si>
    <t>vx</t>
  </si>
  <si>
    <t>vy</t>
  </si>
  <si>
    <t>vz</t>
  </si>
  <si>
    <t>Velocidad Cassini (m/s)</t>
  </si>
  <si>
    <t>Posición Cassini (m)</t>
  </si>
  <si>
    <t>Posición de Titán (m)</t>
  </si>
  <si>
    <t>Masa de Saturno</t>
  </si>
  <si>
    <t>Velocidad de Titán (m/s)</t>
  </si>
  <si>
    <t xml:space="preserve">Lim Inf </t>
  </si>
  <si>
    <t>Lim Sup</t>
  </si>
  <si>
    <t>m</t>
  </si>
  <si>
    <t>Kg</t>
  </si>
  <si>
    <t>Posición de Saturno (m)</t>
  </si>
  <si>
    <t>Velocidad de Saturno (m/s)</t>
  </si>
  <si>
    <t>alfa</t>
  </si>
  <si>
    <t>beta</t>
  </si>
  <si>
    <t>Grados</t>
  </si>
  <si>
    <t>Rad</t>
  </si>
  <si>
    <t>Radio de Saturno</t>
  </si>
  <si>
    <t>Delta/10</t>
  </si>
  <si>
    <t>Velocidad tangencial proyectada</t>
  </si>
  <si>
    <t>Vtgx</t>
  </si>
  <si>
    <t>Vtgy</t>
  </si>
  <si>
    <t>Vtgz</t>
  </si>
  <si>
    <t>Radio de giro</t>
  </si>
  <si>
    <t>altura(m)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</si>
</sst>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9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43" fontId="0" fillId="0" borderId="0" xfId="1" applyFont="1"/>
    <xf numFmtId="4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 applyAlignment="1">
      <alignment horizontal="center" vertical="center" wrapText="1"/>
    </xf>
    <xf numFmtId="43" fontId="0" fillId="0" borderId="1" xfId="0" applyNumberFormat="1" applyBorder="1"/>
    <xf numFmtId="43" fontId="0" fillId="0" borderId="6" xfId="0" applyNumberFormat="1" applyBorder="1"/>
    <xf numFmtId="43" fontId="0" fillId="0" borderId="9" xfId="0" applyNumberFormat="1" applyBorder="1"/>
    <xf numFmtId="43" fontId="0" fillId="0" borderId="13" xfId="0" applyNumberForma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0" fillId="0" borderId="12" xfId="1" applyFont="1" applyBorder="1"/>
    <xf numFmtId="43" fontId="0" fillId="0" borderId="5" xfId="1" applyFont="1" applyBorder="1"/>
    <xf numFmtId="43" fontId="0" fillId="0" borderId="1" xfId="1" applyFont="1" applyBorder="1"/>
    <xf numFmtId="43" fontId="0" fillId="0" borderId="7" xfId="1" applyFont="1" applyBorder="1"/>
    <xf numFmtId="43" fontId="0" fillId="0" borderId="8" xfId="1" applyFont="1" applyBorder="1"/>
    <xf numFmtId="2" fontId="0" fillId="0" borderId="19" xfId="0" applyNumberFormat="1" applyBorder="1"/>
    <xf numFmtId="169" fontId="0" fillId="0" borderId="1" xfId="1" applyNumberFormat="1" applyFont="1" applyBorder="1"/>
    <xf numFmtId="43" fontId="0" fillId="0" borderId="17" xfId="1" applyFont="1" applyBorder="1"/>
    <xf numFmtId="43" fontId="0" fillId="0" borderId="10" xfId="1" applyFont="1" applyBorder="1"/>
    <xf numFmtId="43" fontId="0" fillId="0" borderId="23" xfId="1" applyFont="1" applyBorder="1"/>
    <xf numFmtId="43" fontId="0" fillId="0" borderId="24" xfId="1" applyFont="1" applyBorder="1"/>
    <xf numFmtId="43" fontId="0" fillId="0" borderId="25" xfId="1" applyFont="1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2" fontId="0" fillId="0" borderId="1" xfId="0" applyNumberFormat="1" applyBorder="1"/>
    <xf numFmtId="43" fontId="0" fillId="0" borderId="2" xfId="1" applyFont="1" applyBorder="1"/>
    <xf numFmtId="0" fontId="0" fillId="0" borderId="3" xfId="0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0" fillId="0" borderId="17" xfId="0" applyBorder="1" applyAlignment="1">
      <alignment horizontal="center" vertical="center" wrapText="1"/>
    </xf>
    <xf numFmtId="43" fontId="3" fillId="0" borderId="0" xfId="1" applyFont="1"/>
    <xf numFmtId="43" fontId="0" fillId="0" borderId="1" xfId="1" applyFont="1" applyBorder="1" applyAlignment="1">
      <alignment horizontal="center" vertical="center" wrapText="1"/>
    </xf>
    <xf numFmtId="11" fontId="0" fillId="0" borderId="0" xfId="1" applyNumberFormat="1" applyFont="1"/>
    <xf numFmtId="2" fontId="0" fillId="0" borderId="8" xfId="0" applyNumberFormat="1" applyBorder="1"/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43" fontId="0" fillId="0" borderId="10" xfId="0" applyNumberFormat="1" applyBorder="1"/>
    <xf numFmtId="43" fontId="0" fillId="0" borderId="11" xfId="0" applyNumberFormat="1" applyBorder="1"/>
    <xf numFmtId="43" fontId="0" fillId="0" borderId="5" xfId="0" applyNumberFormat="1" applyBorder="1"/>
    <xf numFmtId="43" fontId="0" fillId="0" borderId="7" xfId="0" applyNumberFormat="1" applyBorder="1"/>
    <xf numFmtId="43" fontId="0" fillId="0" borderId="8" xfId="0" applyNumberFormat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/>
    <xf numFmtId="43" fontId="0" fillId="2" borderId="1" xfId="1" applyFont="1" applyFill="1" applyBorder="1"/>
    <xf numFmtId="169" fontId="0" fillId="2" borderId="1" xfId="1" applyNumberFormat="1" applyFont="1" applyFill="1" applyBorder="1"/>
    <xf numFmtId="43" fontId="0" fillId="2" borderId="10" xfId="1" applyFont="1" applyFill="1" applyBorder="1"/>
    <xf numFmtId="43" fontId="0" fillId="2" borderId="5" xfId="1" applyFont="1" applyFill="1" applyBorder="1"/>
    <xf numFmtId="2" fontId="0" fillId="2" borderId="1" xfId="0" applyNumberFormat="1" applyFill="1" applyBorder="1"/>
    <xf numFmtId="2" fontId="0" fillId="2" borderId="6" xfId="0" applyNumberFormat="1" applyFill="1" applyBorder="1"/>
    <xf numFmtId="43" fontId="0" fillId="2" borderId="10" xfId="0" applyNumberFormat="1" applyFill="1" applyBorder="1"/>
    <xf numFmtId="43" fontId="0" fillId="2" borderId="5" xfId="0" applyNumberFormat="1" applyFill="1" applyBorder="1"/>
    <xf numFmtId="43" fontId="0" fillId="2" borderId="1" xfId="0" applyNumberFormat="1" applyFill="1" applyBorder="1"/>
    <xf numFmtId="43" fontId="0" fillId="2" borderId="6" xfId="0" applyNumberFormat="1" applyFill="1" applyBorder="1"/>
    <xf numFmtId="0" fontId="0" fillId="2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3"/>
  <sheetViews>
    <sheetView workbookViewId="0">
      <selection activeCell="O4" sqref="O4"/>
    </sheetView>
  </sheetViews>
  <sheetFormatPr baseColWidth="10" defaultRowHeight="15" x14ac:dyDescent="0.25"/>
  <cols>
    <col min="4" max="4" width="13.140625" bestFit="1" customWidth="1"/>
    <col min="5" max="5" width="33.5703125" bestFit="1" customWidth="1"/>
    <col min="6" max="6" width="11.42578125" customWidth="1"/>
    <col min="7" max="7" width="15.140625" customWidth="1"/>
    <col min="11" max="11" width="11.42578125" bestFit="1" customWidth="1"/>
    <col min="12" max="12" width="22.42578125" customWidth="1"/>
    <col min="13" max="13" width="18.140625" customWidth="1"/>
    <col min="14" max="14" width="6.7109375" customWidth="1"/>
  </cols>
  <sheetData>
    <row r="2" spans="3:17" ht="15.75" thickBot="1" x14ac:dyDescent="0.3">
      <c r="D2" t="s">
        <v>2</v>
      </c>
      <c r="E2" s="1">
        <v>6.6738400000000001E-11</v>
      </c>
    </row>
    <row r="3" spans="3:17" ht="15.75" thickBot="1" x14ac:dyDescent="0.3">
      <c r="L3" s="13" t="s">
        <v>19</v>
      </c>
      <c r="M3" s="14"/>
      <c r="N3" s="15"/>
      <c r="O3" s="13" t="s">
        <v>21</v>
      </c>
      <c r="P3" s="14"/>
      <c r="Q3" s="15"/>
    </row>
    <row r="4" spans="3:17" ht="15.75" thickBot="1" x14ac:dyDescent="0.3">
      <c r="D4" t="s">
        <v>0</v>
      </c>
      <c r="E4" s="3">
        <v>1.345E+23</v>
      </c>
      <c r="L4" s="28">
        <v>1514521447818.79</v>
      </c>
      <c r="M4" s="17">
        <v>-251697512.90007901</v>
      </c>
      <c r="N4" s="26">
        <v>0</v>
      </c>
      <c r="O4" s="16">
        <v>1147.3309506651501</v>
      </c>
      <c r="P4" s="17">
        <v>14816.1960418493</v>
      </c>
      <c r="Q4" s="26">
        <v>0</v>
      </c>
    </row>
    <row r="5" spans="3:17" ht="15.75" thickBot="1" x14ac:dyDescent="0.3">
      <c r="D5" t="s">
        <v>1</v>
      </c>
      <c r="E5" s="42">
        <f>0.5*5150000</f>
        <v>2575000</v>
      </c>
      <c r="L5" s="13" t="s">
        <v>18</v>
      </c>
      <c r="M5" s="14"/>
      <c r="N5" s="15"/>
      <c r="O5" s="13" t="s">
        <v>17</v>
      </c>
      <c r="P5" s="14"/>
      <c r="Q5" s="15"/>
    </row>
    <row r="6" spans="3:17" s="2" customFormat="1" ht="30.75" customHeight="1" thickBot="1" x14ac:dyDescent="0.3">
      <c r="C6" s="6" t="s">
        <v>10</v>
      </c>
      <c r="D6" s="6" t="s">
        <v>9</v>
      </c>
      <c r="E6" s="43"/>
      <c r="F6" s="6" t="s">
        <v>3</v>
      </c>
      <c r="G6" s="6" t="s">
        <v>6</v>
      </c>
      <c r="H6" s="6" t="s">
        <v>7</v>
      </c>
      <c r="I6" s="6" t="s">
        <v>8</v>
      </c>
      <c r="J6" s="6" t="s">
        <v>4</v>
      </c>
      <c r="K6" s="8" t="s">
        <v>5</v>
      </c>
      <c r="L6" s="41" t="s">
        <v>11</v>
      </c>
      <c r="M6" s="33" t="s">
        <v>12</v>
      </c>
      <c r="N6" s="34" t="s">
        <v>13</v>
      </c>
      <c r="O6" s="18" t="s">
        <v>14</v>
      </c>
      <c r="P6" s="19" t="s">
        <v>15</v>
      </c>
      <c r="Q6" s="20" t="s">
        <v>16</v>
      </c>
    </row>
    <row r="7" spans="3:17" x14ac:dyDescent="0.25">
      <c r="C7" s="5">
        <v>1</v>
      </c>
      <c r="D7" s="5">
        <f>C7+1</f>
        <v>2</v>
      </c>
      <c r="E7" s="23">
        <f>D7*$E$5</f>
        <v>5150000</v>
      </c>
      <c r="F7" s="5">
        <f>SQRT($E$2*$E$4/E7^3)</f>
        <v>2.5635287587149594E-4</v>
      </c>
      <c r="G7" s="23">
        <f>2*PI()/F7</f>
        <v>24509.907625648051</v>
      </c>
      <c r="H7" s="23">
        <f>G7/60</f>
        <v>408.49846042746753</v>
      </c>
      <c r="I7" s="27">
        <f>H7/60</f>
        <v>6.8083076737911252</v>
      </c>
      <c r="J7" s="5">
        <f>I7/24</f>
        <v>0.28367948640796353</v>
      </c>
      <c r="K7" s="29">
        <f>F7*E7</f>
        <v>1320.2173107382041</v>
      </c>
      <c r="L7" s="36">
        <f>$L$4+E7</f>
        <v>1514526597818.79</v>
      </c>
      <c r="M7" s="37">
        <f>$M$4</f>
        <v>-251697512.90007901</v>
      </c>
      <c r="N7" s="38">
        <f>$N$4</f>
        <v>0</v>
      </c>
      <c r="O7" s="30">
        <f>$O$4</f>
        <v>1147.3309506651501</v>
      </c>
      <c r="P7" s="21">
        <f>$P$4</f>
        <v>14816.1960418493</v>
      </c>
      <c r="Q7" s="12">
        <f>$Q$4+K7</f>
        <v>1320.2173107382041</v>
      </c>
    </row>
    <row r="8" spans="3:17" x14ac:dyDescent="0.25">
      <c r="C8" s="5">
        <v>1.5</v>
      </c>
      <c r="D8" s="5">
        <f t="shared" ref="D8:D9" si="0">C8+1</f>
        <v>2.5</v>
      </c>
      <c r="E8" s="23">
        <f t="shared" ref="E8:E11" si="1">D8*$E$5</f>
        <v>6437500</v>
      </c>
      <c r="F8" s="5">
        <f>SQRT($E$2*$E$4/E8^3)</f>
        <v>1.8343118613639377E-4</v>
      </c>
      <c r="G8" s="23">
        <f t="shared" ref="G8:G11" si="2">2*PI()/F8</f>
        <v>34253.63723324344</v>
      </c>
      <c r="H8" s="23">
        <f t="shared" ref="H8:I8" si="3">G8/60</f>
        <v>570.89395388739069</v>
      </c>
      <c r="I8" s="27">
        <f t="shared" si="3"/>
        <v>9.5148992314565124</v>
      </c>
      <c r="J8" s="5">
        <f t="shared" ref="J8:J11" si="4">I8/24</f>
        <v>0.39645413464402135</v>
      </c>
      <c r="K8" s="29">
        <f t="shared" ref="K8:K9" si="5">F8*E8</f>
        <v>1180.838260753035</v>
      </c>
      <c r="L8" s="22">
        <f t="shared" ref="L8:L11" si="6">$L$4+E8</f>
        <v>1514527885318.79</v>
      </c>
      <c r="M8" s="5">
        <f t="shared" ref="M8:M11" si="7">$M$4</f>
        <v>-251697512.90007901</v>
      </c>
      <c r="N8" s="39">
        <f t="shared" ref="N8:N11" si="8">$N$4</f>
        <v>0</v>
      </c>
      <c r="O8" s="31">
        <f t="shared" ref="O8:O11" si="9">$O$4</f>
        <v>1147.3309506651501</v>
      </c>
      <c r="P8" s="23">
        <f t="shared" ref="P8:P11" si="10">$P$4</f>
        <v>14816.1960418493</v>
      </c>
      <c r="Q8" s="10">
        <f t="shared" ref="Q8:Q11" si="11">$Q$4+K8</f>
        <v>1180.838260753035</v>
      </c>
    </row>
    <row r="9" spans="3:17" x14ac:dyDescent="0.25">
      <c r="C9" s="5">
        <v>2</v>
      </c>
      <c r="D9" s="5">
        <f t="shared" si="0"/>
        <v>3</v>
      </c>
      <c r="E9" s="23">
        <f t="shared" si="1"/>
        <v>7725000</v>
      </c>
      <c r="F9" s="5">
        <f>SQRT($E$2*$E$4/E9^3)</f>
        <v>1.3954083110671078E-4</v>
      </c>
      <c r="G9" s="23">
        <f t="shared" si="2"/>
        <v>45027.575494191078</v>
      </c>
      <c r="H9" s="23">
        <f t="shared" ref="H9:I11" si="12">G9/60</f>
        <v>750.45959156985134</v>
      </c>
      <c r="I9" s="27">
        <f t="shared" si="12"/>
        <v>12.507659859497522</v>
      </c>
      <c r="J9" s="5">
        <f t="shared" si="4"/>
        <v>0.52115249414573006</v>
      </c>
      <c r="K9" s="29">
        <f t="shared" si="5"/>
        <v>1077.9529202993408</v>
      </c>
      <c r="L9" s="22">
        <f t="shared" si="6"/>
        <v>1514529172818.79</v>
      </c>
      <c r="M9" s="5">
        <f t="shared" si="7"/>
        <v>-251697512.90007901</v>
      </c>
      <c r="N9" s="39">
        <f t="shared" si="8"/>
        <v>0</v>
      </c>
      <c r="O9" s="31">
        <f t="shared" si="9"/>
        <v>1147.3309506651501</v>
      </c>
      <c r="P9" s="23">
        <f t="shared" si="10"/>
        <v>14816.1960418493</v>
      </c>
      <c r="Q9" s="10">
        <f t="shared" si="11"/>
        <v>1077.9529202993408</v>
      </c>
    </row>
    <row r="10" spans="3:17" x14ac:dyDescent="0.25">
      <c r="C10" s="5">
        <v>2.5</v>
      </c>
      <c r="D10" s="5">
        <f>C10+1</f>
        <v>3.5</v>
      </c>
      <c r="E10" s="23">
        <f t="shared" si="1"/>
        <v>9012500</v>
      </c>
      <c r="F10" s="5">
        <f>SQRT($E$2*$E$4/E10^3)</f>
        <v>1.1073403386647977E-4</v>
      </c>
      <c r="G10" s="23">
        <f t="shared" si="2"/>
        <v>56741.230205301545</v>
      </c>
      <c r="H10" s="23">
        <f t="shared" si="12"/>
        <v>945.68717008835904</v>
      </c>
      <c r="I10" s="27">
        <f t="shared" si="12"/>
        <v>15.761452834805985</v>
      </c>
      <c r="J10" s="5">
        <f t="shared" si="4"/>
        <v>0.65672720145024932</v>
      </c>
      <c r="K10" s="29">
        <f t="shared" ref="K10" si="13">F10*E10</f>
        <v>997.99048022164891</v>
      </c>
      <c r="L10" s="22">
        <f t="shared" si="6"/>
        <v>1514530460318.79</v>
      </c>
      <c r="M10" s="5">
        <f t="shared" si="7"/>
        <v>-251697512.90007901</v>
      </c>
      <c r="N10" s="39">
        <f t="shared" si="8"/>
        <v>0</v>
      </c>
      <c r="O10" s="31">
        <f t="shared" si="9"/>
        <v>1147.3309506651501</v>
      </c>
      <c r="P10" s="23">
        <f t="shared" si="10"/>
        <v>14816.1960418493</v>
      </c>
      <c r="Q10" s="10">
        <f t="shared" si="11"/>
        <v>997.99048022164891</v>
      </c>
    </row>
    <row r="11" spans="3:17" ht="15.75" thickBot="1" x14ac:dyDescent="0.3">
      <c r="C11" s="5">
        <v>3</v>
      </c>
      <c r="D11" s="5">
        <f>C11+1</f>
        <v>4</v>
      </c>
      <c r="E11" s="23">
        <f t="shared" si="1"/>
        <v>10300000</v>
      </c>
      <c r="F11" s="5">
        <f>SQRT($E$2*$E$4/E11^3)</f>
        <v>9.063442845270402E-5</v>
      </c>
      <c r="G11" s="23">
        <f t="shared" si="2"/>
        <v>69324.487553406434</v>
      </c>
      <c r="H11" s="23">
        <f t="shared" si="12"/>
        <v>1155.4081258901072</v>
      </c>
      <c r="I11" s="27">
        <f t="shared" si="12"/>
        <v>19.256802098168453</v>
      </c>
      <c r="J11" s="5">
        <f t="shared" si="4"/>
        <v>0.80236675409035219</v>
      </c>
      <c r="K11" s="29">
        <f t="shared" ref="K11" si="14">F11*E11</f>
        <v>933.53461306285146</v>
      </c>
      <c r="L11" s="24">
        <f t="shared" si="6"/>
        <v>1514531747818.79</v>
      </c>
      <c r="M11" s="7">
        <f t="shared" si="7"/>
        <v>-251697512.90007901</v>
      </c>
      <c r="N11" s="40">
        <f t="shared" si="8"/>
        <v>0</v>
      </c>
      <c r="O11" s="32">
        <f t="shared" si="9"/>
        <v>1147.3309506651501</v>
      </c>
      <c r="P11" s="25">
        <f t="shared" si="10"/>
        <v>14816.1960418493</v>
      </c>
      <c r="Q11" s="11">
        <f t="shared" si="11"/>
        <v>933.53461306285146</v>
      </c>
    </row>
    <row r="12" spans="3:17" x14ac:dyDescent="0.25">
      <c r="I12" s="4"/>
    </row>
    <row r="13" spans="3:17" x14ac:dyDescent="0.25">
      <c r="I13" s="4"/>
    </row>
  </sheetData>
  <mergeCells count="4">
    <mergeCell ref="L5:N5"/>
    <mergeCell ref="O5:Q5"/>
    <mergeCell ref="L3:N3"/>
    <mergeCell ref="O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K12" sqref="K12"/>
    </sheetView>
  </sheetViews>
  <sheetFormatPr baseColWidth="10" defaultRowHeight="15" x14ac:dyDescent="0.25"/>
  <cols>
    <col min="4" max="4" width="16.5703125" customWidth="1"/>
    <col min="5" max="5" width="16.7109375" customWidth="1"/>
    <col min="12" max="12" width="20.42578125" bestFit="1" customWidth="1"/>
    <col min="14" max="14" width="12" bestFit="1" customWidth="1"/>
    <col min="16" max="17" width="11.85546875" bestFit="1" customWidth="1"/>
  </cols>
  <sheetData>
    <row r="1" spans="1:21" x14ac:dyDescent="0.25">
      <c r="D1" t="s">
        <v>2</v>
      </c>
      <c r="E1" s="1">
        <v>6.6738400000000001E-11</v>
      </c>
      <c r="I1" t="s">
        <v>30</v>
      </c>
      <c r="J1" t="s">
        <v>31</v>
      </c>
    </row>
    <row r="2" spans="1:21" ht="15.75" thickBot="1" x14ac:dyDescent="0.3">
      <c r="D2" t="s">
        <v>22</v>
      </c>
      <c r="E2">
        <v>6630000</v>
      </c>
      <c r="F2" t="s">
        <v>24</v>
      </c>
      <c r="H2" t="s">
        <v>28</v>
      </c>
      <c r="I2">
        <v>45</v>
      </c>
      <c r="J2">
        <f>I2*PI()/180</f>
        <v>0.78539816339744828</v>
      </c>
    </row>
    <row r="3" spans="1:21" ht="15.75" thickBot="1" x14ac:dyDescent="0.3">
      <c r="D3" t="s">
        <v>23</v>
      </c>
      <c r="E3">
        <v>120700000</v>
      </c>
      <c r="F3" t="s">
        <v>24</v>
      </c>
      <c r="H3" t="s">
        <v>29</v>
      </c>
      <c r="I3">
        <v>30</v>
      </c>
      <c r="J3">
        <f>I3*PI()/180</f>
        <v>0.52359877559829882</v>
      </c>
      <c r="L3" s="13" t="s">
        <v>26</v>
      </c>
      <c r="M3" s="14"/>
      <c r="N3" s="15"/>
      <c r="O3" s="13" t="s">
        <v>27</v>
      </c>
      <c r="P3" s="14"/>
      <c r="Q3" s="15"/>
      <c r="R3" s="48"/>
      <c r="S3" s="49"/>
      <c r="T3" s="50"/>
    </row>
    <row r="4" spans="1:21" ht="15.75" thickBot="1" x14ac:dyDescent="0.3">
      <c r="D4" t="s">
        <v>20</v>
      </c>
      <c r="E4" s="44">
        <v>5.6879999999999998E+26</v>
      </c>
      <c r="F4" t="s">
        <v>25</v>
      </c>
      <c r="H4" t="s">
        <v>33</v>
      </c>
      <c r="I4">
        <f>0.1*E2</f>
        <v>663000</v>
      </c>
      <c r="J4" t="s">
        <v>24</v>
      </c>
      <c r="L4" s="28">
        <v>1513325782874.55</v>
      </c>
      <c r="M4" s="17">
        <v>0</v>
      </c>
      <c r="N4" s="26">
        <v>0</v>
      </c>
      <c r="O4" s="16">
        <v>0</v>
      </c>
      <c r="P4" s="17">
        <v>9365.9101754812</v>
      </c>
      <c r="Q4" s="26">
        <v>0</v>
      </c>
    </row>
    <row r="5" spans="1:21" ht="15.75" thickBot="1" x14ac:dyDescent="0.3">
      <c r="D5" t="s">
        <v>32</v>
      </c>
      <c r="E5" s="42">
        <v>60268000</v>
      </c>
      <c r="F5" t="s">
        <v>24</v>
      </c>
      <c r="L5" s="13" t="s">
        <v>18</v>
      </c>
      <c r="M5" s="14"/>
      <c r="N5" s="15"/>
      <c r="O5" s="13" t="s">
        <v>17</v>
      </c>
      <c r="P5" s="14"/>
      <c r="Q5" s="51"/>
      <c r="R5" s="58" t="s">
        <v>34</v>
      </c>
      <c r="S5" s="59"/>
      <c r="T5" s="60"/>
    </row>
    <row r="6" spans="1:21" ht="30" x14ac:dyDescent="0.25">
      <c r="A6" s="2"/>
      <c r="B6" s="2"/>
      <c r="C6" s="6" t="s">
        <v>10</v>
      </c>
      <c r="D6" s="6" t="s">
        <v>39</v>
      </c>
      <c r="E6" s="43" t="s">
        <v>38</v>
      </c>
      <c r="F6" s="6" t="s">
        <v>3</v>
      </c>
      <c r="G6" s="6" t="s">
        <v>6</v>
      </c>
      <c r="H6" s="6" t="s">
        <v>7</v>
      </c>
      <c r="I6" s="6" t="s">
        <v>8</v>
      </c>
      <c r="J6" s="6" t="s">
        <v>4</v>
      </c>
      <c r="K6" s="8" t="s">
        <v>5</v>
      </c>
      <c r="L6" s="41" t="s">
        <v>11</v>
      </c>
      <c r="M6" s="33" t="s">
        <v>12</v>
      </c>
      <c r="N6" s="34" t="s">
        <v>13</v>
      </c>
      <c r="O6" s="46" t="s">
        <v>14</v>
      </c>
      <c r="P6" s="47" t="s">
        <v>15</v>
      </c>
      <c r="Q6" s="52" t="s">
        <v>16</v>
      </c>
      <c r="R6" s="61" t="s">
        <v>35</v>
      </c>
      <c r="S6" s="62" t="s">
        <v>36</v>
      </c>
      <c r="T6" s="63" t="s">
        <v>37</v>
      </c>
    </row>
    <row r="7" spans="1:21" x14ac:dyDescent="0.25">
      <c r="C7" s="5">
        <v>0</v>
      </c>
      <c r="D7" s="23">
        <f>C7*$E$2</f>
        <v>0</v>
      </c>
      <c r="E7" s="23">
        <f>$E$5+D7</f>
        <v>60268000</v>
      </c>
      <c r="F7" s="5">
        <f>SQRT($E$1*$E$4/E7^3)</f>
        <v>4.1642569549626838E-4</v>
      </c>
      <c r="G7" s="23">
        <f>2*PI()/F7</f>
        <v>15088.370806925603</v>
      </c>
      <c r="H7" s="23">
        <f>G7/60</f>
        <v>251.47284678209337</v>
      </c>
      <c r="I7" s="27">
        <f>H7/60</f>
        <v>4.1912141130348894</v>
      </c>
      <c r="J7" s="5">
        <f>I7/24</f>
        <v>0.17463392137645373</v>
      </c>
      <c r="K7" s="29">
        <f>F7*E7</f>
        <v>25097.143816169104</v>
      </c>
      <c r="L7" s="22">
        <f>$L$4+E7</f>
        <v>1513386050874.55</v>
      </c>
      <c r="M7" s="35">
        <f>$M$4</f>
        <v>0</v>
      </c>
      <c r="N7" s="39">
        <f>$N$4</f>
        <v>0</v>
      </c>
      <c r="O7" s="22">
        <f>$O$4+$K7*COS($J$2)*COS($J$3)</f>
        <v>15368.799087715122</v>
      </c>
      <c r="P7" s="23">
        <f>$P$4+$K7*COS($J$2)*SIN($J$3)</f>
        <v>18239.090465894798</v>
      </c>
      <c r="Q7" s="53">
        <f>$Q$4+$K7*SIN($J$2)</f>
        <v>17746.3605808272</v>
      </c>
      <c r="R7" s="55">
        <f>O7-O$4</f>
        <v>15368.799087715122</v>
      </c>
      <c r="S7" s="9">
        <f t="shared" ref="S7:T7" si="0">P7-P$4</f>
        <v>8873.1802904135984</v>
      </c>
      <c r="T7" s="10">
        <f t="shared" si="0"/>
        <v>17746.3605808272</v>
      </c>
      <c r="U7">
        <f>SQRT(SUMPRODUCT(R7:T7,R7:T7))</f>
        <v>25097.143816169104</v>
      </c>
    </row>
    <row r="8" spans="1:21" x14ac:dyDescent="0.25">
      <c r="C8" s="5">
        <v>0.1</v>
      </c>
      <c r="D8" s="23">
        <f>C8*$E$2</f>
        <v>663000</v>
      </c>
      <c r="E8" s="23">
        <f t="shared" ref="E8:E17" si="1">$E$5+D8</f>
        <v>60931000</v>
      </c>
      <c r="F8" s="5">
        <f t="shared" ref="F8:F17" si="2">SQRT($E$1*$E$4/E8^3)</f>
        <v>4.0964742607025624E-4</v>
      </c>
      <c r="G8" s="23">
        <f t="shared" ref="G8:G17" si="3">2*PI()/F8</f>
        <v>15338.031944821725</v>
      </c>
      <c r="H8" s="23">
        <f t="shared" ref="H8:I8" si="4">G8/60</f>
        <v>255.63386574702875</v>
      </c>
      <c r="I8" s="27">
        <f t="shared" si="4"/>
        <v>4.2605644291171458</v>
      </c>
      <c r="J8" s="5">
        <f t="shared" ref="J8:J17" si="5">I8/24</f>
        <v>0.17752351787988108</v>
      </c>
      <c r="K8" s="29">
        <f t="shared" ref="K8:K17" si="6">F8*E8</f>
        <v>24960.227317886784</v>
      </c>
      <c r="L8" s="22">
        <f t="shared" ref="L8:L17" si="7">$L$4+E8</f>
        <v>1513386713874.55</v>
      </c>
      <c r="M8" s="35">
        <f t="shared" ref="M8:M17" si="8">$M$4</f>
        <v>0</v>
      </c>
      <c r="N8" s="39">
        <f t="shared" ref="N8:N17" si="9">$N$4</f>
        <v>0</v>
      </c>
      <c r="O8" s="22">
        <f t="shared" ref="O8:O17" si="10">$O$4+$K8*COS($J$2)*COS($J$3)</f>
        <v>15284.955198175039</v>
      </c>
      <c r="P8" s="23">
        <f t="shared" ref="P8:P17" si="11">$P$4+$K8*COS($J$2)*SIN($J$3)</f>
        <v>18190.683173698926</v>
      </c>
      <c r="Q8" s="53">
        <f t="shared" ref="Q8:Q17" si="12">$Q$4+$K8*SIN($J$2)</f>
        <v>17649.545996435456</v>
      </c>
      <c r="R8" s="55">
        <f t="shared" ref="R8:R17" si="13">O8-O$4</f>
        <v>15284.955198175039</v>
      </c>
      <c r="S8" s="9">
        <f t="shared" ref="S8:S17" si="14">P8-P$4</f>
        <v>8824.7729982177261</v>
      </c>
      <c r="T8" s="10">
        <f t="shared" ref="T8:T17" si="15">Q8-Q$4</f>
        <v>17649.545996435456</v>
      </c>
      <c r="U8">
        <f t="shared" ref="U8:U17" si="16">SQRT(SUMPRODUCT(R8:T8,R8:T8))</f>
        <v>24960.227317886784</v>
      </c>
    </row>
    <row r="9" spans="1:21" x14ac:dyDescent="0.25">
      <c r="C9" s="5">
        <v>0.2</v>
      </c>
      <c r="D9" s="23">
        <f t="shared" ref="D9:D17" si="17">C9*$E$2</f>
        <v>1326000</v>
      </c>
      <c r="E9" s="23">
        <f t="shared" si="1"/>
        <v>61594000</v>
      </c>
      <c r="F9" s="5">
        <f t="shared" si="2"/>
        <v>4.0305106784340291E-4</v>
      </c>
      <c r="G9" s="23">
        <f t="shared" si="3"/>
        <v>15589.055106090891</v>
      </c>
      <c r="H9" s="23">
        <f t="shared" ref="H9:I9" si="18">G9/60</f>
        <v>259.81758510151485</v>
      </c>
      <c r="I9" s="27">
        <f t="shared" si="18"/>
        <v>4.3302930850252475</v>
      </c>
      <c r="J9" s="5">
        <f t="shared" si="5"/>
        <v>0.18042887854271863</v>
      </c>
      <c r="K9" s="29">
        <f t="shared" si="6"/>
        <v>24825.527472746558</v>
      </c>
      <c r="L9" s="22">
        <f t="shared" si="7"/>
        <v>1513387376874.55</v>
      </c>
      <c r="M9" s="35">
        <f t="shared" si="8"/>
        <v>0</v>
      </c>
      <c r="N9" s="39">
        <f t="shared" si="9"/>
        <v>0</v>
      </c>
      <c r="O9" s="22">
        <f t="shared" si="10"/>
        <v>15202.468725918672</v>
      </c>
      <c r="P9" s="23">
        <f t="shared" si="11"/>
        <v>18143.05958673721</v>
      </c>
      <c r="Q9" s="53">
        <f t="shared" si="12"/>
        <v>17554.298822512024</v>
      </c>
      <c r="R9" s="55">
        <f t="shared" si="13"/>
        <v>15202.468725918672</v>
      </c>
      <c r="S9" s="9">
        <f t="shared" si="14"/>
        <v>8777.1494112560104</v>
      </c>
      <c r="T9" s="10">
        <f t="shared" si="15"/>
        <v>17554.298822512024</v>
      </c>
      <c r="U9">
        <f t="shared" si="16"/>
        <v>24825.527472746558</v>
      </c>
    </row>
    <row r="10" spans="1:21" x14ac:dyDescent="0.25">
      <c r="C10" s="5">
        <v>0.3</v>
      </c>
      <c r="D10" s="23">
        <f t="shared" si="17"/>
        <v>1989000</v>
      </c>
      <c r="E10" s="23">
        <f t="shared" si="1"/>
        <v>62257000</v>
      </c>
      <c r="F10" s="5">
        <f t="shared" si="2"/>
        <v>3.9662985860418597E-4</v>
      </c>
      <c r="G10" s="23">
        <f t="shared" si="3"/>
        <v>15841.432940251349</v>
      </c>
      <c r="H10" s="23">
        <f t="shared" ref="H10:I10" si="19">G10/60</f>
        <v>264.02388233752248</v>
      </c>
      <c r="I10" s="27">
        <f t="shared" si="19"/>
        <v>4.4003980389587083</v>
      </c>
      <c r="J10" s="5">
        <f t="shared" si="5"/>
        <v>0.18334991828994618</v>
      </c>
      <c r="K10" s="29">
        <f t="shared" si="6"/>
        <v>24692.985107120807</v>
      </c>
      <c r="L10" s="22">
        <f t="shared" si="7"/>
        <v>1513388039874.55</v>
      </c>
      <c r="M10" s="35">
        <f t="shared" si="8"/>
        <v>0</v>
      </c>
      <c r="N10" s="39">
        <f t="shared" si="9"/>
        <v>0</v>
      </c>
      <c r="O10" s="22">
        <f t="shared" si="10"/>
        <v>15121.303434647551</v>
      </c>
      <c r="P10" s="23">
        <f t="shared" si="11"/>
        <v>18096.198783972974</v>
      </c>
      <c r="Q10" s="53">
        <f t="shared" si="12"/>
        <v>17460.577216983547</v>
      </c>
      <c r="R10" s="55">
        <f t="shared" si="13"/>
        <v>15121.303434647551</v>
      </c>
      <c r="S10" s="9">
        <f t="shared" si="14"/>
        <v>8730.2886084917736</v>
      </c>
      <c r="T10" s="10">
        <f t="shared" si="15"/>
        <v>17460.577216983547</v>
      </c>
      <c r="U10">
        <f t="shared" si="16"/>
        <v>24692.985107120807</v>
      </c>
    </row>
    <row r="11" spans="1:21" x14ac:dyDescent="0.25">
      <c r="C11" s="5">
        <v>0.4</v>
      </c>
      <c r="D11" s="23">
        <f t="shared" si="17"/>
        <v>2652000</v>
      </c>
      <c r="E11" s="23">
        <f t="shared" si="1"/>
        <v>62920000</v>
      </c>
      <c r="F11" s="5">
        <f t="shared" si="2"/>
        <v>3.9037735593651986E-4</v>
      </c>
      <c r="G11" s="23">
        <f t="shared" si="3"/>
        <v>16095.15821455922</v>
      </c>
      <c r="H11" s="23">
        <f t="shared" ref="H11:I11" si="20">G11/60</f>
        <v>268.25263690932036</v>
      </c>
      <c r="I11" s="27">
        <f t="shared" si="20"/>
        <v>4.4708772818220064</v>
      </c>
      <c r="J11" s="5">
        <f t="shared" si="5"/>
        <v>0.18628655340925027</v>
      </c>
      <c r="K11" s="29">
        <f t="shared" si="6"/>
        <v>24562.543235525831</v>
      </c>
      <c r="L11" s="22">
        <f t="shared" si="7"/>
        <v>1513388702874.55</v>
      </c>
      <c r="M11" s="35">
        <f t="shared" si="8"/>
        <v>0</v>
      </c>
      <c r="N11" s="39">
        <f t="shared" si="9"/>
        <v>0</v>
      </c>
      <c r="O11" s="22">
        <f t="shared" si="10"/>
        <v>15041.424428022217</v>
      </c>
      <c r="P11" s="23">
        <f t="shared" si="11"/>
        <v>18050.080617995238</v>
      </c>
      <c r="Q11" s="53">
        <f t="shared" si="12"/>
        <v>17368.340885028076</v>
      </c>
      <c r="R11" s="55">
        <f t="shared" si="13"/>
        <v>15041.424428022217</v>
      </c>
      <c r="S11" s="9">
        <f t="shared" si="14"/>
        <v>8684.1704425140379</v>
      </c>
      <c r="T11" s="10">
        <f t="shared" si="15"/>
        <v>17368.340885028076</v>
      </c>
      <c r="U11">
        <f t="shared" si="16"/>
        <v>24562.543235525834</v>
      </c>
    </row>
    <row r="12" spans="1:21" x14ac:dyDescent="0.25">
      <c r="C12" s="64">
        <v>0.5</v>
      </c>
      <c r="D12" s="65">
        <f t="shared" si="17"/>
        <v>3315000</v>
      </c>
      <c r="E12" s="65">
        <f t="shared" si="1"/>
        <v>63583000</v>
      </c>
      <c r="F12" s="64">
        <f t="shared" si="2"/>
        <v>3.8428741892765003E-4</v>
      </c>
      <c r="G12" s="65">
        <f t="shared" si="3"/>
        <v>16350.223810898489</v>
      </c>
      <c r="H12" s="65">
        <f t="shared" ref="H12:I12" si="21">G12/60</f>
        <v>272.50373018164152</v>
      </c>
      <c r="I12" s="66">
        <f t="shared" si="21"/>
        <v>4.5417288363606918</v>
      </c>
      <c r="J12" s="64">
        <f t="shared" si="5"/>
        <v>0.18923870151502883</v>
      </c>
      <c r="K12" s="67">
        <f t="shared" si="6"/>
        <v>24434.14695767677</v>
      </c>
      <c r="L12" s="68">
        <f t="shared" si="7"/>
        <v>1513389365874.55</v>
      </c>
      <c r="M12" s="69">
        <f t="shared" si="8"/>
        <v>0</v>
      </c>
      <c r="N12" s="70">
        <f t="shared" si="9"/>
        <v>0</v>
      </c>
      <c r="O12" s="68">
        <f t="shared" si="10"/>
        <v>14962.798086621513</v>
      </c>
      <c r="P12" s="65">
        <f t="shared" si="11"/>
        <v>18004.685678622147</v>
      </c>
      <c r="Q12" s="71">
        <f t="shared" si="12"/>
        <v>17277.551006281894</v>
      </c>
      <c r="R12" s="72">
        <f t="shared" si="13"/>
        <v>14962.798086621513</v>
      </c>
      <c r="S12" s="73">
        <f t="shared" si="14"/>
        <v>8638.775503140947</v>
      </c>
      <c r="T12" s="74">
        <f t="shared" si="15"/>
        <v>17277.551006281894</v>
      </c>
      <c r="U12" s="75">
        <f t="shared" si="16"/>
        <v>24434.14695767677</v>
      </c>
    </row>
    <row r="13" spans="1:21" x14ac:dyDescent="0.25">
      <c r="C13" s="5">
        <v>0.6</v>
      </c>
      <c r="D13" s="23">
        <f t="shared" si="17"/>
        <v>3978000</v>
      </c>
      <c r="E13" s="23">
        <f t="shared" si="1"/>
        <v>64246000</v>
      </c>
      <c r="F13" s="5">
        <f t="shared" si="2"/>
        <v>3.7835419109984739E-4</v>
      </c>
      <c r="G13" s="23">
        <f t="shared" si="3"/>
        <v>16606.622722784796</v>
      </c>
      <c r="H13" s="23">
        <f t="shared" ref="H13:I13" si="22">G13/60</f>
        <v>276.7770453797466</v>
      </c>
      <c r="I13" s="27">
        <f t="shared" si="22"/>
        <v>4.6129507563291101</v>
      </c>
      <c r="J13" s="5">
        <f t="shared" si="5"/>
        <v>0.19220628151371291</v>
      </c>
      <c r="K13" s="29">
        <f t="shared" si="6"/>
        <v>24307.743361400797</v>
      </c>
      <c r="L13" s="22">
        <f t="shared" si="7"/>
        <v>1513390028874.55</v>
      </c>
      <c r="M13" s="35">
        <f t="shared" si="8"/>
        <v>0</v>
      </c>
      <c r="N13" s="39">
        <f t="shared" si="9"/>
        <v>0</v>
      </c>
      <c r="O13" s="22">
        <f t="shared" si="10"/>
        <v>14885.392008489289</v>
      </c>
      <c r="P13" s="23">
        <f t="shared" si="11"/>
        <v>17959.995258575593</v>
      </c>
      <c r="Q13" s="53">
        <f t="shared" si="12"/>
        <v>17188.170166188786</v>
      </c>
      <c r="R13" s="55">
        <f t="shared" si="13"/>
        <v>14885.392008489289</v>
      </c>
      <c r="S13" s="9">
        <f t="shared" si="14"/>
        <v>8594.0850830943928</v>
      </c>
      <c r="T13" s="10">
        <f t="shared" si="15"/>
        <v>17188.170166188786</v>
      </c>
      <c r="U13">
        <f t="shared" si="16"/>
        <v>24307.743361400797</v>
      </c>
    </row>
    <row r="14" spans="1:21" x14ac:dyDescent="0.25">
      <c r="C14" s="5">
        <v>0.7</v>
      </c>
      <c r="D14" s="23">
        <f t="shared" si="17"/>
        <v>4641000</v>
      </c>
      <c r="E14" s="23">
        <f t="shared" si="1"/>
        <v>64909000</v>
      </c>
      <c r="F14" s="5">
        <f t="shared" si="2"/>
        <v>3.7257208447239392E-4</v>
      </c>
      <c r="G14" s="23">
        <f t="shared" si="3"/>
        <v>16864.348052477733</v>
      </c>
      <c r="H14" s="23">
        <f t="shared" ref="H14:I14" si="23">G14/60</f>
        <v>281.07246754129557</v>
      </c>
      <c r="I14" s="27">
        <f t="shared" si="23"/>
        <v>4.6845411256882592</v>
      </c>
      <c r="J14" s="5">
        <f t="shared" si="5"/>
        <v>0.19518921357034413</v>
      </c>
      <c r="K14" s="29">
        <f t="shared" si="6"/>
        <v>24183.281431018619</v>
      </c>
      <c r="L14" s="22">
        <f t="shared" si="7"/>
        <v>1513390691874.55</v>
      </c>
      <c r="M14" s="35">
        <f t="shared" si="8"/>
        <v>0</v>
      </c>
      <c r="N14" s="39">
        <f t="shared" si="9"/>
        <v>0</v>
      </c>
      <c r="O14" s="22">
        <f t="shared" si="10"/>
        <v>14809.174953029751</v>
      </c>
      <c r="P14" s="23">
        <f t="shared" si="11"/>
        <v>17915.99132108919</v>
      </c>
      <c r="Q14" s="53">
        <f t="shared" si="12"/>
        <v>17100.16229121598</v>
      </c>
      <c r="R14" s="55">
        <f t="shared" si="13"/>
        <v>14809.174953029751</v>
      </c>
      <c r="S14" s="9">
        <f t="shared" si="14"/>
        <v>8550.08114560799</v>
      </c>
      <c r="T14" s="10">
        <f t="shared" si="15"/>
        <v>17100.16229121598</v>
      </c>
      <c r="U14">
        <f t="shared" si="16"/>
        <v>24183.281431018619</v>
      </c>
    </row>
    <row r="15" spans="1:21" x14ac:dyDescent="0.25">
      <c r="C15" s="5">
        <v>0.8</v>
      </c>
      <c r="D15" s="23">
        <f t="shared" si="17"/>
        <v>5304000</v>
      </c>
      <c r="E15" s="23">
        <f t="shared" si="1"/>
        <v>65572000</v>
      </c>
      <c r="F15" s="5">
        <f t="shared" si="2"/>
        <v>3.6693576466836496E-4</v>
      </c>
      <c r="G15" s="23">
        <f t="shared" si="3"/>
        <v>17123.39300819669</v>
      </c>
      <c r="H15" s="23">
        <f t="shared" ref="H15:I15" si="24">G15/60</f>
        <v>285.38988346994483</v>
      </c>
      <c r="I15" s="27">
        <f t="shared" si="24"/>
        <v>4.7564980578324141</v>
      </c>
      <c r="J15" s="5">
        <f t="shared" si="5"/>
        <v>0.1981874190763506</v>
      </c>
      <c r="K15" s="29">
        <f t="shared" si="6"/>
        <v>24060.711960834025</v>
      </c>
      <c r="L15" s="22">
        <f t="shared" si="7"/>
        <v>1513391354874.55</v>
      </c>
      <c r="M15" s="35">
        <f t="shared" si="8"/>
        <v>0</v>
      </c>
      <c r="N15" s="39">
        <f t="shared" si="9"/>
        <v>0</v>
      </c>
      <c r="O15" s="22">
        <f t="shared" si="10"/>
        <v>14734.116788030869</v>
      </c>
      <c r="P15" s="23">
        <f t="shared" si="11"/>
        <v>17872.656469322203</v>
      </c>
      <c r="Q15" s="53">
        <f t="shared" si="12"/>
        <v>17013.492587682009</v>
      </c>
      <c r="R15" s="55">
        <f t="shared" si="13"/>
        <v>14734.116788030869</v>
      </c>
      <c r="S15" s="9">
        <f t="shared" si="14"/>
        <v>8506.7462938410026</v>
      </c>
      <c r="T15" s="10">
        <f t="shared" si="15"/>
        <v>17013.492587682009</v>
      </c>
      <c r="U15">
        <f t="shared" si="16"/>
        <v>24060.711960834022</v>
      </c>
    </row>
    <row r="16" spans="1:21" x14ac:dyDescent="0.25">
      <c r="C16" s="5">
        <v>0.9</v>
      </c>
      <c r="D16" s="23">
        <f t="shared" si="17"/>
        <v>5967000</v>
      </c>
      <c r="E16" s="23">
        <f t="shared" si="1"/>
        <v>66235000</v>
      </c>
      <c r="F16" s="5">
        <f t="shared" si="2"/>
        <v>3.6144013698797124E-4</v>
      </c>
      <c r="G16" s="23">
        <f t="shared" si="3"/>
        <v>17383.750901435418</v>
      </c>
      <c r="H16" s="23">
        <f t="shared" ref="H16:I16" si="25">G16/60</f>
        <v>289.72918169059028</v>
      </c>
      <c r="I16" s="27">
        <f t="shared" si="25"/>
        <v>4.8288196948431716</v>
      </c>
      <c r="J16" s="5">
        <f t="shared" si="5"/>
        <v>0.20120082061846548</v>
      </c>
      <c r="K16" s="29">
        <f t="shared" si="6"/>
        <v>23939.987473398276</v>
      </c>
      <c r="L16" s="22">
        <f t="shared" si="7"/>
        <v>1513392017874.55</v>
      </c>
      <c r="M16" s="35">
        <f t="shared" si="8"/>
        <v>0</v>
      </c>
      <c r="N16" s="39">
        <f t="shared" si="9"/>
        <v>0</v>
      </c>
      <c r="O16" s="22">
        <f t="shared" si="10"/>
        <v>14660.188439611715</v>
      </c>
      <c r="P16" s="23">
        <f t="shared" si="11"/>
        <v>17829.973917461662</v>
      </c>
      <c r="Q16" s="53">
        <f t="shared" si="12"/>
        <v>16928.127483960921</v>
      </c>
      <c r="R16" s="55">
        <f t="shared" si="13"/>
        <v>14660.188439611715</v>
      </c>
      <c r="S16" s="9">
        <f t="shared" si="14"/>
        <v>8464.0637419804625</v>
      </c>
      <c r="T16" s="10">
        <f t="shared" si="15"/>
        <v>16928.127483960921</v>
      </c>
      <c r="U16">
        <f t="shared" si="16"/>
        <v>23939.987473398276</v>
      </c>
    </row>
    <row r="17" spans="3:21" ht="15.75" thickBot="1" x14ac:dyDescent="0.3">
      <c r="C17" s="5">
        <v>1</v>
      </c>
      <c r="D17" s="23">
        <f t="shared" si="17"/>
        <v>6630000</v>
      </c>
      <c r="E17" s="23">
        <f t="shared" si="1"/>
        <v>66898000</v>
      </c>
      <c r="F17" s="5">
        <f t="shared" si="2"/>
        <v>3.5608033337679578E-4</v>
      </c>
      <c r="G17" s="23">
        <f t="shared" si="3"/>
        <v>17645.415144371</v>
      </c>
      <c r="H17" s="23">
        <f t="shared" ref="H17:I17" si="26">G17/60</f>
        <v>294.09025240618331</v>
      </c>
      <c r="I17" s="27">
        <f t="shared" si="26"/>
        <v>4.9015042067697214</v>
      </c>
      <c r="J17" s="5">
        <f t="shared" si="5"/>
        <v>0.2042293419487384</v>
      </c>
      <c r="K17" s="29">
        <f t="shared" si="6"/>
        <v>23821.062142240884</v>
      </c>
      <c r="L17" s="24">
        <f t="shared" si="7"/>
        <v>1513392680874.55</v>
      </c>
      <c r="M17" s="45">
        <f t="shared" si="8"/>
        <v>0</v>
      </c>
      <c r="N17" s="40">
        <f t="shared" si="9"/>
        <v>0</v>
      </c>
      <c r="O17" s="24">
        <f t="shared" si="10"/>
        <v>14587.361844904934</v>
      </c>
      <c r="P17" s="25">
        <f t="shared" si="11"/>
        <v>17787.927463403539</v>
      </c>
      <c r="Q17" s="54">
        <f t="shared" si="12"/>
        <v>16844.034575844675</v>
      </c>
      <c r="R17" s="56">
        <f t="shared" si="13"/>
        <v>14587.361844904934</v>
      </c>
      <c r="S17" s="57">
        <f t="shared" si="14"/>
        <v>8422.0172879223392</v>
      </c>
      <c r="T17" s="11">
        <f t="shared" si="15"/>
        <v>16844.034575844675</v>
      </c>
      <c r="U17">
        <f t="shared" si="16"/>
        <v>23821.062142240884</v>
      </c>
    </row>
    <row r="19" spans="3:21" x14ac:dyDescent="0.25">
      <c r="E19" s="4"/>
    </row>
    <row r="20" spans="3:21" x14ac:dyDescent="0.25">
      <c r="L20" t="str">
        <f>"["&amp;L7&amp;","&amp;M7&amp;","&amp;N7&amp;"],["&amp;O7&amp;","&amp;P7&amp;","&amp;Q7&amp;"]"</f>
        <v>[1513386050874.55,0,0],[15368.7990877151,18239.0904658948,17746.3605808272]</v>
      </c>
    </row>
    <row r="25" spans="3:21" x14ac:dyDescent="0.25">
      <c r="S25">
        <v>0</v>
      </c>
    </row>
  </sheetData>
  <mergeCells count="6">
    <mergeCell ref="L3:N3"/>
    <mergeCell ref="O3:Q3"/>
    <mergeCell ref="L5:N5"/>
    <mergeCell ref="O5:Q5"/>
    <mergeCell ref="R5:T5"/>
    <mergeCell ref="R3:T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Cassini_Titan</vt:lpstr>
      <vt:lpstr>Cassini_Saturno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gamboa</dc:creator>
  <cp:lastModifiedBy>rafael gamboa</cp:lastModifiedBy>
  <dcterms:created xsi:type="dcterms:W3CDTF">2017-06-02T19:52:33Z</dcterms:created>
  <dcterms:modified xsi:type="dcterms:W3CDTF">2017-06-03T00:50:53Z</dcterms:modified>
</cp:coreProperties>
</file>