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4.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5.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6.xml" ContentType="application/vnd.openxmlformats-officedocument.drawing+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drawings/drawing7.xml" ContentType="application/vnd.openxmlformats-officedocument.drawing+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drawings/drawing8.xml" ContentType="application/vnd.openxmlformats-officedocument.drawing+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drawings/drawing9.xml" ContentType="application/vnd.openxmlformats-officedocument.drawing+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drawings/drawing10.xml" ContentType="application/vnd.openxmlformats-officedocument.drawing+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defaultThemeVersion="166925"/>
  <mc:AlternateContent xmlns:mc="http://schemas.openxmlformats.org/markup-compatibility/2006">
    <mc:Choice Requires="x15">
      <x15ac:absPath xmlns:x15ac="http://schemas.microsoft.com/office/spreadsheetml/2010/11/ac" url="C:\Users\betsie_0410\energiapy\examples\"/>
    </mc:Choice>
  </mc:AlternateContent>
  <xr:revisionPtr revIDLastSave="0" documentId="13_ncr:1_{D658711A-8175-413F-B89F-89489D75A16B}" xr6:coauthVersionLast="36" xr6:coauthVersionMax="47" xr10:uidLastSave="{00000000-0000-0000-0000-000000000000}"/>
  <bookViews>
    <workbookView xWindow="0" yWindow="0" windowWidth="13200" windowHeight="12090" firstSheet="3" activeTab="5" xr2:uid="{F3652ED4-2216-4B41-B6D4-2451B051FC74}"/>
  </bookViews>
  <sheets>
    <sheet name="Plastics CCUS_COMPARISON" sheetId="12" r:id="rId1"/>
    <sheet name="Plastics CCUS_RMTO" sheetId="11" r:id="rId2"/>
    <sheet name="Plastics CCUS_RMTP" sheetId="10" r:id="rId3"/>
    <sheet name="Plastics CCUS_ROCM" sheetId="9" r:id="rId4"/>
    <sheet name="EVs materials req (2)" sheetId="5" r:id="rId5"/>
    <sheet name="Texas pop" sheetId="2" r:id="rId6"/>
    <sheet name="Plastics" sheetId="6" r:id="rId7"/>
    <sheet name="EVs materials req" sheetId="3" r:id="rId8"/>
    <sheet name="Materials renewable energy" sheetId="4" r:id="rId9"/>
    <sheet name="Hoja1" sheetId="1" r:id="rId10"/>
  </sheets>
  <definedNames>
    <definedName name="solver_adj" localSheetId="9" hidden="1">Hoja1!$B$5:$F$5</definedName>
    <definedName name="solver_cvg" localSheetId="9" hidden="1">0.0001</definedName>
    <definedName name="solver_drv" localSheetId="9" hidden="1">1</definedName>
    <definedName name="solver_eng" localSheetId="9" hidden="1">1</definedName>
    <definedName name="solver_est" localSheetId="9" hidden="1">1</definedName>
    <definedName name="solver_itr" localSheetId="9" hidden="1">2147483647</definedName>
    <definedName name="solver_lhs1" localSheetId="9" hidden="1">Hoja1!$B$5</definedName>
    <definedName name="solver_lhs2" localSheetId="9" hidden="1">Hoja1!$B$8</definedName>
    <definedName name="solver_lhs3" localSheetId="9" hidden="1">Hoja1!$B$9:$B$10</definedName>
    <definedName name="solver_mip" localSheetId="9" hidden="1">2147483647</definedName>
    <definedName name="solver_mni" localSheetId="9" hidden="1">30</definedName>
    <definedName name="solver_mrt" localSheetId="9" hidden="1">0.075</definedName>
    <definedName name="solver_msl" localSheetId="9" hidden="1">2</definedName>
    <definedName name="solver_neg" localSheetId="9" hidden="1">1</definedName>
    <definedName name="solver_nod" localSheetId="9" hidden="1">2147483647</definedName>
    <definedName name="solver_num" localSheetId="9" hidden="1">3</definedName>
    <definedName name="solver_nwt" localSheetId="9" hidden="1">1</definedName>
    <definedName name="solver_opt" localSheetId="9" hidden="1">Hoja1!$B$6</definedName>
    <definedName name="solver_pre" localSheetId="9" hidden="1">0.000001</definedName>
    <definedName name="solver_rbv" localSheetId="9" hidden="1">1</definedName>
    <definedName name="solver_rel1" localSheetId="9" hidden="1">1</definedName>
    <definedName name="solver_rel2" localSheetId="9" hidden="1">1</definedName>
    <definedName name="solver_rel3" localSheetId="9" hidden="1">2</definedName>
    <definedName name="solver_rhs1" localSheetId="9" hidden="1">Hoja1!$B$7</definedName>
    <definedName name="solver_rhs2" localSheetId="9" hidden="1">Hoja1!$D$8</definedName>
    <definedName name="solver_rhs3" localSheetId="9" hidden="1">Hoja1!$D$9:$D$10</definedName>
    <definedName name="solver_rlx" localSheetId="9" hidden="1">2</definedName>
    <definedName name="solver_rsd" localSheetId="9" hidden="1">0</definedName>
    <definedName name="solver_scl" localSheetId="9" hidden="1">1</definedName>
    <definedName name="solver_sho" localSheetId="9" hidden="1">2</definedName>
    <definedName name="solver_ssz" localSheetId="9" hidden="1">100</definedName>
    <definedName name="solver_tim" localSheetId="9" hidden="1">2147483647</definedName>
    <definedName name="solver_tol" localSheetId="9" hidden="1">0.01</definedName>
    <definedName name="solver_typ" localSheetId="9" hidden="1">1</definedName>
    <definedName name="solver_val" localSheetId="9" hidden="1">0</definedName>
    <definedName name="solver_ver" localSheetId="9" hidden="1">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96" i="2" l="1"/>
  <c r="J96" i="2" s="1"/>
  <c r="J97" i="2"/>
  <c r="I97" i="2"/>
  <c r="K110" i="2"/>
  <c r="D135" i="2"/>
  <c r="G135" i="2" s="1"/>
  <c r="C135" i="2"/>
  <c r="F135" i="2" s="1"/>
  <c r="D134" i="2"/>
  <c r="C115" i="2"/>
  <c r="C116" i="2"/>
  <c r="C114" i="2"/>
  <c r="C110" i="2"/>
  <c r="C109" i="2"/>
  <c r="E107" i="2"/>
  <c r="H110" i="2"/>
  <c r="L109" i="2"/>
  <c r="K109" i="2" s="1"/>
  <c r="K108" i="2"/>
  <c r="D41" i="12" l="1"/>
  <c r="E40" i="12"/>
  <c r="D40" i="12"/>
  <c r="C40" i="12"/>
  <c r="A40" i="12"/>
  <c r="B39" i="12"/>
  <c r="A39" i="12"/>
  <c r="Q38" i="12"/>
  <c r="L38" i="12" s="1"/>
  <c r="A38" i="12"/>
  <c r="Q37" i="12"/>
  <c r="L37" i="12" s="1"/>
  <c r="A37" i="12"/>
  <c r="Q36" i="12"/>
  <c r="L36" i="12" s="1"/>
  <c r="A36" i="12"/>
  <c r="Q35" i="12"/>
  <c r="L35" i="12" s="1"/>
  <c r="A35" i="12"/>
  <c r="Q34" i="12"/>
  <c r="L34" i="12" s="1"/>
  <c r="A34" i="12"/>
  <c r="Q33" i="12"/>
  <c r="L33" i="12" s="1"/>
  <c r="A33" i="12"/>
  <c r="Q32" i="12"/>
  <c r="L32" i="12" s="1"/>
  <c r="A32" i="12"/>
  <c r="Q31" i="12"/>
  <c r="L31" i="12" s="1"/>
  <c r="A31" i="12"/>
  <c r="Q30" i="12"/>
  <c r="L30" i="12" s="1"/>
  <c r="A30" i="12"/>
  <c r="Q29" i="12"/>
  <c r="L29" i="12" s="1"/>
  <c r="A29" i="12"/>
  <c r="Q28" i="12"/>
  <c r="L28" i="12" s="1"/>
  <c r="A28" i="12"/>
  <c r="Q27" i="12"/>
  <c r="L27" i="12" s="1"/>
  <c r="A27" i="12"/>
  <c r="Q26" i="12"/>
  <c r="L26" i="12" s="1"/>
  <c r="A26" i="12"/>
  <c r="Q25" i="12"/>
  <c r="L25" i="12" s="1"/>
  <c r="A25" i="12"/>
  <c r="Q24" i="12"/>
  <c r="L24" i="12" s="1"/>
  <c r="A24" i="12"/>
  <c r="Q23" i="12"/>
  <c r="L23" i="12" s="1"/>
  <c r="A23" i="12"/>
  <c r="Q22" i="12"/>
  <c r="L22" i="12" s="1"/>
  <c r="A22" i="12"/>
  <c r="Q21" i="12"/>
  <c r="L21" i="12" s="1"/>
  <c r="A21" i="12"/>
  <c r="Q20" i="12"/>
  <c r="L20" i="12" s="1"/>
  <c r="A20" i="12"/>
  <c r="Q19" i="12"/>
  <c r="L19" i="12" s="1"/>
  <c r="A19" i="12"/>
  <c r="Q18" i="12"/>
  <c r="L18" i="12" s="1"/>
  <c r="A18" i="12"/>
  <c r="Q17" i="12"/>
  <c r="L17" i="12" s="1"/>
  <c r="A17" i="12"/>
  <c r="Q16" i="12"/>
  <c r="L16" i="12" s="1"/>
  <c r="A16" i="12"/>
  <c r="Q15" i="12"/>
  <c r="L15" i="12" s="1"/>
  <c r="A15" i="12"/>
  <c r="Q14" i="12"/>
  <c r="L14" i="12" s="1"/>
  <c r="A14" i="12"/>
  <c r="Q13" i="12"/>
  <c r="L13" i="12" s="1"/>
  <c r="A13" i="12"/>
  <c r="Q12" i="12"/>
  <c r="L12" i="12" s="1"/>
  <c r="A12" i="12"/>
  <c r="Q11" i="12"/>
  <c r="I11" i="12"/>
  <c r="A11" i="12"/>
  <c r="Q10" i="12"/>
  <c r="I10" i="12"/>
  <c r="D10" i="12"/>
  <c r="C10" i="12"/>
  <c r="A10" i="12"/>
  <c r="Q9" i="12"/>
  <c r="I9" i="12"/>
  <c r="D9" i="12"/>
  <c r="C9" i="12"/>
  <c r="A9" i="12"/>
  <c r="AT8" i="12"/>
  <c r="AT9" i="12" s="1"/>
  <c r="Q8" i="12"/>
  <c r="L8" i="12" s="1"/>
  <c r="I8" i="12"/>
  <c r="D8" i="12"/>
  <c r="C8" i="12"/>
  <c r="A8" i="12"/>
  <c r="Q7" i="12"/>
  <c r="I7" i="12"/>
  <c r="D7" i="12"/>
  <c r="C7" i="12"/>
  <c r="A7" i="12"/>
  <c r="Q6" i="12"/>
  <c r="I6" i="12"/>
  <c r="D6" i="12"/>
  <c r="C6" i="12"/>
  <c r="A6" i="12"/>
  <c r="R5" i="12"/>
  <c r="R6" i="12" s="1"/>
  <c r="R7" i="12" s="1"/>
  <c r="R8" i="12" s="1"/>
  <c r="R9" i="12" s="1"/>
  <c r="R10" i="12" s="1"/>
  <c r="R11" i="12" s="1"/>
  <c r="R12" i="12" s="1"/>
  <c r="R13" i="12" s="1"/>
  <c r="R14" i="12" s="1"/>
  <c r="R15" i="12" s="1"/>
  <c r="R16" i="12" s="1"/>
  <c r="R17" i="12" s="1"/>
  <c r="R18" i="12" s="1"/>
  <c r="R19" i="12" s="1"/>
  <c r="R20" i="12" s="1"/>
  <c r="R21" i="12" s="1"/>
  <c r="R22" i="12" s="1"/>
  <c r="R23" i="12" s="1"/>
  <c r="R24" i="12" s="1"/>
  <c r="R25" i="12" s="1"/>
  <c r="R26" i="12" s="1"/>
  <c r="R27" i="12" s="1"/>
  <c r="R28" i="12" s="1"/>
  <c r="R29" i="12" s="1"/>
  <c r="R30" i="12" s="1"/>
  <c r="R31" i="12" s="1"/>
  <c r="R32" i="12" s="1"/>
  <c r="R33" i="12" s="1"/>
  <c r="R34" i="12" s="1"/>
  <c r="R35" i="12" s="1"/>
  <c r="R36" i="12" s="1"/>
  <c r="R37" i="12" s="1"/>
  <c r="R38" i="12" s="1"/>
  <c r="Q5" i="12"/>
  <c r="I5" i="12"/>
  <c r="D5" i="12"/>
  <c r="C5" i="12"/>
  <c r="A5" i="12"/>
  <c r="Q4" i="12"/>
  <c r="I4" i="12"/>
  <c r="D4" i="12"/>
  <c r="C4" i="12"/>
  <c r="A4" i="12"/>
  <c r="AT3" i="12"/>
  <c r="AS3" i="12" s="1"/>
  <c r="AS4" i="12" s="1"/>
  <c r="E3" i="12"/>
  <c r="D3" i="12"/>
  <c r="C3" i="12"/>
  <c r="B3" i="12"/>
  <c r="A3" i="12"/>
  <c r="AH2" i="12"/>
  <c r="AF2" i="12"/>
  <c r="D41" i="11"/>
  <c r="E40" i="11"/>
  <c r="D40" i="11"/>
  <c r="C40" i="11"/>
  <c r="A40" i="11"/>
  <c r="B39" i="11"/>
  <c r="A39" i="11"/>
  <c r="O38" i="11"/>
  <c r="L38" i="11" s="1"/>
  <c r="A38" i="11"/>
  <c r="O37" i="11"/>
  <c r="L37" i="11" s="1"/>
  <c r="A37" i="11"/>
  <c r="O36" i="11"/>
  <c r="L36" i="11" s="1"/>
  <c r="A36" i="11"/>
  <c r="O35" i="11"/>
  <c r="L35" i="11" s="1"/>
  <c r="A35" i="11"/>
  <c r="O34" i="11"/>
  <c r="L34" i="11" s="1"/>
  <c r="A34" i="11"/>
  <c r="O33" i="11"/>
  <c r="L33" i="11" s="1"/>
  <c r="A33" i="11"/>
  <c r="O32" i="11"/>
  <c r="L32" i="11" s="1"/>
  <c r="A32" i="11"/>
  <c r="O31" i="11"/>
  <c r="L31" i="11" s="1"/>
  <c r="A31" i="11"/>
  <c r="O30" i="11"/>
  <c r="L30" i="11" s="1"/>
  <c r="A30" i="11"/>
  <c r="O29" i="11"/>
  <c r="L29" i="11" s="1"/>
  <c r="A29" i="11"/>
  <c r="O28" i="11"/>
  <c r="L28" i="11" s="1"/>
  <c r="A28" i="11"/>
  <c r="O27" i="11"/>
  <c r="L27" i="11" s="1"/>
  <c r="A27" i="11"/>
  <c r="O26" i="11"/>
  <c r="L26" i="11" s="1"/>
  <c r="A26" i="11"/>
  <c r="O25" i="11"/>
  <c r="L25" i="11" s="1"/>
  <c r="A25" i="11"/>
  <c r="O24" i="11"/>
  <c r="L24" i="11" s="1"/>
  <c r="A24" i="11"/>
  <c r="O23" i="11"/>
  <c r="L23" i="11" s="1"/>
  <c r="A23" i="11"/>
  <c r="O22" i="11"/>
  <c r="L22" i="11" s="1"/>
  <c r="A22" i="11"/>
  <c r="O21" i="11"/>
  <c r="L21" i="11" s="1"/>
  <c r="A21" i="11"/>
  <c r="O20" i="11"/>
  <c r="L20" i="11" s="1"/>
  <c r="A20" i="11"/>
  <c r="O19" i="11"/>
  <c r="L19" i="11" s="1"/>
  <c r="A19" i="11"/>
  <c r="O18" i="11"/>
  <c r="L18" i="11" s="1"/>
  <c r="A18" i="11"/>
  <c r="O17" i="11"/>
  <c r="L17" i="11" s="1"/>
  <c r="A17" i="11"/>
  <c r="O16" i="11"/>
  <c r="L16" i="11" s="1"/>
  <c r="A16" i="11"/>
  <c r="O15" i="11"/>
  <c r="L15" i="11" s="1"/>
  <c r="A15" i="11"/>
  <c r="O14" i="11"/>
  <c r="L14" i="11" s="1"/>
  <c r="A14" i="11"/>
  <c r="O13" i="11"/>
  <c r="L13" i="11" s="1"/>
  <c r="A13" i="11"/>
  <c r="O12" i="11"/>
  <c r="L12" i="11" s="1"/>
  <c r="A12" i="11"/>
  <c r="O11" i="11"/>
  <c r="M11" i="11" s="1"/>
  <c r="M11" i="12" s="1"/>
  <c r="I11" i="11"/>
  <c r="A11" i="11"/>
  <c r="O10" i="11"/>
  <c r="M10" i="11" s="1"/>
  <c r="M10" i="12" s="1"/>
  <c r="I10" i="11"/>
  <c r="D10" i="11"/>
  <c r="C10" i="11"/>
  <c r="A10" i="11"/>
  <c r="O9" i="11"/>
  <c r="M9" i="11" s="1"/>
  <c r="I9" i="11"/>
  <c r="D9" i="11"/>
  <c r="C9" i="11"/>
  <c r="A9" i="11"/>
  <c r="AP8" i="11"/>
  <c r="AP9" i="11" s="1"/>
  <c r="O8" i="11"/>
  <c r="M8" i="11" s="1"/>
  <c r="M8" i="12" s="1"/>
  <c r="I8" i="11"/>
  <c r="D8" i="11"/>
  <c r="C8" i="11"/>
  <c r="A8" i="11"/>
  <c r="O7" i="11"/>
  <c r="M7" i="11" s="1"/>
  <c r="I7" i="11"/>
  <c r="D7" i="11"/>
  <c r="C7" i="11"/>
  <c r="A7" i="11"/>
  <c r="O6" i="11"/>
  <c r="M6" i="11" s="1"/>
  <c r="I6" i="11"/>
  <c r="D6" i="11"/>
  <c r="C6" i="11"/>
  <c r="A6" i="11"/>
  <c r="P5" i="11"/>
  <c r="P6" i="11" s="1"/>
  <c r="P7" i="11" s="1"/>
  <c r="P8" i="11" s="1"/>
  <c r="P9" i="11" s="1"/>
  <c r="P10" i="11" s="1"/>
  <c r="P11" i="11" s="1"/>
  <c r="P12" i="11" s="1"/>
  <c r="P13" i="11" s="1"/>
  <c r="P14" i="11" s="1"/>
  <c r="P15" i="11" s="1"/>
  <c r="P16" i="11" s="1"/>
  <c r="P17" i="11" s="1"/>
  <c r="P18" i="11" s="1"/>
  <c r="P19" i="11" s="1"/>
  <c r="P20" i="11" s="1"/>
  <c r="P21" i="11" s="1"/>
  <c r="P22" i="11" s="1"/>
  <c r="P23" i="11" s="1"/>
  <c r="P24" i="11" s="1"/>
  <c r="P25" i="11" s="1"/>
  <c r="P26" i="11" s="1"/>
  <c r="P27" i="11" s="1"/>
  <c r="P28" i="11" s="1"/>
  <c r="P29" i="11" s="1"/>
  <c r="P30" i="11" s="1"/>
  <c r="P31" i="11" s="1"/>
  <c r="P32" i="11" s="1"/>
  <c r="P33" i="11" s="1"/>
  <c r="P34" i="11" s="1"/>
  <c r="P35" i="11" s="1"/>
  <c r="P36" i="11" s="1"/>
  <c r="P37" i="11" s="1"/>
  <c r="P38" i="11" s="1"/>
  <c r="O5" i="11"/>
  <c r="L5" i="11" s="1"/>
  <c r="I5" i="11"/>
  <c r="D5" i="11"/>
  <c r="C5" i="11"/>
  <c r="A5" i="11"/>
  <c r="O4" i="11"/>
  <c r="L4" i="11" s="1"/>
  <c r="I4" i="11"/>
  <c r="D4" i="11"/>
  <c r="C4" i="11"/>
  <c r="A4" i="11"/>
  <c r="AP3" i="11"/>
  <c r="AO3" i="11" s="1"/>
  <c r="AO4" i="11" s="1"/>
  <c r="E3" i="11"/>
  <c r="D3" i="11"/>
  <c r="C3" i="11"/>
  <c r="B3" i="11"/>
  <c r="A3" i="11"/>
  <c r="AD2" i="11"/>
  <c r="AB2" i="11"/>
  <c r="I5" i="10"/>
  <c r="I6" i="10"/>
  <c r="I7" i="10"/>
  <c r="I8" i="10"/>
  <c r="I9" i="10"/>
  <c r="I10" i="10"/>
  <c r="I11" i="10"/>
  <c r="I4" i="10"/>
  <c r="P5" i="10"/>
  <c r="P4" i="10" s="1"/>
  <c r="P5" i="9"/>
  <c r="P4" i="9" s="1"/>
  <c r="I5" i="9"/>
  <c r="I6" i="9"/>
  <c r="I7" i="9"/>
  <c r="I8" i="9"/>
  <c r="I9" i="9"/>
  <c r="I10" i="9"/>
  <c r="I11" i="9"/>
  <c r="I4" i="9"/>
  <c r="D41" i="10"/>
  <c r="E40" i="10"/>
  <c r="D40" i="10"/>
  <c r="C40" i="10"/>
  <c r="A40" i="10"/>
  <c r="B39" i="10"/>
  <c r="A39" i="10"/>
  <c r="O38" i="10"/>
  <c r="L38" i="10" s="1"/>
  <c r="A38" i="10"/>
  <c r="O37" i="10"/>
  <c r="L37" i="10" s="1"/>
  <c r="A37" i="10"/>
  <c r="O36" i="10"/>
  <c r="L36" i="10" s="1"/>
  <c r="A36" i="10"/>
  <c r="O35" i="10"/>
  <c r="L35" i="10" s="1"/>
  <c r="A35" i="10"/>
  <c r="O34" i="10"/>
  <c r="L34" i="10" s="1"/>
  <c r="A34" i="10"/>
  <c r="O33" i="10"/>
  <c r="L33" i="10" s="1"/>
  <c r="A33" i="10"/>
  <c r="O32" i="10"/>
  <c r="L32" i="10" s="1"/>
  <c r="A32" i="10"/>
  <c r="O31" i="10"/>
  <c r="L31" i="10" s="1"/>
  <c r="A31" i="10"/>
  <c r="O30" i="10"/>
  <c r="L30" i="10" s="1"/>
  <c r="A30" i="10"/>
  <c r="O29" i="10"/>
  <c r="L29" i="10" s="1"/>
  <c r="A29" i="10"/>
  <c r="O28" i="10"/>
  <c r="L28" i="10" s="1"/>
  <c r="A28" i="10"/>
  <c r="O27" i="10"/>
  <c r="L27" i="10" s="1"/>
  <c r="A27" i="10"/>
  <c r="O26" i="10"/>
  <c r="L26" i="10" s="1"/>
  <c r="A26" i="10"/>
  <c r="O25" i="10"/>
  <c r="L25" i="10" s="1"/>
  <c r="A25" i="10"/>
  <c r="O24" i="10"/>
  <c r="L24" i="10" s="1"/>
  <c r="A24" i="10"/>
  <c r="O23" i="10"/>
  <c r="L23" i="10" s="1"/>
  <c r="A23" i="10"/>
  <c r="O22" i="10"/>
  <c r="L22" i="10" s="1"/>
  <c r="A22" i="10"/>
  <c r="O21" i="10"/>
  <c r="L21" i="10" s="1"/>
  <c r="A21" i="10"/>
  <c r="O20" i="10"/>
  <c r="L20" i="10" s="1"/>
  <c r="A20" i="10"/>
  <c r="O19" i="10"/>
  <c r="L19" i="10" s="1"/>
  <c r="A19" i="10"/>
  <c r="O18" i="10"/>
  <c r="L18" i="10" s="1"/>
  <c r="A18" i="10"/>
  <c r="O17" i="10"/>
  <c r="L17" i="10" s="1"/>
  <c r="A17" i="10"/>
  <c r="O16" i="10"/>
  <c r="L16" i="10" s="1"/>
  <c r="A16" i="10"/>
  <c r="O15" i="10"/>
  <c r="L15" i="10" s="1"/>
  <c r="A15" i="10"/>
  <c r="O14" i="10"/>
  <c r="L14" i="10" s="1"/>
  <c r="A14" i="10"/>
  <c r="O13" i="10"/>
  <c r="L13" i="10" s="1"/>
  <c r="A13" i="10"/>
  <c r="O12" i="10"/>
  <c r="L12" i="10" s="1"/>
  <c r="A12" i="10"/>
  <c r="O11" i="10"/>
  <c r="M11" i="10" s="1"/>
  <c r="A11" i="10"/>
  <c r="O10" i="10"/>
  <c r="M10" i="10" s="1"/>
  <c r="D10" i="10"/>
  <c r="C10" i="10"/>
  <c r="A10" i="10"/>
  <c r="O9" i="10"/>
  <c r="L9" i="10" s="1"/>
  <c r="M9" i="10"/>
  <c r="N9" i="12" s="1"/>
  <c r="D9" i="10"/>
  <c r="C9" i="10"/>
  <c r="A9" i="10"/>
  <c r="AP8" i="10"/>
  <c r="AP9" i="10" s="1"/>
  <c r="O8" i="10"/>
  <c r="L8" i="10" s="1"/>
  <c r="D8" i="10"/>
  <c r="C8" i="10"/>
  <c r="A8" i="10"/>
  <c r="O7" i="10"/>
  <c r="L7" i="10" s="1"/>
  <c r="D7" i="10"/>
  <c r="C7" i="10"/>
  <c r="A7" i="10"/>
  <c r="O6" i="10"/>
  <c r="L6" i="10" s="1"/>
  <c r="D6" i="10"/>
  <c r="C6" i="10"/>
  <c r="A6" i="10"/>
  <c r="O5" i="10"/>
  <c r="M5" i="10" s="1"/>
  <c r="N5" i="12" s="1"/>
  <c r="D5" i="10"/>
  <c r="C5" i="10"/>
  <c r="A5" i="10"/>
  <c r="O4" i="10"/>
  <c r="L4" i="10" s="1"/>
  <c r="D4" i="10"/>
  <c r="C4" i="10"/>
  <c r="A4" i="10"/>
  <c r="AP3" i="10"/>
  <c r="AO3" i="10" s="1"/>
  <c r="AO4" i="10" s="1"/>
  <c r="E3" i="10"/>
  <c r="D3" i="10"/>
  <c r="C3" i="10"/>
  <c r="B3" i="10"/>
  <c r="A3" i="10"/>
  <c r="AD2" i="10"/>
  <c r="AB2" i="10"/>
  <c r="D41" i="9"/>
  <c r="E40" i="9"/>
  <c r="D40" i="9"/>
  <c r="C40" i="9"/>
  <c r="A40" i="9"/>
  <c r="B39" i="9"/>
  <c r="A39" i="9"/>
  <c r="O38" i="9"/>
  <c r="L38" i="9" s="1"/>
  <c r="A38" i="9"/>
  <c r="O37" i="9"/>
  <c r="L37" i="9" s="1"/>
  <c r="A37" i="9"/>
  <c r="O36" i="9"/>
  <c r="L36" i="9" s="1"/>
  <c r="A36" i="9"/>
  <c r="O35" i="9"/>
  <c r="L35" i="9" s="1"/>
  <c r="A35" i="9"/>
  <c r="O34" i="9"/>
  <c r="L34" i="9" s="1"/>
  <c r="A34" i="9"/>
  <c r="O33" i="9"/>
  <c r="L33" i="9" s="1"/>
  <c r="A33" i="9"/>
  <c r="O32" i="9"/>
  <c r="L32" i="9" s="1"/>
  <c r="A32" i="9"/>
  <c r="O31" i="9"/>
  <c r="L31" i="9" s="1"/>
  <c r="A31" i="9"/>
  <c r="O30" i="9"/>
  <c r="L30" i="9" s="1"/>
  <c r="A30" i="9"/>
  <c r="O29" i="9"/>
  <c r="L29" i="9" s="1"/>
  <c r="A29" i="9"/>
  <c r="O28" i="9"/>
  <c r="L28" i="9" s="1"/>
  <c r="A28" i="9"/>
  <c r="O27" i="9"/>
  <c r="L27" i="9" s="1"/>
  <c r="A27" i="9"/>
  <c r="O26" i="9"/>
  <c r="L26" i="9" s="1"/>
  <c r="A26" i="9"/>
  <c r="O25" i="9"/>
  <c r="L25" i="9" s="1"/>
  <c r="A25" i="9"/>
  <c r="O24" i="9"/>
  <c r="L24" i="9" s="1"/>
  <c r="A24" i="9"/>
  <c r="O23" i="9"/>
  <c r="L23" i="9" s="1"/>
  <c r="A23" i="9"/>
  <c r="O22" i="9"/>
  <c r="L22" i="9" s="1"/>
  <c r="A22" i="9"/>
  <c r="O21" i="9"/>
  <c r="L21" i="9" s="1"/>
  <c r="A21" i="9"/>
  <c r="O20" i="9"/>
  <c r="L20" i="9" s="1"/>
  <c r="A20" i="9"/>
  <c r="O19" i="9"/>
  <c r="L19" i="9" s="1"/>
  <c r="A19" i="9"/>
  <c r="O18" i="9"/>
  <c r="L18" i="9" s="1"/>
  <c r="A18" i="9"/>
  <c r="O17" i="9"/>
  <c r="L17" i="9" s="1"/>
  <c r="A17" i="9"/>
  <c r="O16" i="9"/>
  <c r="L16" i="9" s="1"/>
  <c r="A16" i="9"/>
  <c r="O15" i="9"/>
  <c r="L15" i="9" s="1"/>
  <c r="A15" i="9"/>
  <c r="O14" i="9"/>
  <c r="L14" i="9" s="1"/>
  <c r="A14" i="9"/>
  <c r="O13" i="9"/>
  <c r="L13" i="9" s="1"/>
  <c r="A13" i="9"/>
  <c r="O12" i="9"/>
  <c r="L12" i="9" s="1"/>
  <c r="A12" i="9"/>
  <c r="O11" i="9"/>
  <c r="L11" i="9" s="1"/>
  <c r="A11" i="9"/>
  <c r="O10" i="9"/>
  <c r="M10" i="9" s="1"/>
  <c r="O10" i="12" s="1"/>
  <c r="D10" i="9"/>
  <c r="C10" i="9"/>
  <c r="A10" i="9"/>
  <c r="O9" i="9"/>
  <c r="M9" i="9" s="1"/>
  <c r="O9" i="12" s="1"/>
  <c r="D9" i="9"/>
  <c r="C9" i="9"/>
  <c r="A9" i="9"/>
  <c r="AP8" i="9"/>
  <c r="AP9" i="9" s="1"/>
  <c r="O8" i="9"/>
  <c r="M8" i="9" s="1"/>
  <c r="O8" i="12" s="1"/>
  <c r="D8" i="9"/>
  <c r="C8" i="9"/>
  <c r="A8" i="9"/>
  <c r="O7" i="9"/>
  <c r="M7" i="9" s="1"/>
  <c r="O7" i="12" s="1"/>
  <c r="D7" i="9"/>
  <c r="C7" i="9"/>
  <c r="A7" i="9"/>
  <c r="O6" i="9"/>
  <c r="L6" i="9" s="1"/>
  <c r="D6" i="9"/>
  <c r="C6" i="9"/>
  <c r="A6" i="9"/>
  <c r="O5" i="9"/>
  <c r="D5" i="9"/>
  <c r="C5" i="9"/>
  <c r="A5" i="9"/>
  <c r="O4" i="9"/>
  <c r="M4" i="9" s="1"/>
  <c r="O4" i="12" s="1"/>
  <c r="D4" i="9"/>
  <c r="C4" i="9"/>
  <c r="A4" i="9"/>
  <c r="AP3" i="9"/>
  <c r="AO3" i="9" s="1"/>
  <c r="AO4" i="9" s="1"/>
  <c r="E3" i="9"/>
  <c r="D3" i="9"/>
  <c r="C3" i="9"/>
  <c r="B3" i="9"/>
  <c r="A3" i="9"/>
  <c r="AD2" i="9"/>
  <c r="AB2" i="9"/>
  <c r="L7" i="9" l="1"/>
  <c r="M11" i="9"/>
  <c r="L7" i="11"/>
  <c r="Q7" i="11" s="1"/>
  <c r="S7" i="12" s="1"/>
  <c r="M6" i="10"/>
  <c r="N6" i="12" s="1"/>
  <c r="L10" i="10"/>
  <c r="Q10" i="10" s="1"/>
  <c r="T10" i="12" s="1"/>
  <c r="L9" i="11"/>
  <c r="Q9" i="11" s="1"/>
  <c r="S9" i="12" s="1"/>
  <c r="L11" i="10"/>
  <c r="Q11" i="10" s="1"/>
  <c r="T11" i="12" s="1"/>
  <c r="M5" i="11"/>
  <c r="M5" i="12" s="1"/>
  <c r="N10" i="12"/>
  <c r="M8" i="10"/>
  <c r="M9" i="12"/>
  <c r="M4" i="10"/>
  <c r="N4" i="12" s="1"/>
  <c r="M4" i="11"/>
  <c r="M7" i="10"/>
  <c r="L5" i="9"/>
  <c r="M5" i="9"/>
  <c r="O5" i="12" s="1"/>
  <c r="N11" i="12"/>
  <c r="L6" i="11"/>
  <c r="Q6" i="11" s="1"/>
  <c r="S6" i="12" s="1"/>
  <c r="M6" i="12"/>
  <c r="Q11" i="9"/>
  <c r="U11" i="12" s="1"/>
  <c r="O11" i="12"/>
  <c r="M6" i="9"/>
  <c r="AP10" i="10"/>
  <c r="AP12" i="10" s="1"/>
  <c r="Q9" i="10"/>
  <c r="T9" i="12" s="1"/>
  <c r="L5" i="10"/>
  <c r="Q5" i="10" s="1"/>
  <c r="T5" i="12" s="1"/>
  <c r="M7" i="12"/>
  <c r="R4" i="12"/>
  <c r="AT10" i="12"/>
  <c r="AT12" i="12" s="1"/>
  <c r="L10" i="12"/>
  <c r="L4" i="12"/>
  <c r="L7" i="12"/>
  <c r="L5" i="12"/>
  <c r="L11" i="12"/>
  <c r="L6" i="12"/>
  <c r="L9" i="12"/>
  <c r="AP10" i="11"/>
  <c r="AP12" i="11" s="1"/>
  <c r="L10" i="11"/>
  <c r="Q10" i="11" s="1"/>
  <c r="S10" i="12" s="1"/>
  <c r="L8" i="11"/>
  <c r="Q8" i="11" s="1"/>
  <c r="S8" i="12" s="1"/>
  <c r="P4" i="11"/>
  <c r="L11" i="11"/>
  <c r="Q11" i="11" s="1"/>
  <c r="S11" i="12" s="1"/>
  <c r="P6" i="10"/>
  <c r="P7" i="10" s="1"/>
  <c r="P8" i="10" s="1"/>
  <c r="P9" i="10" s="1"/>
  <c r="P10" i="10" s="1"/>
  <c r="P11" i="10" s="1"/>
  <c r="P12" i="10" s="1"/>
  <c r="P13" i="10" s="1"/>
  <c r="P14" i="10" s="1"/>
  <c r="P15" i="10" s="1"/>
  <c r="P16" i="10" s="1"/>
  <c r="P17" i="10" s="1"/>
  <c r="P18" i="10" s="1"/>
  <c r="P19" i="10" s="1"/>
  <c r="P20" i="10" s="1"/>
  <c r="P21" i="10" s="1"/>
  <c r="P22" i="10" s="1"/>
  <c r="P23" i="10" s="1"/>
  <c r="P24" i="10" s="1"/>
  <c r="P25" i="10" s="1"/>
  <c r="P26" i="10" s="1"/>
  <c r="P27" i="10" s="1"/>
  <c r="P28" i="10" s="1"/>
  <c r="P29" i="10" s="1"/>
  <c r="P30" i="10" s="1"/>
  <c r="P31" i="10" s="1"/>
  <c r="P32" i="10" s="1"/>
  <c r="P33" i="10" s="1"/>
  <c r="P34" i="10" s="1"/>
  <c r="P35" i="10" s="1"/>
  <c r="P36" i="10" s="1"/>
  <c r="P37" i="10" s="1"/>
  <c r="P38" i="10" s="1"/>
  <c r="AP10" i="9"/>
  <c r="AP12" i="9" s="1"/>
  <c r="L4" i="9"/>
  <c r="Q4" i="9" s="1"/>
  <c r="U4" i="12" s="1"/>
  <c r="Q7" i="9"/>
  <c r="U7" i="12" s="1"/>
  <c r="L9" i="9"/>
  <c r="Q9" i="9" s="1"/>
  <c r="U9" i="12" s="1"/>
  <c r="P6" i="9"/>
  <c r="P7" i="9" s="1"/>
  <c r="L10" i="9"/>
  <c r="Q10" i="9" s="1"/>
  <c r="U10" i="12" s="1"/>
  <c r="L8" i="9"/>
  <c r="Q8" i="9" s="1"/>
  <c r="U8" i="12" s="1"/>
  <c r="Q4" i="10" l="1"/>
  <c r="T4" i="12" s="1"/>
  <c r="Q6" i="10"/>
  <c r="T6" i="12" s="1"/>
  <c r="Q5" i="11"/>
  <c r="S5" i="12" s="1"/>
  <c r="Q5" i="9"/>
  <c r="U5" i="12" s="1"/>
  <c r="Q7" i="10"/>
  <c r="T7" i="12" s="1"/>
  <c r="N7" i="12"/>
  <c r="Q4" i="11"/>
  <c r="S4" i="12" s="1"/>
  <c r="M4" i="12"/>
  <c r="Q6" i="9"/>
  <c r="U6" i="12" s="1"/>
  <c r="O6" i="12"/>
  <c r="Q8" i="10"/>
  <c r="T8" i="12" s="1"/>
  <c r="N8" i="12"/>
  <c r="P8" i="9"/>
  <c r="P9" i="9" s="1"/>
  <c r="P10" i="9" s="1"/>
  <c r="P11" i="9" s="1"/>
  <c r="P12" i="9" s="1"/>
  <c r="P13" i="9" s="1"/>
  <c r="P14" i="9" s="1"/>
  <c r="P15" i="9" s="1"/>
  <c r="P16" i="9" s="1"/>
  <c r="P17" i="9" s="1"/>
  <c r="P18" i="9" s="1"/>
  <c r="P19" i="9" s="1"/>
  <c r="P20" i="9" s="1"/>
  <c r="P21" i="9" s="1"/>
  <c r="P22" i="9" s="1"/>
  <c r="P23" i="9" s="1"/>
  <c r="P24" i="9" s="1"/>
  <c r="P25" i="9" s="1"/>
  <c r="P26" i="9" s="1"/>
  <c r="P27" i="9" s="1"/>
  <c r="P28" i="9" s="1"/>
  <c r="P29" i="9" s="1"/>
  <c r="P30" i="9" s="1"/>
  <c r="P31" i="9" s="1"/>
  <c r="P32" i="9" s="1"/>
  <c r="P33" i="9" s="1"/>
  <c r="P34" i="9" s="1"/>
  <c r="P35" i="9" s="1"/>
  <c r="P36" i="9" s="1"/>
  <c r="P37" i="9" s="1"/>
  <c r="P38" i="9" s="1"/>
  <c r="D41" i="6" l="1"/>
  <c r="X2" i="6"/>
  <c r="Z2" i="6"/>
  <c r="AD8" i="6"/>
  <c r="AD9" i="6" s="1"/>
  <c r="AD3" i="6"/>
  <c r="AC3" i="6" s="1"/>
  <c r="AC4" i="6" s="1"/>
  <c r="A4" i="6"/>
  <c r="C4" i="6"/>
  <c r="D4" i="6"/>
  <c r="A5" i="6"/>
  <c r="C5" i="6"/>
  <c r="D5" i="6"/>
  <c r="A6" i="6"/>
  <c r="C6" i="6"/>
  <c r="D6" i="6"/>
  <c r="A7" i="6"/>
  <c r="C7" i="6"/>
  <c r="D7" i="6"/>
  <c r="A8" i="6"/>
  <c r="C8" i="6"/>
  <c r="D8" i="6"/>
  <c r="A9" i="6"/>
  <c r="C9" i="6"/>
  <c r="D9" i="6"/>
  <c r="A10" i="6"/>
  <c r="C10" i="6"/>
  <c r="D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B39" i="6"/>
  <c r="A40" i="6"/>
  <c r="C40" i="6"/>
  <c r="D40" i="6"/>
  <c r="E40" i="6"/>
  <c r="B3" i="6"/>
  <c r="C3" i="6"/>
  <c r="D3" i="6"/>
  <c r="E3" i="6"/>
  <c r="A3" i="6"/>
  <c r="G105" i="2"/>
  <c r="G102" i="2"/>
  <c r="G101" i="2"/>
  <c r="G100" i="2"/>
  <c r="AD10" i="6" l="1"/>
  <c r="AD12" i="6" s="1"/>
  <c r="O131" i="2"/>
  <c r="D4" i="3"/>
  <c r="L101" i="2"/>
  <c r="M101" i="2"/>
  <c r="L102" i="2"/>
  <c r="M102" i="2"/>
  <c r="L103" i="2"/>
  <c r="M103" i="2"/>
  <c r="L104" i="2"/>
  <c r="M104" i="2"/>
  <c r="L105" i="2"/>
  <c r="M105" i="2"/>
  <c r="L106" i="2"/>
  <c r="M106" i="2"/>
  <c r="M100" i="2"/>
  <c r="L100" i="2"/>
  <c r="J101" i="2"/>
  <c r="J102" i="2"/>
  <c r="J103" i="2"/>
  <c r="J104" i="2"/>
  <c r="J105" i="2"/>
  <c r="J106" i="2"/>
  <c r="J100" i="2"/>
  <c r="I100" i="2"/>
  <c r="E100" i="2"/>
  <c r="E4" i="9" l="1"/>
  <c r="S4" i="9" s="1"/>
  <c r="E4" i="11"/>
  <c r="E4" i="12"/>
  <c r="E4" i="10"/>
  <c r="E4" i="6"/>
  <c r="W4" i="6" s="1"/>
  <c r="M5" i="5"/>
  <c r="V19" i="5"/>
  <c r="C18" i="5"/>
  <c r="E18" i="5" s="1"/>
  <c r="G18" i="5" s="1"/>
  <c r="H18" i="5" s="1"/>
  <c r="W16" i="5"/>
  <c r="X17" i="5" s="1"/>
  <c r="X18" i="5" s="1"/>
  <c r="S13" i="5"/>
  <c r="W13" i="5" s="1"/>
  <c r="R13" i="5"/>
  <c r="O13" i="5"/>
  <c r="N13" i="5"/>
  <c r="M13" i="5"/>
  <c r="O12" i="5"/>
  <c r="N12" i="5"/>
  <c r="M12" i="5"/>
  <c r="O11" i="5"/>
  <c r="N11" i="5"/>
  <c r="M11" i="5"/>
  <c r="O10" i="5"/>
  <c r="N10" i="5"/>
  <c r="M10" i="5"/>
  <c r="O9" i="5"/>
  <c r="N9" i="5"/>
  <c r="M9" i="5"/>
  <c r="O8" i="5"/>
  <c r="N8" i="5"/>
  <c r="M8" i="5"/>
  <c r="O7" i="5"/>
  <c r="N7" i="5"/>
  <c r="M7" i="5"/>
  <c r="O6" i="5"/>
  <c r="N6" i="5"/>
  <c r="M6" i="5"/>
  <c r="O5" i="5"/>
  <c r="N5" i="5"/>
  <c r="B101" i="2"/>
  <c r="B102" i="2"/>
  <c r="B103" i="2"/>
  <c r="B104" i="2"/>
  <c r="B105" i="2"/>
  <c r="B106" i="2"/>
  <c r="B100" i="2"/>
  <c r="AI4" i="9" l="1"/>
  <c r="AL4" i="9"/>
  <c r="AD4" i="9"/>
  <c r="AF4" i="9"/>
  <c r="U4" i="9"/>
  <c r="AG4" i="9"/>
  <c r="F4" i="9"/>
  <c r="G4" i="9"/>
  <c r="J4" i="9"/>
  <c r="AK4" i="9"/>
  <c r="Y4" i="9"/>
  <c r="R4" i="9"/>
  <c r="Z4" i="9"/>
  <c r="V4" i="9"/>
  <c r="AE4" i="9"/>
  <c r="AM4" i="9"/>
  <c r="AB4" i="9"/>
  <c r="T4" i="9"/>
  <c r="AJ4" i="9"/>
  <c r="W4" i="9"/>
  <c r="B7" i="9"/>
  <c r="B7" i="12"/>
  <c r="B7" i="11"/>
  <c r="B7" i="10"/>
  <c r="B6" i="9"/>
  <c r="B6" i="10"/>
  <c r="B6" i="12"/>
  <c r="B6" i="11"/>
  <c r="B5" i="9"/>
  <c r="B5" i="11"/>
  <c r="B5" i="10"/>
  <c r="B5" i="12"/>
  <c r="B9" i="9"/>
  <c r="B9" i="12"/>
  <c r="B9" i="11"/>
  <c r="B9" i="10"/>
  <c r="AC4" i="9"/>
  <c r="X4" i="9"/>
  <c r="AA4" i="9"/>
  <c r="X4" i="10"/>
  <c r="AA4" i="10"/>
  <c r="Z4" i="10"/>
  <c r="Y4" i="10"/>
  <c r="W4" i="10"/>
  <c r="V4" i="10"/>
  <c r="T4" i="10"/>
  <c r="AC4" i="10"/>
  <c r="U4" i="10"/>
  <c r="S4" i="10"/>
  <c r="R4" i="10"/>
  <c r="AM4" i="10"/>
  <c r="AI4" i="10"/>
  <c r="AK4" i="10"/>
  <c r="J4" i="10"/>
  <c r="AE4" i="10"/>
  <c r="G4" i="10"/>
  <c r="AD4" i="10"/>
  <c r="F4" i="10"/>
  <c r="AB4" i="10"/>
  <c r="AG4" i="10"/>
  <c r="AL4" i="10"/>
  <c r="AJ4" i="10"/>
  <c r="AF4" i="10"/>
  <c r="B4" i="9"/>
  <c r="B4" i="10"/>
  <c r="B4" i="12"/>
  <c r="B4" i="11"/>
  <c r="B10" i="9"/>
  <c r="B10" i="12"/>
  <c r="B10" i="10"/>
  <c r="B10" i="11"/>
  <c r="AB4" i="12"/>
  <c r="X4" i="12"/>
  <c r="F4" i="12"/>
  <c r="AK4" i="12"/>
  <c r="J4" i="12"/>
  <c r="G4" i="12"/>
  <c r="AM4" i="12"/>
  <c r="Z4" i="12"/>
  <c r="AE4" i="12"/>
  <c r="AC4" i="12"/>
  <c r="V4" i="12"/>
  <c r="W4" i="12"/>
  <c r="AA4" i="12"/>
  <c r="AQ4" i="12"/>
  <c r="Y4" i="12"/>
  <c r="AD4" i="12"/>
  <c r="AF4" i="12"/>
  <c r="AG4" i="12"/>
  <c r="AO4" i="12"/>
  <c r="AJ4" i="12"/>
  <c r="AI4" i="12"/>
  <c r="AN4" i="12"/>
  <c r="AP4" i="12"/>
  <c r="AH4" i="12"/>
  <c r="AA4" i="11"/>
  <c r="AB4" i="11"/>
  <c r="AL4" i="11"/>
  <c r="U4" i="11"/>
  <c r="W4" i="11"/>
  <c r="AI4" i="11"/>
  <c r="AF4" i="11"/>
  <c r="T4" i="11"/>
  <c r="AJ4" i="11"/>
  <c r="J4" i="11"/>
  <c r="AK4" i="11"/>
  <c r="AC4" i="11"/>
  <c r="AE4" i="11"/>
  <c r="AD4" i="11"/>
  <c r="R4" i="11"/>
  <c r="V4" i="11"/>
  <c r="X4" i="11"/>
  <c r="AM4" i="11"/>
  <c r="G4" i="11"/>
  <c r="AG4" i="11"/>
  <c r="F4" i="11"/>
  <c r="Z4" i="11"/>
  <c r="S4" i="11"/>
  <c r="Y4" i="11"/>
  <c r="B8" i="9"/>
  <c r="B8" i="12"/>
  <c r="B8" i="10"/>
  <c r="B8" i="11"/>
  <c r="S4" i="6"/>
  <c r="N4" i="6"/>
  <c r="U4" i="6"/>
  <c r="O4" i="6"/>
  <c r="G4" i="6"/>
  <c r="M4" i="6"/>
  <c r="L4" i="6"/>
  <c r="Y4" i="6"/>
  <c r="K4" i="6"/>
  <c r="J4" i="6"/>
  <c r="I4" i="6"/>
  <c r="H4" i="6"/>
  <c r="Z4" i="6"/>
  <c r="Q4" i="6"/>
  <c r="F4" i="6"/>
  <c r="P4" i="6"/>
  <c r="X4" i="6"/>
  <c r="T4" i="6"/>
  <c r="R4" i="6"/>
  <c r="AA4" i="6"/>
  <c r="B6" i="6"/>
  <c r="B5" i="6"/>
  <c r="B4" i="6"/>
  <c r="B10" i="6"/>
  <c r="B9" i="6"/>
  <c r="B8" i="6"/>
  <c r="B7" i="6"/>
  <c r="U13" i="5"/>
  <c r="D18" i="5"/>
  <c r="F18" i="5" s="1"/>
  <c r="AH4" i="9" l="1"/>
  <c r="AL4" i="12"/>
  <c r="AH4" i="10"/>
  <c r="AH4" i="11"/>
  <c r="V4" i="6"/>
  <c r="I101" i="2"/>
  <c r="I102" i="2"/>
  <c r="I103" i="2"/>
  <c r="I104" i="2"/>
  <c r="I105" i="2"/>
  <c r="I106" i="2"/>
  <c r="D67" i="2" a="1"/>
  <c r="D67" i="2" s="1"/>
  <c r="F101" i="2"/>
  <c r="F102" i="2"/>
  <c r="F103" i="2"/>
  <c r="F104" i="2"/>
  <c r="F105" i="2"/>
  <c r="F100" i="2"/>
  <c r="G103" i="2"/>
  <c r="G104" i="2"/>
  <c r="E101" i="2"/>
  <c r="E102" i="2"/>
  <c r="E103" i="2"/>
  <c r="E104" i="2"/>
  <c r="E105" i="2"/>
  <c r="E8" i="9" l="1"/>
  <c r="AM8" i="9" s="1"/>
  <c r="E8" i="12"/>
  <c r="E8" i="11"/>
  <c r="E8" i="10"/>
  <c r="E9" i="9"/>
  <c r="Y9" i="9" s="1"/>
  <c r="E9" i="11"/>
  <c r="E9" i="10"/>
  <c r="E9" i="12"/>
  <c r="E7" i="9"/>
  <c r="V7" i="9" s="1"/>
  <c r="E7" i="11"/>
  <c r="E7" i="12"/>
  <c r="E7" i="10"/>
  <c r="E6" i="9"/>
  <c r="G6" i="9" s="1"/>
  <c r="E6" i="11"/>
  <c r="E6" i="10"/>
  <c r="E6" i="12"/>
  <c r="E5" i="9"/>
  <c r="AB5" i="9" s="1"/>
  <c r="E5" i="11"/>
  <c r="E5" i="10"/>
  <c r="E5" i="12"/>
  <c r="AD9" i="9"/>
  <c r="T9" i="9"/>
  <c r="J9" i="9"/>
  <c r="K9" i="9" s="1"/>
  <c r="AM5" i="9"/>
  <c r="E9" i="6"/>
  <c r="Z9" i="6" s="1"/>
  <c r="E8" i="6"/>
  <c r="Z8" i="6" s="1"/>
  <c r="E7" i="6"/>
  <c r="Z7" i="6" s="1"/>
  <c r="E6" i="6"/>
  <c r="Z6" i="6" s="1"/>
  <c r="E5" i="6"/>
  <c r="Z5" i="6" s="1"/>
  <c r="B115" i="2"/>
  <c r="B131" i="2"/>
  <c r="B109" i="2"/>
  <c r="B121" i="2"/>
  <c r="B112" i="2"/>
  <c r="B113" i="2"/>
  <c r="B125" i="2"/>
  <c r="B107" i="2"/>
  <c r="B116" i="2"/>
  <c r="B132" i="2"/>
  <c r="B120" i="2"/>
  <c r="B122" i="2"/>
  <c r="B123" i="2"/>
  <c r="B124" i="2"/>
  <c r="B114" i="2"/>
  <c r="B117" i="2"/>
  <c r="B133" i="2"/>
  <c r="B108" i="2"/>
  <c r="B127" i="2"/>
  <c r="B129" i="2"/>
  <c r="B118" i="2"/>
  <c r="B134" i="2"/>
  <c r="B111" i="2"/>
  <c r="B126" i="2"/>
  <c r="B128" i="2"/>
  <c r="B119" i="2"/>
  <c r="B110" i="2"/>
  <c r="C76" i="2"/>
  <c r="B130" i="2"/>
  <c r="G9" i="9" l="1"/>
  <c r="AL9" i="9"/>
  <c r="U9" i="9"/>
  <c r="AC9" i="9"/>
  <c r="AF9" i="9"/>
  <c r="R9" i="9"/>
  <c r="V9" i="9"/>
  <c r="X9" i="9"/>
  <c r="Y5" i="9"/>
  <c r="Z9" i="9"/>
  <c r="AM9" i="9"/>
  <c r="W9" i="9"/>
  <c r="AE9" i="9"/>
  <c r="V6" i="9"/>
  <c r="AI9" i="9"/>
  <c r="AM6" i="9"/>
  <c r="AD6" i="9"/>
  <c r="AM7" i="9"/>
  <c r="S9" i="9"/>
  <c r="AA9" i="9"/>
  <c r="AA8" i="9"/>
  <c r="S5" i="9"/>
  <c r="AJ6" i="9"/>
  <c r="X8" i="9"/>
  <c r="AJ5" i="9"/>
  <c r="AK6" i="9"/>
  <c r="F8" i="9"/>
  <c r="T5" i="9"/>
  <c r="G8" i="9"/>
  <c r="G5" i="9"/>
  <c r="AJ8" i="9"/>
  <c r="AG8" i="9"/>
  <c r="AG5" i="9"/>
  <c r="X5" i="9"/>
  <c r="AD8" i="9"/>
  <c r="Z8" i="9"/>
  <c r="AE8" i="9"/>
  <c r="AA5" i="9"/>
  <c r="AD5" i="9"/>
  <c r="W5" i="9"/>
  <c r="AH5" i="9" s="1"/>
  <c r="J8" i="9"/>
  <c r="K8" i="9" s="1"/>
  <c r="R8" i="9"/>
  <c r="T8" i="9"/>
  <c r="AI5" i="9"/>
  <c r="AF5" i="9"/>
  <c r="S8" i="9"/>
  <c r="AB8" i="9"/>
  <c r="Z5" i="9"/>
  <c r="F5" i="9"/>
  <c r="R5" i="9"/>
  <c r="AL8" i="9"/>
  <c r="AC5" i="9"/>
  <c r="V5" i="9"/>
  <c r="V8" i="9"/>
  <c r="AF8" i="9"/>
  <c r="AE5" i="9"/>
  <c r="AK5" i="9"/>
  <c r="AC8" i="9"/>
  <c r="J5" i="9"/>
  <c r="K5" i="9" s="1"/>
  <c r="AI6" i="9"/>
  <c r="U8" i="9"/>
  <c r="Y8" i="9"/>
  <c r="AL5" i="9"/>
  <c r="AK8" i="9"/>
  <c r="U5" i="9"/>
  <c r="S6" i="9"/>
  <c r="AI8" i="9"/>
  <c r="X6" i="9"/>
  <c r="AC6" i="9"/>
  <c r="W8" i="9"/>
  <c r="AB9" i="9"/>
  <c r="T6" i="9"/>
  <c r="AK9" i="9"/>
  <c r="J7" i="9"/>
  <c r="K7" i="9" s="1"/>
  <c r="R7" i="9"/>
  <c r="AD7" i="9"/>
  <c r="Y7" i="9"/>
  <c r="T7" i="9"/>
  <c r="AL7" i="9"/>
  <c r="AF7" i="9"/>
  <c r="G7" i="9"/>
  <c r="X7" i="9"/>
  <c r="AC7" i="9"/>
  <c r="W7" i="9"/>
  <c r="AB7" i="9"/>
  <c r="AI7" i="9"/>
  <c r="AE7" i="9"/>
  <c r="S7" i="9"/>
  <c r="AG7" i="9"/>
  <c r="AK7" i="9"/>
  <c r="F7" i="9"/>
  <c r="U7" i="9"/>
  <c r="F9" i="9"/>
  <c r="AF6" i="9"/>
  <c r="AG9" i="9"/>
  <c r="AJ9" i="9"/>
  <c r="R6" i="9"/>
  <c r="B14" i="9"/>
  <c r="B14" i="12"/>
  <c r="B14" i="10"/>
  <c r="B14" i="11"/>
  <c r="B12" i="9"/>
  <c r="B12" i="12"/>
  <c r="B12" i="11"/>
  <c r="B12" i="10"/>
  <c r="B35" i="9"/>
  <c r="B35" i="11"/>
  <c r="B35" i="12"/>
  <c r="B35" i="10"/>
  <c r="B21" i="9"/>
  <c r="B21" i="11"/>
  <c r="B21" i="12"/>
  <c r="B21" i="10"/>
  <c r="B18" i="9"/>
  <c r="B18" i="12"/>
  <c r="B18" i="11"/>
  <c r="B18" i="10"/>
  <c r="AJ6" i="12"/>
  <c r="F6" i="12"/>
  <c r="AB6" i="12"/>
  <c r="AP6" i="12"/>
  <c r="W6" i="12"/>
  <c r="AM6" i="12"/>
  <c r="Y6" i="12"/>
  <c r="AF6" i="12"/>
  <c r="AO6" i="12"/>
  <c r="G6" i="12"/>
  <c r="AC6" i="12"/>
  <c r="J6" i="12"/>
  <c r="K6" i="12" s="1"/>
  <c r="AA6" i="12"/>
  <c r="AQ6" i="12"/>
  <c r="AE6" i="12"/>
  <c r="V6" i="12"/>
  <c r="AK6" i="12"/>
  <c r="X6" i="12"/>
  <c r="AN6" i="12"/>
  <c r="AI6" i="12"/>
  <c r="Z6" i="12"/>
  <c r="AD6" i="12"/>
  <c r="AH6" i="12"/>
  <c r="AG6" i="12"/>
  <c r="AE6" i="10"/>
  <c r="AI6" i="10"/>
  <c r="AG6" i="10"/>
  <c r="AF6" i="10"/>
  <c r="AD6" i="10"/>
  <c r="Y6" i="10"/>
  <c r="AB6" i="10"/>
  <c r="X6" i="10"/>
  <c r="T6" i="10"/>
  <c r="F6" i="10"/>
  <c r="S6" i="10"/>
  <c r="J6" i="10"/>
  <c r="K6" i="10" s="1"/>
  <c r="G6" i="10"/>
  <c r="AK6" i="10"/>
  <c r="R6" i="10"/>
  <c r="W6" i="10"/>
  <c r="AM6" i="10"/>
  <c r="V6" i="10"/>
  <c r="AL6" i="10"/>
  <c r="AA6" i="10"/>
  <c r="AC6" i="10"/>
  <c r="AJ6" i="10"/>
  <c r="Z6" i="10"/>
  <c r="U6" i="10"/>
  <c r="B28" i="9"/>
  <c r="B28" i="12"/>
  <c r="B28" i="10"/>
  <c r="B28" i="11"/>
  <c r="B34" i="9"/>
  <c r="B34" i="12"/>
  <c r="B34" i="10"/>
  <c r="B34" i="11"/>
  <c r="B27" i="9"/>
  <c r="B27" i="12"/>
  <c r="B27" i="11"/>
  <c r="B27" i="10"/>
  <c r="AA6" i="9"/>
  <c r="U6" i="9"/>
  <c r="AF6" i="11"/>
  <c r="AD6" i="11"/>
  <c r="V6" i="11"/>
  <c r="T6" i="11"/>
  <c r="AG6" i="11"/>
  <c r="Z6" i="11"/>
  <c r="Y6" i="11"/>
  <c r="U6" i="11"/>
  <c r="S6" i="11"/>
  <c r="R6" i="11"/>
  <c r="J6" i="11"/>
  <c r="K6" i="11" s="1"/>
  <c r="AK6" i="11"/>
  <c r="G6" i="11"/>
  <c r="AJ6" i="11"/>
  <c r="AI6" i="11"/>
  <c r="AE6" i="11"/>
  <c r="AC6" i="11"/>
  <c r="AB6" i="11"/>
  <c r="AA6" i="11"/>
  <c r="AL6" i="11"/>
  <c r="F6" i="11"/>
  <c r="X6" i="11"/>
  <c r="W6" i="11"/>
  <c r="AM6" i="11"/>
  <c r="B26" i="9"/>
  <c r="B26" i="11"/>
  <c r="B26" i="12"/>
  <c r="B26" i="10"/>
  <c r="Z7" i="10"/>
  <c r="AI7" i="10"/>
  <c r="AD7" i="10"/>
  <c r="AB7" i="10"/>
  <c r="AA7" i="10"/>
  <c r="S7" i="10"/>
  <c r="J7" i="10"/>
  <c r="K7" i="10" s="1"/>
  <c r="AK7" i="10"/>
  <c r="AF7" i="10"/>
  <c r="AC7" i="10"/>
  <c r="T7" i="10"/>
  <c r="W7" i="10"/>
  <c r="R7" i="10"/>
  <c r="AM7" i="10"/>
  <c r="AJ7" i="10"/>
  <c r="AG7" i="10"/>
  <c r="V7" i="10"/>
  <c r="AL7" i="10"/>
  <c r="F7" i="10"/>
  <c r="X7" i="10"/>
  <c r="G7" i="10"/>
  <c r="Y7" i="10"/>
  <c r="AE7" i="10"/>
  <c r="U7" i="10"/>
  <c r="B36" i="9"/>
  <c r="B36" i="12"/>
  <c r="B36" i="10"/>
  <c r="B36" i="11"/>
  <c r="AE7" i="12"/>
  <c r="AD7" i="12"/>
  <c r="G7" i="12"/>
  <c r="AM7" i="12"/>
  <c r="AK7" i="12"/>
  <c r="AI7" i="12"/>
  <c r="AJ7" i="12"/>
  <c r="AQ7" i="12"/>
  <c r="F7" i="12"/>
  <c r="AH7" i="12"/>
  <c r="X7" i="12"/>
  <c r="V7" i="12"/>
  <c r="Z7" i="12"/>
  <c r="AF7" i="12"/>
  <c r="AC7" i="12"/>
  <c r="Y7" i="12"/>
  <c r="AO7" i="12"/>
  <c r="AG7" i="12"/>
  <c r="AN7" i="12"/>
  <c r="AA7" i="12"/>
  <c r="W7" i="12"/>
  <c r="J7" i="12"/>
  <c r="K7" i="12" s="1"/>
  <c r="AP7" i="12"/>
  <c r="AB7" i="12"/>
  <c r="B23" i="9"/>
  <c r="B23" i="12"/>
  <c r="B23" i="11"/>
  <c r="B23" i="10"/>
  <c r="B32" i="9"/>
  <c r="B32" i="10"/>
  <c r="B32" i="12"/>
  <c r="B32" i="11"/>
  <c r="B20" i="9"/>
  <c r="B20" i="12"/>
  <c r="B20" i="11"/>
  <c r="B20" i="10"/>
  <c r="Y6" i="9"/>
  <c r="AA7" i="11"/>
  <c r="V7" i="11"/>
  <c r="AB7" i="11"/>
  <c r="F7" i="11"/>
  <c r="AF7" i="11"/>
  <c r="AC7" i="11"/>
  <c r="X7" i="11"/>
  <c r="R7" i="11"/>
  <c r="AJ7" i="11"/>
  <c r="AI7" i="11"/>
  <c r="AL7" i="11"/>
  <c r="AM7" i="11"/>
  <c r="Z7" i="11"/>
  <c r="AG7" i="11"/>
  <c r="G7" i="11"/>
  <c r="S7" i="11"/>
  <c r="Y7" i="11"/>
  <c r="T7" i="11"/>
  <c r="J7" i="11"/>
  <c r="K7" i="11" s="1"/>
  <c r="U7" i="11"/>
  <c r="AE7" i="11"/>
  <c r="AK7" i="11"/>
  <c r="AD7" i="11"/>
  <c r="W7" i="11"/>
  <c r="B24" i="9"/>
  <c r="B24" i="12"/>
  <c r="B24" i="11"/>
  <c r="B24" i="10"/>
  <c r="B30" i="9"/>
  <c r="B30" i="12"/>
  <c r="B30" i="11"/>
  <c r="B30" i="10"/>
  <c r="B11" i="9"/>
  <c r="B11" i="12"/>
  <c r="B11" i="11"/>
  <c r="B11" i="10"/>
  <c r="Z6" i="9"/>
  <c r="B29" i="9"/>
  <c r="B29" i="10"/>
  <c r="B29" i="12"/>
  <c r="B29" i="11"/>
  <c r="AJ9" i="12"/>
  <c r="X9" i="12"/>
  <c r="V9" i="12"/>
  <c r="AN9" i="12"/>
  <c r="F9" i="12"/>
  <c r="J9" i="12"/>
  <c r="K9" i="12" s="1"/>
  <c r="Z9" i="12"/>
  <c r="AB9" i="12"/>
  <c r="AK9" i="12"/>
  <c r="AP9" i="12"/>
  <c r="AH9" i="12"/>
  <c r="W9" i="12"/>
  <c r="AE9" i="12"/>
  <c r="AM9" i="12"/>
  <c r="Y9" i="12"/>
  <c r="G9" i="12"/>
  <c r="AO9" i="12"/>
  <c r="AC9" i="12"/>
  <c r="AQ9" i="12"/>
  <c r="AG9" i="12"/>
  <c r="AF9" i="12"/>
  <c r="AI9" i="12"/>
  <c r="AD9" i="12"/>
  <c r="AA9" i="12"/>
  <c r="B15" i="9"/>
  <c r="B15" i="12"/>
  <c r="B15" i="11"/>
  <c r="B15" i="10"/>
  <c r="B38" i="9"/>
  <c r="B38" i="12"/>
  <c r="B38" i="11"/>
  <c r="B38" i="10"/>
  <c r="B17" i="9"/>
  <c r="B17" i="12"/>
  <c r="B17" i="11"/>
  <c r="B17" i="10"/>
  <c r="AB6" i="9"/>
  <c r="AJ7" i="9"/>
  <c r="AE9" i="10"/>
  <c r="S9" i="10"/>
  <c r="R9" i="10"/>
  <c r="G9" i="10"/>
  <c r="F9" i="10"/>
  <c r="AI9" i="10"/>
  <c r="AD9" i="10"/>
  <c r="AG9" i="10"/>
  <c r="AF9" i="10"/>
  <c r="X9" i="10"/>
  <c r="AB9" i="10"/>
  <c r="Y9" i="10"/>
  <c r="T9" i="10"/>
  <c r="Z9" i="10"/>
  <c r="U9" i="10"/>
  <c r="AK9" i="10"/>
  <c r="W9" i="10"/>
  <c r="AM9" i="10"/>
  <c r="V9" i="10"/>
  <c r="AL9" i="10"/>
  <c r="J9" i="10"/>
  <c r="K9" i="10" s="1"/>
  <c r="AA9" i="10"/>
  <c r="AJ9" i="10"/>
  <c r="AC9" i="10"/>
  <c r="B16" i="9"/>
  <c r="B16" i="11"/>
  <c r="B16" i="12"/>
  <c r="B16" i="10"/>
  <c r="AF9" i="11"/>
  <c r="AC9" i="11"/>
  <c r="U9" i="11"/>
  <c r="S9" i="11"/>
  <c r="AE9" i="11"/>
  <c r="G9" i="11"/>
  <c r="AK9" i="11"/>
  <c r="AI9" i="11"/>
  <c r="AG9" i="11"/>
  <c r="AD9" i="11"/>
  <c r="AB9" i="11"/>
  <c r="AA9" i="11"/>
  <c r="Z9" i="11"/>
  <c r="Y9" i="11"/>
  <c r="V9" i="11"/>
  <c r="T9" i="11"/>
  <c r="R9" i="11"/>
  <c r="J9" i="11"/>
  <c r="K9" i="11" s="1"/>
  <c r="AJ9" i="11"/>
  <c r="AM9" i="11"/>
  <c r="AL9" i="11"/>
  <c r="F9" i="11"/>
  <c r="X9" i="11"/>
  <c r="W9" i="11"/>
  <c r="B25" i="9"/>
  <c r="B25" i="12"/>
  <c r="B25" i="10"/>
  <c r="B25" i="11"/>
  <c r="AG6" i="9"/>
  <c r="Z7" i="9"/>
  <c r="AA7" i="9"/>
  <c r="B22" i="9"/>
  <c r="B22" i="12"/>
  <c r="B22" i="11"/>
  <c r="B22" i="10"/>
  <c r="B33" i="9"/>
  <c r="B33" i="12"/>
  <c r="B33" i="10"/>
  <c r="B33" i="11"/>
  <c r="B31" i="9"/>
  <c r="B31" i="12"/>
  <c r="B31" i="10"/>
  <c r="B31" i="11"/>
  <c r="B13" i="9"/>
  <c r="B13" i="11"/>
  <c r="B13" i="10"/>
  <c r="B13" i="12"/>
  <c r="AL6" i="9"/>
  <c r="J6" i="9"/>
  <c r="K6" i="9" s="1"/>
  <c r="AE5" i="12"/>
  <c r="G5" i="12"/>
  <c r="AK5" i="12"/>
  <c r="AH5" i="12"/>
  <c r="AF5" i="12"/>
  <c r="X5" i="12"/>
  <c r="W5" i="12"/>
  <c r="AN5" i="12"/>
  <c r="AB5" i="12"/>
  <c r="AI5" i="12"/>
  <c r="F5" i="12"/>
  <c r="Z5" i="12"/>
  <c r="V5" i="12"/>
  <c r="Y5" i="12"/>
  <c r="AC5" i="12"/>
  <c r="AD5" i="12"/>
  <c r="AG5" i="12"/>
  <c r="AO5" i="12"/>
  <c r="J5" i="12"/>
  <c r="K5" i="12" s="1"/>
  <c r="AA5" i="12"/>
  <c r="AJ5" i="12"/>
  <c r="AQ5" i="12"/>
  <c r="AM5" i="12"/>
  <c r="AP5" i="12"/>
  <c r="AL8" i="10"/>
  <c r="R8" i="10"/>
  <c r="U8" i="10"/>
  <c r="AF8" i="10"/>
  <c r="AK8" i="10"/>
  <c r="V8" i="10"/>
  <c r="J8" i="10"/>
  <c r="K8" i="10" s="1"/>
  <c r="F8" i="10"/>
  <c r="AA8" i="10"/>
  <c r="X8" i="10"/>
  <c r="AE8" i="10"/>
  <c r="AC8" i="10"/>
  <c r="AB8" i="10"/>
  <c r="W8" i="10"/>
  <c r="AD8" i="10"/>
  <c r="AG8" i="10"/>
  <c r="Y8" i="10"/>
  <c r="S8" i="10"/>
  <c r="G8" i="10"/>
  <c r="AM8" i="10"/>
  <c r="Z8" i="10"/>
  <c r="AI8" i="10"/>
  <c r="AJ8" i="10"/>
  <c r="T8" i="10"/>
  <c r="AL8" i="11"/>
  <c r="G8" i="11"/>
  <c r="AB8" i="11"/>
  <c r="R8" i="11"/>
  <c r="W8" i="11"/>
  <c r="U8" i="11"/>
  <c r="AM8" i="11"/>
  <c r="AK8" i="11"/>
  <c r="AD8" i="11"/>
  <c r="T8" i="11"/>
  <c r="AE8" i="11"/>
  <c r="AJ8" i="11"/>
  <c r="V8" i="11"/>
  <c r="Z8" i="11"/>
  <c r="AF8" i="11"/>
  <c r="Y8" i="11"/>
  <c r="F8" i="11"/>
  <c r="J8" i="11"/>
  <c r="K8" i="11" s="1"/>
  <c r="AC8" i="11"/>
  <c r="AG8" i="11"/>
  <c r="X8" i="11"/>
  <c r="AA8" i="11"/>
  <c r="AI8" i="11"/>
  <c r="S8" i="11"/>
  <c r="AJ5" i="10"/>
  <c r="G5" i="10"/>
  <c r="F5" i="10"/>
  <c r="AK5" i="10"/>
  <c r="AI5" i="10"/>
  <c r="AG5" i="10"/>
  <c r="AD5" i="10"/>
  <c r="AC5" i="10"/>
  <c r="Y5" i="10"/>
  <c r="X5" i="10"/>
  <c r="S5" i="10"/>
  <c r="V5" i="10"/>
  <c r="U5" i="10"/>
  <c r="AM5" i="10"/>
  <c r="AB5" i="10"/>
  <c r="J5" i="10"/>
  <c r="K5" i="10" s="1"/>
  <c r="AA5" i="10"/>
  <c r="AF5" i="10"/>
  <c r="AL5" i="10"/>
  <c r="R5" i="10"/>
  <c r="AE5" i="10"/>
  <c r="Z5" i="10"/>
  <c r="W5" i="10"/>
  <c r="T5" i="10"/>
  <c r="B37" i="9"/>
  <c r="B37" i="10"/>
  <c r="B37" i="12"/>
  <c r="B37" i="11"/>
  <c r="B19" i="9"/>
  <c r="B19" i="12"/>
  <c r="B19" i="10"/>
  <c r="B19" i="11"/>
  <c r="AE6" i="9"/>
  <c r="F6" i="9"/>
  <c r="AK5" i="11"/>
  <c r="Z5" i="11"/>
  <c r="R5" i="11"/>
  <c r="AF5" i="11"/>
  <c r="V5" i="11"/>
  <c r="W5" i="11"/>
  <c r="AL5" i="11"/>
  <c r="G5" i="11"/>
  <c r="AC5" i="11"/>
  <c r="X5" i="11"/>
  <c r="AA5" i="11"/>
  <c r="S5" i="11"/>
  <c r="AJ5" i="11"/>
  <c r="AI5" i="11"/>
  <c r="AD5" i="11"/>
  <c r="U5" i="11"/>
  <c r="AE5" i="11"/>
  <c r="Y5" i="11"/>
  <c r="F5" i="11"/>
  <c r="AB5" i="11"/>
  <c r="AM5" i="11"/>
  <c r="AG5" i="11"/>
  <c r="J5" i="11"/>
  <c r="K5" i="11" s="1"/>
  <c r="T5" i="11"/>
  <c r="AA8" i="12"/>
  <c r="F8" i="12"/>
  <c r="AD8" i="12"/>
  <c r="AB8" i="12"/>
  <c r="AJ8" i="12"/>
  <c r="AH8" i="12"/>
  <c r="AF8" i="12"/>
  <c r="X8" i="12"/>
  <c r="G8" i="12"/>
  <c r="AC8" i="12"/>
  <c r="J8" i="12"/>
  <c r="K8" i="12" s="1"/>
  <c r="AE8" i="12"/>
  <c r="AM8" i="12"/>
  <c r="AG8" i="12"/>
  <c r="AP8" i="12"/>
  <c r="AK8" i="12"/>
  <c r="AO8" i="12"/>
  <c r="AI8" i="12"/>
  <c r="V8" i="12"/>
  <c r="Y8" i="12"/>
  <c r="Z8" i="12"/>
  <c r="AQ8" i="12"/>
  <c r="AN8" i="12"/>
  <c r="W8" i="12"/>
  <c r="W6" i="9"/>
  <c r="AH8" i="9"/>
  <c r="AH9" i="9"/>
  <c r="R9" i="6"/>
  <c r="AA9" i="6"/>
  <c r="K9" i="6"/>
  <c r="U9" i="6"/>
  <c r="O9" i="6"/>
  <c r="I6" i="6"/>
  <c r="O6" i="6"/>
  <c r="P6" i="6"/>
  <c r="L6" i="6"/>
  <c r="U6" i="6"/>
  <c r="R6" i="6"/>
  <c r="X6" i="6"/>
  <c r="X8" i="6"/>
  <c r="Q6" i="6"/>
  <c r="M6" i="6"/>
  <c r="Y6" i="6"/>
  <c r="H6" i="6"/>
  <c r="F8" i="6"/>
  <c r="W8" i="6"/>
  <c r="F5" i="6"/>
  <c r="AA8" i="6"/>
  <c r="Y8" i="6"/>
  <c r="X5" i="6"/>
  <c r="P8" i="6"/>
  <c r="M8" i="6"/>
  <c r="N8" i="6"/>
  <c r="O8" i="6"/>
  <c r="J8" i="6"/>
  <c r="L8" i="6"/>
  <c r="I8" i="6"/>
  <c r="H8" i="6"/>
  <c r="W6" i="6"/>
  <c r="G8" i="6"/>
  <c r="G6" i="6"/>
  <c r="T8" i="6"/>
  <c r="S8" i="6"/>
  <c r="S5" i="6"/>
  <c r="K6" i="6"/>
  <c r="R8" i="6"/>
  <c r="Y5" i="6"/>
  <c r="S9" i="6"/>
  <c r="Q9" i="6"/>
  <c r="T9" i="6"/>
  <c r="W9" i="6"/>
  <c r="P5" i="6"/>
  <c r="F6" i="6"/>
  <c r="Q8" i="6"/>
  <c r="O5" i="6"/>
  <c r="H9" i="6"/>
  <c r="J9" i="6"/>
  <c r="R5" i="6"/>
  <c r="H7" i="6"/>
  <c r="I5" i="6"/>
  <c r="N6" i="6"/>
  <c r="U8" i="6"/>
  <c r="N9" i="6"/>
  <c r="H5" i="6"/>
  <c r="M9" i="6"/>
  <c r="G9" i="6"/>
  <c r="Y9" i="6"/>
  <c r="K5" i="6"/>
  <c r="F9" i="6"/>
  <c r="J5" i="6"/>
  <c r="L9" i="6"/>
  <c r="U5" i="6"/>
  <c r="X9" i="6"/>
  <c r="Y7" i="6"/>
  <c r="O7" i="6"/>
  <c r="F7" i="6"/>
  <c r="T5" i="6"/>
  <c r="P7" i="6"/>
  <c r="S7" i="6"/>
  <c r="I7" i="6"/>
  <c r="K8" i="6"/>
  <c r="P9" i="6"/>
  <c r="N5" i="6"/>
  <c r="W7" i="6"/>
  <c r="J7" i="6"/>
  <c r="I9" i="6"/>
  <c r="G5" i="6"/>
  <c r="W5" i="6"/>
  <c r="B32" i="6"/>
  <c r="B15" i="6"/>
  <c r="B12" i="6"/>
  <c r="B35" i="6"/>
  <c r="K7" i="6"/>
  <c r="B21" i="6"/>
  <c r="B19" i="6"/>
  <c r="B27" i="6"/>
  <c r="U7" i="6"/>
  <c r="G7" i="6"/>
  <c r="AA5" i="6"/>
  <c r="B26" i="6"/>
  <c r="R7" i="6"/>
  <c r="B24" i="6"/>
  <c r="Q7" i="6"/>
  <c r="B28" i="6"/>
  <c r="B34" i="6"/>
  <c r="B14" i="6"/>
  <c r="B23" i="6"/>
  <c r="B36" i="6"/>
  <c r="B20" i="6"/>
  <c r="T7" i="6"/>
  <c r="B37" i="6"/>
  <c r="B30" i="6"/>
  <c r="B11" i="6"/>
  <c r="B29" i="6"/>
  <c r="B38" i="6"/>
  <c r="B22" i="6"/>
  <c r="B16" i="6"/>
  <c r="T6" i="6"/>
  <c r="M7" i="6"/>
  <c r="M5" i="6"/>
  <c r="AA6" i="6"/>
  <c r="B18" i="6"/>
  <c r="B33" i="6"/>
  <c r="B25" i="6"/>
  <c r="S6" i="6"/>
  <c r="L7" i="6"/>
  <c r="L5" i="6"/>
  <c r="X7" i="6"/>
  <c r="B17" i="6"/>
  <c r="B31" i="6"/>
  <c r="B13" i="6"/>
  <c r="J6" i="6"/>
  <c r="N7" i="6"/>
  <c r="Q5" i="6"/>
  <c r="AA7" i="6"/>
  <c r="C17" i="3"/>
  <c r="D17" i="3" s="1"/>
  <c r="F17" i="3" s="1"/>
  <c r="W15" i="3"/>
  <c r="X16" i="3" s="1"/>
  <c r="X17" i="3" s="1"/>
  <c r="V18" i="3"/>
  <c r="M6" i="3"/>
  <c r="S12" i="3"/>
  <c r="V12" i="3" s="1"/>
  <c r="T12" i="3"/>
  <c r="W12" i="3" s="1"/>
  <c r="R12" i="3"/>
  <c r="U12" i="3" s="1"/>
  <c r="G4" i="3"/>
  <c r="J4" i="3" s="1"/>
  <c r="O5" i="3"/>
  <c r="O6" i="3"/>
  <c r="O7" i="3"/>
  <c r="O8" i="3"/>
  <c r="O9" i="3"/>
  <c r="O10" i="3"/>
  <c r="O11" i="3"/>
  <c r="O12" i="3"/>
  <c r="N5" i="3"/>
  <c r="N6" i="3"/>
  <c r="N7" i="3"/>
  <c r="N8" i="3"/>
  <c r="N9" i="3"/>
  <c r="N10" i="3"/>
  <c r="N11" i="3"/>
  <c r="N12" i="3"/>
  <c r="O4" i="3"/>
  <c r="N4" i="3"/>
  <c r="M5" i="3"/>
  <c r="M7" i="3"/>
  <c r="M8" i="3"/>
  <c r="M9" i="3"/>
  <c r="M10" i="3"/>
  <c r="M11" i="3"/>
  <c r="M12" i="3"/>
  <c r="M4" i="3"/>
  <c r="F11" i="3"/>
  <c r="I11" i="3" s="1"/>
  <c r="F5" i="3"/>
  <c r="I5" i="3" s="1"/>
  <c r="F6" i="3"/>
  <c r="I6" i="3" s="1"/>
  <c r="F7" i="3"/>
  <c r="I7" i="3" s="1"/>
  <c r="F8" i="3"/>
  <c r="I8" i="3" s="1"/>
  <c r="F9" i="3"/>
  <c r="I9" i="3" s="1"/>
  <c r="L9" i="3" s="1"/>
  <c r="F10" i="3"/>
  <c r="I10" i="3" s="1"/>
  <c r="L10" i="3" s="1"/>
  <c r="F4" i="3"/>
  <c r="I4" i="3" s="1"/>
  <c r="E5" i="3"/>
  <c r="H5" i="3" s="1"/>
  <c r="S5" i="3" s="1"/>
  <c r="V5" i="3" s="1"/>
  <c r="E6" i="3"/>
  <c r="H6" i="3" s="1"/>
  <c r="E7" i="3"/>
  <c r="H7" i="3" s="1"/>
  <c r="E8" i="3"/>
  <c r="H8" i="3" s="1"/>
  <c r="E9" i="3"/>
  <c r="H9" i="3" s="1"/>
  <c r="K9" i="3" s="1"/>
  <c r="E10" i="3"/>
  <c r="H10" i="3" s="1"/>
  <c r="S10" i="3" s="1"/>
  <c r="V10" i="3" s="1"/>
  <c r="E11" i="3"/>
  <c r="H11" i="3" s="1"/>
  <c r="E4" i="3"/>
  <c r="H4" i="3" s="1"/>
  <c r="D5" i="3"/>
  <c r="G5" i="3" s="1"/>
  <c r="J5" i="3" s="1"/>
  <c r="D6" i="3"/>
  <c r="G6" i="3" s="1"/>
  <c r="R6" i="3" s="1"/>
  <c r="D7" i="3"/>
  <c r="G7" i="3" s="1"/>
  <c r="D8" i="3"/>
  <c r="G8" i="3" s="1"/>
  <c r="J8" i="3" s="1"/>
  <c r="D9" i="3"/>
  <c r="G9" i="3" s="1"/>
  <c r="J9" i="3" s="1"/>
  <c r="D10" i="3"/>
  <c r="G10" i="3" s="1"/>
  <c r="D11" i="3"/>
  <c r="G11" i="3" s="1"/>
  <c r="C77" i="2"/>
  <c r="J6" i="2"/>
  <c r="D17" i="2"/>
  <c r="D31" i="2" s="1"/>
  <c r="E17" i="2"/>
  <c r="E26" i="2" s="1"/>
  <c r="F17" i="2"/>
  <c r="F22" i="2" s="1"/>
  <c r="G17" i="2"/>
  <c r="G31" i="2" s="1"/>
  <c r="H17" i="2"/>
  <c r="H27" i="2" s="1"/>
  <c r="I17" i="2"/>
  <c r="I22" i="2" s="1"/>
  <c r="C17" i="2"/>
  <c r="C24" i="2" s="1"/>
  <c r="C17" i="1"/>
  <c r="E15" i="1"/>
  <c r="E16" i="1"/>
  <c r="E17" i="1"/>
  <c r="E18" i="1"/>
  <c r="E19" i="1"/>
  <c r="E20" i="1"/>
  <c r="E21" i="1"/>
  <c r="E22" i="1"/>
  <c r="E23" i="1"/>
  <c r="E14" i="1"/>
  <c r="B22" i="1"/>
  <c r="G20" i="1" s="1"/>
  <c r="B21" i="1"/>
  <c r="C21" i="1" s="1"/>
  <c r="B20" i="1"/>
  <c r="C20" i="1" s="1"/>
  <c r="D15" i="1"/>
  <c r="C18" i="1"/>
  <c r="C13" i="1"/>
  <c r="A15" i="1" s="1"/>
  <c r="B15" i="1" s="1"/>
  <c r="C15" i="1" s="1"/>
  <c r="B6" i="1"/>
  <c r="D10" i="1"/>
  <c r="D9" i="1"/>
  <c r="B10" i="1"/>
  <c r="B9" i="1"/>
  <c r="B8" i="1"/>
  <c r="AH7" i="9" l="1"/>
  <c r="AL9" i="12"/>
  <c r="AH6" i="9"/>
  <c r="AH8" i="11"/>
  <c r="AL8" i="12"/>
  <c r="AH7" i="10"/>
  <c r="AH6" i="10"/>
  <c r="AH6" i="11"/>
  <c r="AL5" i="12"/>
  <c r="AH5" i="10"/>
  <c r="AH7" i="11"/>
  <c r="AL7" i="12"/>
  <c r="AH8" i="10"/>
  <c r="AL6" i="12"/>
  <c r="AH9" i="11"/>
  <c r="AH5" i="11"/>
  <c r="AH9" i="10"/>
  <c r="V8" i="6"/>
  <c r="V9" i="6"/>
  <c r="V7" i="6"/>
  <c r="V6" i="6"/>
  <c r="V5" i="6"/>
  <c r="R5" i="3"/>
  <c r="U5" i="3" s="1"/>
  <c r="E17" i="3"/>
  <c r="G17" i="3" s="1"/>
  <c r="S8" i="3"/>
  <c r="V8" i="3" s="1"/>
  <c r="K8" i="3"/>
  <c r="L7" i="3"/>
  <c r="T7" i="3"/>
  <c r="W7" i="3" s="1"/>
  <c r="R9" i="3"/>
  <c r="U9" i="3" s="1"/>
  <c r="L11" i="3"/>
  <c r="T11" i="3"/>
  <c r="W11" i="3" s="1"/>
  <c r="S4" i="3"/>
  <c r="V4" i="3" s="1"/>
  <c r="K4" i="3"/>
  <c r="S6" i="3"/>
  <c r="V6" i="3" s="1"/>
  <c r="K6" i="3"/>
  <c r="L4" i="3"/>
  <c r="T4" i="3"/>
  <c r="W4" i="3" s="1"/>
  <c r="R11" i="3"/>
  <c r="U11" i="3" s="1"/>
  <c r="J11" i="3"/>
  <c r="J10" i="3"/>
  <c r="R10" i="3"/>
  <c r="U10" i="3" s="1"/>
  <c r="S11" i="3"/>
  <c r="V11" i="3" s="1"/>
  <c r="K11" i="3"/>
  <c r="K7" i="3"/>
  <c r="S7" i="3"/>
  <c r="V7" i="3" s="1"/>
  <c r="L8" i="3"/>
  <c r="T8" i="3"/>
  <c r="W8" i="3" s="1"/>
  <c r="R7" i="3"/>
  <c r="U7" i="3" s="1"/>
  <c r="J7" i="3"/>
  <c r="T6" i="3"/>
  <c r="W6" i="3" s="1"/>
  <c r="L6" i="3"/>
  <c r="U6" i="3"/>
  <c r="J6" i="3"/>
  <c r="T5" i="3"/>
  <c r="W5" i="3" s="1"/>
  <c r="L5" i="3"/>
  <c r="T10" i="3"/>
  <c r="W10" i="3" s="1"/>
  <c r="S9" i="3"/>
  <c r="V9" i="3" s="1"/>
  <c r="T9" i="3"/>
  <c r="W9" i="3" s="1"/>
  <c r="R4" i="3"/>
  <c r="U4" i="3" s="1"/>
  <c r="K5" i="3"/>
  <c r="K10" i="3"/>
  <c r="R8" i="3"/>
  <c r="U8" i="3" s="1"/>
  <c r="D74" i="2"/>
  <c r="E74" i="2" s="1"/>
  <c r="D75" i="2"/>
  <c r="C78" i="2"/>
  <c r="D72" i="2"/>
  <c r="E72" i="2" s="1"/>
  <c r="D73" i="2"/>
  <c r="E73" i="2" s="1"/>
  <c r="I20" i="1"/>
  <c r="D71" i="2"/>
  <c r="E71" i="2" s="1"/>
  <c r="D70" i="2"/>
  <c r="E70" i="2" s="1"/>
  <c r="D69" i="2"/>
  <c r="E69" i="2" s="1"/>
  <c r="F28" i="2"/>
  <c r="C26" i="2"/>
  <c r="F21" i="2"/>
  <c r="F31" i="2"/>
  <c r="F30" i="2"/>
  <c r="F29" i="2"/>
  <c r="I18" i="1"/>
  <c r="G17" i="1"/>
  <c r="G29" i="2"/>
  <c r="C32" i="2"/>
  <c r="C31" i="2"/>
  <c r="G22" i="2"/>
  <c r="C29" i="2"/>
  <c r="C28" i="2"/>
  <c r="H21" i="2"/>
  <c r="G30" i="2"/>
  <c r="G28" i="2"/>
  <c r="G25" i="2"/>
  <c r="G24" i="2"/>
  <c r="G23" i="2"/>
  <c r="C30" i="2"/>
  <c r="G21" i="2"/>
  <c r="C27" i="2"/>
  <c r="H31" i="2"/>
  <c r="H24" i="2"/>
  <c r="H26" i="2"/>
  <c r="F25" i="2"/>
  <c r="H22" i="2"/>
  <c r="H25" i="2"/>
  <c r="F27" i="2"/>
  <c r="F26" i="2"/>
  <c r="H23" i="2"/>
  <c r="C21" i="2"/>
  <c r="F24" i="2"/>
  <c r="I27" i="2"/>
  <c r="E23" i="2"/>
  <c r="E22" i="2"/>
  <c r="E21" i="2"/>
  <c r="E31" i="2"/>
  <c r="E30" i="2"/>
  <c r="I21" i="2"/>
  <c r="E29" i="2"/>
  <c r="I30" i="2"/>
  <c r="E25" i="2"/>
  <c r="G27" i="2"/>
  <c r="I29" i="2"/>
  <c r="E24" i="2"/>
  <c r="G26" i="2"/>
  <c r="I28" i="2"/>
  <c r="I31" i="2"/>
  <c r="D27" i="2"/>
  <c r="D22" i="2"/>
  <c r="C25" i="2"/>
  <c r="C23" i="2"/>
  <c r="I25" i="2"/>
  <c r="C22" i="2"/>
  <c r="E28" i="2"/>
  <c r="F23" i="2"/>
  <c r="H29" i="2"/>
  <c r="I24" i="2"/>
  <c r="D30" i="2"/>
  <c r="D29" i="2"/>
  <c r="D28" i="2"/>
  <c r="D25" i="2"/>
  <c r="D24" i="2"/>
  <c r="D23" i="2"/>
  <c r="H30" i="2"/>
  <c r="D21" i="2"/>
  <c r="E27" i="2"/>
  <c r="H28" i="2"/>
  <c r="I23" i="2"/>
  <c r="D26" i="2"/>
  <c r="I26" i="2"/>
  <c r="H20" i="1"/>
  <c r="I22" i="1"/>
  <c r="I15" i="1"/>
  <c r="H14" i="1"/>
  <c r="J18" i="1"/>
  <c r="H23" i="1"/>
  <c r="H22" i="1"/>
  <c r="H21" i="1"/>
  <c r="I21" i="1"/>
  <c r="J22" i="1"/>
  <c r="J20" i="1"/>
  <c r="K18" i="1"/>
  <c r="K19" i="1"/>
  <c r="K21" i="1"/>
  <c r="J21" i="1"/>
  <c r="K20" i="1"/>
  <c r="J19" i="1"/>
  <c r="I19" i="1"/>
  <c r="G16" i="1"/>
  <c r="I23" i="1"/>
  <c r="G14" i="1"/>
  <c r="I17" i="1"/>
  <c r="I16" i="1"/>
  <c r="G19" i="1"/>
  <c r="G15" i="1"/>
  <c r="K22" i="1"/>
  <c r="G18" i="1"/>
  <c r="G22" i="1"/>
  <c r="H19" i="1"/>
  <c r="K17" i="1"/>
  <c r="J17" i="1"/>
  <c r="H17" i="1"/>
  <c r="K14" i="1"/>
  <c r="K16" i="1"/>
  <c r="G23" i="1"/>
  <c r="H16" i="1"/>
  <c r="J14" i="1"/>
  <c r="J16" i="1"/>
  <c r="H15" i="1"/>
  <c r="K23" i="1"/>
  <c r="K15" i="1"/>
  <c r="G21" i="1"/>
  <c r="I14" i="1"/>
  <c r="J23" i="1"/>
  <c r="J15" i="1"/>
  <c r="H18" i="1"/>
  <c r="E75" i="2" l="1"/>
  <c r="H134" i="2" s="1"/>
  <c r="G32" i="2"/>
  <c r="E32" i="2"/>
  <c r="F32" i="2"/>
  <c r="I32" i="2"/>
  <c r="H32" i="2"/>
  <c r="D32" i="2"/>
  <c r="E106" i="2"/>
  <c r="E10" i="9" l="1"/>
  <c r="AK10" i="9" s="1"/>
  <c r="E10" i="11"/>
  <c r="E10" i="10"/>
  <c r="E10" i="12"/>
  <c r="E10" i="6"/>
  <c r="Z10" i="6" s="1"/>
  <c r="W5" i="5"/>
  <c r="D107" i="2"/>
  <c r="C107" i="2"/>
  <c r="H111" i="2"/>
  <c r="H113" i="2"/>
  <c r="H114" i="2"/>
  <c r="H125" i="2"/>
  <c r="H126" i="2"/>
  <c r="H127" i="2"/>
  <c r="H112" i="2"/>
  <c r="H115" i="2"/>
  <c r="H132" i="2"/>
  <c r="H109" i="2"/>
  <c r="H128" i="2"/>
  <c r="H129" i="2"/>
  <c r="H130" i="2"/>
  <c r="H131" i="2"/>
  <c r="H116" i="2"/>
  <c r="D76" i="2"/>
  <c r="H108" i="2"/>
  <c r="H124" i="2"/>
  <c r="H121" i="2"/>
  <c r="H120" i="2"/>
  <c r="H133" i="2"/>
  <c r="H117" i="2"/>
  <c r="H123" i="2"/>
  <c r="H122" i="2"/>
  <c r="H107" i="2"/>
  <c r="H119" i="2"/>
  <c r="H118" i="2"/>
  <c r="D78" i="2"/>
  <c r="D77" i="2"/>
  <c r="R10" i="9" l="1"/>
  <c r="X10" i="9"/>
  <c r="W10" i="9"/>
  <c r="U10" i="9"/>
  <c r="AL10" i="9"/>
  <c r="AD10" i="9"/>
  <c r="V10" i="9"/>
  <c r="F10" i="9"/>
  <c r="AI10" i="9"/>
  <c r="S10" i="9"/>
  <c r="AJ10" i="9"/>
  <c r="J10" i="9"/>
  <c r="K10" i="9" s="1"/>
  <c r="AF10" i="9"/>
  <c r="AA10" i="9"/>
  <c r="AE10" i="9"/>
  <c r="AB10" i="9"/>
  <c r="AG10" i="9"/>
  <c r="Z10" i="9"/>
  <c r="Y10" i="9"/>
  <c r="T10" i="9"/>
  <c r="AC10" i="9"/>
  <c r="AM10" i="9"/>
  <c r="C11" i="9"/>
  <c r="C11" i="12"/>
  <c r="C11" i="11"/>
  <c r="C11" i="10"/>
  <c r="E11" i="9"/>
  <c r="Y11" i="9" s="1"/>
  <c r="E11" i="12"/>
  <c r="E11" i="11"/>
  <c r="E11" i="10"/>
  <c r="D11" i="9"/>
  <c r="D11" i="12"/>
  <c r="D11" i="11"/>
  <c r="D11" i="10"/>
  <c r="G10" i="9"/>
  <c r="AQ10" i="12"/>
  <c r="F10" i="12"/>
  <c r="V10" i="12"/>
  <c r="AO10" i="12"/>
  <c r="W10" i="12"/>
  <c r="AG10" i="12"/>
  <c r="AF10" i="12"/>
  <c r="AN10" i="12"/>
  <c r="X10" i="12"/>
  <c r="Y10" i="12"/>
  <c r="G10" i="12"/>
  <c r="AH10" i="12"/>
  <c r="AI10" i="12"/>
  <c r="AK10" i="12"/>
  <c r="AJ10" i="12"/>
  <c r="AB10" i="12"/>
  <c r="Z10" i="12"/>
  <c r="AC10" i="12"/>
  <c r="AD10" i="12"/>
  <c r="J10" i="12"/>
  <c r="K10" i="12" s="1"/>
  <c r="AE10" i="12"/>
  <c r="AM10" i="12"/>
  <c r="AP10" i="12"/>
  <c r="AA10" i="12"/>
  <c r="AM10" i="10"/>
  <c r="AD10" i="10"/>
  <c r="G10" i="10"/>
  <c r="AC10" i="10"/>
  <c r="F10" i="10"/>
  <c r="AB10" i="10"/>
  <c r="AA10" i="10"/>
  <c r="Z10" i="10"/>
  <c r="X10" i="10"/>
  <c r="Y10" i="10"/>
  <c r="V10" i="10"/>
  <c r="U10" i="10"/>
  <c r="T10" i="10"/>
  <c r="R10" i="10"/>
  <c r="AE10" i="10"/>
  <c r="S10" i="10"/>
  <c r="J10" i="10"/>
  <c r="K10" i="10" s="1"/>
  <c r="AK10" i="10"/>
  <c r="AI10" i="10"/>
  <c r="AG10" i="10"/>
  <c r="AL10" i="10"/>
  <c r="AJ10" i="10"/>
  <c r="AF10" i="10"/>
  <c r="W10" i="10"/>
  <c r="Z10" i="11"/>
  <c r="AA10" i="11"/>
  <c r="W10" i="11"/>
  <c r="J10" i="11"/>
  <c r="K10" i="11" s="1"/>
  <c r="AB10" i="11"/>
  <c r="AE10" i="11"/>
  <c r="R10" i="11"/>
  <c r="V10" i="11"/>
  <c r="AL10" i="11"/>
  <c r="AF10" i="11"/>
  <c r="G10" i="11"/>
  <c r="Y10" i="11"/>
  <c r="S10" i="11"/>
  <c r="F10" i="11"/>
  <c r="AI10" i="11"/>
  <c r="X10" i="11"/>
  <c r="AD10" i="11"/>
  <c r="T10" i="11"/>
  <c r="AJ10" i="11"/>
  <c r="AC10" i="11"/>
  <c r="AM10" i="11"/>
  <c r="U10" i="11"/>
  <c r="AG10" i="11"/>
  <c r="AK10" i="11"/>
  <c r="F11" i="9"/>
  <c r="AF11" i="9"/>
  <c r="O10" i="6"/>
  <c r="M10" i="6"/>
  <c r="Q10" i="6"/>
  <c r="U10" i="6"/>
  <c r="T10" i="6"/>
  <c r="W10" i="6"/>
  <c r="R10" i="6"/>
  <c r="K10" i="6"/>
  <c r="L10" i="6"/>
  <c r="F10" i="6"/>
  <c r="S10" i="6"/>
  <c r="J10" i="6"/>
  <c r="I10" i="6"/>
  <c r="N10" i="6"/>
  <c r="H10" i="6"/>
  <c r="Y10" i="6"/>
  <c r="G10" i="6"/>
  <c r="P10" i="6"/>
  <c r="X10" i="6"/>
  <c r="D11" i="6"/>
  <c r="AA10" i="6"/>
  <c r="F106" i="2"/>
  <c r="C11" i="6"/>
  <c r="E108" i="2"/>
  <c r="E11" i="6"/>
  <c r="Z11" i="6" s="1"/>
  <c r="AC5" i="5"/>
  <c r="I107" i="2"/>
  <c r="M107" i="2"/>
  <c r="L107" i="2"/>
  <c r="J107" i="2"/>
  <c r="D108" i="2"/>
  <c r="C108" i="2"/>
  <c r="AA6" i="5"/>
  <c r="AG6" i="5" s="1"/>
  <c r="Y10" i="5"/>
  <c r="AE10" i="5" s="1"/>
  <c r="X7" i="5"/>
  <c r="AD7" i="5" s="1"/>
  <c r="AA10" i="5"/>
  <c r="AG10" i="5" s="1"/>
  <c r="AA5" i="5"/>
  <c r="AG5" i="5" s="1"/>
  <c r="Z7" i="5"/>
  <c r="AF7" i="5" s="1"/>
  <c r="Z10" i="5"/>
  <c r="AF10" i="5" s="1"/>
  <c r="W8" i="5"/>
  <c r="AC8" i="5" s="1"/>
  <c r="W9" i="5"/>
  <c r="AC9" i="5" s="1"/>
  <c r="W10" i="5"/>
  <c r="AC10" i="5" s="1"/>
  <c r="Y9" i="5"/>
  <c r="AE9" i="5" s="1"/>
  <c r="AA7" i="5"/>
  <c r="AG7" i="5" s="1"/>
  <c r="Y5" i="5"/>
  <c r="X8" i="5"/>
  <c r="AD8" i="5" s="1"/>
  <c r="X11" i="5"/>
  <c r="X5" i="5"/>
  <c r="Z9" i="5"/>
  <c r="AF9" i="5" s="1"/>
  <c r="W6" i="5"/>
  <c r="AC6" i="5" s="1"/>
  <c r="Z5" i="5"/>
  <c r="AF5" i="5" s="1"/>
  <c r="Y6" i="5"/>
  <c r="AE6" i="5" s="1"/>
  <c r="AA8" i="5"/>
  <c r="AG8" i="5" s="1"/>
  <c r="X6" i="5"/>
  <c r="AD6" i="5" s="1"/>
  <c r="AA9" i="5"/>
  <c r="AG9" i="5" s="1"/>
  <c r="X9" i="5"/>
  <c r="AD9" i="5" s="1"/>
  <c r="Z6" i="5"/>
  <c r="AF6" i="5" s="1"/>
  <c r="X10" i="5"/>
  <c r="AD10" i="5" s="1"/>
  <c r="Z8" i="5"/>
  <c r="AF8" i="5" s="1"/>
  <c r="W7" i="5"/>
  <c r="AC7" i="5" s="1"/>
  <c r="Y7" i="5"/>
  <c r="AE7" i="5" s="1"/>
  <c r="Y8" i="5"/>
  <c r="AE8" i="5" s="1"/>
  <c r="AI11" i="9" l="1"/>
  <c r="AK11" i="9"/>
  <c r="S11" i="9"/>
  <c r="AB11" i="9"/>
  <c r="X11" i="9"/>
  <c r="AJ11" i="9"/>
  <c r="AD11" i="9"/>
  <c r="J11" i="9"/>
  <c r="K11" i="9" s="1"/>
  <c r="T11" i="9"/>
  <c r="AE11" i="9"/>
  <c r="AL11" i="9"/>
  <c r="AM11" i="9"/>
  <c r="AG11" i="9"/>
  <c r="W11" i="9"/>
  <c r="G11" i="9"/>
  <c r="Z11" i="9"/>
  <c r="AC11" i="9"/>
  <c r="U11" i="9"/>
  <c r="V11" i="9"/>
  <c r="R11" i="9"/>
  <c r="AA11" i="9"/>
  <c r="AH10" i="9"/>
  <c r="AL10" i="12"/>
  <c r="C12" i="9"/>
  <c r="C12" i="12"/>
  <c r="C12" i="11"/>
  <c r="C12" i="10"/>
  <c r="D12" i="9"/>
  <c r="D12" i="12"/>
  <c r="D12" i="11"/>
  <c r="D12" i="10"/>
  <c r="AH10" i="10"/>
  <c r="AI11" i="10"/>
  <c r="AK11" i="10"/>
  <c r="U11" i="10"/>
  <c r="T11" i="10"/>
  <c r="AJ11" i="10"/>
  <c r="X11" i="10"/>
  <c r="AG11" i="10"/>
  <c r="S11" i="10"/>
  <c r="AD11" i="10"/>
  <c r="AB11" i="10"/>
  <c r="V11" i="10"/>
  <c r="AC11" i="10"/>
  <c r="AF11" i="10"/>
  <c r="AL11" i="10"/>
  <c r="G11" i="10"/>
  <c r="Y11" i="10"/>
  <c r="J11" i="10"/>
  <c r="K11" i="10" s="1"/>
  <c r="AA11" i="10"/>
  <c r="Z11" i="10"/>
  <c r="W11" i="10"/>
  <c r="AE11" i="10"/>
  <c r="AM11" i="10"/>
  <c r="F11" i="10"/>
  <c r="R11" i="10"/>
  <c r="AJ11" i="11"/>
  <c r="AK11" i="11"/>
  <c r="V11" i="11"/>
  <c r="S11" i="11"/>
  <c r="U11" i="11"/>
  <c r="G11" i="11"/>
  <c r="AI11" i="11"/>
  <c r="AG11" i="11"/>
  <c r="AF11" i="11"/>
  <c r="AE11" i="11"/>
  <c r="Y11" i="11"/>
  <c r="Z11" i="11"/>
  <c r="T11" i="11"/>
  <c r="AB11" i="11"/>
  <c r="R11" i="11"/>
  <c r="AC11" i="11"/>
  <c r="F11" i="11"/>
  <c r="X11" i="11"/>
  <c r="AD11" i="11"/>
  <c r="W11" i="11"/>
  <c r="AL11" i="11"/>
  <c r="AM11" i="11"/>
  <c r="J11" i="11"/>
  <c r="K11" i="11" s="1"/>
  <c r="AA11" i="11"/>
  <c r="AO11" i="12"/>
  <c r="W11" i="12"/>
  <c r="F11" i="12"/>
  <c r="Y11" i="12"/>
  <c r="AN11" i="12"/>
  <c r="Z11" i="12"/>
  <c r="AB11" i="12"/>
  <c r="AH11" i="12"/>
  <c r="AP11" i="12"/>
  <c r="AF11" i="12"/>
  <c r="AE11" i="12"/>
  <c r="AM11" i="12"/>
  <c r="AI11" i="12"/>
  <c r="AD11" i="12"/>
  <c r="J11" i="12"/>
  <c r="K11" i="12" s="1"/>
  <c r="AA11" i="12"/>
  <c r="AJ11" i="12"/>
  <c r="AQ11" i="12"/>
  <c r="V11" i="12"/>
  <c r="G11" i="12"/>
  <c r="AC11" i="12"/>
  <c r="AG11" i="12"/>
  <c r="AK11" i="12"/>
  <c r="X11" i="12"/>
  <c r="E12" i="9"/>
  <c r="AM12" i="9" s="1"/>
  <c r="E12" i="12"/>
  <c r="J12" i="12" s="1"/>
  <c r="J1" i="12" s="1"/>
  <c r="E12" i="11"/>
  <c r="E12" i="10"/>
  <c r="AH10" i="11"/>
  <c r="V10" i="6"/>
  <c r="C12" i="6"/>
  <c r="D12" i="6"/>
  <c r="E12" i="6"/>
  <c r="Z12" i="6" s="1"/>
  <c r="E109" i="2"/>
  <c r="AA11" i="6"/>
  <c r="X11" i="6"/>
  <c r="G11" i="6"/>
  <c r="J11" i="6"/>
  <c r="H11" i="6"/>
  <c r="I11" i="6"/>
  <c r="K11" i="6"/>
  <c r="N11" i="6"/>
  <c r="M11" i="6"/>
  <c r="W11" i="6"/>
  <c r="L11" i="6"/>
  <c r="F11" i="6"/>
  <c r="O11" i="6"/>
  <c r="Q11" i="6"/>
  <c r="U11" i="6"/>
  <c r="S11" i="6"/>
  <c r="T11" i="6"/>
  <c r="P11" i="6"/>
  <c r="R11" i="6"/>
  <c r="Y11" i="6"/>
  <c r="AD5" i="5"/>
  <c r="Y11" i="5"/>
  <c r="AE5" i="5"/>
  <c r="Z11" i="5"/>
  <c r="D109" i="2"/>
  <c r="J108" i="2"/>
  <c r="M108" i="2"/>
  <c r="L108" i="2"/>
  <c r="F107" i="2"/>
  <c r="I108" i="2"/>
  <c r="AH11" i="9" l="1"/>
  <c r="Z12" i="9"/>
  <c r="H12" i="9"/>
  <c r="I12" i="9" s="1"/>
  <c r="Y12" i="9"/>
  <c r="AL12" i="9"/>
  <c r="W12" i="9"/>
  <c r="S12" i="9"/>
  <c r="J12" i="9"/>
  <c r="K12" i="9" s="1"/>
  <c r="M12" i="9" s="1"/>
  <c r="O12" i="12" s="1"/>
  <c r="T12" i="9"/>
  <c r="AD12" i="9"/>
  <c r="AK12" i="9"/>
  <c r="AI12" i="9"/>
  <c r="R12" i="9"/>
  <c r="U12" i="9"/>
  <c r="AJ12" i="9"/>
  <c r="D13" i="9"/>
  <c r="D13" i="11"/>
  <c r="D13" i="10"/>
  <c r="D13" i="12"/>
  <c r="AC12" i="9"/>
  <c r="F12" i="9"/>
  <c r="AG12" i="9"/>
  <c r="AF12" i="9"/>
  <c r="AL11" i="12"/>
  <c r="V12" i="9"/>
  <c r="AA12" i="9"/>
  <c r="X12" i="9"/>
  <c r="AB12" i="9"/>
  <c r="E13" i="9"/>
  <c r="AF13" i="9" s="1"/>
  <c r="E13" i="11"/>
  <c r="E13" i="12"/>
  <c r="E13" i="10"/>
  <c r="AE12" i="9"/>
  <c r="AD12" i="10"/>
  <c r="AE12" i="10"/>
  <c r="AG12" i="10"/>
  <c r="R12" i="10"/>
  <c r="Y12" i="10"/>
  <c r="AB12" i="10"/>
  <c r="J12" i="10"/>
  <c r="AA12" i="10"/>
  <c r="AC12" i="10"/>
  <c r="G12" i="10"/>
  <c r="F12" i="10"/>
  <c r="X12" i="10"/>
  <c r="Z12" i="10"/>
  <c r="AF12" i="10"/>
  <c r="W12" i="10"/>
  <c r="S12" i="10"/>
  <c r="AM12" i="10"/>
  <c r="AI12" i="10"/>
  <c r="U12" i="10"/>
  <c r="AK12" i="10"/>
  <c r="T12" i="10"/>
  <c r="AJ12" i="10"/>
  <c r="V12" i="10"/>
  <c r="AL12" i="10"/>
  <c r="H12" i="10"/>
  <c r="I12" i="10" s="1"/>
  <c r="AD12" i="11"/>
  <c r="X12" i="11"/>
  <c r="AK12" i="11"/>
  <c r="AG12" i="11"/>
  <c r="H12" i="11"/>
  <c r="I12" i="11" s="1"/>
  <c r="Z12" i="11"/>
  <c r="T12" i="11"/>
  <c r="S12" i="11"/>
  <c r="R12" i="11"/>
  <c r="J12" i="11"/>
  <c r="G12" i="11"/>
  <c r="AM12" i="11"/>
  <c r="F12" i="11"/>
  <c r="AI12" i="11"/>
  <c r="AF12" i="11"/>
  <c r="AE12" i="11"/>
  <c r="AC12" i="11"/>
  <c r="AB12" i="11"/>
  <c r="AA12" i="11"/>
  <c r="Y12" i="11"/>
  <c r="W12" i="11"/>
  <c r="U12" i="11"/>
  <c r="AJ12" i="11"/>
  <c r="V12" i="11"/>
  <c r="AL12" i="11"/>
  <c r="G12" i="9"/>
  <c r="AH12" i="12"/>
  <c r="AF12" i="12"/>
  <c r="F12" i="12"/>
  <c r="AI12" i="12"/>
  <c r="AO12" i="12"/>
  <c r="AJ12" i="12"/>
  <c r="AC12" i="12"/>
  <c r="AK12" i="12"/>
  <c r="X12" i="12"/>
  <c r="AA12" i="12"/>
  <c r="G12" i="12"/>
  <c r="H12" i="12"/>
  <c r="I12" i="12" s="1"/>
  <c r="AN12" i="12"/>
  <c r="W12" i="12"/>
  <c r="AB12" i="12"/>
  <c r="AQ12" i="12"/>
  <c r="Y12" i="12"/>
  <c r="V12" i="12"/>
  <c r="AD12" i="12"/>
  <c r="AG12" i="12"/>
  <c r="AM12" i="12"/>
  <c r="K12" i="12"/>
  <c r="Z12" i="12"/>
  <c r="AE12" i="12"/>
  <c r="AP12" i="12"/>
  <c r="C13" i="9"/>
  <c r="C13" i="11"/>
  <c r="C13" i="10"/>
  <c r="C13" i="12"/>
  <c r="AH11" i="10"/>
  <c r="AH11" i="11"/>
  <c r="G13" i="9"/>
  <c r="AK13" i="9"/>
  <c r="J13" i="9"/>
  <c r="K13" i="9" s="1"/>
  <c r="H13" i="9"/>
  <c r="I13" i="9" s="1"/>
  <c r="AJ13" i="9"/>
  <c r="AG13" i="9"/>
  <c r="AC13" i="9"/>
  <c r="AB13" i="9"/>
  <c r="AA13" i="9"/>
  <c r="Y13" i="9"/>
  <c r="U13" i="9"/>
  <c r="S13" i="9"/>
  <c r="AI13" i="9"/>
  <c r="AE13" i="9"/>
  <c r="F13" i="9"/>
  <c r="W13" i="9"/>
  <c r="R13" i="9"/>
  <c r="Z13" i="9"/>
  <c r="AL13" i="9"/>
  <c r="T12" i="6"/>
  <c r="N12" i="6"/>
  <c r="W12" i="6"/>
  <c r="K12" i="6"/>
  <c r="I12" i="6"/>
  <c r="F12" i="6"/>
  <c r="X12" i="6"/>
  <c r="U12" i="6"/>
  <c r="AA12" i="6"/>
  <c r="S12" i="6"/>
  <c r="R12" i="6"/>
  <c r="M12" i="6"/>
  <c r="P12" i="6"/>
  <c r="L12" i="6"/>
  <c r="Q12" i="6"/>
  <c r="O12" i="6"/>
  <c r="C13" i="6"/>
  <c r="E110" i="2"/>
  <c r="J12" i="6"/>
  <c r="H12" i="6"/>
  <c r="Y12" i="6"/>
  <c r="G12" i="6"/>
  <c r="E13" i="6"/>
  <c r="Z13" i="6" s="1"/>
  <c r="V11" i="6"/>
  <c r="D110" i="2"/>
  <c r="D13" i="6"/>
  <c r="M109" i="2"/>
  <c r="J109" i="2"/>
  <c r="F108" i="2"/>
  <c r="I109" i="2"/>
  <c r="X13" i="9" l="1"/>
  <c r="AM13" i="9"/>
  <c r="AD13" i="9"/>
  <c r="T13" i="9"/>
  <c r="V13" i="9"/>
  <c r="M13" i="9"/>
  <c r="AH12" i="9"/>
  <c r="D14" i="9"/>
  <c r="D14" i="11"/>
  <c r="D14" i="12"/>
  <c r="D14" i="10"/>
  <c r="K12" i="10"/>
  <c r="M12" i="10" s="1"/>
  <c r="AL12" i="12"/>
  <c r="AH12" i="10"/>
  <c r="K12" i="11"/>
  <c r="M12" i="11" s="1"/>
  <c r="AH12" i="11"/>
  <c r="AL13" i="10"/>
  <c r="AA13" i="10"/>
  <c r="U13" i="10"/>
  <c r="S13" i="10"/>
  <c r="W13" i="10"/>
  <c r="J13" i="10"/>
  <c r="K13" i="10" s="1"/>
  <c r="G13" i="10"/>
  <c r="F13" i="10"/>
  <c r="AM13" i="10"/>
  <c r="AK13" i="10"/>
  <c r="AF13" i="10"/>
  <c r="AI13" i="10"/>
  <c r="AE13" i="10"/>
  <c r="Z13" i="10"/>
  <c r="X13" i="10"/>
  <c r="R13" i="10"/>
  <c r="T13" i="10"/>
  <c r="AJ13" i="10"/>
  <c r="V13" i="10"/>
  <c r="AG13" i="10"/>
  <c r="H13" i="10"/>
  <c r="I13" i="10" s="1"/>
  <c r="Y13" i="10"/>
  <c r="AB13" i="10"/>
  <c r="AD13" i="10"/>
  <c r="AC13" i="10"/>
  <c r="E14" i="9"/>
  <c r="AC14" i="9" s="1"/>
  <c r="E14" i="10"/>
  <c r="E14" i="11"/>
  <c r="E14" i="12"/>
  <c r="AQ13" i="12"/>
  <c r="AB13" i="12"/>
  <c r="AH13" i="12"/>
  <c r="X13" i="12"/>
  <c r="Z13" i="12"/>
  <c r="J13" i="12"/>
  <c r="K13" i="12" s="1"/>
  <c r="AK13" i="12"/>
  <c r="AE13" i="12"/>
  <c r="H13" i="12"/>
  <c r="I13" i="12" s="1"/>
  <c r="AC13" i="12"/>
  <c r="AI13" i="12"/>
  <c r="V13" i="12"/>
  <c r="W13" i="12"/>
  <c r="G13" i="12"/>
  <c r="AD13" i="12"/>
  <c r="AG13" i="12"/>
  <c r="F13" i="12"/>
  <c r="AF13" i="12"/>
  <c r="AJ13" i="12"/>
  <c r="AM13" i="12"/>
  <c r="AN13" i="12"/>
  <c r="AP13" i="12"/>
  <c r="AA13" i="12"/>
  <c r="Y13" i="12"/>
  <c r="AO13" i="12"/>
  <c r="AM13" i="11"/>
  <c r="AB13" i="11"/>
  <c r="X13" i="11"/>
  <c r="H13" i="11"/>
  <c r="I13" i="11" s="1"/>
  <c r="G13" i="11"/>
  <c r="AJ13" i="11"/>
  <c r="AI13" i="11"/>
  <c r="Y13" i="11"/>
  <c r="T13" i="11"/>
  <c r="S13" i="11"/>
  <c r="R13" i="11"/>
  <c r="Z13" i="11"/>
  <c r="U13" i="11"/>
  <c r="J13" i="11"/>
  <c r="K13" i="11" s="1"/>
  <c r="AD13" i="11"/>
  <c r="AC13" i="11"/>
  <c r="V13" i="11"/>
  <c r="AL13" i="11"/>
  <c r="F13" i="11"/>
  <c r="W13" i="11"/>
  <c r="AK13" i="11"/>
  <c r="AE13" i="11"/>
  <c r="AF13" i="11"/>
  <c r="AA13" i="11"/>
  <c r="AG13" i="11"/>
  <c r="Q12" i="9"/>
  <c r="U12" i="12" s="1"/>
  <c r="C14" i="9"/>
  <c r="C14" i="11"/>
  <c r="C14" i="10"/>
  <c r="C14" i="12"/>
  <c r="E14" i="6"/>
  <c r="Z14" i="6" s="1"/>
  <c r="E111" i="2"/>
  <c r="L13" i="6"/>
  <c r="P13" i="6"/>
  <c r="T13" i="6"/>
  <c r="V12" i="6"/>
  <c r="K13" i="6"/>
  <c r="R13" i="6"/>
  <c r="U13" i="6"/>
  <c r="Q13" i="6"/>
  <c r="N13" i="6"/>
  <c r="X13" i="6"/>
  <c r="W13" i="6"/>
  <c r="I13" i="6"/>
  <c r="F13" i="6"/>
  <c r="M13" i="6"/>
  <c r="G13" i="6"/>
  <c r="D14" i="6"/>
  <c r="S13" i="6"/>
  <c r="AA13" i="6"/>
  <c r="O13" i="6"/>
  <c r="H13" i="6"/>
  <c r="Y13" i="6"/>
  <c r="J13" i="6"/>
  <c r="D111" i="2"/>
  <c r="M110" i="2"/>
  <c r="J110" i="2"/>
  <c r="I110" i="2"/>
  <c r="C14" i="6"/>
  <c r="L110" i="2"/>
  <c r="C111" i="2"/>
  <c r="F109" i="2"/>
  <c r="O13" i="12" l="1"/>
  <c r="G55" i="12"/>
  <c r="G53" i="12"/>
  <c r="Q13" i="9"/>
  <c r="AH13" i="9"/>
  <c r="U14" i="9"/>
  <c r="R14" i="9"/>
  <c r="AB14" i="9"/>
  <c r="V14" i="9"/>
  <c r="AJ14" i="9"/>
  <c r="AG14" i="9"/>
  <c r="AE14" i="9"/>
  <c r="Y14" i="9"/>
  <c r="AK14" i="9"/>
  <c r="Z14" i="9"/>
  <c r="H14" i="9"/>
  <c r="I14" i="9" s="1"/>
  <c r="G14" i="9"/>
  <c r="J14" i="9"/>
  <c r="K14" i="9" s="1"/>
  <c r="AF14" i="9"/>
  <c r="X14" i="9"/>
  <c r="T14" i="9"/>
  <c r="AA14" i="9"/>
  <c r="AM14" i="9"/>
  <c r="W14" i="9"/>
  <c r="S14" i="9"/>
  <c r="F14" i="9"/>
  <c r="AI14" i="9"/>
  <c r="AL14" i="9"/>
  <c r="AD14" i="9"/>
  <c r="M13" i="11"/>
  <c r="M13" i="12" s="1"/>
  <c r="U13" i="12"/>
  <c r="M13" i="10"/>
  <c r="M12" i="12"/>
  <c r="Q12" i="11"/>
  <c r="S12" i="12" s="1"/>
  <c r="AH13" i="10"/>
  <c r="E15" i="9"/>
  <c r="U15" i="9" s="1"/>
  <c r="E15" i="10"/>
  <c r="E15" i="12"/>
  <c r="E15" i="11"/>
  <c r="C15" i="9"/>
  <c r="C15" i="12"/>
  <c r="C15" i="10"/>
  <c r="C15" i="11"/>
  <c r="AK14" i="12"/>
  <c r="AP14" i="12"/>
  <c r="AB14" i="12"/>
  <c r="J14" i="12"/>
  <c r="K14" i="12" s="1"/>
  <c r="Y14" i="12"/>
  <c r="AE14" i="12"/>
  <c r="AO14" i="12"/>
  <c r="AJ14" i="12"/>
  <c r="W14" i="12"/>
  <c r="AM14" i="12"/>
  <c r="AI14" i="12"/>
  <c r="H14" i="12"/>
  <c r="I14" i="12" s="1"/>
  <c r="V14" i="12"/>
  <c r="AC14" i="12"/>
  <c r="AF14" i="12"/>
  <c r="X14" i="12"/>
  <c r="F14" i="12"/>
  <c r="AG14" i="12"/>
  <c r="AD14" i="12"/>
  <c r="AN14" i="12"/>
  <c r="G14" i="12"/>
  <c r="Z14" i="12"/>
  <c r="AQ14" i="12"/>
  <c r="AA14" i="12"/>
  <c r="AH14" i="12"/>
  <c r="AD14" i="10"/>
  <c r="AF14" i="10"/>
  <c r="T14" i="10"/>
  <c r="H14" i="10"/>
  <c r="I14" i="10" s="1"/>
  <c r="G14" i="10"/>
  <c r="AK14" i="10"/>
  <c r="AG14" i="10"/>
  <c r="AE14" i="10"/>
  <c r="AC14" i="10"/>
  <c r="Z14" i="10"/>
  <c r="R14" i="10"/>
  <c r="Y14" i="10"/>
  <c r="U14" i="10"/>
  <c r="W14" i="10"/>
  <c r="AJ14" i="10"/>
  <c r="AM14" i="10"/>
  <c r="AB14" i="10"/>
  <c r="J14" i="10"/>
  <c r="K14" i="10" s="1"/>
  <c r="AA14" i="10"/>
  <c r="S14" i="10"/>
  <c r="AI14" i="10"/>
  <c r="V14" i="10"/>
  <c r="AL14" i="10"/>
  <c r="X14" i="10"/>
  <c r="F14" i="10"/>
  <c r="N12" i="12"/>
  <c r="Q12" i="10"/>
  <c r="T12" i="12" s="1"/>
  <c r="AL13" i="12"/>
  <c r="D15" i="11"/>
  <c r="D15" i="12"/>
  <c r="D15" i="10"/>
  <c r="AG14" i="11"/>
  <c r="AD14" i="11"/>
  <c r="AB14" i="11"/>
  <c r="R14" i="11"/>
  <c r="U14" i="11"/>
  <c r="AM14" i="11"/>
  <c r="G14" i="11"/>
  <c r="X14" i="11"/>
  <c r="AC14" i="11"/>
  <c r="F14" i="11"/>
  <c r="W14" i="11"/>
  <c r="AF14" i="11"/>
  <c r="AE14" i="11"/>
  <c r="H14" i="11"/>
  <c r="I14" i="11" s="1"/>
  <c r="Z14" i="11"/>
  <c r="Y14" i="11"/>
  <c r="AK14" i="11"/>
  <c r="V14" i="11"/>
  <c r="J14" i="11"/>
  <c r="K14" i="11" s="1"/>
  <c r="S14" i="11"/>
  <c r="T14" i="11"/>
  <c r="AL14" i="11"/>
  <c r="AA14" i="11"/>
  <c r="AI14" i="11"/>
  <c r="AJ14" i="11"/>
  <c r="AH13" i="11"/>
  <c r="AA15" i="9"/>
  <c r="G15" i="9"/>
  <c r="H15" i="9"/>
  <c r="I15" i="9" s="1"/>
  <c r="AM15" i="9"/>
  <c r="AG15" i="9"/>
  <c r="W15" i="9"/>
  <c r="AJ15" i="9"/>
  <c r="Z15" i="9"/>
  <c r="S15" i="9"/>
  <c r="AI15" i="9"/>
  <c r="J15" i="9"/>
  <c r="L111" i="2"/>
  <c r="D15" i="9"/>
  <c r="AA14" i="6"/>
  <c r="T14" i="6"/>
  <c r="F14" i="6"/>
  <c r="U14" i="6"/>
  <c r="I14" i="6"/>
  <c r="L14" i="6"/>
  <c r="M14" i="6"/>
  <c r="P14" i="6"/>
  <c r="E112" i="2"/>
  <c r="Q14" i="6"/>
  <c r="E15" i="6"/>
  <c r="Z15" i="6" s="1"/>
  <c r="R14" i="6"/>
  <c r="K14" i="6"/>
  <c r="J14" i="6"/>
  <c r="N14" i="6"/>
  <c r="O14" i="6"/>
  <c r="S14" i="6"/>
  <c r="G14" i="6"/>
  <c r="X14" i="6"/>
  <c r="H14" i="6"/>
  <c r="W14" i="6"/>
  <c r="Y14" i="6"/>
  <c r="D112" i="2"/>
  <c r="J111" i="2"/>
  <c r="D15" i="6"/>
  <c r="M111" i="2"/>
  <c r="V13" i="6"/>
  <c r="I111" i="2"/>
  <c r="C15" i="6"/>
  <c r="F110" i="2"/>
  <c r="C112" i="2"/>
  <c r="N13" i="12" l="1"/>
  <c r="G54" i="12"/>
  <c r="K15" i="9"/>
  <c r="J51" i="9"/>
  <c r="J51" i="12"/>
  <c r="J45" i="12" s="1"/>
  <c r="L46" i="12" s="1"/>
  <c r="M46" i="12" s="1"/>
  <c r="F55" i="12"/>
  <c r="M14" i="9"/>
  <c r="O14" i="12" s="1"/>
  <c r="Q13" i="10"/>
  <c r="R15" i="9"/>
  <c r="T15" i="9"/>
  <c r="AD15" i="9"/>
  <c r="AK15" i="9"/>
  <c r="AB15" i="9"/>
  <c r="X15" i="9"/>
  <c r="F15" i="9"/>
  <c r="AE15" i="9"/>
  <c r="AC15" i="9"/>
  <c r="AL15" i="9"/>
  <c r="AF15" i="9"/>
  <c r="Y15" i="9"/>
  <c r="V15" i="9"/>
  <c r="Q13" i="11"/>
  <c r="AH14" i="9"/>
  <c r="M14" i="10"/>
  <c r="Q14" i="10" s="1"/>
  <c r="T14" i="12" s="1"/>
  <c r="AH14" i="11"/>
  <c r="Q14" i="9"/>
  <c r="U14" i="12" s="1"/>
  <c r="C16" i="9"/>
  <c r="C16" i="12"/>
  <c r="C16" i="10"/>
  <c r="C16" i="11"/>
  <c r="E16" i="10"/>
  <c r="E16" i="12"/>
  <c r="E16" i="11"/>
  <c r="AH14" i="10"/>
  <c r="AL14" i="12"/>
  <c r="D16" i="9"/>
  <c r="D16" i="12"/>
  <c r="D16" i="10"/>
  <c r="D16" i="11"/>
  <c r="AA15" i="11"/>
  <c r="AB15" i="11"/>
  <c r="X15" i="11"/>
  <c r="G15" i="11"/>
  <c r="AI15" i="11"/>
  <c r="U15" i="11"/>
  <c r="V15" i="11"/>
  <c r="AC15" i="11"/>
  <c r="T15" i="11"/>
  <c r="AD15" i="11"/>
  <c r="R15" i="11"/>
  <c r="F15" i="11"/>
  <c r="W15" i="11"/>
  <c r="AM15" i="11"/>
  <c r="AG15" i="11"/>
  <c r="Z15" i="11"/>
  <c r="J15" i="11"/>
  <c r="K15" i="11" s="1"/>
  <c r="H15" i="11"/>
  <c r="I15" i="11" s="1"/>
  <c r="AJ15" i="11"/>
  <c r="Y15" i="11"/>
  <c r="S15" i="11"/>
  <c r="AE15" i="11"/>
  <c r="AL15" i="11"/>
  <c r="AF15" i="11"/>
  <c r="AK15" i="11"/>
  <c r="AE15" i="12"/>
  <c r="AK15" i="12"/>
  <c r="AJ15" i="12"/>
  <c r="V15" i="12"/>
  <c r="AP15" i="12"/>
  <c r="J15" i="12"/>
  <c r="K15" i="12" s="1"/>
  <c r="AB15" i="12"/>
  <c r="AI15" i="12"/>
  <c r="AF15" i="12"/>
  <c r="AG15" i="12"/>
  <c r="H15" i="12"/>
  <c r="I15" i="12" s="1"/>
  <c r="W15" i="12"/>
  <c r="AH15" i="12"/>
  <c r="X15" i="12"/>
  <c r="AA15" i="12"/>
  <c r="AN15" i="12"/>
  <c r="AM15" i="12"/>
  <c r="F15" i="12"/>
  <c r="AQ15" i="12"/>
  <c r="G15" i="12"/>
  <c r="AD15" i="12"/>
  <c r="Z15" i="12"/>
  <c r="Y15" i="12"/>
  <c r="AO15" i="12"/>
  <c r="AC15" i="12"/>
  <c r="X15" i="10"/>
  <c r="AA15" i="10"/>
  <c r="J15" i="10"/>
  <c r="K15" i="10" s="1"/>
  <c r="F15" i="10"/>
  <c r="H15" i="10"/>
  <c r="I15" i="10" s="1"/>
  <c r="AM15" i="10"/>
  <c r="AI15" i="10"/>
  <c r="AE15" i="10"/>
  <c r="AD15" i="10"/>
  <c r="AB15" i="10"/>
  <c r="Z15" i="10"/>
  <c r="Y15" i="10"/>
  <c r="W15" i="10"/>
  <c r="T15" i="10"/>
  <c r="S15" i="10"/>
  <c r="AG15" i="10"/>
  <c r="V15" i="10"/>
  <c r="AL15" i="10"/>
  <c r="G15" i="10"/>
  <c r="AJ15" i="10"/>
  <c r="U15" i="10"/>
  <c r="AK15" i="10"/>
  <c r="AC15" i="10"/>
  <c r="AF15" i="10"/>
  <c r="R15" i="10"/>
  <c r="M14" i="11"/>
  <c r="M14" i="12" s="1"/>
  <c r="M15" i="9"/>
  <c r="O15" i="12" s="1"/>
  <c r="E113" i="2"/>
  <c r="E16" i="9"/>
  <c r="Y15" i="6"/>
  <c r="R15" i="6"/>
  <c r="AA15" i="6"/>
  <c r="D113" i="2"/>
  <c r="E16" i="6"/>
  <c r="N16" i="6" s="1"/>
  <c r="F15" i="6"/>
  <c r="Q15" i="6"/>
  <c r="T15" i="6"/>
  <c r="S15" i="6"/>
  <c r="U15" i="6"/>
  <c r="H15" i="6"/>
  <c r="I15" i="6"/>
  <c r="W15" i="6"/>
  <c r="K15" i="6"/>
  <c r="N15" i="6"/>
  <c r="L15" i="6"/>
  <c r="M15" i="6"/>
  <c r="J15" i="6"/>
  <c r="O15" i="6"/>
  <c r="X15" i="6"/>
  <c r="G15" i="6"/>
  <c r="P15" i="6"/>
  <c r="V14" i="6"/>
  <c r="M112" i="2"/>
  <c r="L112" i="2"/>
  <c r="D16" i="6"/>
  <c r="J112" i="2"/>
  <c r="F111" i="2"/>
  <c r="C16" i="6"/>
  <c r="I112" i="2"/>
  <c r="C113" i="2"/>
  <c r="AH15" i="9" l="1"/>
  <c r="T13" i="12"/>
  <c r="J51" i="10"/>
  <c r="F54" i="12"/>
  <c r="S13" i="12"/>
  <c r="F53" i="12"/>
  <c r="J51" i="11"/>
  <c r="N14" i="12"/>
  <c r="M15" i="11"/>
  <c r="M15" i="12" s="1"/>
  <c r="M15" i="10"/>
  <c r="N15" i="12" s="1"/>
  <c r="AH15" i="11"/>
  <c r="AK16" i="11"/>
  <c r="W16" i="11"/>
  <c r="G16" i="11"/>
  <c r="Z16" i="11"/>
  <c r="F16" i="11"/>
  <c r="Y16" i="11"/>
  <c r="AE16" i="11"/>
  <c r="AM16" i="11"/>
  <c r="X16" i="11"/>
  <c r="V16" i="11"/>
  <c r="AB16" i="11"/>
  <c r="AG16" i="11"/>
  <c r="J16" i="11"/>
  <c r="K16" i="11" s="1"/>
  <c r="T16" i="11"/>
  <c r="U16" i="11"/>
  <c r="AA16" i="11"/>
  <c r="AJ16" i="11"/>
  <c r="AL16" i="11"/>
  <c r="AD16" i="11"/>
  <c r="S16" i="11"/>
  <c r="AC16" i="11"/>
  <c r="AI16" i="11"/>
  <c r="H16" i="11"/>
  <c r="I16" i="11" s="1"/>
  <c r="AF16" i="11"/>
  <c r="R16" i="11"/>
  <c r="D17" i="9"/>
  <c r="D17" i="10"/>
  <c r="D17" i="12"/>
  <c r="D17" i="11"/>
  <c r="AO16" i="12"/>
  <c r="G16" i="12"/>
  <c r="AB16" i="12"/>
  <c r="J16" i="12"/>
  <c r="K16" i="12" s="1"/>
  <c r="AH16" i="12"/>
  <c r="AK16" i="12"/>
  <c r="AP16" i="12"/>
  <c r="AN16" i="12"/>
  <c r="H16" i="12"/>
  <c r="I16" i="12" s="1"/>
  <c r="AI16" i="12"/>
  <c r="AC16" i="12"/>
  <c r="F16" i="12"/>
  <c r="AA16" i="12"/>
  <c r="AQ16" i="12"/>
  <c r="Z16" i="12"/>
  <c r="AG16" i="12"/>
  <c r="W16" i="12"/>
  <c r="AM16" i="12"/>
  <c r="AD16" i="12"/>
  <c r="AE16" i="12"/>
  <c r="V16" i="12"/>
  <c r="X16" i="12"/>
  <c r="AJ16" i="12"/>
  <c r="Y16" i="12"/>
  <c r="AF16" i="12"/>
  <c r="AK16" i="10"/>
  <c r="H16" i="10"/>
  <c r="S16" i="10"/>
  <c r="G16" i="10"/>
  <c r="Y16" i="10"/>
  <c r="AI16" i="10"/>
  <c r="U16" i="10"/>
  <c r="X16" i="10"/>
  <c r="J16" i="10"/>
  <c r="K16" i="10" s="1"/>
  <c r="AA16" i="10"/>
  <c r="AF16" i="10"/>
  <c r="T16" i="10"/>
  <c r="R16" i="10"/>
  <c r="AJ16" i="10"/>
  <c r="AG16" i="10"/>
  <c r="AL16" i="10"/>
  <c r="AD16" i="10"/>
  <c r="V16" i="10"/>
  <c r="AE16" i="10"/>
  <c r="F16" i="10"/>
  <c r="W16" i="10"/>
  <c r="Z16" i="10"/>
  <c r="AM16" i="10"/>
  <c r="AB16" i="10"/>
  <c r="AC16" i="10"/>
  <c r="Q15" i="9"/>
  <c r="U15" i="12" s="1"/>
  <c r="C17" i="9"/>
  <c r="C17" i="12"/>
  <c r="C17" i="11"/>
  <c r="C17" i="10"/>
  <c r="E114" i="2"/>
  <c r="E18" i="6" s="1"/>
  <c r="L18" i="6" s="1"/>
  <c r="E17" i="12"/>
  <c r="E17" i="11"/>
  <c r="E17" i="10"/>
  <c r="AL15" i="12"/>
  <c r="Q14" i="11"/>
  <c r="S14" i="12" s="1"/>
  <c r="AH15" i="10"/>
  <c r="AK16" i="9"/>
  <c r="AF16" i="9"/>
  <c r="AE16" i="9"/>
  <c r="G16" i="9"/>
  <c r="T16" i="9"/>
  <c r="X16" i="9"/>
  <c r="AD16" i="9"/>
  <c r="AJ16" i="9"/>
  <c r="AB16" i="9"/>
  <c r="AG16" i="9"/>
  <c r="H16" i="9"/>
  <c r="I16" i="9" s="1"/>
  <c r="F16" i="9"/>
  <c r="S16" i="9"/>
  <c r="Y16" i="9"/>
  <c r="AL16" i="9"/>
  <c r="AI16" i="9"/>
  <c r="V16" i="9"/>
  <c r="AC16" i="9"/>
  <c r="W16" i="9"/>
  <c r="AM16" i="9"/>
  <c r="Z16" i="9"/>
  <c r="R16" i="9"/>
  <c r="J16" i="9"/>
  <c r="AA16" i="9"/>
  <c r="U16" i="9"/>
  <c r="E17" i="6"/>
  <c r="E17" i="9"/>
  <c r="J113" i="2"/>
  <c r="D114" i="2"/>
  <c r="D17" i="6"/>
  <c r="M113" i="2"/>
  <c r="L113" i="2"/>
  <c r="W16" i="6"/>
  <c r="T16" i="6"/>
  <c r="L16" i="6"/>
  <c r="H16" i="6"/>
  <c r="I16" i="6"/>
  <c r="J16" i="6"/>
  <c r="U16" i="6"/>
  <c r="Y16" i="6"/>
  <c r="O16" i="6"/>
  <c r="K16" i="6"/>
  <c r="Z16" i="6"/>
  <c r="P16" i="6"/>
  <c r="AA16" i="6"/>
  <c r="R16" i="6"/>
  <c r="S16" i="6"/>
  <c r="F16" i="6"/>
  <c r="Q16" i="6"/>
  <c r="G16" i="6"/>
  <c r="X16" i="6"/>
  <c r="M16" i="6"/>
  <c r="V15" i="6"/>
  <c r="C17" i="6"/>
  <c r="I113" i="2"/>
  <c r="F112" i="2"/>
  <c r="Q15" i="11" l="1"/>
  <c r="S15" i="12" s="1"/>
  <c r="K114" i="2"/>
  <c r="D8" i="5" s="1"/>
  <c r="G8" i="5" s="1"/>
  <c r="R8" i="5" s="1"/>
  <c r="E115" i="2"/>
  <c r="M16" i="11"/>
  <c r="M16" i="12" s="1"/>
  <c r="Q15" i="10"/>
  <c r="T15" i="12" s="1"/>
  <c r="AB17" i="10"/>
  <c r="AM17" i="10"/>
  <c r="AA17" i="10"/>
  <c r="AE17" i="10"/>
  <c r="AD17" i="10"/>
  <c r="AC17" i="10"/>
  <c r="X17" i="10"/>
  <c r="W17" i="10"/>
  <c r="S17" i="10"/>
  <c r="R17" i="10"/>
  <c r="J17" i="10"/>
  <c r="G17" i="10"/>
  <c r="F17" i="10"/>
  <c r="AF17" i="10"/>
  <c r="AI17" i="10"/>
  <c r="AG17" i="10"/>
  <c r="AJ17" i="10"/>
  <c r="V17" i="10"/>
  <c r="AL17" i="10"/>
  <c r="U17" i="10"/>
  <c r="AK17" i="10"/>
  <c r="Z17" i="10"/>
  <c r="E41" i="10"/>
  <c r="E42" i="10" s="1"/>
  <c r="E43" i="10" s="1"/>
  <c r="D49" i="10" s="1"/>
  <c r="E44" i="10"/>
  <c r="H17" i="10"/>
  <c r="I17" i="10" s="1"/>
  <c r="Y17" i="10"/>
  <c r="T17" i="10"/>
  <c r="AE17" i="11"/>
  <c r="AK17" i="11"/>
  <c r="AJ17" i="11"/>
  <c r="J17" i="11"/>
  <c r="K17" i="11" s="1"/>
  <c r="AB17" i="11"/>
  <c r="Z17" i="11"/>
  <c r="R17" i="11"/>
  <c r="H17" i="11"/>
  <c r="I17" i="11" s="1"/>
  <c r="G17" i="11"/>
  <c r="AG17" i="11"/>
  <c r="AF17" i="11"/>
  <c r="AD17" i="11"/>
  <c r="AC17" i="11"/>
  <c r="AA17" i="11"/>
  <c r="Y17" i="11"/>
  <c r="X17" i="11"/>
  <c r="U17" i="11"/>
  <c r="T17" i="11"/>
  <c r="S17" i="11"/>
  <c r="AM17" i="11"/>
  <c r="W17" i="11"/>
  <c r="AI17" i="11"/>
  <c r="V17" i="11"/>
  <c r="AL17" i="11"/>
  <c r="E41" i="11"/>
  <c r="E42" i="11" s="1"/>
  <c r="E43" i="11" s="1"/>
  <c r="D49" i="11" s="1"/>
  <c r="E44" i="11"/>
  <c r="F17" i="11"/>
  <c r="AH16" i="11"/>
  <c r="AI17" i="12"/>
  <c r="F17" i="12"/>
  <c r="G17" i="12"/>
  <c r="E41" i="12"/>
  <c r="E42" i="12" s="1"/>
  <c r="E43" i="12" s="1"/>
  <c r="D49" i="12" s="1"/>
  <c r="AA17" i="12"/>
  <c r="V17" i="12"/>
  <c r="X17" i="12"/>
  <c r="Y17" i="12"/>
  <c r="Z17" i="12"/>
  <c r="AN17" i="12"/>
  <c r="AO17" i="12"/>
  <c r="AP17" i="12"/>
  <c r="AD17" i="12"/>
  <c r="AF17" i="12"/>
  <c r="AJ17" i="12"/>
  <c r="H17" i="12"/>
  <c r="I17" i="12" s="1"/>
  <c r="W17" i="12"/>
  <c r="AC17" i="12"/>
  <c r="AM17" i="12"/>
  <c r="E44" i="12"/>
  <c r="AK17" i="12"/>
  <c r="AG17" i="12"/>
  <c r="AB17" i="12"/>
  <c r="AQ17" i="12"/>
  <c r="J17" i="12"/>
  <c r="K17" i="12" s="1"/>
  <c r="AE17" i="12"/>
  <c r="AH17" i="12"/>
  <c r="I16" i="10"/>
  <c r="E18" i="9"/>
  <c r="E18" i="11"/>
  <c r="E18" i="10"/>
  <c r="E18" i="12"/>
  <c r="D18" i="11"/>
  <c r="D18" i="10"/>
  <c r="D18" i="12"/>
  <c r="M16" i="10"/>
  <c r="N16" i="12" s="1"/>
  <c r="AH16" i="10"/>
  <c r="E19" i="9"/>
  <c r="AI19" i="9" s="1"/>
  <c r="E19" i="10"/>
  <c r="E19" i="12"/>
  <c r="E19" i="11"/>
  <c r="AL16" i="12"/>
  <c r="C18" i="11"/>
  <c r="C18" i="10"/>
  <c r="C18" i="12"/>
  <c r="K16" i="9"/>
  <c r="M16" i="9" s="1"/>
  <c r="O16" i="12" s="1"/>
  <c r="AH16" i="9"/>
  <c r="U18" i="6"/>
  <c r="F113" i="2"/>
  <c r="C18" i="9"/>
  <c r="P18" i="6"/>
  <c r="D18" i="6"/>
  <c r="D18" i="9"/>
  <c r="AA18" i="6"/>
  <c r="AA17" i="6"/>
  <c r="T17" i="6"/>
  <c r="R17" i="6"/>
  <c r="N17" i="6"/>
  <c r="J17" i="6"/>
  <c r="O17" i="6"/>
  <c r="I17" i="6"/>
  <c r="H17" i="6"/>
  <c r="P17" i="6"/>
  <c r="Q17" i="6"/>
  <c r="E44" i="6"/>
  <c r="X17" i="6"/>
  <c r="W17" i="6"/>
  <c r="Y17" i="6"/>
  <c r="M17" i="6"/>
  <c r="Z17" i="6"/>
  <c r="U17" i="6"/>
  <c r="G17" i="6"/>
  <c r="S17" i="6"/>
  <c r="L17" i="6"/>
  <c r="K17" i="6"/>
  <c r="F17" i="6"/>
  <c r="E41" i="6"/>
  <c r="E42" i="6" s="1"/>
  <c r="E43" i="6" s="1"/>
  <c r="D49" i="6" s="1"/>
  <c r="X18" i="6"/>
  <c r="R18" i="6"/>
  <c r="I18" i="6"/>
  <c r="K18" i="6"/>
  <c r="AE17" i="9"/>
  <c r="R17" i="9"/>
  <c r="J17" i="9"/>
  <c r="K17" i="9" s="1"/>
  <c r="AK17" i="9"/>
  <c r="H17" i="9"/>
  <c r="AI17" i="9"/>
  <c r="G17" i="9"/>
  <c r="AG17" i="9"/>
  <c r="F17" i="9"/>
  <c r="AF17" i="9"/>
  <c r="AA17" i="9"/>
  <c r="AC17" i="9"/>
  <c r="Y17" i="9"/>
  <c r="AB17" i="9"/>
  <c r="X17" i="9"/>
  <c r="U17" i="9"/>
  <c r="T17" i="9"/>
  <c r="S17" i="9"/>
  <c r="AJ17" i="9"/>
  <c r="Z17" i="9"/>
  <c r="E44" i="9"/>
  <c r="AD17" i="9"/>
  <c r="E41" i="9"/>
  <c r="E42" i="9" s="1"/>
  <c r="E43" i="9" s="1"/>
  <c r="D49" i="9" s="1"/>
  <c r="V17" i="9"/>
  <c r="AL17" i="9"/>
  <c r="W17" i="9"/>
  <c r="AM17" i="9"/>
  <c r="W18" i="6"/>
  <c r="E45" i="6"/>
  <c r="F49" i="6" s="1"/>
  <c r="Z18" i="6"/>
  <c r="M18" i="6"/>
  <c r="Q18" i="6"/>
  <c r="H18" i="6"/>
  <c r="O18" i="6"/>
  <c r="G18" i="6"/>
  <c r="E116" i="2"/>
  <c r="E19" i="6"/>
  <c r="Z19" i="6" s="1"/>
  <c r="L114" i="2"/>
  <c r="N18" i="4" s="1"/>
  <c r="L33" i="4" s="1"/>
  <c r="J114" i="2"/>
  <c r="T18" i="6"/>
  <c r="S18" i="6"/>
  <c r="J18" i="6"/>
  <c r="Y18" i="6"/>
  <c r="F18" i="6"/>
  <c r="D115" i="2"/>
  <c r="M114" i="2"/>
  <c r="O18" i="4" s="1"/>
  <c r="O31" i="4" s="1"/>
  <c r="N18" i="6"/>
  <c r="D6" i="5"/>
  <c r="G6" i="5" s="1"/>
  <c r="J6" i="5" s="1"/>
  <c r="D11" i="5"/>
  <c r="G11" i="5" s="1"/>
  <c r="J11" i="5" s="1"/>
  <c r="D7" i="5"/>
  <c r="G7" i="5" s="1"/>
  <c r="J7" i="5" s="1"/>
  <c r="D12" i="5"/>
  <c r="G12" i="5" s="1"/>
  <c r="R12" i="5" s="1"/>
  <c r="D9" i="5"/>
  <c r="G9" i="5" s="1"/>
  <c r="R9" i="5" s="1"/>
  <c r="D5" i="5"/>
  <c r="G5" i="5" s="1"/>
  <c r="J5" i="5" s="1"/>
  <c r="V16" i="6"/>
  <c r="D10" i="5"/>
  <c r="G10" i="5" s="1"/>
  <c r="R10" i="5" s="1"/>
  <c r="J8" i="5"/>
  <c r="C18" i="6"/>
  <c r="I114" i="2"/>
  <c r="Q16" i="11" l="1"/>
  <c r="S16" i="12" s="1"/>
  <c r="K17" i="10"/>
  <c r="M17" i="11"/>
  <c r="M17" i="12" s="1"/>
  <c r="V19" i="9"/>
  <c r="T19" i="9"/>
  <c r="U19" i="9"/>
  <c r="W19" i="9"/>
  <c r="S19" i="9"/>
  <c r="X19" i="9"/>
  <c r="R19" i="9"/>
  <c r="AC19" i="9"/>
  <c r="Y19" i="9"/>
  <c r="AF19" i="9"/>
  <c r="AM19" i="9"/>
  <c r="AE19" i="9"/>
  <c r="AB19" i="9"/>
  <c r="G19" i="9"/>
  <c r="AA19" i="9"/>
  <c r="AG19" i="9"/>
  <c r="J19" i="9"/>
  <c r="AJ19" i="9"/>
  <c r="Z19" i="9"/>
  <c r="AK19" i="9"/>
  <c r="AL19" i="9"/>
  <c r="H19" i="9"/>
  <c r="I19" i="9" s="1"/>
  <c r="AD19" i="9"/>
  <c r="AI19" i="10"/>
  <c r="F19" i="10"/>
  <c r="J19" i="10"/>
  <c r="T19" i="10"/>
  <c r="AA19" i="10"/>
  <c r="AE19" i="10"/>
  <c r="U19" i="10"/>
  <c r="G19" i="10"/>
  <c r="AC19" i="10"/>
  <c r="AK19" i="10"/>
  <c r="X19" i="10"/>
  <c r="Z19" i="10"/>
  <c r="W19" i="10"/>
  <c r="AG19" i="10"/>
  <c r="S19" i="10"/>
  <c r="V19" i="10"/>
  <c r="AM19" i="10"/>
  <c r="AL19" i="10"/>
  <c r="R19" i="10"/>
  <c r="H19" i="10"/>
  <c r="I19" i="10" s="1"/>
  <c r="AD19" i="10"/>
  <c r="AF19" i="10"/>
  <c r="Y19" i="10"/>
  <c r="AB19" i="10"/>
  <c r="AJ19" i="10"/>
  <c r="I17" i="9"/>
  <c r="Q17" i="11"/>
  <c r="S17" i="12" s="1"/>
  <c r="AL17" i="12"/>
  <c r="AH17" i="10"/>
  <c r="E20" i="9"/>
  <c r="AD20" i="9" s="1"/>
  <c r="E20" i="10"/>
  <c r="E20" i="12"/>
  <c r="E20" i="11"/>
  <c r="Q16" i="10"/>
  <c r="T16" i="12" s="1"/>
  <c r="F18" i="12"/>
  <c r="X18" i="12"/>
  <c r="AB18" i="12"/>
  <c r="J18" i="12"/>
  <c r="K18" i="12" s="1"/>
  <c r="AH18" i="12"/>
  <c r="AE18" i="12"/>
  <c r="V18" i="12"/>
  <c r="AO18" i="12"/>
  <c r="H18" i="12"/>
  <c r="I18" i="12" s="1"/>
  <c r="W18" i="12"/>
  <c r="AK18" i="12"/>
  <c r="AC18" i="12"/>
  <c r="AI18" i="12"/>
  <c r="E45" i="12"/>
  <c r="F49" i="12" s="1"/>
  <c r="H49" i="12" s="1"/>
  <c r="J50" i="12" s="1"/>
  <c r="AP18" i="12"/>
  <c r="Y18" i="12"/>
  <c r="AG18" i="12"/>
  <c r="AA18" i="12"/>
  <c r="AQ18" i="12"/>
  <c r="AM18" i="12"/>
  <c r="AD18" i="12"/>
  <c r="AF18" i="12"/>
  <c r="G18" i="12"/>
  <c r="AJ18" i="12"/>
  <c r="Z18" i="12"/>
  <c r="AN18" i="12"/>
  <c r="Q16" i="9"/>
  <c r="U16" i="12" s="1"/>
  <c r="AL18" i="10"/>
  <c r="X18" i="10"/>
  <c r="AM18" i="10"/>
  <c r="W18" i="10"/>
  <c r="U18" i="10"/>
  <c r="T18" i="10"/>
  <c r="R18" i="10"/>
  <c r="H18" i="10"/>
  <c r="I18" i="10" s="1"/>
  <c r="Y18" i="10"/>
  <c r="J18" i="10"/>
  <c r="K18" i="10" s="1"/>
  <c r="AK18" i="10"/>
  <c r="G18" i="10"/>
  <c r="AG18" i="10"/>
  <c r="F18" i="10"/>
  <c r="AF18" i="10"/>
  <c r="AD18" i="10"/>
  <c r="AC18" i="10"/>
  <c r="AB18" i="10"/>
  <c r="AA18" i="10"/>
  <c r="Z18" i="10"/>
  <c r="AI18" i="10"/>
  <c r="E45" i="10"/>
  <c r="F49" i="10" s="1"/>
  <c r="H49" i="10" s="1"/>
  <c r="AE18" i="10"/>
  <c r="AJ18" i="10"/>
  <c r="V18" i="10"/>
  <c r="S18" i="10"/>
  <c r="Y18" i="11"/>
  <c r="Z18" i="11"/>
  <c r="AC18" i="11"/>
  <c r="AI18" i="11"/>
  <c r="AD18" i="11"/>
  <c r="T18" i="11"/>
  <c r="W18" i="11"/>
  <c r="V18" i="11"/>
  <c r="AG18" i="11"/>
  <c r="S18" i="11"/>
  <c r="AJ18" i="11"/>
  <c r="AM18" i="11"/>
  <c r="J18" i="11"/>
  <c r="K18" i="11" s="1"/>
  <c r="AB18" i="11"/>
  <c r="AA18" i="11"/>
  <c r="AF18" i="11"/>
  <c r="U18" i="11"/>
  <c r="AK18" i="11"/>
  <c r="H18" i="11"/>
  <c r="I18" i="11" s="1"/>
  <c r="AE18" i="11"/>
  <c r="AL18" i="11"/>
  <c r="G18" i="11"/>
  <c r="X18" i="11"/>
  <c r="E45" i="11"/>
  <c r="F49" i="11" s="1"/>
  <c r="H49" i="11" s="1"/>
  <c r="R18" i="11"/>
  <c r="F18" i="11"/>
  <c r="F19" i="9"/>
  <c r="AK18" i="9"/>
  <c r="E45" i="9"/>
  <c r="F49" i="9" s="1"/>
  <c r="H49" i="9" s="1"/>
  <c r="J45" i="9" s="1"/>
  <c r="L46" i="9" s="1"/>
  <c r="M46" i="9" s="1"/>
  <c r="H55" i="12" s="1"/>
  <c r="AC18" i="9"/>
  <c r="Y18" i="9"/>
  <c r="F18" i="9"/>
  <c r="W18" i="9"/>
  <c r="AA18" i="9"/>
  <c r="AD18" i="9"/>
  <c r="Z18" i="9"/>
  <c r="AL18" i="9"/>
  <c r="J18" i="9"/>
  <c r="AI18" i="9"/>
  <c r="AJ18" i="9"/>
  <c r="V18" i="9"/>
  <c r="S18" i="9"/>
  <c r="AM18" i="9"/>
  <c r="T18" i="9"/>
  <c r="AG18" i="9"/>
  <c r="AB18" i="9"/>
  <c r="AE18" i="9"/>
  <c r="R18" i="9"/>
  <c r="H18" i="9"/>
  <c r="I18" i="9" s="1"/>
  <c r="G18" i="9"/>
  <c r="U18" i="9"/>
  <c r="X18" i="9"/>
  <c r="AF18" i="9"/>
  <c r="M17" i="10"/>
  <c r="C19" i="11"/>
  <c r="C19" i="12"/>
  <c r="C19" i="10"/>
  <c r="M17" i="9"/>
  <c r="O17" i="12" s="1"/>
  <c r="AI19" i="11"/>
  <c r="T19" i="11"/>
  <c r="R19" i="11"/>
  <c r="X19" i="11"/>
  <c r="AK19" i="11"/>
  <c r="AJ19" i="11"/>
  <c r="AF19" i="11"/>
  <c r="AE19" i="11"/>
  <c r="AD19" i="11"/>
  <c r="U19" i="11"/>
  <c r="G19" i="11"/>
  <c r="Z19" i="11"/>
  <c r="AL19" i="11"/>
  <c r="F19" i="11"/>
  <c r="J19" i="11"/>
  <c r="AC19" i="11"/>
  <c r="AG19" i="11"/>
  <c r="V19" i="11"/>
  <c r="W19" i="11"/>
  <c r="AA19" i="11"/>
  <c r="AM19" i="11"/>
  <c r="S19" i="11"/>
  <c r="H19" i="11"/>
  <c r="I19" i="11" s="1"/>
  <c r="Y19" i="11"/>
  <c r="AB19" i="11"/>
  <c r="AH17" i="11"/>
  <c r="D19" i="12"/>
  <c r="D19" i="10"/>
  <c r="D19" i="11"/>
  <c r="I19" i="6"/>
  <c r="R19" i="6"/>
  <c r="AM19" i="12"/>
  <c r="AD19" i="12"/>
  <c r="AQ19" i="12"/>
  <c r="AN19" i="12"/>
  <c r="G19" i="12"/>
  <c r="AB19" i="12"/>
  <c r="Y19" i="12"/>
  <c r="AO19" i="12"/>
  <c r="Z19" i="12"/>
  <c r="J19" i="12"/>
  <c r="AP19" i="12"/>
  <c r="AE19" i="12"/>
  <c r="AI19" i="12"/>
  <c r="X19" i="12"/>
  <c r="AF19" i="12"/>
  <c r="H19" i="12"/>
  <c r="I19" i="12" s="1"/>
  <c r="AC19" i="12"/>
  <c r="AH19" i="12"/>
  <c r="AG19" i="12"/>
  <c r="V19" i="12"/>
  <c r="F19" i="12"/>
  <c r="AA19" i="12"/>
  <c r="AK19" i="12"/>
  <c r="AJ19" i="12"/>
  <c r="W19" i="12"/>
  <c r="H49" i="6"/>
  <c r="J50" i="6" s="1"/>
  <c r="J51" i="6" s="1"/>
  <c r="E20" i="6"/>
  <c r="Z20" i="6" s="1"/>
  <c r="I115" i="2"/>
  <c r="C19" i="9"/>
  <c r="L115" i="2"/>
  <c r="D19" i="9"/>
  <c r="V17" i="6"/>
  <c r="AH17" i="9"/>
  <c r="O19" i="6"/>
  <c r="J19" i="6"/>
  <c r="U19" i="6"/>
  <c r="K19" i="6"/>
  <c r="M19" i="6"/>
  <c r="J26" i="4"/>
  <c r="L27" i="4"/>
  <c r="H33" i="4"/>
  <c r="E117" i="2"/>
  <c r="H28" i="4"/>
  <c r="M31" i="4"/>
  <c r="K26" i="4"/>
  <c r="M115" i="2"/>
  <c r="J31" i="4"/>
  <c r="I25" i="4"/>
  <c r="L34" i="4"/>
  <c r="Y19" i="6"/>
  <c r="K33" i="4"/>
  <c r="H19" i="6"/>
  <c r="J34" i="4"/>
  <c r="J32" i="4"/>
  <c r="L29" i="4"/>
  <c r="I33" i="4"/>
  <c r="M34" i="4"/>
  <c r="I30" i="4"/>
  <c r="M26" i="4"/>
  <c r="K28" i="4"/>
  <c r="L25" i="4"/>
  <c r="H34" i="4"/>
  <c r="M33" i="4"/>
  <c r="H32" i="4"/>
  <c r="F19" i="6"/>
  <c r="N19" i="6"/>
  <c r="L31" i="4"/>
  <c r="J29" i="4"/>
  <c r="L19" i="6"/>
  <c r="X19" i="6"/>
  <c r="J28" i="4"/>
  <c r="T19" i="6"/>
  <c r="Q19" i="6"/>
  <c r="W19" i="6"/>
  <c r="L30" i="4"/>
  <c r="AA19" i="6"/>
  <c r="J27" i="4"/>
  <c r="M25" i="4"/>
  <c r="S19" i="6"/>
  <c r="G19" i="6"/>
  <c r="P19" i="6"/>
  <c r="K31" i="4"/>
  <c r="H27" i="4"/>
  <c r="L26" i="4"/>
  <c r="H25" i="4"/>
  <c r="I31" i="4"/>
  <c r="I32" i="4"/>
  <c r="K30" i="4"/>
  <c r="D19" i="6"/>
  <c r="I26" i="4"/>
  <c r="M30" i="4"/>
  <c r="K29" i="4"/>
  <c r="M27" i="4"/>
  <c r="M28" i="4"/>
  <c r="J25" i="4"/>
  <c r="H31" i="4"/>
  <c r="M32" i="4"/>
  <c r="H29" i="4"/>
  <c r="M29" i="4"/>
  <c r="J33" i="4"/>
  <c r="L32" i="4"/>
  <c r="V18" i="6"/>
  <c r="H26" i="4"/>
  <c r="K32" i="4"/>
  <c r="I28" i="4"/>
  <c r="L28" i="4"/>
  <c r="I27" i="4"/>
  <c r="J30" i="4"/>
  <c r="K34" i="4"/>
  <c r="I34" i="4"/>
  <c r="K27" i="4"/>
  <c r="K25" i="4"/>
  <c r="J115" i="2"/>
  <c r="H30" i="4"/>
  <c r="I29" i="4"/>
  <c r="S18" i="4"/>
  <c r="U18" i="4" s="1"/>
  <c r="D116" i="2"/>
  <c r="O26" i="4"/>
  <c r="O28" i="4"/>
  <c r="S26" i="4"/>
  <c r="N33" i="4"/>
  <c r="R25" i="4"/>
  <c r="O30" i="4"/>
  <c r="R29" i="4"/>
  <c r="R27" i="4"/>
  <c r="N28" i="4"/>
  <c r="Q27" i="4"/>
  <c r="R33" i="4"/>
  <c r="S31" i="4"/>
  <c r="R32" i="4"/>
  <c r="N30" i="4"/>
  <c r="Q34" i="4"/>
  <c r="Q33" i="4"/>
  <c r="O29" i="4"/>
  <c r="P27" i="4"/>
  <c r="Q32" i="4"/>
  <c r="P30" i="4"/>
  <c r="R30" i="4"/>
  <c r="Q31" i="4"/>
  <c r="S25" i="4"/>
  <c r="O33" i="4"/>
  <c r="S29" i="4"/>
  <c r="O25" i="4"/>
  <c r="R34" i="4"/>
  <c r="Q25" i="4"/>
  <c r="S28" i="4"/>
  <c r="P25" i="4"/>
  <c r="S30" i="4"/>
  <c r="O34" i="4"/>
  <c r="N26" i="4"/>
  <c r="P33" i="4"/>
  <c r="Q26" i="4"/>
  <c r="S32" i="4"/>
  <c r="P34" i="4"/>
  <c r="P29" i="4"/>
  <c r="O27" i="4"/>
  <c r="T18" i="4"/>
  <c r="V18" i="4" s="1"/>
  <c r="N27" i="4"/>
  <c r="P28" i="4"/>
  <c r="R31" i="4"/>
  <c r="O32" i="4"/>
  <c r="R26" i="4"/>
  <c r="P32" i="4"/>
  <c r="Q30" i="4"/>
  <c r="Q29" i="4"/>
  <c r="S27" i="4"/>
  <c r="N29" i="4"/>
  <c r="N32" i="4"/>
  <c r="Q28" i="4"/>
  <c r="N25" i="4"/>
  <c r="P26" i="4"/>
  <c r="N34" i="4"/>
  <c r="N31" i="4"/>
  <c r="S34" i="4"/>
  <c r="R28" i="4"/>
  <c r="S33" i="4"/>
  <c r="P31" i="4"/>
  <c r="J12" i="5"/>
  <c r="J9" i="5"/>
  <c r="R7" i="5"/>
  <c r="R6" i="5"/>
  <c r="R11" i="5"/>
  <c r="J10" i="5"/>
  <c r="R5" i="5"/>
  <c r="C19" i="6"/>
  <c r="F114" i="2"/>
  <c r="U20" i="9" l="1"/>
  <c r="V20" i="9"/>
  <c r="S20" i="9"/>
  <c r="R20" i="9"/>
  <c r="J50" i="9"/>
  <c r="AK20" i="9"/>
  <c r="J50" i="10"/>
  <c r="AJ20" i="9"/>
  <c r="AM20" i="9"/>
  <c r="K19" i="11"/>
  <c r="F20" i="9"/>
  <c r="Z20" i="9"/>
  <c r="AA20" i="9"/>
  <c r="AI20" i="9"/>
  <c r="T20" i="9"/>
  <c r="AF20" i="9"/>
  <c r="AL20" i="9"/>
  <c r="G20" i="9"/>
  <c r="AH19" i="9"/>
  <c r="X20" i="6"/>
  <c r="J20" i="6"/>
  <c r="W20" i="6"/>
  <c r="Y20" i="6"/>
  <c r="AE20" i="9"/>
  <c r="AB20" i="9"/>
  <c r="R20" i="6"/>
  <c r="H20" i="9"/>
  <c r="I20" i="9" s="1"/>
  <c r="AG20" i="9"/>
  <c r="H20" i="6"/>
  <c r="I20" i="6"/>
  <c r="X20" i="9"/>
  <c r="AC20" i="9"/>
  <c r="W20" i="9"/>
  <c r="J20" i="9"/>
  <c r="K20" i="9" s="1"/>
  <c r="K19" i="12"/>
  <c r="F20" i="6"/>
  <c r="S20" i="6"/>
  <c r="Y20" i="9"/>
  <c r="L20" i="6"/>
  <c r="G20" i="6"/>
  <c r="M18" i="11"/>
  <c r="M18" i="12" s="1"/>
  <c r="J50" i="11"/>
  <c r="J45" i="11" s="1"/>
  <c r="L46" i="11" s="1"/>
  <c r="M46" i="11" s="1"/>
  <c r="H53" i="12" s="1"/>
  <c r="K18" i="9"/>
  <c r="Q20" i="6"/>
  <c r="AH19" i="11"/>
  <c r="Q17" i="9"/>
  <c r="U17" i="12" s="1"/>
  <c r="M18" i="10"/>
  <c r="N18" i="12" s="1"/>
  <c r="U20" i="6"/>
  <c r="E21" i="9"/>
  <c r="Y21" i="9" s="1"/>
  <c r="E21" i="12"/>
  <c r="E21" i="11"/>
  <c r="E21" i="10"/>
  <c r="AH18" i="9"/>
  <c r="K19" i="9"/>
  <c r="M19" i="9" s="1"/>
  <c r="O19" i="12" s="1"/>
  <c r="K20" i="6"/>
  <c r="O20" i="6"/>
  <c r="AL19" i="12"/>
  <c r="J45" i="10"/>
  <c r="L46" i="10" s="1"/>
  <c r="M46" i="10" s="1"/>
  <c r="H54" i="12" s="1"/>
  <c r="AH18" i="10"/>
  <c r="AL18" i="12"/>
  <c r="M20" i="6"/>
  <c r="T20" i="6"/>
  <c r="M18" i="9"/>
  <c r="D20" i="12"/>
  <c r="D20" i="11"/>
  <c r="D20" i="10"/>
  <c r="AA20" i="6"/>
  <c r="AH18" i="11"/>
  <c r="AC20" i="11"/>
  <c r="AF20" i="11"/>
  <c r="X20" i="11"/>
  <c r="AE20" i="11"/>
  <c r="AD20" i="11"/>
  <c r="AB20" i="11"/>
  <c r="Z20" i="11"/>
  <c r="Y20" i="11"/>
  <c r="R20" i="11"/>
  <c r="H20" i="11"/>
  <c r="I20" i="11" s="1"/>
  <c r="G20" i="11"/>
  <c r="AI20" i="11"/>
  <c r="AG20" i="11"/>
  <c r="U20" i="11"/>
  <c r="V20" i="11"/>
  <c r="AL20" i="11"/>
  <c r="F20" i="11"/>
  <c r="J20" i="11"/>
  <c r="K20" i="11" s="1"/>
  <c r="AK20" i="11"/>
  <c r="W20" i="11"/>
  <c r="AA20" i="11"/>
  <c r="AM20" i="11"/>
  <c r="T20" i="11"/>
  <c r="AJ20" i="11"/>
  <c r="S20" i="11"/>
  <c r="AG20" i="12"/>
  <c r="AK20" i="12"/>
  <c r="J20" i="12"/>
  <c r="K20" i="12" s="1"/>
  <c r="Z20" i="12"/>
  <c r="AI20" i="12"/>
  <c r="AP20" i="12"/>
  <c r="G20" i="12"/>
  <c r="AJ20" i="12"/>
  <c r="V20" i="12"/>
  <c r="X20" i="12"/>
  <c r="Y20" i="12"/>
  <c r="AB20" i="12"/>
  <c r="H20" i="12"/>
  <c r="I20" i="12" s="1"/>
  <c r="AN20" i="12"/>
  <c r="AO20" i="12"/>
  <c r="AH20" i="12"/>
  <c r="AF20" i="12"/>
  <c r="W20" i="12"/>
  <c r="AM20" i="12"/>
  <c r="AD20" i="12"/>
  <c r="AA20" i="12"/>
  <c r="AE20" i="12"/>
  <c r="AC20" i="12"/>
  <c r="F20" i="12"/>
  <c r="AQ20" i="12"/>
  <c r="AH19" i="10"/>
  <c r="K19" i="10"/>
  <c r="M19" i="10" s="1"/>
  <c r="N17" i="12"/>
  <c r="Q17" i="10"/>
  <c r="T17" i="12" s="1"/>
  <c r="P20" i="6"/>
  <c r="C20" i="12"/>
  <c r="C20" i="11"/>
  <c r="C20" i="10"/>
  <c r="N20" i="6"/>
  <c r="AB20" i="10"/>
  <c r="Y20" i="10"/>
  <c r="AF20" i="10"/>
  <c r="AD20" i="10"/>
  <c r="AC20" i="10"/>
  <c r="AA20" i="10"/>
  <c r="U20" i="10"/>
  <c r="AG20" i="10"/>
  <c r="J20" i="10"/>
  <c r="K20" i="10" s="1"/>
  <c r="H20" i="10"/>
  <c r="I20" i="10" s="1"/>
  <c r="AK20" i="10"/>
  <c r="F20" i="10"/>
  <c r="AE20" i="10"/>
  <c r="R20" i="10"/>
  <c r="T20" i="10"/>
  <c r="W20" i="10"/>
  <c r="AJ20" i="10"/>
  <c r="AM20" i="10"/>
  <c r="G20" i="10"/>
  <c r="Z20" i="10"/>
  <c r="S20" i="10"/>
  <c r="X20" i="10"/>
  <c r="AI20" i="10"/>
  <c r="V20" i="10"/>
  <c r="AL20" i="10"/>
  <c r="M19" i="11"/>
  <c r="M19" i="12" s="1"/>
  <c r="C117" i="2"/>
  <c r="C21" i="6" s="1"/>
  <c r="C20" i="9"/>
  <c r="AM21" i="9"/>
  <c r="AG21" i="9"/>
  <c r="AC21" i="9"/>
  <c r="AA21" i="9"/>
  <c r="AF21" i="9"/>
  <c r="X21" i="9"/>
  <c r="J21" i="9"/>
  <c r="K21" i="9" s="1"/>
  <c r="T21" i="9"/>
  <c r="AK21" i="9"/>
  <c r="H21" i="9"/>
  <c r="I21" i="9" s="1"/>
  <c r="AJ21" i="9"/>
  <c r="G21" i="9"/>
  <c r="AI21" i="9"/>
  <c r="AB21" i="9"/>
  <c r="AE21" i="9"/>
  <c r="F21" i="9"/>
  <c r="W21" i="9"/>
  <c r="R21" i="9"/>
  <c r="V21" i="9"/>
  <c r="AL21" i="9"/>
  <c r="AD21" i="9"/>
  <c r="D117" i="2"/>
  <c r="D20" i="9"/>
  <c r="E118" i="2"/>
  <c r="E21" i="6"/>
  <c r="Z21" i="6" s="1"/>
  <c r="V19" i="6"/>
  <c r="L116" i="2"/>
  <c r="M116" i="2"/>
  <c r="J116" i="2"/>
  <c r="D20" i="6"/>
  <c r="F115" i="2"/>
  <c r="I116" i="2"/>
  <c r="C20" i="6"/>
  <c r="AH20" i="9" l="1"/>
  <c r="M20" i="9"/>
  <c r="O20" i="12" s="1"/>
  <c r="Q18" i="11"/>
  <c r="S18" i="12" s="1"/>
  <c r="S21" i="9"/>
  <c r="U21" i="9"/>
  <c r="AH21" i="9" s="1"/>
  <c r="Z21" i="9"/>
  <c r="Q18" i="10"/>
  <c r="T18" i="12" s="1"/>
  <c r="C118" i="2"/>
  <c r="C22" i="11" s="1"/>
  <c r="V20" i="6"/>
  <c r="N19" i="12"/>
  <c r="Q19" i="10"/>
  <c r="T19" i="12" s="1"/>
  <c r="M21" i="6"/>
  <c r="AA21" i="6"/>
  <c r="AH20" i="11"/>
  <c r="Q19" i="11"/>
  <c r="S19" i="12" s="1"/>
  <c r="Q19" i="9"/>
  <c r="U19" i="12" s="1"/>
  <c r="AH20" i="10"/>
  <c r="M21" i="9"/>
  <c r="O21" i="12" s="1"/>
  <c r="M20" i="10"/>
  <c r="AL21" i="10"/>
  <c r="S21" i="10"/>
  <c r="AM21" i="10"/>
  <c r="AE21" i="10"/>
  <c r="AA21" i="10"/>
  <c r="Z21" i="10"/>
  <c r="X21" i="10"/>
  <c r="W21" i="10"/>
  <c r="U21" i="10"/>
  <c r="J21" i="10"/>
  <c r="K21" i="10" s="1"/>
  <c r="G21" i="10"/>
  <c r="F21" i="10"/>
  <c r="AF21" i="10"/>
  <c r="AK21" i="10"/>
  <c r="AI21" i="10"/>
  <c r="H21" i="10"/>
  <c r="I21" i="10" s="1"/>
  <c r="AB21" i="10"/>
  <c r="Y21" i="10"/>
  <c r="AD21" i="10"/>
  <c r="AG21" i="10"/>
  <c r="V21" i="10"/>
  <c r="T21" i="10"/>
  <c r="R21" i="10"/>
  <c r="AJ21" i="10"/>
  <c r="AC21" i="10"/>
  <c r="AM21" i="11"/>
  <c r="R21" i="11"/>
  <c r="G21" i="11"/>
  <c r="H21" i="11"/>
  <c r="I21" i="11" s="1"/>
  <c r="AJ21" i="11"/>
  <c r="AB21" i="11"/>
  <c r="Y21" i="11"/>
  <c r="X21" i="11"/>
  <c r="T21" i="11"/>
  <c r="AI21" i="11"/>
  <c r="AC21" i="11"/>
  <c r="AF21" i="11"/>
  <c r="Z21" i="11"/>
  <c r="J21" i="11"/>
  <c r="K21" i="11" s="1"/>
  <c r="AE21" i="11"/>
  <c r="U21" i="11"/>
  <c r="AA21" i="11"/>
  <c r="AG21" i="11"/>
  <c r="AK21" i="11"/>
  <c r="AD21" i="11"/>
  <c r="S21" i="11"/>
  <c r="F21" i="11"/>
  <c r="V21" i="11"/>
  <c r="W21" i="11"/>
  <c r="AL21" i="11"/>
  <c r="C21" i="9"/>
  <c r="C21" i="12"/>
  <c r="C21" i="11"/>
  <c r="C21" i="10"/>
  <c r="O18" i="12"/>
  <c r="Q18" i="9"/>
  <c r="U18" i="12" s="1"/>
  <c r="AQ21" i="12"/>
  <c r="AK21" i="12"/>
  <c r="AF21" i="12"/>
  <c r="AE21" i="12"/>
  <c r="AJ21" i="12"/>
  <c r="H21" i="12"/>
  <c r="I21" i="12" s="1"/>
  <c r="AA21" i="12"/>
  <c r="AC21" i="12"/>
  <c r="AD21" i="12"/>
  <c r="V21" i="12"/>
  <c r="AH21" i="12"/>
  <c r="AI21" i="12"/>
  <c r="W21" i="12"/>
  <c r="AG21" i="12"/>
  <c r="X21" i="12"/>
  <c r="AB21" i="12"/>
  <c r="G21" i="12"/>
  <c r="Y21" i="12"/>
  <c r="AO21" i="12"/>
  <c r="AM21" i="12"/>
  <c r="AN21" i="12"/>
  <c r="Z21" i="12"/>
  <c r="AP21" i="12"/>
  <c r="J21" i="12"/>
  <c r="K21" i="12" s="1"/>
  <c r="F21" i="12"/>
  <c r="E22" i="9"/>
  <c r="U22" i="9" s="1"/>
  <c r="E22" i="11"/>
  <c r="E22" i="10"/>
  <c r="E22" i="12"/>
  <c r="I117" i="2"/>
  <c r="F116" i="2"/>
  <c r="D21" i="9"/>
  <c r="D21" i="10"/>
  <c r="D21" i="12"/>
  <c r="D21" i="11"/>
  <c r="AL20" i="12"/>
  <c r="M20" i="11"/>
  <c r="M20" i="12" s="1"/>
  <c r="F21" i="6"/>
  <c r="W21" i="6"/>
  <c r="Q21" i="6"/>
  <c r="Y21" i="6"/>
  <c r="P21" i="6"/>
  <c r="J117" i="2"/>
  <c r="L117" i="2"/>
  <c r="M117" i="2"/>
  <c r="D118" i="2"/>
  <c r="D119" i="2" s="1"/>
  <c r="L21" i="6"/>
  <c r="D21" i="6"/>
  <c r="S21" i="6"/>
  <c r="T21" i="6"/>
  <c r="E22" i="6"/>
  <c r="Z22" i="6" s="1"/>
  <c r="R21" i="6"/>
  <c r="U21" i="6"/>
  <c r="N21" i="6"/>
  <c r="E119" i="2"/>
  <c r="G21" i="6"/>
  <c r="X21" i="6"/>
  <c r="J21" i="6"/>
  <c r="K21" i="6"/>
  <c r="I21" i="6"/>
  <c r="O21" i="6"/>
  <c r="H21" i="6"/>
  <c r="C119" i="2" l="1"/>
  <c r="F117" i="2"/>
  <c r="I118" i="2"/>
  <c r="C22" i="9"/>
  <c r="C22" i="6"/>
  <c r="C22" i="12"/>
  <c r="C22" i="10"/>
  <c r="Q20" i="9"/>
  <c r="U20" i="12" s="1"/>
  <c r="Q21" i="9"/>
  <c r="U21" i="12" s="1"/>
  <c r="Q20" i="11"/>
  <c r="S20" i="12" s="1"/>
  <c r="Q22" i="6"/>
  <c r="U22" i="6"/>
  <c r="T22" i="6"/>
  <c r="L22" i="6"/>
  <c r="Y22" i="6"/>
  <c r="R22" i="6"/>
  <c r="M118" i="2"/>
  <c r="G22" i="9"/>
  <c r="D23" i="9"/>
  <c r="D23" i="10"/>
  <c r="D23" i="12"/>
  <c r="D23" i="11"/>
  <c r="R22" i="9"/>
  <c r="L118" i="2"/>
  <c r="AJ22" i="9"/>
  <c r="D22" i="6"/>
  <c r="AD22" i="9"/>
  <c r="AA22" i="9"/>
  <c r="M21" i="10"/>
  <c r="N21" i="12" s="1"/>
  <c r="AL21" i="12"/>
  <c r="O22" i="6"/>
  <c r="J22" i="6"/>
  <c r="J22" i="9"/>
  <c r="V22" i="9"/>
  <c r="T22" i="9"/>
  <c r="AB22" i="9"/>
  <c r="AA22" i="6"/>
  <c r="E23" i="9"/>
  <c r="AC23" i="9" s="1"/>
  <c r="E23" i="12"/>
  <c r="E23" i="10"/>
  <c r="E23" i="11"/>
  <c r="M21" i="11"/>
  <c r="M21" i="12" s="1"/>
  <c r="S22" i="9"/>
  <c r="K22" i="6"/>
  <c r="Z22" i="9"/>
  <c r="X22" i="6"/>
  <c r="F22" i="9"/>
  <c r="Y22" i="9"/>
  <c r="N20" i="12"/>
  <c r="Q20" i="10"/>
  <c r="T20" i="12" s="1"/>
  <c r="D22" i="9"/>
  <c r="D22" i="12"/>
  <c r="D22" i="11"/>
  <c r="D22" i="10"/>
  <c r="AH21" i="11"/>
  <c r="AL22" i="9"/>
  <c r="W22" i="9"/>
  <c r="AF22" i="9"/>
  <c r="AC22" i="9"/>
  <c r="AI22" i="9"/>
  <c r="J118" i="2"/>
  <c r="AK22" i="9"/>
  <c r="AG22" i="9"/>
  <c r="AK22" i="12"/>
  <c r="AE22" i="12"/>
  <c r="Y22" i="12"/>
  <c r="AO22" i="12"/>
  <c r="AD22" i="12"/>
  <c r="AI22" i="12"/>
  <c r="Z22" i="12"/>
  <c r="AF22" i="12"/>
  <c r="W22" i="12"/>
  <c r="X22" i="12"/>
  <c r="AP22" i="12"/>
  <c r="AM22" i="12"/>
  <c r="AN22" i="12"/>
  <c r="G22" i="12"/>
  <c r="AB22" i="12"/>
  <c r="AJ22" i="12"/>
  <c r="F22" i="12"/>
  <c r="AA22" i="12"/>
  <c r="AQ22" i="12"/>
  <c r="V22" i="12"/>
  <c r="J22" i="12"/>
  <c r="K22" i="12" s="1"/>
  <c r="H22" i="12"/>
  <c r="I22" i="12" s="1"/>
  <c r="AC22" i="12"/>
  <c r="AG22" i="12"/>
  <c r="AH22" i="12"/>
  <c r="AH21" i="10"/>
  <c r="AE22" i="9"/>
  <c r="AD22" i="10"/>
  <c r="H22" i="10"/>
  <c r="I22" i="10" s="1"/>
  <c r="AF22" i="10"/>
  <c r="AC22" i="10"/>
  <c r="Z22" i="10"/>
  <c r="Y22" i="10"/>
  <c r="U22" i="10"/>
  <c r="T22" i="10"/>
  <c r="R22" i="10"/>
  <c r="AG22" i="10"/>
  <c r="AE22" i="10"/>
  <c r="AK22" i="10"/>
  <c r="V22" i="10"/>
  <c r="S22" i="10"/>
  <c r="AJ22" i="10"/>
  <c r="AL22" i="10"/>
  <c r="G22" i="10"/>
  <c r="J22" i="10"/>
  <c r="K22" i="10" s="1"/>
  <c r="AI22" i="10"/>
  <c r="X22" i="10"/>
  <c r="AA22" i="10"/>
  <c r="AB22" i="10"/>
  <c r="F22" i="10"/>
  <c r="W22" i="10"/>
  <c r="AM22" i="10"/>
  <c r="X22" i="9"/>
  <c r="H22" i="9"/>
  <c r="I22" i="9" s="1"/>
  <c r="AM22" i="9"/>
  <c r="C23" i="9"/>
  <c r="C23" i="12"/>
  <c r="C23" i="11"/>
  <c r="C23" i="10"/>
  <c r="AG22" i="11"/>
  <c r="AB22" i="11"/>
  <c r="R22" i="11"/>
  <c r="AD22" i="11"/>
  <c r="T22" i="11"/>
  <c r="V22" i="11"/>
  <c r="Z22" i="11"/>
  <c r="AM22" i="11"/>
  <c r="G22" i="11"/>
  <c r="AK22" i="11"/>
  <c r="AF22" i="11"/>
  <c r="AL22" i="11"/>
  <c r="F22" i="11"/>
  <c r="W22" i="11"/>
  <c r="S22" i="11"/>
  <c r="AI22" i="11"/>
  <c r="AJ22" i="11"/>
  <c r="H22" i="11"/>
  <c r="I22" i="11" s="1"/>
  <c r="U22" i="11"/>
  <c r="Y22" i="11"/>
  <c r="J22" i="11"/>
  <c r="K22" i="11" s="1"/>
  <c r="AE22" i="11"/>
  <c r="AA22" i="11"/>
  <c r="X22" i="11"/>
  <c r="AC22" i="11"/>
  <c r="S22" i="6"/>
  <c r="F22" i="6"/>
  <c r="H22" i="6"/>
  <c r="G22" i="6"/>
  <c r="W22" i="6"/>
  <c r="P22" i="6"/>
  <c r="M22" i="6"/>
  <c r="I22" i="6"/>
  <c r="N22" i="6"/>
  <c r="E120" i="2"/>
  <c r="E23" i="6"/>
  <c r="Z23" i="6" s="1"/>
  <c r="V21" i="6"/>
  <c r="D23" i="6"/>
  <c r="C23" i="6"/>
  <c r="L119" i="2"/>
  <c r="M119" i="2"/>
  <c r="J119" i="2"/>
  <c r="D120" i="2"/>
  <c r="F118" i="2"/>
  <c r="C120" i="2"/>
  <c r="I119" i="2"/>
  <c r="AD23" i="9" l="1"/>
  <c r="AK23" i="9"/>
  <c r="AM23" i="9"/>
  <c r="J23" i="9"/>
  <c r="K23" i="9" s="1"/>
  <c r="M23" i="9" s="1"/>
  <c r="O23" i="12" s="1"/>
  <c r="U23" i="9"/>
  <c r="W23" i="9"/>
  <c r="X23" i="9"/>
  <c r="H23" i="9"/>
  <c r="I23" i="9" s="1"/>
  <c r="T23" i="9"/>
  <c r="Y23" i="9"/>
  <c r="AB23" i="9"/>
  <c r="R23" i="9"/>
  <c r="AA23" i="9"/>
  <c r="Z23" i="9"/>
  <c r="AL23" i="9"/>
  <c r="AJ23" i="9"/>
  <c r="G23" i="9"/>
  <c r="AE23" i="9"/>
  <c r="S23" i="9"/>
  <c r="F23" i="9"/>
  <c r="V23" i="9"/>
  <c r="AF23" i="9"/>
  <c r="AG23" i="9"/>
  <c r="AI23" i="9"/>
  <c r="V22" i="6"/>
  <c r="AH22" i="9"/>
  <c r="K22" i="9"/>
  <c r="M22" i="9" s="1"/>
  <c r="O22" i="12" s="1"/>
  <c r="AH22" i="10"/>
  <c r="Q21" i="11"/>
  <c r="S21" i="12" s="1"/>
  <c r="Q21" i="10"/>
  <c r="T21" i="12" s="1"/>
  <c r="M22" i="10"/>
  <c r="M22" i="11"/>
  <c r="M22" i="12" s="1"/>
  <c r="AA23" i="11"/>
  <c r="X23" i="11"/>
  <c r="AB23" i="11"/>
  <c r="G23" i="11"/>
  <c r="AC23" i="11"/>
  <c r="H23" i="11"/>
  <c r="I23" i="11" s="1"/>
  <c r="Z23" i="11"/>
  <c r="AF23" i="11"/>
  <c r="V23" i="11"/>
  <c r="AG23" i="11"/>
  <c r="T23" i="11"/>
  <c r="AL23" i="11"/>
  <c r="AJ23" i="11"/>
  <c r="AD23" i="11"/>
  <c r="AE23" i="11"/>
  <c r="S23" i="11"/>
  <c r="Y23" i="11"/>
  <c r="AI23" i="11"/>
  <c r="U23" i="11"/>
  <c r="AK23" i="11"/>
  <c r="R23" i="11"/>
  <c r="F23" i="11"/>
  <c r="W23" i="11"/>
  <c r="AM23" i="11"/>
  <c r="J23" i="11"/>
  <c r="K23" i="11" s="1"/>
  <c r="X23" i="10"/>
  <c r="AM23" i="10"/>
  <c r="Z23" i="10"/>
  <c r="AA23" i="10"/>
  <c r="Y23" i="10"/>
  <c r="W23" i="10"/>
  <c r="T23" i="10"/>
  <c r="S23" i="10"/>
  <c r="J23" i="10"/>
  <c r="K23" i="10" s="1"/>
  <c r="AB23" i="10"/>
  <c r="H23" i="10"/>
  <c r="I23" i="10" s="1"/>
  <c r="F23" i="10"/>
  <c r="AI23" i="10"/>
  <c r="AE23" i="10"/>
  <c r="AD23" i="10"/>
  <c r="AG23" i="10"/>
  <c r="AF23" i="10"/>
  <c r="AC23" i="10"/>
  <c r="R23" i="10"/>
  <c r="U23" i="10"/>
  <c r="AK23" i="10"/>
  <c r="G23" i="10"/>
  <c r="V23" i="10"/>
  <c r="AJ23" i="10"/>
  <c r="AL23" i="10"/>
  <c r="AE23" i="12"/>
  <c r="AF23" i="12"/>
  <c r="Y23" i="12"/>
  <c r="AO23" i="12"/>
  <c r="AJ23" i="12"/>
  <c r="AI23" i="12"/>
  <c r="AN23" i="12"/>
  <c r="Z23" i="12"/>
  <c r="AC23" i="12"/>
  <c r="AG23" i="12"/>
  <c r="AH23" i="12"/>
  <c r="V23" i="12"/>
  <c r="W23" i="12"/>
  <c r="F23" i="12"/>
  <c r="AM23" i="12"/>
  <c r="AA23" i="12"/>
  <c r="AD23" i="12"/>
  <c r="X23" i="12"/>
  <c r="AB23" i="12"/>
  <c r="H23" i="12"/>
  <c r="I23" i="12" s="1"/>
  <c r="AK23" i="12"/>
  <c r="AP23" i="12"/>
  <c r="AQ23" i="12"/>
  <c r="G23" i="12"/>
  <c r="J23" i="12"/>
  <c r="K23" i="12" s="1"/>
  <c r="AL22" i="12"/>
  <c r="AH22" i="11"/>
  <c r="E24" i="9"/>
  <c r="AA24" i="9" s="1"/>
  <c r="E24" i="11"/>
  <c r="E24" i="12"/>
  <c r="E24" i="10"/>
  <c r="C24" i="9"/>
  <c r="C24" i="12"/>
  <c r="C24" i="11"/>
  <c r="C24" i="10"/>
  <c r="D24" i="9"/>
  <c r="D24" i="11"/>
  <c r="D24" i="12"/>
  <c r="D24" i="10"/>
  <c r="J23" i="6"/>
  <c r="U23" i="6"/>
  <c r="I23" i="6"/>
  <c r="Q23" i="6"/>
  <c r="G23" i="6"/>
  <c r="H23" i="6"/>
  <c r="E24" i="6"/>
  <c r="Z24" i="6" s="1"/>
  <c r="Y23" i="6"/>
  <c r="K23" i="6"/>
  <c r="O23" i="6"/>
  <c r="P23" i="6"/>
  <c r="X23" i="6"/>
  <c r="W23" i="6"/>
  <c r="R23" i="6"/>
  <c r="N23" i="6"/>
  <c r="S23" i="6"/>
  <c r="L23" i="6"/>
  <c r="E121" i="2"/>
  <c r="F23" i="6"/>
  <c r="M23" i="6"/>
  <c r="AA23" i="6"/>
  <c r="T23" i="6"/>
  <c r="C24" i="6"/>
  <c r="D24" i="6"/>
  <c r="D121" i="2"/>
  <c r="J120" i="2"/>
  <c r="L120" i="2"/>
  <c r="M120" i="2"/>
  <c r="F119" i="2"/>
  <c r="C121" i="2"/>
  <c r="I120" i="2"/>
  <c r="AH23" i="9" l="1"/>
  <c r="Z24" i="9"/>
  <c r="S24" i="9"/>
  <c r="W24" i="9"/>
  <c r="U24" i="9"/>
  <c r="T24" i="9"/>
  <c r="AJ24" i="9"/>
  <c r="F24" i="9"/>
  <c r="AL24" i="9"/>
  <c r="F24" i="6"/>
  <c r="AC24" i="9"/>
  <c r="J24" i="9"/>
  <c r="K24" i="9" s="1"/>
  <c r="S24" i="6"/>
  <c r="AF24" i="9"/>
  <c r="H24" i="9"/>
  <c r="I24" i="9" s="1"/>
  <c r="AI24" i="9"/>
  <c r="M23" i="10"/>
  <c r="N23" i="12" s="1"/>
  <c r="M23" i="11"/>
  <c r="M23" i="12" s="1"/>
  <c r="AD24" i="9"/>
  <c r="R24" i="9"/>
  <c r="V24" i="9"/>
  <c r="C25" i="9"/>
  <c r="C25" i="10"/>
  <c r="C25" i="12"/>
  <c r="C25" i="11"/>
  <c r="Y24" i="9"/>
  <c r="AK24" i="9"/>
  <c r="M24" i="9"/>
  <c r="O24" i="12" s="1"/>
  <c r="G24" i="9"/>
  <c r="AK24" i="10"/>
  <c r="AC24" i="10"/>
  <c r="J24" i="10"/>
  <c r="K24" i="10" s="1"/>
  <c r="AG24" i="10"/>
  <c r="AA24" i="10"/>
  <c r="S24" i="10"/>
  <c r="U24" i="10"/>
  <c r="H24" i="10"/>
  <c r="AI24" i="10"/>
  <c r="Y24" i="10"/>
  <c r="G24" i="10"/>
  <c r="X24" i="10"/>
  <c r="Z24" i="10"/>
  <c r="F24" i="10"/>
  <c r="AB24" i="10"/>
  <c r="T24" i="10"/>
  <c r="V24" i="10"/>
  <c r="W24" i="10"/>
  <c r="AE24" i="10"/>
  <c r="AJ24" i="10"/>
  <c r="AL24" i="10"/>
  <c r="AM24" i="10"/>
  <c r="R24" i="10"/>
  <c r="AD24" i="10"/>
  <c r="AF24" i="10"/>
  <c r="AG24" i="9"/>
  <c r="AO24" i="12"/>
  <c r="AE24" i="12"/>
  <c r="Z24" i="12"/>
  <c r="AI24" i="12"/>
  <c r="H24" i="12"/>
  <c r="I24" i="12" s="1"/>
  <c r="AH24" i="12"/>
  <c r="Y24" i="12"/>
  <c r="AC24" i="12"/>
  <c r="AD24" i="12"/>
  <c r="F24" i="12"/>
  <c r="G24" i="12"/>
  <c r="AA24" i="12"/>
  <c r="AB24" i="12"/>
  <c r="AF24" i="12"/>
  <c r="AQ24" i="12"/>
  <c r="AG24" i="12"/>
  <c r="AK24" i="12"/>
  <c r="J24" i="12"/>
  <c r="K24" i="12" s="1"/>
  <c r="AP24" i="12"/>
  <c r="W24" i="12"/>
  <c r="AM24" i="12"/>
  <c r="AJ24" i="12"/>
  <c r="X24" i="12"/>
  <c r="V24" i="12"/>
  <c r="AN24" i="12"/>
  <c r="AK24" i="11"/>
  <c r="H24" i="11"/>
  <c r="I24" i="11" s="1"/>
  <c r="AG24" i="11"/>
  <c r="U24" i="11"/>
  <c r="R24" i="11"/>
  <c r="T24" i="11"/>
  <c r="Z24" i="11"/>
  <c r="AJ24" i="11"/>
  <c r="V24" i="11"/>
  <c r="J24" i="11"/>
  <c r="K24" i="11" s="1"/>
  <c r="AF24" i="11"/>
  <c r="AA24" i="11"/>
  <c r="AD24" i="11"/>
  <c r="F24" i="11"/>
  <c r="W24" i="11"/>
  <c r="G24" i="11"/>
  <c r="AM24" i="11"/>
  <c r="X24" i="11"/>
  <c r="Y24" i="11"/>
  <c r="S24" i="11"/>
  <c r="AC24" i="11"/>
  <c r="AI24" i="11"/>
  <c r="AE24" i="11"/>
  <c r="AB24" i="11"/>
  <c r="AL24" i="11"/>
  <c r="AL23" i="12"/>
  <c r="AM24" i="9"/>
  <c r="N22" i="12"/>
  <c r="Q22" i="10"/>
  <c r="T22" i="12" s="1"/>
  <c r="AH23" i="10"/>
  <c r="AA24" i="6"/>
  <c r="AB24" i="9"/>
  <c r="AE24" i="9"/>
  <c r="D25" i="9"/>
  <c r="D25" i="12"/>
  <c r="D25" i="10"/>
  <c r="D25" i="11"/>
  <c r="Q23" i="10"/>
  <c r="T23" i="12" s="1"/>
  <c r="Q22" i="9"/>
  <c r="U22" i="12" s="1"/>
  <c r="E25" i="9"/>
  <c r="G25" i="9" s="1"/>
  <c r="E25" i="12"/>
  <c r="E25" i="10"/>
  <c r="E25" i="11"/>
  <c r="X24" i="9"/>
  <c r="Q23" i="9"/>
  <c r="U23" i="12" s="1"/>
  <c r="AH23" i="11"/>
  <c r="Q22" i="11"/>
  <c r="S22" i="12" s="1"/>
  <c r="M24" i="6"/>
  <c r="X24" i="6"/>
  <c r="N24" i="6"/>
  <c r="R24" i="6"/>
  <c r="U24" i="6"/>
  <c r="G24" i="6"/>
  <c r="W24" i="6"/>
  <c r="J24" i="6"/>
  <c r="V23" i="6"/>
  <c r="E25" i="6"/>
  <c r="Z25" i="6" s="1"/>
  <c r="E122" i="2"/>
  <c r="E26" i="6" s="1"/>
  <c r="T24" i="6"/>
  <c r="K24" i="6"/>
  <c r="H24" i="6"/>
  <c r="Y24" i="6"/>
  <c r="O24" i="6"/>
  <c r="Q24" i="6"/>
  <c r="L24" i="6"/>
  <c r="I24" i="6"/>
  <c r="P24" i="6"/>
  <c r="C25" i="6"/>
  <c r="D25" i="6"/>
  <c r="D122" i="2"/>
  <c r="M121" i="2"/>
  <c r="L121" i="2"/>
  <c r="J121" i="2"/>
  <c r="F120" i="2"/>
  <c r="I121" i="2"/>
  <c r="C122" i="2"/>
  <c r="AL25" i="9" l="1"/>
  <c r="AK25" i="9"/>
  <c r="X25" i="9"/>
  <c r="J25" i="9"/>
  <c r="K25" i="9" s="1"/>
  <c r="Y25" i="9"/>
  <c r="AB25" i="9"/>
  <c r="AG25" i="9"/>
  <c r="AM25" i="9"/>
  <c r="W25" i="9"/>
  <c r="N25" i="6"/>
  <c r="J25" i="6"/>
  <c r="H25" i="6"/>
  <c r="K25" i="6"/>
  <c r="I25" i="6"/>
  <c r="P25" i="6"/>
  <c r="T25" i="6"/>
  <c r="W25" i="6"/>
  <c r="Q23" i="11"/>
  <c r="S23" i="12" s="1"/>
  <c r="L25" i="6"/>
  <c r="AA25" i="6"/>
  <c r="U25" i="9"/>
  <c r="S25" i="6"/>
  <c r="S25" i="9"/>
  <c r="AH24" i="9"/>
  <c r="AI25" i="9"/>
  <c r="Z26" i="6"/>
  <c r="AA26" i="6"/>
  <c r="X26" i="6"/>
  <c r="M26" i="6"/>
  <c r="N26" i="6"/>
  <c r="P26" i="6"/>
  <c r="L26" i="6"/>
  <c r="F26" i="6"/>
  <c r="F25" i="6"/>
  <c r="V25" i="9"/>
  <c r="O25" i="6"/>
  <c r="AF25" i="9"/>
  <c r="M24" i="11"/>
  <c r="AL24" i="12"/>
  <c r="D26" i="9"/>
  <c r="D26" i="10"/>
  <c r="D26" i="12"/>
  <c r="D26" i="11"/>
  <c r="AE25" i="9"/>
  <c r="Y25" i="6"/>
  <c r="H25" i="9"/>
  <c r="I25" i="9" s="1"/>
  <c r="E26" i="9"/>
  <c r="AE26" i="9" s="1"/>
  <c r="E26" i="11"/>
  <c r="E26" i="10"/>
  <c r="E26" i="12"/>
  <c r="AE25" i="11"/>
  <c r="U25" i="11"/>
  <c r="T25" i="11"/>
  <c r="J25" i="11"/>
  <c r="K25" i="11" s="1"/>
  <c r="AG25" i="11"/>
  <c r="H25" i="11"/>
  <c r="I25" i="11" s="1"/>
  <c r="Y25" i="11"/>
  <c r="G25" i="11"/>
  <c r="AF25" i="11"/>
  <c r="AD25" i="11"/>
  <c r="AB25" i="11"/>
  <c r="AA25" i="11"/>
  <c r="Z25" i="11"/>
  <c r="X25" i="11"/>
  <c r="S25" i="11"/>
  <c r="R25" i="11"/>
  <c r="F25" i="11"/>
  <c r="AK25" i="11"/>
  <c r="V25" i="11"/>
  <c r="AJ25" i="11"/>
  <c r="AI25" i="11"/>
  <c r="W25" i="11"/>
  <c r="AC25" i="11"/>
  <c r="AM25" i="11"/>
  <c r="AL25" i="11"/>
  <c r="AB25" i="10"/>
  <c r="AF25" i="10"/>
  <c r="F25" i="10"/>
  <c r="AM25" i="10"/>
  <c r="G25" i="10"/>
  <c r="AI25" i="10"/>
  <c r="AE25" i="10"/>
  <c r="AD25" i="10"/>
  <c r="AC25" i="10"/>
  <c r="AA25" i="10"/>
  <c r="Z25" i="10"/>
  <c r="X25" i="10"/>
  <c r="W25" i="10"/>
  <c r="S25" i="10"/>
  <c r="R25" i="10"/>
  <c r="J25" i="10"/>
  <c r="U25" i="10"/>
  <c r="AK25" i="10"/>
  <c r="T25" i="10"/>
  <c r="AJ25" i="10"/>
  <c r="V25" i="10"/>
  <c r="AL25" i="10"/>
  <c r="H25" i="10"/>
  <c r="I25" i="10" s="1"/>
  <c r="AG25" i="10"/>
  <c r="Y25" i="10"/>
  <c r="AI25" i="12"/>
  <c r="AD25" i="12"/>
  <c r="Y25" i="12"/>
  <c r="AF25" i="12"/>
  <c r="X25" i="12"/>
  <c r="AB25" i="12"/>
  <c r="AJ25" i="12"/>
  <c r="H25" i="12"/>
  <c r="I25" i="12" s="1"/>
  <c r="G25" i="12"/>
  <c r="W25" i="12"/>
  <c r="AN25" i="12"/>
  <c r="AM25" i="12"/>
  <c r="AG25" i="12"/>
  <c r="V25" i="12"/>
  <c r="Z25" i="12"/>
  <c r="AK25" i="12"/>
  <c r="AP25" i="12"/>
  <c r="F25" i="12"/>
  <c r="AQ25" i="12"/>
  <c r="AE25" i="12"/>
  <c r="AC25" i="12"/>
  <c r="AO25" i="12"/>
  <c r="AA25" i="12"/>
  <c r="J25" i="12"/>
  <c r="K25" i="12" s="1"/>
  <c r="AH25" i="12"/>
  <c r="R25" i="6"/>
  <c r="AD25" i="9"/>
  <c r="T25" i="9"/>
  <c r="U25" i="6"/>
  <c r="AJ25" i="9"/>
  <c r="AA25" i="9"/>
  <c r="C26" i="9"/>
  <c r="C26" i="12"/>
  <c r="C26" i="11"/>
  <c r="C26" i="10"/>
  <c r="G25" i="6"/>
  <c r="Q25" i="6"/>
  <c r="R25" i="9"/>
  <c r="X25" i="6"/>
  <c r="M25" i="6"/>
  <c r="Z25" i="9"/>
  <c r="AC25" i="9"/>
  <c r="AH24" i="11"/>
  <c r="I24" i="10"/>
  <c r="AH24" i="10"/>
  <c r="M24" i="10"/>
  <c r="E123" i="2"/>
  <c r="E27" i="6" s="1"/>
  <c r="Z27" i="6" s="1"/>
  <c r="F25" i="9"/>
  <c r="Q24" i="9"/>
  <c r="U24" i="12" s="1"/>
  <c r="V24" i="6"/>
  <c r="Q26" i="6"/>
  <c r="T26" i="6"/>
  <c r="K26" i="6"/>
  <c r="G26" i="6"/>
  <c r="R26" i="6"/>
  <c r="W26" i="6"/>
  <c r="Y26" i="6"/>
  <c r="U26" i="6"/>
  <c r="I26" i="6"/>
  <c r="H26" i="6"/>
  <c r="S26" i="6"/>
  <c r="O26" i="6"/>
  <c r="J26" i="6"/>
  <c r="C26" i="6"/>
  <c r="D26" i="6"/>
  <c r="D123" i="2"/>
  <c r="M122" i="2"/>
  <c r="L122" i="2"/>
  <c r="J122" i="2"/>
  <c r="F121" i="2"/>
  <c r="C123" i="2"/>
  <c r="I122" i="2"/>
  <c r="M25" i="9" l="1"/>
  <c r="O25" i="12" s="1"/>
  <c r="AK26" i="9"/>
  <c r="AL26" i="9"/>
  <c r="AJ26" i="9"/>
  <c r="V26" i="9"/>
  <c r="AF26" i="9"/>
  <c r="X26" i="9"/>
  <c r="U26" i="9"/>
  <c r="S26" i="9"/>
  <c r="AC26" i="9"/>
  <c r="AI26" i="9"/>
  <c r="R26" i="9"/>
  <c r="AM26" i="9"/>
  <c r="J26" i="9"/>
  <c r="K26" i="9" s="1"/>
  <c r="M26" i="9" s="1"/>
  <c r="O26" i="12" s="1"/>
  <c r="Z26" i="9"/>
  <c r="AD26" i="9"/>
  <c r="AA26" i="9"/>
  <c r="AB26" i="9"/>
  <c r="M25" i="11"/>
  <c r="M25" i="12" s="1"/>
  <c r="V26" i="6"/>
  <c r="K25" i="10"/>
  <c r="M25" i="10" s="1"/>
  <c r="P27" i="6"/>
  <c r="U27" i="6"/>
  <c r="F27" i="6"/>
  <c r="AH25" i="9"/>
  <c r="H27" i="6"/>
  <c r="X27" i="6"/>
  <c r="V25" i="6"/>
  <c r="I27" i="6"/>
  <c r="M27" i="6"/>
  <c r="L27" i="6"/>
  <c r="F26" i="9"/>
  <c r="G26" i="9"/>
  <c r="K27" i="6"/>
  <c r="AH25" i="11"/>
  <c r="E27" i="9"/>
  <c r="E27" i="10"/>
  <c r="E27" i="12"/>
  <c r="E27" i="11"/>
  <c r="M24" i="12"/>
  <c r="Q24" i="11"/>
  <c r="S24" i="12" s="1"/>
  <c r="D27" i="9"/>
  <c r="D27" i="12"/>
  <c r="D27" i="10"/>
  <c r="D27" i="11"/>
  <c r="N24" i="12"/>
  <c r="Q24" i="10"/>
  <c r="T24" i="12" s="1"/>
  <c r="R27" i="6"/>
  <c r="J27" i="6"/>
  <c r="AL25" i="12"/>
  <c r="AF26" i="12"/>
  <c r="AM26" i="12"/>
  <c r="AH26" i="12"/>
  <c r="AP26" i="12"/>
  <c r="AQ26" i="12"/>
  <c r="AG26" i="12"/>
  <c r="Y26" i="12"/>
  <c r="G26" i="12"/>
  <c r="AI26" i="12"/>
  <c r="AK26" i="12"/>
  <c r="AJ26" i="12"/>
  <c r="W26" i="12"/>
  <c r="F26" i="12"/>
  <c r="X26" i="12"/>
  <c r="AA26" i="12"/>
  <c r="AD26" i="12"/>
  <c r="AO26" i="12"/>
  <c r="AN26" i="12"/>
  <c r="AB26" i="12"/>
  <c r="H26" i="12"/>
  <c r="I26" i="12" s="1"/>
  <c r="J26" i="12"/>
  <c r="K26" i="12" s="1"/>
  <c r="AC26" i="12"/>
  <c r="V26" i="12"/>
  <c r="AE26" i="12"/>
  <c r="Z26" i="12"/>
  <c r="W27" i="6"/>
  <c r="G27" i="6"/>
  <c r="T26" i="9"/>
  <c r="Y26" i="9"/>
  <c r="AL26" i="10"/>
  <c r="AB26" i="10"/>
  <c r="U26" i="10"/>
  <c r="AC26" i="10"/>
  <c r="AA26" i="10"/>
  <c r="Z26" i="10"/>
  <c r="Y26" i="10"/>
  <c r="X26" i="10"/>
  <c r="W26" i="10"/>
  <c r="T26" i="10"/>
  <c r="R26" i="10"/>
  <c r="AG26" i="10"/>
  <c r="J26" i="10"/>
  <c r="K26" i="10" s="1"/>
  <c r="H26" i="10"/>
  <c r="I26" i="10" s="1"/>
  <c r="G26" i="10"/>
  <c r="AM26" i="10"/>
  <c r="F26" i="10"/>
  <c r="AK26" i="10"/>
  <c r="AJ26" i="10"/>
  <c r="AE26" i="10"/>
  <c r="AD26" i="10"/>
  <c r="AF26" i="10"/>
  <c r="S26" i="10"/>
  <c r="AI26" i="10"/>
  <c r="V26" i="10"/>
  <c r="Y26" i="11"/>
  <c r="Z26" i="11"/>
  <c r="AI26" i="11"/>
  <c r="J26" i="11"/>
  <c r="K26" i="11" s="1"/>
  <c r="R26" i="11"/>
  <c r="U26" i="11"/>
  <c r="H26" i="11"/>
  <c r="I26" i="11" s="1"/>
  <c r="AK26" i="11"/>
  <c r="V26" i="11"/>
  <c r="G26" i="11"/>
  <c r="AD26" i="11"/>
  <c r="T26" i="11"/>
  <c r="X26" i="11"/>
  <c r="AE26" i="11"/>
  <c r="AJ26" i="11"/>
  <c r="AA26" i="11"/>
  <c r="AB26" i="11"/>
  <c r="AC26" i="11"/>
  <c r="S26" i="11"/>
  <c r="F26" i="11"/>
  <c r="AG26" i="11"/>
  <c r="AL26" i="11"/>
  <c r="W26" i="11"/>
  <c r="AF26" i="11"/>
  <c r="AM26" i="11"/>
  <c r="AH25" i="10"/>
  <c r="Q25" i="9"/>
  <c r="U25" i="12" s="1"/>
  <c r="AA27" i="6"/>
  <c r="O27" i="6"/>
  <c r="T27" i="6"/>
  <c r="AG26" i="9"/>
  <c r="Q27" i="6"/>
  <c r="N27" i="6"/>
  <c r="Y27" i="6"/>
  <c r="E124" i="2"/>
  <c r="E28" i="9" s="1"/>
  <c r="H26" i="9"/>
  <c r="I26" i="9" s="1"/>
  <c r="S27" i="6"/>
  <c r="W26" i="9"/>
  <c r="C27" i="9"/>
  <c r="C27" i="12"/>
  <c r="C27" i="10"/>
  <c r="C27" i="11"/>
  <c r="D27" i="6"/>
  <c r="C124" i="2"/>
  <c r="C27" i="6"/>
  <c r="D124" i="2"/>
  <c r="L123" i="2"/>
  <c r="M123" i="2"/>
  <c r="J123" i="2"/>
  <c r="F122" i="2"/>
  <c r="I123" i="2"/>
  <c r="Q25" i="11" l="1"/>
  <c r="S25" i="12" s="1"/>
  <c r="E28" i="6"/>
  <c r="Z28" i="6" s="1"/>
  <c r="M26" i="11"/>
  <c r="M26" i="12" s="1"/>
  <c r="E125" i="2"/>
  <c r="E29" i="11" s="1"/>
  <c r="V27" i="6"/>
  <c r="AH26" i="9"/>
  <c r="K124" i="2"/>
  <c r="E10" i="5" s="1"/>
  <c r="H10" i="5" s="1"/>
  <c r="S10" i="5" s="1"/>
  <c r="AL26" i="12"/>
  <c r="AH26" i="10"/>
  <c r="AI27" i="11"/>
  <c r="AK27" i="11"/>
  <c r="U27" i="11"/>
  <c r="R27" i="11"/>
  <c r="AJ27" i="11"/>
  <c r="AF27" i="11"/>
  <c r="AD27" i="11"/>
  <c r="X27" i="11"/>
  <c r="T27" i="11"/>
  <c r="G27" i="11"/>
  <c r="V27" i="11"/>
  <c r="AM27" i="11"/>
  <c r="J27" i="11"/>
  <c r="K27" i="11" s="1"/>
  <c r="S27" i="11"/>
  <c r="AE27" i="11"/>
  <c r="AB27" i="11"/>
  <c r="H27" i="11"/>
  <c r="I27" i="11" s="1"/>
  <c r="Y27" i="11"/>
  <c r="AL27" i="11"/>
  <c r="F27" i="11"/>
  <c r="W27" i="11"/>
  <c r="AC27" i="11"/>
  <c r="AA27" i="11"/>
  <c r="Z27" i="11"/>
  <c r="AG27" i="11"/>
  <c r="AM27" i="12"/>
  <c r="Y27" i="12"/>
  <c r="J27" i="12"/>
  <c r="K27" i="12" s="1"/>
  <c r="AF27" i="12"/>
  <c r="AO27" i="12"/>
  <c r="AE27" i="12"/>
  <c r="X27" i="12"/>
  <c r="H27" i="12"/>
  <c r="I27" i="12" s="1"/>
  <c r="AD27" i="12"/>
  <c r="AC27" i="12"/>
  <c r="AH27" i="12"/>
  <c r="F27" i="12"/>
  <c r="AK27" i="12"/>
  <c r="G27" i="12"/>
  <c r="AA27" i="12"/>
  <c r="AB27" i="12"/>
  <c r="Z27" i="12"/>
  <c r="AQ27" i="12"/>
  <c r="AN27" i="12"/>
  <c r="V27" i="12"/>
  <c r="AP27" i="12"/>
  <c r="AJ27" i="12"/>
  <c r="AG27" i="12"/>
  <c r="AI27" i="12"/>
  <c r="W27" i="12"/>
  <c r="AI27" i="10"/>
  <c r="AE27" i="10"/>
  <c r="F27" i="10"/>
  <c r="AA27" i="10"/>
  <c r="W27" i="10"/>
  <c r="T27" i="10"/>
  <c r="J27" i="10"/>
  <c r="K27" i="10" s="1"/>
  <c r="AB27" i="10"/>
  <c r="AD27" i="10"/>
  <c r="S27" i="10"/>
  <c r="H27" i="10"/>
  <c r="I27" i="10" s="1"/>
  <c r="AG27" i="10"/>
  <c r="AM27" i="10"/>
  <c r="Y27" i="10"/>
  <c r="V27" i="10"/>
  <c r="AL27" i="10"/>
  <c r="AJ27" i="10"/>
  <c r="R27" i="10"/>
  <c r="G27" i="10"/>
  <c r="U27" i="10"/>
  <c r="X27" i="10"/>
  <c r="Z27" i="10"/>
  <c r="AK27" i="10"/>
  <c r="AC27" i="10"/>
  <c r="AF27" i="10"/>
  <c r="E29" i="6"/>
  <c r="Z29" i="6" s="1"/>
  <c r="E126" i="2"/>
  <c r="E30" i="6" s="1"/>
  <c r="Z30" i="6" s="1"/>
  <c r="Q28" i="6"/>
  <c r="AG27" i="9"/>
  <c r="S27" i="9"/>
  <c r="AF27" i="9"/>
  <c r="J27" i="9"/>
  <c r="K27" i="9" s="1"/>
  <c r="AA27" i="9"/>
  <c r="AE27" i="9"/>
  <c r="AC27" i="9"/>
  <c r="AD27" i="9"/>
  <c r="AB27" i="9"/>
  <c r="U27" i="9"/>
  <c r="Y27" i="9"/>
  <c r="W27" i="9"/>
  <c r="X27" i="9"/>
  <c r="T27" i="9"/>
  <c r="AI27" i="9"/>
  <c r="G27" i="9"/>
  <c r="H27" i="9"/>
  <c r="I27" i="9" s="1"/>
  <c r="AM27" i="9"/>
  <c r="V27" i="9"/>
  <c r="F27" i="9"/>
  <c r="AL27" i="9"/>
  <c r="AJ27" i="9"/>
  <c r="R27" i="9"/>
  <c r="AK27" i="9"/>
  <c r="Z27" i="9"/>
  <c r="M26" i="10"/>
  <c r="N26" i="12" s="1"/>
  <c r="Q26" i="9"/>
  <c r="U26" i="12" s="1"/>
  <c r="H28" i="6"/>
  <c r="D28" i="9"/>
  <c r="D28" i="12"/>
  <c r="D28" i="11"/>
  <c r="D28" i="10"/>
  <c r="N28" i="6"/>
  <c r="K28" i="6"/>
  <c r="M27" i="11"/>
  <c r="N25" i="12"/>
  <c r="Q25" i="10"/>
  <c r="T25" i="12" s="1"/>
  <c r="AH26" i="11"/>
  <c r="C28" i="9"/>
  <c r="C28" i="12"/>
  <c r="C28" i="11"/>
  <c r="C28" i="10"/>
  <c r="X28" i="6"/>
  <c r="E28" i="12"/>
  <c r="E28" i="11"/>
  <c r="E28" i="10"/>
  <c r="Q26" i="11"/>
  <c r="S26" i="12" s="1"/>
  <c r="O28" i="6"/>
  <c r="J28" i="6"/>
  <c r="T28" i="6"/>
  <c r="S28" i="6"/>
  <c r="AA28" i="6"/>
  <c r="W28" i="6"/>
  <c r="U28" i="6"/>
  <c r="R28" i="6"/>
  <c r="AC28" i="9"/>
  <c r="AI28" i="9"/>
  <c r="AG28" i="9"/>
  <c r="AE28" i="9"/>
  <c r="AD28" i="9"/>
  <c r="AA28" i="9"/>
  <c r="Z28" i="9"/>
  <c r="S28" i="9"/>
  <c r="R28" i="9"/>
  <c r="J28" i="9"/>
  <c r="G28" i="9"/>
  <c r="X28" i="9"/>
  <c r="AF28" i="9"/>
  <c r="AB28" i="9"/>
  <c r="T28" i="9"/>
  <c r="AJ28" i="9"/>
  <c r="V28" i="9"/>
  <c r="U28" i="9"/>
  <c r="AL28" i="9"/>
  <c r="F28" i="9"/>
  <c r="AK28" i="9"/>
  <c r="W28" i="9"/>
  <c r="AM28" i="9"/>
  <c r="H28" i="9"/>
  <c r="I28" i="9" s="1"/>
  <c r="Y28" i="9"/>
  <c r="Y28" i="6"/>
  <c r="M28" i="6"/>
  <c r="P28" i="6"/>
  <c r="I28" i="6"/>
  <c r="E5" i="5"/>
  <c r="H5" i="5" s="1"/>
  <c r="S5" i="5" s="1"/>
  <c r="E12" i="5"/>
  <c r="H12" i="5" s="1"/>
  <c r="K12" i="5" s="1"/>
  <c r="E11" i="5"/>
  <c r="H11" i="5" s="1"/>
  <c r="S11" i="5" s="1"/>
  <c r="W11" i="5" s="1"/>
  <c r="G28" i="6"/>
  <c r="F28" i="6"/>
  <c r="L28" i="6"/>
  <c r="E9" i="5"/>
  <c r="H9" i="5" s="1"/>
  <c r="S9" i="5" s="1"/>
  <c r="E6" i="5"/>
  <c r="H6" i="5" s="1"/>
  <c r="K6" i="5" s="1"/>
  <c r="E8" i="5"/>
  <c r="H8" i="5" s="1"/>
  <c r="K8" i="5" s="1"/>
  <c r="E7" i="5"/>
  <c r="H7" i="5" s="1"/>
  <c r="K7" i="5" s="1"/>
  <c r="D28" i="6"/>
  <c r="C28" i="6"/>
  <c r="D125" i="2"/>
  <c r="J124" i="2"/>
  <c r="L124" i="2"/>
  <c r="N19" i="4" s="1"/>
  <c r="H38" i="4" s="1"/>
  <c r="M124" i="2"/>
  <c r="O19" i="4" s="1"/>
  <c r="F123" i="2"/>
  <c r="I124" i="2"/>
  <c r="C125" i="2"/>
  <c r="K10" i="5" l="1"/>
  <c r="E29" i="9"/>
  <c r="AE29" i="9" s="1"/>
  <c r="W29" i="9"/>
  <c r="R29" i="9"/>
  <c r="AD29" i="9"/>
  <c r="X29" i="9"/>
  <c r="AJ29" i="9"/>
  <c r="F29" i="9"/>
  <c r="AL29" i="9"/>
  <c r="Y29" i="9"/>
  <c r="V29" i="9"/>
  <c r="AA29" i="9"/>
  <c r="AG29" i="9"/>
  <c r="H29" i="9"/>
  <c r="I29" i="9" s="1"/>
  <c r="S29" i="9"/>
  <c r="Z29" i="9"/>
  <c r="AB29" i="9"/>
  <c r="E29" i="10"/>
  <c r="AI29" i="10" s="1"/>
  <c r="E29" i="12"/>
  <c r="AP29" i="12" s="1"/>
  <c r="AF29" i="9"/>
  <c r="AI29" i="9"/>
  <c r="J29" i="9"/>
  <c r="AK29" i="9"/>
  <c r="AC29" i="9"/>
  <c r="G29" i="9"/>
  <c r="M27" i="9"/>
  <c r="O27" i="12" s="1"/>
  <c r="K28" i="9"/>
  <c r="M28" i="9" s="1"/>
  <c r="E127" i="2"/>
  <c r="E31" i="9" s="1"/>
  <c r="T29" i="6"/>
  <c r="O29" i="6"/>
  <c r="I29" i="6"/>
  <c r="H29" i="6"/>
  <c r="N29" i="6"/>
  <c r="P29" i="6"/>
  <c r="K29" i="6"/>
  <c r="Y29" i="6"/>
  <c r="X29" i="6"/>
  <c r="S29" i="6"/>
  <c r="W29" i="6"/>
  <c r="J29" i="6"/>
  <c r="G29" i="6"/>
  <c r="F29" i="6"/>
  <c r="AA29" i="6"/>
  <c r="M29" i="6"/>
  <c r="L29" i="6"/>
  <c r="R29" i="6"/>
  <c r="Q29" i="6"/>
  <c r="U29" i="6"/>
  <c r="M27" i="10"/>
  <c r="AH27" i="9"/>
  <c r="AH27" i="10"/>
  <c r="M27" i="12"/>
  <c r="Q27" i="11"/>
  <c r="S27" i="12" s="1"/>
  <c r="C29" i="9"/>
  <c r="C29" i="10"/>
  <c r="C29" i="12"/>
  <c r="C29" i="11"/>
  <c r="Q26" i="10"/>
  <c r="T26" i="12" s="1"/>
  <c r="AM29" i="11"/>
  <c r="AJ29" i="11"/>
  <c r="AB29" i="11"/>
  <c r="H29" i="11"/>
  <c r="I29" i="11" s="1"/>
  <c r="R29" i="11"/>
  <c r="G29" i="11"/>
  <c r="Y29" i="11"/>
  <c r="X29" i="11"/>
  <c r="T29" i="11"/>
  <c r="AG29" i="11"/>
  <c r="AE29" i="11"/>
  <c r="AA29" i="11"/>
  <c r="U29" i="11"/>
  <c r="AD29" i="11"/>
  <c r="AK29" i="11"/>
  <c r="F29" i="11"/>
  <c r="S29" i="11"/>
  <c r="W29" i="11"/>
  <c r="AI29" i="11"/>
  <c r="V29" i="11"/>
  <c r="AL29" i="11"/>
  <c r="AF29" i="11"/>
  <c r="Z29" i="11"/>
  <c r="AC29" i="11"/>
  <c r="J29" i="11"/>
  <c r="AB28" i="10"/>
  <c r="AG28" i="10"/>
  <c r="U28" i="10"/>
  <c r="AK28" i="10"/>
  <c r="AF28" i="10"/>
  <c r="AD28" i="10"/>
  <c r="AC28" i="10"/>
  <c r="AA28" i="10"/>
  <c r="Y28" i="10"/>
  <c r="J28" i="10"/>
  <c r="K28" i="10" s="1"/>
  <c r="H28" i="10"/>
  <c r="I28" i="10" s="1"/>
  <c r="F28" i="10"/>
  <c r="Z28" i="10"/>
  <c r="V28" i="10"/>
  <c r="W28" i="10"/>
  <c r="AL28" i="10"/>
  <c r="AM28" i="10"/>
  <c r="G28" i="10"/>
  <c r="X28" i="10"/>
  <c r="S28" i="10"/>
  <c r="AI28" i="10"/>
  <c r="R28" i="10"/>
  <c r="T28" i="10"/>
  <c r="AE28" i="10"/>
  <c r="AJ28" i="10"/>
  <c r="AH27" i="11"/>
  <c r="AQ29" i="12"/>
  <c r="AJ29" i="12"/>
  <c r="AA29" i="12"/>
  <c r="AB29" i="12"/>
  <c r="AK29" i="12"/>
  <c r="Z29" i="12"/>
  <c r="W29" i="12"/>
  <c r="AN29" i="12"/>
  <c r="Y29" i="12"/>
  <c r="AC28" i="11"/>
  <c r="AE28" i="11"/>
  <c r="AD28" i="11"/>
  <c r="R28" i="11"/>
  <c r="J28" i="11"/>
  <c r="K28" i="11" s="1"/>
  <c r="G28" i="11"/>
  <c r="F28" i="11"/>
  <c r="AF28" i="11"/>
  <c r="AB28" i="11"/>
  <c r="Z28" i="11"/>
  <c r="Y28" i="11"/>
  <c r="X28" i="11"/>
  <c r="H28" i="11"/>
  <c r="I28" i="11" s="1"/>
  <c r="T28" i="11"/>
  <c r="AK28" i="11"/>
  <c r="AA28" i="11"/>
  <c r="AJ28" i="11"/>
  <c r="V28" i="11"/>
  <c r="AL28" i="11"/>
  <c r="S28" i="11"/>
  <c r="AI28" i="11"/>
  <c r="AG28" i="11"/>
  <c r="W28" i="11"/>
  <c r="U28" i="11"/>
  <c r="AM28" i="11"/>
  <c r="E30" i="9"/>
  <c r="E30" i="10"/>
  <c r="E30" i="12"/>
  <c r="E30" i="11"/>
  <c r="AL27" i="12"/>
  <c r="AG28" i="12"/>
  <c r="H28" i="12"/>
  <c r="I28" i="12" s="1"/>
  <c r="AI28" i="12"/>
  <c r="AO28" i="12"/>
  <c r="W28" i="12"/>
  <c r="AM28" i="12"/>
  <c r="V28" i="12"/>
  <c r="F28" i="12"/>
  <c r="AH28" i="12"/>
  <c r="AA28" i="12"/>
  <c r="G28" i="12"/>
  <c r="AQ28" i="12"/>
  <c r="AB28" i="12"/>
  <c r="AJ28" i="12"/>
  <c r="AN28" i="12"/>
  <c r="AF28" i="12"/>
  <c r="AC28" i="12"/>
  <c r="AD28" i="12"/>
  <c r="Z28" i="12"/>
  <c r="AP28" i="12"/>
  <c r="J28" i="12"/>
  <c r="K28" i="12" s="1"/>
  <c r="AE28" i="12"/>
  <c r="Y28" i="12"/>
  <c r="AK28" i="12"/>
  <c r="X28" i="12"/>
  <c r="D29" i="9"/>
  <c r="D29" i="10"/>
  <c r="D29" i="12"/>
  <c r="D29" i="11"/>
  <c r="K29" i="9"/>
  <c r="AH28" i="9"/>
  <c r="S12" i="5"/>
  <c r="W12" i="5" s="1"/>
  <c r="V28" i="6"/>
  <c r="K11" i="5"/>
  <c r="K5" i="5"/>
  <c r="S6" i="5"/>
  <c r="K9" i="5"/>
  <c r="S7" i="5"/>
  <c r="S8" i="5"/>
  <c r="C29" i="6"/>
  <c r="D29" i="6"/>
  <c r="AA30" i="6"/>
  <c r="X30" i="6"/>
  <c r="G30" i="6"/>
  <c r="H30" i="6"/>
  <c r="J30" i="6"/>
  <c r="I30" i="6"/>
  <c r="S30" i="6"/>
  <c r="W30" i="6"/>
  <c r="T30" i="6"/>
  <c r="U30" i="6"/>
  <c r="M30" i="6"/>
  <c r="Y30" i="6"/>
  <c r="N30" i="6"/>
  <c r="F30" i="6"/>
  <c r="O30" i="6"/>
  <c r="R30" i="6"/>
  <c r="K30" i="6"/>
  <c r="P30" i="6"/>
  <c r="Q30" i="6"/>
  <c r="L30" i="6"/>
  <c r="E128" i="2"/>
  <c r="E31" i="6"/>
  <c r="Z31" i="6" s="1"/>
  <c r="D126" i="2"/>
  <c r="L125" i="2"/>
  <c r="M125" i="2"/>
  <c r="J125" i="2"/>
  <c r="Q40" i="4"/>
  <c r="Q44" i="4"/>
  <c r="O47" i="4"/>
  <c r="R39" i="4"/>
  <c r="N46" i="4"/>
  <c r="S43" i="4"/>
  <c r="O46" i="4"/>
  <c r="Q38" i="4"/>
  <c r="R38" i="4"/>
  <c r="N47" i="4"/>
  <c r="S38" i="4"/>
  <c r="O41" i="4"/>
  <c r="S42" i="4"/>
  <c r="S46" i="4"/>
  <c r="N39" i="4"/>
  <c r="R40" i="4"/>
  <c r="N43" i="4"/>
  <c r="R44" i="4"/>
  <c r="P47" i="4"/>
  <c r="N42" i="4"/>
  <c r="O38" i="4"/>
  <c r="S39" i="4"/>
  <c r="O42" i="4"/>
  <c r="P38" i="4"/>
  <c r="P42" i="4"/>
  <c r="Q46" i="4"/>
  <c r="N41" i="4"/>
  <c r="N45" i="4"/>
  <c r="P41" i="4"/>
  <c r="O39" i="4"/>
  <c r="S40" i="4"/>
  <c r="O43" i="4"/>
  <c r="S44" i="4"/>
  <c r="Q47" i="4"/>
  <c r="R43" i="4"/>
  <c r="R46" i="4"/>
  <c r="N38" i="4"/>
  <c r="P39" i="4"/>
  <c r="P43" i="4"/>
  <c r="R47" i="4"/>
  <c r="P46" i="4"/>
  <c r="R42" i="4"/>
  <c r="P45" i="4"/>
  <c r="Q39" i="4"/>
  <c r="Q43" i="4"/>
  <c r="S47" i="4"/>
  <c r="Q42" i="4"/>
  <c r="O45" i="4"/>
  <c r="N40" i="4"/>
  <c r="R45" i="4"/>
  <c r="O40" i="4"/>
  <c r="S45" i="4"/>
  <c r="P40" i="4"/>
  <c r="N44" i="4"/>
  <c r="Q45" i="4"/>
  <c r="Q41" i="4"/>
  <c r="S41" i="4"/>
  <c r="O44" i="4"/>
  <c r="R41" i="4"/>
  <c r="T19" i="4"/>
  <c r="V19" i="4" s="1"/>
  <c r="P44" i="4"/>
  <c r="M39" i="4"/>
  <c r="I42" i="4"/>
  <c r="M43" i="4"/>
  <c r="I46" i="4"/>
  <c r="J41" i="4"/>
  <c r="L41" i="4"/>
  <c r="H44" i="4"/>
  <c r="I40" i="4"/>
  <c r="M45" i="4"/>
  <c r="J44" i="4"/>
  <c r="K44" i="4"/>
  <c r="L40" i="4"/>
  <c r="H43" i="4"/>
  <c r="I47" i="4"/>
  <c r="J42" i="4"/>
  <c r="J46" i="4"/>
  <c r="K45" i="4"/>
  <c r="H40" i="4"/>
  <c r="I44" i="4"/>
  <c r="J40" i="4"/>
  <c r="K40" i="4"/>
  <c r="H39" i="4"/>
  <c r="L44" i="4"/>
  <c r="I38" i="4"/>
  <c r="K42" i="4"/>
  <c r="K46" i="4"/>
  <c r="L45" i="4"/>
  <c r="H41" i="4"/>
  <c r="L42" i="4"/>
  <c r="H45" i="4"/>
  <c r="L46" i="4"/>
  <c r="J45" i="4"/>
  <c r="M41" i="4"/>
  <c r="I41" i="4"/>
  <c r="M42" i="4"/>
  <c r="I45" i="4"/>
  <c r="M46" i="4"/>
  <c r="K41" i="4"/>
  <c r="H47" i="4"/>
  <c r="H42" i="4"/>
  <c r="L43" i="4"/>
  <c r="H46" i="4"/>
  <c r="J47" i="4"/>
  <c r="L47" i="4"/>
  <c r="M47" i="4"/>
  <c r="I43" i="4"/>
  <c r="J43" i="4"/>
  <c r="L38" i="4"/>
  <c r="S19" i="4"/>
  <c r="U19" i="4" s="1"/>
  <c r="K39" i="4"/>
  <c r="I39" i="4"/>
  <c r="K47" i="4"/>
  <c r="J38" i="4"/>
  <c r="K38" i="4"/>
  <c r="K43" i="4"/>
  <c r="M38" i="4"/>
  <c r="M44" i="4"/>
  <c r="J39" i="4"/>
  <c r="L39" i="4"/>
  <c r="M40" i="4"/>
  <c r="F124" i="2"/>
  <c r="I125" i="2"/>
  <c r="C126" i="2"/>
  <c r="U29" i="9" l="1"/>
  <c r="T29" i="9"/>
  <c r="AG29" i="12"/>
  <c r="G29" i="12"/>
  <c r="X29" i="12"/>
  <c r="AM29" i="12"/>
  <c r="AI29" i="12"/>
  <c r="AC29" i="12"/>
  <c r="V29" i="12"/>
  <c r="H29" i="12"/>
  <c r="I29" i="12" s="1"/>
  <c r="AH29" i="12"/>
  <c r="AE29" i="12"/>
  <c r="AO29" i="12"/>
  <c r="AD29" i="12"/>
  <c r="J29" i="12"/>
  <c r="K29" i="12" s="1"/>
  <c r="AF29" i="12"/>
  <c r="U29" i="10"/>
  <c r="Z29" i="10"/>
  <c r="AM29" i="10"/>
  <c r="AB29" i="10"/>
  <c r="AA29" i="10"/>
  <c r="AG29" i="10"/>
  <c r="AL29" i="10"/>
  <c r="AJ29" i="10"/>
  <c r="T29" i="10"/>
  <c r="Y29" i="10"/>
  <c r="AD29" i="10"/>
  <c r="H29" i="10"/>
  <c r="I29" i="10" s="1"/>
  <c r="F29" i="10"/>
  <c r="G29" i="10"/>
  <c r="J29" i="10"/>
  <c r="Q27" i="9"/>
  <c r="U27" i="12" s="1"/>
  <c r="S29" i="10"/>
  <c r="W29" i="10"/>
  <c r="X29" i="10"/>
  <c r="AH29" i="9"/>
  <c r="V29" i="10"/>
  <c r="AE29" i="10"/>
  <c r="AM29" i="9"/>
  <c r="AC29" i="10"/>
  <c r="AK29" i="10"/>
  <c r="O28" i="12"/>
  <c r="Q28" i="9"/>
  <c r="U28" i="12" s="1"/>
  <c r="R29" i="10"/>
  <c r="AF29" i="10"/>
  <c r="E31" i="10"/>
  <c r="AM31" i="10" s="1"/>
  <c r="E31" i="12"/>
  <c r="AH31" i="12" s="1"/>
  <c r="E31" i="11"/>
  <c r="AB31" i="11" s="1"/>
  <c r="F29" i="12"/>
  <c r="AK31" i="9"/>
  <c r="AG31" i="9"/>
  <c r="AF31" i="9"/>
  <c r="AA31" i="9"/>
  <c r="AE31" i="9"/>
  <c r="S31" i="9"/>
  <c r="AC31" i="9"/>
  <c r="AI31" i="9"/>
  <c r="AD31" i="9"/>
  <c r="AB31" i="9"/>
  <c r="V31" i="9"/>
  <c r="Y31" i="9"/>
  <c r="AL31" i="9"/>
  <c r="X31" i="9"/>
  <c r="U31" i="9"/>
  <c r="W31" i="9"/>
  <c r="Z31" i="9"/>
  <c r="J31" i="9"/>
  <c r="T31" i="9"/>
  <c r="R31" i="9"/>
  <c r="G31" i="9"/>
  <c r="AJ31" i="9"/>
  <c r="H31" i="9"/>
  <c r="I31" i="9" s="1"/>
  <c r="F31" i="9"/>
  <c r="AM31" i="9"/>
  <c r="V29" i="6"/>
  <c r="AH28" i="11"/>
  <c r="E32" i="9"/>
  <c r="AK32" i="9" s="1"/>
  <c r="E32" i="12"/>
  <c r="E32" i="11"/>
  <c r="E32" i="10"/>
  <c r="K29" i="10"/>
  <c r="M29" i="10" s="1"/>
  <c r="AL28" i="12"/>
  <c r="M28" i="11"/>
  <c r="AH28" i="10"/>
  <c r="M28" i="10"/>
  <c r="N28" i="12" s="1"/>
  <c r="V31" i="10"/>
  <c r="AG30" i="11"/>
  <c r="AB30" i="11"/>
  <c r="AD30" i="11"/>
  <c r="R30" i="11"/>
  <c r="V30" i="11"/>
  <c r="W30" i="11"/>
  <c r="X30" i="11"/>
  <c r="AJ30" i="11"/>
  <c r="U30" i="11"/>
  <c r="J30" i="11"/>
  <c r="K30" i="11" s="1"/>
  <c r="AK30" i="11"/>
  <c r="H30" i="11"/>
  <c r="I30" i="11" s="1"/>
  <c r="AA30" i="11"/>
  <c r="Y30" i="11"/>
  <c r="G30" i="11"/>
  <c r="AE30" i="11"/>
  <c r="AL30" i="11"/>
  <c r="AC30" i="11"/>
  <c r="AF30" i="11"/>
  <c r="S30" i="11"/>
  <c r="Z30" i="11"/>
  <c r="AI30" i="11"/>
  <c r="T30" i="11"/>
  <c r="F30" i="11"/>
  <c r="AM30" i="11"/>
  <c r="K29" i="11"/>
  <c r="M29" i="11" s="1"/>
  <c r="D30" i="9"/>
  <c r="D30" i="12"/>
  <c r="D30" i="11"/>
  <c r="D30" i="10"/>
  <c r="C30" i="9"/>
  <c r="C30" i="12"/>
  <c r="C30" i="10"/>
  <c r="C30" i="11"/>
  <c r="AK30" i="12"/>
  <c r="X30" i="12"/>
  <c r="Y30" i="12"/>
  <c r="G30" i="12"/>
  <c r="AN30" i="12"/>
  <c r="W30" i="12"/>
  <c r="H30" i="12"/>
  <c r="I30" i="12" s="1"/>
  <c r="AG30" i="12"/>
  <c r="AM30" i="12"/>
  <c r="AC30" i="12"/>
  <c r="AH30" i="12"/>
  <c r="F30" i="12"/>
  <c r="AA30" i="12"/>
  <c r="AD30" i="12"/>
  <c r="Z30" i="12"/>
  <c r="AQ30" i="12"/>
  <c r="AP30" i="12"/>
  <c r="AF30" i="12"/>
  <c r="V30" i="12"/>
  <c r="AE30" i="12"/>
  <c r="AJ30" i="12"/>
  <c r="J30" i="12"/>
  <c r="K30" i="12" s="1"/>
  <c r="AI30" i="12"/>
  <c r="AO30" i="12"/>
  <c r="AB30" i="12"/>
  <c r="AF30" i="10"/>
  <c r="U30" i="10"/>
  <c r="AK30" i="10"/>
  <c r="AG30" i="10"/>
  <c r="AE30" i="10"/>
  <c r="AC30" i="10"/>
  <c r="Z30" i="10"/>
  <c r="Y30" i="10"/>
  <c r="T30" i="10"/>
  <c r="R30" i="10"/>
  <c r="H30" i="10"/>
  <c r="I30" i="10" s="1"/>
  <c r="V30" i="10"/>
  <c r="AL30" i="10"/>
  <c r="G30" i="10"/>
  <c r="S30" i="10"/>
  <c r="X30" i="10"/>
  <c r="AI30" i="10"/>
  <c r="AD30" i="10"/>
  <c r="J30" i="10"/>
  <c r="AA30" i="10"/>
  <c r="AB30" i="10"/>
  <c r="AJ30" i="10"/>
  <c r="F30" i="10"/>
  <c r="W30" i="10"/>
  <c r="AM30" i="10"/>
  <c r="N27" i="12"/>
  <c r="Q27" i="10"/>
  <c r="T27" i="12" s="1"/>
  <c r="AL30" i="9"/>
  <c r="AE30" i="9"/>
  <c r="AB30" i="9"/>
  <c r="T30" i="9"/>
  <c r="AJ30" i="9"/>
  <c r="F30" i="9"/>
  <c r="W30" i="9"/>
  <c r="AG30" i="9"/>
  <c r="AF30" i="9"/>
  <c r="AD30" i="9"/>
  <c r="AM30" i="9"/>
  <c r="AI30" i="9"/>
  <c r="G30" i="9"/>
  <c r="R30" i="9"/>
  <c r="Z30" i="9"/>
  <c r="S30" i="9"/>
  <c r="X30" i="9"/>
  <c r="V30" i="9"/>
  <c r="U30" i="9"/>
  <c r="AK30" i="9"/>
  <c r="J30" i="9"/>
  <c r="Y30" i="9"/>
  <c r="AA30" i="9"/>
  <c r="H30" i="9"/>
  <c r="I30" i="9" s="1"/>
  <c r="AC30" i="9"/>
  <c r="AH29" i="11"/>
  <c r="M29" i="9"/>
  <c r="O29" i="12" s="1"/>
  <c r="AE32" i="9"/>
  <c r="Z32" i="9"/>
  <c r="AC32" i="9"/>
  <c r="AB32" i="9"/>
  <c r="V32" i="9"/>
  <c r="AL32" i="9"/>
  <c r="AD32" i="9"/>
  <c r="D30" i="6"/>
  <c r="C30" i="6"/>
  <c r="AA31" i="6"/>
  <c r="X31" i="6"/>
  <c r="G31" i="6"/>
  <c r="J31" i="6"/>
  <c r="H31" i="6"/>
  <c r="I31" i="6"/>
  <c r="K31" i="6"/>
  <c r="W31" i="6"/>
  <c r="M31" i="6"/>
  <c r="F31" i="6"/>
  <c r="L31" i="6"/>
  <c r="Q31" i="6"/>
  <c r="U31" i="6"/>
  <c r="N31" i="6"/>
  <c r="R31" i="6"/>
  <c r="Y31" i="6"/>
  <c r="O31" i="6"/>
  <c r="S31" i="6"/>
  <c r="T31" i="6"/>
  <c r="P31" i="6"/>
  <c r="V30" i="6"/>
  <c r="E129" i="2"/>
  <c r="E32" i="6"/>
  <c r="Z32" i="6" s="1"/>
  <c r="D127" i="2"/>
  <c r="L126" i="2"/>
  <c r="M126" i="2"/>
  <c r="J126" i="2"/>
  <c r="F125" i="2"/>
  <c r="I126" i="2"/>
  <c r="C127" i="2"/>
  <c r="R31" i="10" l="1"/>
  <c r="T31" i="11"/>
  <c r="W31" i="11"/>
  <c r="AL29" i="12"/>
  <c r="F31" i="11"/>
  <c r="R31" i="11"/>
  <c r="S31" i="11"/>
  <c r="U31" i="11"/>
  <c r="AH31" i="11" s="1"/>
  <c r="AE31" i="11"/>
  <c r="X31" i="11"/>
  <c r="AM31" i="12"/>
  <c r="AK31" i="12"/>
  <c r="AJ31" i="12"/>
  <c r="X31" i="12"/>
  <c r="V31" i="12"/>
  <c r="AI31" i="12"/>
  <c r="H31" i="12"/>
  <c r="I31" i="12" s="1"/>
  <c r="Z31" i="12"/>
  <c r="AC31" i="12"/>
  <c r="AP31" i="12"/>
  <c r="F31" i="12"/>
  <c r="AN31" i="12"/>
  <c r="AA31" i="12"/>
  <c r="AD31" i="12"/>
  <c r="W31" i="12"/>
  <c r="AD31" i="11"/>
  <c r="G31" i="11"/>
  <c r="AG31" i="12"/>
  <c r="AJ31" i="11"/>
  <c r="AL31" i="11"/>
  <c r="H31" i="10"/>
  <c r="I31" i="10" s="1"/>
  <c r="AB31" i="12"/>
  <c r="AO31" i="12"/>
  <c r="Y31" i="10"/>
  <c r="V31" i="11"/>
  <c r="G31" i="12"/>
  <c r="AF31" i="12"/>
  <c r="AF31" i="11"/>
  <c r="AQ31" i="12"/>
  <c r="AE31" i="12"/>
  <c r="J31" i="11"/>
  <c r="Y31" i="11"/>
  <c r="H31" i="11"/>
  <c r="I31" i="11" s="1"/>
  <c r="R32" i="9"/>
  <c r="F32" i="9"/>
  <c r="H32" i="9"/>
  <c r="I32" i="9" s="1"/>
  <c r="AA31" i="11"/>
  <c r="U32" i="9"/>
  <c r="K30" i="10"/>
  <c r="M30" i="10" s="1"/>
  <c r="N30" i="12" s="1"/>
  <c r="AA32" i="9"/>
  <c r="X32" i="9"/>
  <c r="AI31" i="11"/>
  <c r="T31" i="10"/>
  <c r="T32" i="9"/>
  <c r="G32" i="9"/>
  <c r="AF32" i="9"/>
  <c r="AG31" i="11"/>
  <c r="AK31" i="11"/>
  <c r="AA31" i="10"/>
  <c r="AI32" i="9"/>
  <c r="S32" i="9"/>
  <c r="Z31" i="11"/>
  <c r="AC31" i="11"/>
  <c r="J31" i="12"/>
  <c r="K31" i="12" s="1"/>
  <c r="AM31" i="11"/>
  <c r="AM32" i="9"/>
  <c r="Y32" i="9"/>
  <c r="AC31" i="10"/>
  <c r="J31" i="10"/>
  <c r="K31" i="10" s="1"/>
  <c r="M31" i="10" s="1"/>
  <c r="AH29" i="10"/>
  <c r="AD31" i="10"/>
  <c r="AE31" i="10"/>
  <c r="Z31" i="10"/>
  <c r="AH31" i="9"/>
  <c r="AG31" i="10"/>
  <c r="Y31" i="12"/>
  <c r="AK31" i="10"/>
  <c r="W31" i="10"/>
  <c r="AL31" i="10"/>
  <c r="AB31" i="10"/>
  <c r="U31" i="10"/>
  <c r="AI31" i="10"/>
  <c r="X31" i="10"/>
  <c r="S31" i="10"/>
  <c r="AJ31" i="10"/>
  <c r="AF31" i="10"/>
  <c r="F31" i="10"/>
  <c r="G31" i="10"/>
  <c r="J32" i="9"/>
  <c r="K32" i="9" s="1"/>
  <c r="W32" i="9"/>
  <c r="AG32" i="9"/>
  <c r="AJ32" i="9"/>
  <c r="M29" i="12"/>
  <c r="Q29" i="11"/>
  <c r="S29" i="12" s="1"/>
  <c r="Q29" i="9"/>
  <c r="U29" i="12" s="1"/>
  <c r="K31" i="11"/>
  <c r="M31" i="11" s="1"/>
  <c r="AH30" i="11"/>
  <c r="C31" i="9"/>
  <c r="C31" i="12"/>
  <c r="C31" i="11"/>
  <c r="C31" i="10"/>
  <c r="M28" i="12"/>
  <c r="Q28" i="11"/>
  <c r="S28" i="12" s="1"/>
  <c r="K31" i="9"/>
  <c r="M31" i="9" s="1"/>
  <c r="O31" i="12" s="1"/>
  <c r="K30" i="9"/>
  <c r="M30" i="9" s="1"/>
  <c r="AL30" i="12"/>
  <c r="Q28" i="10"/>
  <c r="T28" i="12" s="1"/>
  <c r="M30" i="11"/>
  <c r="M30" i="12" s="1"/>
  <c r="N29" i="12"/>
  <c r="Q29" i="10"/>
  <c r="T29" i="12" s="1"/>
  <c r="D31" i="9"/>
  <c r="D31" i="10"/>
  <c r="D31" i="12"/>
  <c r="D31" i="11"/>
  <c r="AK32" i="10"/>
  <c r="AA32" i="10"/>
  <c r="AC32" i="10"/>
  <c r="AG32" i="10"/>
  <c r="Z32" i="10"/>
  <c r="AB32" i="10"/>
  <c r="AD32" i="10"/>
  <c r="F32" i="10"/>
  <c r="W32" i="10"/>
  <c r="R32" i="10"/>
  <c r="U32" i="10"/>
  <c r="AM32" i="10"/>
  <c r="S32" i="10"/>
  <c r="H32" i="10"/>
  <c r="AE32" i="10"/>
  <c r="AF32" i="10"/>
  <c r="AI32" i="10"/>
  <c r="Y32" i="10"/>
  <c r="V32" i="10"/>
  <c r="G32" i="10"/>
  <c r="AL32" i="10"/>
  <c r="X32" i="10"/>
  <c r="T32" i="10"/>
  <c r="AJ32" i="10"/>
  <c r="J32" i="10"/>
  <c r="K32" i="10" s="1"/>
  <c r="E33" i="9"/>
  <c r="AI33" i="9" s="1"/>
  <c r="E33" i="12"/>
  <c r="E33" i="11"/>
  <c r="E33" i="10"/>
  <c r="AH30" i="9"/>
  <c r="AK32" i="11"/>
  <c r="W32" i="11"/>
  <c r="V32" i="11"/>
  <c r="AA32" i="11"/>
  <c r="AI32" i="11"/>
  <c r="Y32" i="11"/>
  <c r="R32" i="11"/>
  <c r="H32" i="11"/>
  <c r="I32" i="11" s="1"/>
  <c r="AE32" i="11"/>
  <c r="AB32" i="11"/>
  <c r="AC32" i="11"/>
  <c r="S32" i="11"/>
  <c r="U32" i="11"/>
  <c r="Z32" i="11"/>
  <c r="AF32" i="11"/>
  <c r="AG32" i="11"/>
  <c r="T32" i="11"/>
  <c r="AJ32" i="11"/>
  <c r="F32" i="11"/>
  <c r="AM32" i="11"/>
  <c r="AD32" i="11"/>
  <c r="G32" i="11"/>
  <c r="X32" i="11"/>
  <c r="J32" i="11"/>
  <c r="K32" i="11" s="1"/>
  <c r="AL32" i="11"/>
  <c r="AH30" i="10"/>
  <c r="AO32" i="12"/>
  <c r="G32" i="12"/>
  <c r="H32" i="12"/>
  <c r="I32" i="12" s="1"/>
  <c r="AF32" i="12"/>
  <c r="AB32" i="12"/>
  <c r="AC32" i="12"/>
  <c r="AN32" i="12"/>
  <c r="Z32" i="12"/>
  <c r="AP32" i="12"/>
  <c r="F32" i="12"/>
  <c r="AA32" i="12"/>
  <c r="AQ32" i="12"/>
  <c r="V32" i="12"/>
  <c r="AH32" i="12"/>
  <c r="AD32" i="12"/>
  <c r="J32" i="12"/>
  <c r="K32" i="12" s="1"/>
  <c r="Y32" i="12"/>
  <c r="X32" i="12"/>
  <c r="AK32" i="12"/>
  <c r="AI32" i="12"/>
  <c r="AE32" i="12"/>
  <c r="AG32" i="12"/>
  <c r="W32" i="12"/>
  <c r="AJ32" i="12"/>
  <c r="AM32" i="12"/>
  <c r="C31" i="6"/>
  <c r="D31" i="6"/>
  <c r="AA32" i="6"/>
  <c r="X32" i="6"/>
  <c r="V31" i="6"/>
  <c r="G32" i="6"/>
  <c r="J32" i="6"/>
  <c r="H32" i="6"/>
  <c r="I32" i="6"/>
  <c r="K32" i="6"/>
  <c r="Q32" i="6"/>
  <c r="L32" i="6"/>
  <c r="M32" i="6"/>
  <c r="O32" i="6"/>
  <c r="P32" i="6"/>
  <c r="W32" i="6"/>
  <c r="N32" i="6"/>
  <c r="S32" i="6"/>
  <c r="T32" i="6"/>
  <c r="Y32" i="6"/>
  <c r="U32" i="6"/>
  <c r="F32" i="6"/>
  <c r="R32" i="6"/>
  <c r="E130" i="2"/>
  <c r="E33" i="6"/>
  <c r="Z33" i="6" s="1"/>
  <c r="D128" i="2"/>
  <c r="J127" i="2"/>
  <c r="M127" i="2"/>
  <c r="L127" i="2"/>
  <c r="F126" i="2"/>
  <c r="I127" i="2"/>
  <c r="C128" i="2"/>
  <c r="AL31" i="12" l="1"/>
  <c r="AH32" i="9"/>
  <c r="AH31" i="10"/>
  <c r="M32" i="9"/>
  <c r="O32" i="12" s="1"/>
  <c r="AL33" i="9"/>
  <c r="H33" i="9"/>
  <c r="I33" i="9" s="1"/>
  <c r="AE33" i="9"/>
  <c r="J33" i="9"/>
  <c r="K33" i="9" s="1"/>
  <c r="G33" i="9"/>
  <c r="Q30" i="10"/>
  <c r="T30" i="12" s="1"/>
  <c r="AG33" i="9"/>
  <c r="AM33" i="9"/>
  <c r="U33" i="9"/>
  <c r="S33" i="9"/>
  <c r="W33" i="9"/>
  <c r="X33" i="9"/>
  <c r="Y33" i="9"/>
  <c r="AF33" i="9"/>
  <c r="AJ33" i="9"/>
  <c r="AA33" i="9"/>
  <c r="F33" i="9"/>
  <c r="Z33" i="9"/>
  <c r="AC33" i="9"/>
  <c r="AB33" i="9"/>
  <c r="AD33" i="9"/>
  <c r="N31" i="12"/>
  <c r="Q31" i="10"/>
  <c r="T31" i="12" s="1"/>
  <c r="I32" i="10"/>
  <c r="AB33" i="10"/>
  <c r="AA33" i="10"/>
  <c r="AD33" i="10"/>
  <c r="R33" i="10"/>
  <c r="J33" i="10"/>
  <c r="G33" i="10"/>
  <c r="F33" i="10"/>
  <c r="AM33" i="10"/>
  <c r="AI33" i="10"/>
  <c r="AF33" i="10"/>
  <c r="AC33" i="10"/>
  <c r="AE33" i="10"/>
  <c r="Z33" i="10"/>
  <c r="X33" i="10"/>
  <c r="W33" i="10"/>
  <c r="S33" i="10"/>
  <c r="U33" i="10"/>
  <c r="AK33" i="10"/>
  <c r="T33" i="10"/>
  <c r="AJ33" i="10"/>
  <c r="V33" i="10"/>
  <c r="AL33" i="10"/>
  <c r="AG33" i="10"/>
  <c r="H33" i="10"/>
  <c r="I33" i="10" s="1"/>
  <c r="Y33" i="10"/>
  <c r="AE33" i="11"/>
  <c r="AG33" i="11"/>
  <c r="H33" i="11"/>
  <c r="I33" i="11" s="1"/>
  <c r="AF33" i="11"/>
  <c r="G33" i="11"/>
  <c r="Y33" i="11"/>
  <c r="U33" i="11"/>
  <c r="AK33" i="11"/>
  <c r="J33" i="11"/>
  <c r="K33" i="11" s="1"/>
  <c r="S33" i="11"/>
  <c r="R33" i="11"/>
  <c r="AI33" i="11"/>
  <c r="AD33" i="11"/>
  <c r="AC33" i="11"/>
  <c r="AA33" i="11"/>
  <c r="Z33" i="11"/>
  <c r="X33" i="11"/>
  <c r="T33" i="11"/>
  <c r="AM33" i="11"/>
  <c r="AJ33" i="11"/>
  <c r="AL33" i="11"/>
  <c r="AB33" i="11"/>
  <c r="V33" i="11"/>
  <c r="F33" i="11"/>
  <c r="W33" i="11"/>
  <c r="AL32" i="12"/>
  <c r="AH32" i="11"/>
  <c r="AH32" i="10"/>
  <c r="M31" i="12"/>
  <c r="Q31" i="11"/>
  <c r="S31" i="12" s="1"/>
  <c r="M32" i="10"/>
  <c r="AI33" i="12"/>
  <c r="AO33" i="12"/>
  <c r="X33" i="12"/>
  <c r="AJ33" i="12"/>
  <c r="H33" i="12"/>
  <c r="I33" i="12" s="1"/>
  <c r="AC33" i="12"/>
  <c r="Z33" i="12"/>
  <c r="AG33" i="12"/>
  <c r="V33" i="12"/>
  <c r="W33" i="12"/>
  <c r="AP33" i="12"/>
  <c r="AM33" i="12"/>
  <c r="AB33" i="12"/>
  <c r="AD33" i="12"/>
  <c r="F33" i="12"/>
  <c r="J33" i="12"/>
  <c r="K33" i="12" s="1"/>
  <c r="AK33" i="12"/>
  <c r="AA33" i="12"/>
  <c r="AE33" i="12"/>
  <c r="AF33" i="12"/>
  <c r="AQ33" i="12"/>
  <c r="G33" i="12"/>
  <c r="Y33" i="12"/>
  <c r="AN33" i="12"/>
  <c r="AH33" i="12"/>
  <c r="E34" i="9"/>
  <c r="Z34" i="9" s="1"/>
  <c r="E34" i="12"/>
  <c r="E34" i="11"/>
  <c r="E34" i="10"/>
  <c r="R33" i="9"/>
  <c r="O30" i="12"/>
  <c r="Q30" i="9"/>
  <c r="U30" i="12" s="1"/>
  <c r="AK33" i="9"/>
  <c r="Q30" i="11"/>
  <c r="S30" i="12" s="1"/>
  <c r="Q31" i="9"/>
  <c r="U31" i="12" s="1"/>
  <c r="D32" i="9"/>
  <c r="D32" i="12"/>
  <c r="D32" i="11"/>
  <c r="D32" i="10"/>
  <c r="T33" i="9"/>
  <c r="Q32" i="9"/>
  <c r="U32" i="12" s="1"/>
  <c r="C32" i="9"/>
  <c r="C32" i="12"/>
  <c r="C32" i="11"/>
  <c r="C32" i="10"/>
  <c r="V33" i="9"/>
  <c r="M32" i="11"/>
  <c r="M32" i="12" s="1"/>
  <c r="D32" i="6"/>
  <c r="C32" i="6"/>
  <c r="AA33" i="6"/>
  <c r="X33" i="6"/>
  <c r="V32" i="6"/>
  <c r="G33" i="6"/>
  <c r="H33" i="6"/>
  <c r="I33" i="6"/>
  <c r="J33" i="6"/>
  <c r="O33" i="6"/>
  <c r="T33" i="6"/>
  <c r="P33" i="6"/>
  <c r="S33" i="6"/>
  <c r="Q33" i="6"/>
  <c r="W33" i="6"/>
  <c r="R33" i="6"/>
  <c r="U33" i="6"/>
  <c r="L33" i="6"/>
  <c r="N33" i="6"/>
  <c r="K33" i="6"/>
  <c r="M33" i="6"/>
  <c r="F33" i="6"/>
  <c r="Y33" i="6"/>
  <c r="E131" i="2"/>
  <c r="E34" i="6"/>
  <c r="Z34" i="6" s="1"/>
  <c r="D129" i="2"/>
  <c r="J128" i="2"/>
  <c r="L128" i="2"/>
  <c r="M128" i="2"/>
  <c r="F127" i="2"/>
  <c r="C129" i="2"/>
  <c r="I128" i="2"/>
  <c r="AJ34" i="9" l="1"/>
  <c r="M33" i="9"/>
  <c r="T34" i="9"/>
  <c r="AD34" i="9"/>
  <c r="AM34" i="9"/>
  <c r="AK34" i="9"/>
  <c r="AI34" i="9"/>
  <c r="U34" i="9"/>
  <c r="Q32" i="11"/>
  <c r="S32" i="12" s="1"/>
  <c r="AL34" i="9"/>
  <c r="AE34" i="9"/>
  <c r="J34" i="9"/>
  <c r="K34" i="9" s="1"/>
  <c r="Y34" i="9"/>
  <c r="F34" i="9"/>
  <c r="W34" i="9"/>
  <c r="AG34" i="9"/>
  <c r="AC34" i="9"/>
  <c r="V34" i="9"/>
  <c r="AF34" i="9"/>
  <c r="H34" i="9"/>
  <c r="I34" i="9" s="1"/>
  <c r="R34" i="9"/>
  <c r="G34" i="9"/>
  <c r="AA34" i="9"/>
  <c r="AH33" i="9"/>
  <c r="K33" i="10"/>
  <c r="M33" i="10" s="1"/>
  <c r="X34" i="9"/>
  <c r="S34" i="9"/>
  <c r="AB34" i="9"/>
  <c r="C33" i="9"/>
  <c r="C33" i="11"/>
  <c r="C33" i="12"/>
  <c r="C33" i="10"/>
  <c r="N32" i="12"/>
  <c r="Q32" i="10"/>
  <c r="T32" i="12" s="1"/>
  <c r="AL34" i="10"/>
  <c r="AM34" i="10"/>
  <c r="AB34" i="10"/>
  <c r="R34" i="10"/>
  <c r="H34" i="10"/>
  <c r="I34" i="10" s="1"/>
  <c r="G34" i="10"/>
  <c r="AK34" i="10"/>
  <c r="F34" i="10"/>
  <c r="AG34" i="10"/>
  <c r="AF34" i="10"/>
  <c r="AD34" i="10"/>
  <c r="AC34" i="10"/>
  <c r="AA34" i="10"/>
  <c r="Z34" i="10"/>
  <c r="Y34" i="10"/>
  <c r="X34" i="10"/>
  <c r="W34" i="10"/>
  <c r="J34" i="10"/>
  <c r="K34" i="10" s="1"/>
  <c r="U34" i="10"/>
  <c r="T34" i="10"/>
  <c r="AE34" i="10"/>
  <c r="V34" i="10"/>
  <c r="AJ34" i="10"/>
  <c r="S34" i="10"/>
  <c r="AI34" i="10"/>
  <c r="M34" i="9"/>
  <c r="O34" i="12" s="1"/>
  <c r="AL34" i="11"/>
  <c r="W34" i="11"/>
  <c r="U34" i="11"/>
  <c r="AG34" i="11"/>
  <c r="J34" i="11"/>
  <c r="K34" i="11" s="1"/>
  <c r="AE34" i="11"/>
  <c r="F34" i="11"/>
  <c r="Y34" i="11"/>
  <c r="S34" i="11"/>
  <c r="R34" i="11"/>
  <c r="G34" i="11"/>
  <c r="AM34" i="11"/>
  <c r="AK34" i="11"/>
  <c r="AI34" i="11"/>
  <c r="AF34" i="11"/>
  <c r="AD34" i="11"/>
  <c r="AC34" i="11"/>
  <c r="AB34" i="11"/>
  <c r="AA34" i="11"/>
  <c r="Z34" i="11"/>
  <c r="X34" i="11"/>
  <c r="T34" i="11"/>
  <c r="H34" i="11"/>
  <c r="I34" i="11" s="1"/>
  <c r="AJ34" i="11"/>
  <c r="V34" i="11"/>
  <c r="Y34" i="12"/>
  <c r="AD34" i="12"/>
  <c r="AP34" i="12"/>
  <c r="AB34" i="12"/>
  <c r="AE34" i="12"/>
  <c r="AI34" i="12"/>
  <c r="AN34" i="12"/>
  <c r="G34" i="12"/>
  <c r="V34" i="12"/>
  <c r="F34" i="12"/>
  <c r="AQ34" i="12"/>
  <c r="AF34" i="12"/>
  <c r="AJ34" i="12"/>
  <c r="H34" i="12"/>
  <c r="I34" i="12" s="1"/>
  <c r="AH34" i="12"/>
  <c r="AO34" i="12"/>
  <c r="AK34" i="12"/>
  <c r="W34" i="12"/>
  <c r="X34" i="12"/>
  <c r="J34" i="12"/>
  <c r="K34" i="12" s="1"/>
  <c r="AG34" i="12"/>
  <c r="AM34" i="12"/>
  <c r="AA34" i="12"/>
  <c r="AC34" i="12"/>
  <c r="Z34" i="12"/>
  <c r="AH33" i="10"/>
  <c r="M33" i="11"/>
  <c r="M33" i="12" s="1"/>
  <c r="AL33" i="12"/>
  <c r="AH33" i="11"/>
  <c r="D33" i="9"/>
  <c r="D33" i="12"/>
  <c r="D33" i="11"/>
  <c r="D33" i="10"/>
  <c r="E35" i="9"/>
  <c r="H35" i="9" s="1"/>
  <c r="I35" i="9" s="1"/>
  <c r="E35" i="11"/>
  <c r="E35" i="12"/>
  <c r="E35" i="10"/>
  <c r="D33" i="6"/>
  <c r="C33" i="6"/>
  <c r="AA34" i="6"/>
  <c r="X34" i="6"/>
  <c r="Y34" i="6"/>
  <c r="G34" i="6"/>
  <c r="J34" i="6"/>
  <c r="H34" i="6"/>
  <c r="I34" i="6"/>
  <c r="S34" i="6"/>
  <c r="T34" i="6"/>
  <c r="W34" i="6"/>
  <c r="U34" i="6"/>
  <c r="R34" i="6"/>
  <c r="M34" i="6"/>
  <c r="N34" i="6"/>
  <c r="P34" i="6"/>
  <c r="F34" i="6"/>
  <c r="K34" i="6"/>
  <c r="L34" i="6"/>
  <c r="O34" i="6"/>
  <c r="Q34" i="6"/>
  <c r="V33" i="6"/>
  <c r="E132" i="2"/>
  <c r="E35" i="6"/>
  <c r="Z35" i="6" s="1"/>
  <c r="D130" i="2"/>
  <c r="M129" i="2"/>
  <c r="J129" i="2"/>
  <c r="L129" i="2"/>
  <c r="F128" i="2"/>
  <c r="I129" i="2"/>
  <c r="C130" i="2"/>
  <c r="Y35" i="9" l="1"/>
  <c r="AB35" i="9"/>
  <c r="Q34" i="9"/>
  <c r="U34" i="12" s="1"/>
  <c r="AA35" i="9"/>
  <c r="J35" i="9"/>
  <c r="K35" i="9" s="1"/>
  <c r="AG35" i="9"/>
  <c r="V35" i="9"/>
  <c r="Q33" i="11"/>
  <c r="S33" i="12" s="1"/>
  <c r="O33" i="12"/>
  <c r="Q33" i="9"/>
  <c r="U33" i="12" s="1"/>
  <c r="AL35" i="9"/>
  <c r="AI35" i="9"/>
  <c r="AJ35" i="9"/>
  <c r="AM35" i="9"/>
  <c r="AH34" i="9"/>
  <c r="S35" i="9"/>
  <c r="M34" i="11"/>
  <c r="M34" i="12" s="1"/>
  <c r="AH34" i="10"/>
  <c r="C34" i="9"/>
  <c r="C34" i="12"/>
  <c r="C34" i="10"/>
  <c r="C34" i="11"/>
  <c r="W35" i="9"/>
  <c r="R35" i="9"/>
  <c r="X35" i="9"/>
  <c r="AK35" i="9"/>
  <c r="N33" i="12"/>
  <c r="Q33" i="10"/>
  <c r="T33" i="12" s="1"/>
  <c r="AH34" i="11"/>
  <c r="AD35" i="9"/>
  <c r="U35" i="9"/>
  <c r="M34" i="10"/>
  <c r="N34" i="12" s="1"/>
  <c r="F35" i="9"/>
  <c r="Z35" i="9"/>
  <c r="D34" i="9"/>
  <c r="D34" i="10"/>
  <c r="D34" i="12"/>
  <c r="D34" i="11"/>
  <c r="AE35" i="9"/>
  <c r="M35" i="9"/>
  <c r="O35" i="12" s="1"/>
  <c r="G35" i="9"/>
  <c r="AF35" i="9"/>
  <c r="AI35" i="10"/>
  <c r="W35" i="10"/>
  <c r="AE35" i="10"/>
  <c r="AA35" i="10"/>
  <c r="T35" i="10"/>
  <c r="J35" i="10"/>
  <c r="K35" i="10" s="1"/>
  <c r="F35" i="10"/>
  <c r="H35" i="10"/>
  <c r="I35" i="10" s="1"/>
  <c r="Y35" i="10"/>
  <c r="AB35" i="10"/>
  <c r="G35" i="10"/>
  <c r="X35" i="10"/>
  <c r="Z35" i="10"/>
  <c r="S35" i="10"/>
  <c r="AF35" i="10"/>
  <c r="U35" i="10"/>
  <c r="AG35" i="10"/>
  <c r="AK35" i="10"/>
  <c r="AM35" i="10"/>
  <c r="AD35" i="10"/>
  <c r="AC35" i="10"/>
  <c r="AJ35" i="10"/>
  <c r="V35" i="10"/>
  <c r="AL35" i="10"/>
  <c r="R35" i="10"/>
  <c r="AL34" i="12"/>
  <c r="T35" i="9"/>
  <c r="AC35" i="9"/>
  <c r="AM35" i="12"/>
  <c r="AF35" i="12"/>
  <c r="G35" i="12"/>
  <c r="V35" i="12"/>
  <c r="AC35" i="12"/>
  <c r="X35" i="12"/>
  <c r="AG35" i="12"/>
  <c r="AB35" i="12"/>
  <c r="Z35" i="12"/>
  <c r="AD35" i="12"/>
  <c r="AH35" i="12"/>
  <c r="AP35" i="12"/>
  <c r="F35" i="12"/>
  <c r="AA35" i="12"/>
  <c r="AQ35" i="12"/>
  <c r="Y35" i="12"/>
  <c r="AO35" i="12"/>
  <c r="J35" i="12"/>
  <c r="K35" i="12" s="1"/>
  <c r="AN35" i="12"/>
  <c r="AK35" i="12"/>
  <c r="W35" i="12"/>
  <c r="AI35" i="12"/>
  <c r="AJ35" i="12"/>
  <c r="H35" i="12"/>
  <c r="I35" i="12" s="1"/>
  <c r="AE35" i="12"/>
  <c r="E36" i="9"/>
  <c r="AA36" i="9" s="1"/>
  <c r="E36" i="11"/>
  <c r="E36" i="12"/>
  <c r="E36" i="10"/>
  <c r="AI35" i="11"/>
  <c r="AJ35" i="11"/>
  <c r="X35" i="11"/>
  <c r="R35" i="11"/>
  <c r="G35" i="11"/>
  <c r="AK35" i="11"/>
  <c r="AD35" i="11"/>
  <c r="U35" i="11"/>
  <c r="T35" i="11"/>
  <c r="W35" i="11"/>
  <c r="AE35" i="11"/>
  <c r="V35" i="11"/>
  <c r="AL35" i="11"/>
  <c r="H35" i="11"/>
  <c r="I35" i="11" s="1"/>
  <c r="Y35" i="11"/>
  <c r="F35" i="11"/>
  <c r="AF35" i="11"/>
  <c r="AM35" i="11"/>
  <c r="AC35" i="11"/>
  <c r="Z35" i="11"/>
  <c r="AG35" i="11"/>
  <c r="S35" i="11"/>
  <c r="J35" i="11"/>
  <c r="K35" i="11" s="1"/>
  <c r="AA35" i="11"/>
  <c r="AB35" i="11"/>
  <c r="C34" i="6"/>
  <c r="D34" i="6"/>
  <c r="AA35" i="6"/>
  <c r="X35" i="6"/>
  <c r="V34" i="6"/>
  <c r="G35" i="6"/>
  <c r="J35" i="6"/>
  <c r="Y35" i="6"/>
  <c r="H35" i="6"/>
  <c r="I35" i="6"/>
  <c r="K35" i="6"/>
  <c r="L35" i="6"/>
  <c r="W35" i="6"/>
  <c r="M35" i="6"/>
  <c r="F35" i="6"/>
  <c r="S35" i="6"/>
  <c r="U35" i="6"/>
  <c r="N35" i="6"/>
  <c r="Q35" i="6"/>
  <c r="O35" i="6"/>
  <c r="P35" i="6"/>
  <c r="R35" i="6"/>
  <c r="T35" i="6"/>
  <c r="E133" i="2"/>
  <c r="E36" i="6"/>
  <c r="Z36" i="6" s="1"/>
  <c r="D131" i="2"/>
  <c r="M130" i="2"/>
  <c r="J130" i="2"/>
  <c r="L130" i="2"/>
  <c r="F129" i="2"/>
  <c r="I130" i="2"/>
  <c r="C131" i="2"/>
  <c r="Q34" i="11" l="1"/>
  <c r="S34" i="12" s="1"/>
  <c r="R36" i="9"/>
  <c r="M35" i="10"/>
  <c r="Q34" i="10"/>
  <c r="T34" i="12" s="1"/>
  <c r="AB36" i="9"/>
  <c r="AH35" i="9"/>
  <c r="AM36" i="9"/>
  <c r="AC36" i="9"/>
  <c r="AL36" i="9"/>
  <c r="V36" i="9"/>
  <c r="U36" i="9"/>
  <c r="W36" i="9"/>
  <c r="AI36" i="9"/>
  <c r="AG36" i="9"/>
  <c r="AE36" i="9"/>
  <c r="F36" i="9"/>
  <c r="H36" i="9"/>
  <c r="I36" i="9" s="1"/>
  <c r="J36" i="9"/>
  <c r="K36" i="9" s="1"/>
  <c r="AJ36" i="9"/>
  <c r="T36" i="9"/>
  <c r="S36" i="9"/>
  <c r="AF36" i="9"/>
  <c r="Y36" i="9"/>
  <c r="X36" i="9"/>
  <c r="Z36" i="9"/>
  <c r="G36" i="9"/>
  <c r="AD36" i="9"/>
  <c r="AK36" i="9"/>
  <c r="AL35" i="12"/>
  <c r="C35" i="9"/>
  <c r="C35" i="11"/>
  <c r="C35" i="12"/>
  <c r="C35" i="10"/>
  <c r="AH35" i="11"/>
  <c r="E37" i="9"/>
  <c r="H37" i="9" s="1"/>
  <c r="I37" i="9" s="1"/>
  <c r="E37" i="12"/>
  <c r="E37" i="10"/>
  <c r="E37" i="11"/>
  <c r="M35" i="11"/>
  <c r="M35" i="12" s="1"/>
  <c r="N35" i="12"/>
  <c r="Q35" i="10"/>
  <c r="T35" i="12" s="1"/>
  <c r="AB36" i="10"/>
  <c r="AD36" i="10"/>
  <c r="H36" i="10"/>
  <c r="I36" i="10" s="1"/>
  <c r="U36" i="10"/>
  <c r="J36" i="10"/>
  <c r="K36" i="10" s="1"/>
  <c r="Y36" i="10"/>
  <c r="AK36" i="10"/>
  <c r="AG36" i="10"/>
  <c r="AF36" i="10"/>
  <c r="AC36" i="10"/>
  <c r="AA36" i="10"/>
  <c r="AM36" i="10"/>
  <c r="S36" i="10"/>
  <c r="V36" i="10"/>
  <c r="AI36" i="10"/>
  <c r="AL36" i="10"/>
  <c r="R36" i="10"/>
  <c r="T36" i="10"/>
  <c r="AJ36" i="10"/>
  <c r="Z36" i="10"/>
  <c r="AE36" i="10"/>
  <c r="G36" i="10"/>
  <c r="X36" i="10"/>
  <c r="F36" i="10"/>
  <c r="W36" i="10"/>
  <c r="AG36" i="12"/>
  <c r="V36" i="12"/>
  <c r="G36" i="12"/>
  <c r="W36" i="12"/>
  <c r="AM36" i="12"/>
  <c r="AH36" i="12"/>
  <c r="F36" i="12"/>
  <c r="X36" i="12"/>
  <c r="AA36" i="12"/>
  <c r="J36" i="12"/>
  <c r="K36" i="12" s="1"/>
  <c r="AF36" i="12"/>
  <c r="AN36" i="12"/>
  <c r="AJ36" i="12"/>
  <c r="AK36" i="12"/>
  <c r="Z36" i="12"/>
  <c r="AI36" i="12"/>
  <c r="Y36" i="12"/>
  <c r="AB36" i="12"/>
  <c r="AE36" i="12"/>
  <c r="AQ36" i="12"/>
  <c r="H36" i="12"/>
  <c r="I36" i="12" s="1"/>
  <c r="AC36" i="12"/>
  <c r="AD36" i="12"/>
  <c r="AP36" i="12"/>
  <c r="AO36" i="12"/>
  <c r="AH35" i="10"/>
  <c r="D35" i="9"/>
  <c r="D35" i="12"/>
  <c r="D35" i="11"/>
  <c r="D35" i="10"/>
  <c r="AC36" i="11"/>
  <c r="AI36" i="11"/>
  <c r="AG36" i="11"/>
  <c r="AA36" i="11"/>
  <c r="X36" i="11"/>
  <c r="G36" i="11"/>
  <c r="AD36" i="11"/>
  <c r="AB36" i="11"/>
  <c r="Y36" i="11"/>
  <c r="W36" i="11"/>
  <c r="S36" i="11"/>
  <c r="R36" i="11"/>
  <c r="J36" i="11"/>
  <c r="K36" i="11" s="1"/>
  <c r="F36" i="11"/>
  <c r="AM36" i="11"/>
  <c r="AF36" i="11"/>
  <c r="AE36" i="11"/>
  <c r="AK36" i="11"/>
  <c r="AL36" i="11"/>
  <c r="Z36" i="11"/>
  <c r="T36" i="11"/>
  <c r="AJ36" i="11"/>
  <c r="U36" i="11"/>
  <c r="H36" i="11"/>
  <c r="I36" i="11" s="1"/>
  <c r="V36" i="11"/>
  <c r="Q35" i="9"/>
  <c r="U35" i="12" s="1"/>
  <c r="M36" i="9"/>
  <c r="O36" i="12" s="1"/>
  <c r="AM37" i="9"/>
  <c r="T37" i="9"/>
  <c r="J37" i="9"/>
  <c r="AK37" i="9"/>
  <c r="AI37" i="9"/>
  <c r="G37" i="9"/>
  <c r="F37" i="9"/>
  <c r="AF37" i="9"/>
  <c r="AB37" i="9"/>
  <c r="AA37" i="9"/>
  <c r="Y37" i="9"/>
  <c r="X37" i="9"/>
  <c r="U37" i="9"/>
  <c r="W37" i="9"/>
  <c r="Z37" i="9"/>
  <c r="V37" i="9"/>
  <c r="AL37" i="9"/>
  <c r="AD37" i="9"/>
  <c r="D35" i="6"/>
  <c r="C35" i="6"/>
  <c r="AA36" i="6"/>
  <c r="X36" i="6"/>
  <c r="V35" i="6"/>
  <c r="G36" i="6"/>
  <c r="H36" i="6"/>
  <c r="Y36" i="6"/>
  <c r="I36" i="6"/>
  <c r="J36" i="6"/>
  <c r="K36" i="6"/>
  <c r="L36" i="6"/>
  <c r="Q36" i="6"/>
  <c r="M36" i="6"/>
  <c r="O36" i="6"/>
  <c r="W36" i="6"/>
  <c r="N36" i="6"/>
  <c r="P36" i="6"/>
  <c r="F36" i="6"/>
  <c r="S36" i="6"/>
  <c r="U36" i="6"/>
  <c r="R36" i="6"/>
  <c r="T36" i="6"/>
  <c r="E37" i="6"/>
  <c r="Z37" i="6" s="1"/>
  <c r="E134" i="2"/>
  <c r="E135" i="2"/>
  <c r="D132" i="2"/>
  <c r="J131" i="2"/>
  <c r="M131" i="2"/>
  <c r="L131" i="2"/>
  <c r="F130" i="2"/>
  <c r="C132" i="2"/>
  <c r="I131" i="2"/>
  <c r="K37" i="9" l="1"/>
  <c r="AE37" i="9"/>
  <c r="R37" i="9"/>
  <c r="AJ37" i="9"/>
  <c r="S37" i="9"/>
  <c r="AG37" i="9"/>
  <c r="AC37" i="9"/>
  <c r="M36" i="10"/>
  <c r="N36" i="12" s="1"/>
  <c r="AH36" i="9"/>
  <c r="M36" i="11"/>
  <c r="M36" i="12" s="1"/>
  <c r="AH36" i="10"/>
  <c r="AH36" i="11"/>
  <c r="C36" i="9"/>
  <c r="C36" i="12"/>
  <c r="C36" i="10"/>
  <c r="C36" i="11"/>
  <c r="M37" i="9"/>
  <c r="O37" i="12" s="1"/>
  <c r="AM37" i="11"/>
  <c r="X37" i="11"/>
  <c r="G37" i="11"/>
  <c r="Z37" i="11"/>
  <c r="AF37" i="11"/>
  <c r="AD37" i="11"/>
  <c r="AC37" i="11"/>
  <c r="J37" i="11"/>
  <c r="K37" i="11" s="1"/>
  <c r="AG37" i="11"/>
  <c r="T37" i="11"/>
  <c r="AA37" i="11"/>
  <c r="AJ37" i="11"/>
  <c r="U37" i="11"/>
  <c r="F37" i="11"/>
  <c r="AB37" i="11"/>
  <c r="AK37" i="11"/>
  <c r="W37" i="11"/>
  <c r="R37" i="11"/>
  <c r="AE37" i="11"/>
  <c r="S37" i="11"/>
  <c r="V37" i="11"/>
  <c r="AI37" i="11"/>
  <c r="AL37" i="11"/>
  <c r="H37" i="11"/>
  <c r="I37" i="11" s="1"/>
  <c r="Y37" i="11"/>
  <c r="D36" i="9"/>
  <c r="D36" i="12"/>
  <c r="D36" i="10"/>
  <c r="D36" i="11"/>
  <c r="AL36" i="12"/>
  <c r="AL37" i="10"/>
  <c r="AI37" i="10"/>
  <c r="U37" i="10"/>
  <c r="AM37" i="10"/>
  <c r="S37" i="10"/>
  <c r="R37" i="10"/>
  <c r="J37" i="10"/>
  <c r="K37" i="10" s="1"/>
  <c r="H37" i="10"/>
  <c r="I37" i="10" s="1"/>
  <c r="G37" i="10"/>
  <c r="F37" i="10"/>
  <c r="W37" i="10"/>
  <c r="X37" i="10"/>
  <c r="AK37" i="10"/>
  <c r="AE37" i="10"/>
  <c r="AA37" i="10"/>
  <c r="Z37" i="10"/>
  <c r="V37" i="10"/>
  <c r="AG37" i="10"/>
  <c r="AC37" i="10"/>
  <c r="AF37" i="10"/>
  <c r="AB37" i="10"/>
  <c r="AD37" i="10"/>
  <c r="T37" i="10"/>
  <c r="AJ37" i="10"/>
  <c r="Y37" i="10"/>
  <c r="AQ37" i="12"/>
  <c r="AC37" i="12"/>
  <c r="AI37" i="12"/>
  <c r="G37" i="12"/>
  <c r="AB37" i="12"/>
  <c r="V37" i="12"/>
  <c r="AG37" i="12"/>
  <c r="AD37" i="12"/>
  <c r="AO37" i="12"/>
  <c r="AF37" i="12"/>
  <c r="AJ37" i="12"/>
  <c r="J37" i="12"/>
  <c r="K37" i="12" s="1"/>
  <c r="AE37" i="12"/>
  <c r="H37" i="12"/>
  <c r="I37" i="12" s="1"/>
  <c r="W37" i="12"/>
  <c r="X37" i="12"/>
  <c r="AA37" i="12"/>
  <c r="AH37" i="12"/>
  <c r="Y37" i="12"/>
  <c r="F37" i="12"/>
  <c r="Z37" i="12"/>
  <c r="AP37" i="12"/>
  <c r="AK37" i="12"/>
  <c r="AM37" i="12"/>
  <c r="AN37" i="12"/>
  <c r="E38" i="9"/>
  <c r="AG38" i="9" s="1"/>
  <c r="E38" i="11"/>
  <c r="E38" i="12"/>
  <c r="E38" i="10"/>
  <c r="C39" i="9"/>
  <c r="C39" i="12"/>
  <c r="C39" i="10"/>
  <c r="C39" i="11"/>
  <c r="E39" i="9"/>
  <c r="X39" i="9" s="1"/>
  <c r="E39" i="11"/>
  <c r="E39" i="12"/>
  <c r="E39" i="10"/>
  <c r="Q36" i="9"/>
  <c r="U36" i="12" s="1"/>
  <c r="Q35" i="11"/>
  <c r="S35" i="12" s="1"/>
  <c r="AH37" i="9"/>
  <c r="D36" i="6"/>
  <c r="E39" i="6"/>
  <c r="H39" i="6" s="1"/>
  <c r="C36" i="6"/>
  <c r="AA37" i="6"/>
  <c r="X37" i="6"/>
  <c r="V36" i="6"/>
  <c r="M135" i="2"/>
  <c r="C39" i="6"/>
  <c r="K134" i="2"/>
  <c r="E38" i="6"/>
  <c r="Z38" i="6" s="1"/>
  <c r="W37" i="6"/>
  <c r="G37" i="6"/>
  <c r="J37" i="6"/>
  <c r="H37" i="6"/>
  <c r="I37" i="6"/>
  <c r="Y37" i="6"/>
  <c r="O37" i="6"/>
  <c r="T37" i="6"/>
  <c r="U37" i="6"/>
  <c r="P37" i="6"/>
  <c r="Q37" i="6"/>
  <c r="R37" i="6"/>
  <c r="S37" i="6"/>
  <c r="L37" i="6"/>
  <c r="F37" i="6"/>
  <c r="M37" i="6"/>
  <c r="N37" i="6"/>
  <c r="K37" i="6"/>
  <c r="L132" i="2"/>
  <c r="M132" i="2"/>
  <c r="J132" i="2"/>
  <c r="D133" i="2"/>
  <c r="F131" i="2"/>
  <c r="I132" i="2"/>
  <c r="C133" i="2"/>
  <c r="Q36" i="10" l="1"/>
  <c r="T36" i="12" s="1"/>
  <c r="M37" i="10"/>
  <c r="N37" i="12" s="1"/>
  <c r="Q36" i="11"/>
  <c r="S36" i="12" s="1"/>
  <c r="K39" i="9"/>
  <c r="R39" i="9"/>
  <c r="Y39" i="9"/>
  <c r="U39" i="9"/>
  <c r="N39" i="9"/>
  <c r="V39" i="9"/>
  <c r="AK38" i="9"/>
  <c r="S39" i="9"/>
  <c r="X38" i="9"/>
  <c r="AA39" i="9"/>
  <c r="G38" i="9"/>
  <c r="S38" i="9"/>
  <c r="AI38" i="9"/>
  <c r="O39" i="9"/>
  <c r="AJ38" i="9"/>
  <c r="AB38" i="9"/>
  <c r="F38" i="9"/>
  <c r="AA38" i="9"/>
  <c r="AE38" i="9"/>
  <c r="AM38" i="9"/>
  <c r="AL38" i="9"/>
  <c r="W39" i="9"/>
  <c r="AC38" i="9"/>
  <c r="T38" i="9"/>
  <c r="Q37" i="9"/>
  <c r="U37" i="12" s="1"/>
  <c r="J38" i="9"/>
  <c r="K38" i="9" s="1"/>
  <c r="V38" i="9"/>
  <c r="U38" i="9"/>
  <c r="W38" i="9"/>
  <c r="R38" i="9"/>
  <c r="Y38" i="9"/>
  <c r="M37" i="11"/>
  <c r="Q37" i="11" s="1"/>
  <c r="S37" i="12" s="1"/>
  <c r="AD38" i="9"/>
  <c r="AF38" i="9"/>
  <c r="Z38" i="9"/>
  <c r="D37" i="9"/>
  <c r="D37" i="10"/>
  <c r="D37" i="12"/>
  <c r="D37" i="11"/>
  <c r="Z39" i="9"/>
  <c r="AH37" i="10"/>
  <c r="Q37" i="10"/>
  <c r="T37" i="12" s="1"/>
  <c r="G39" i="9"/>
  <c r="H38" i="9"/>
  <c r="I38" i="9" s="1"/>
  <c r="AD38" i="10"/>
  <c r="U38" i="10"/>
  <c r="AK38" i="10"/>
  <c r="J38" i="10"/>
  <c r="K38" i="10" s="1"/>
  <c r="Y38" i="10"/>
  <c r="R38" i="10"/>
  <c r="H38" i="10"/>
  <c r="I38" i="10" s="1"/>
  <c r="G38" i="10"/>
  <c r="AI38" i="10"/>
  <c r="AG38" i="10"/>
  <c r="AF38" i="10"/>
  <c r="AE38" i="10"/>
  <c r="S38" i="10"/>
  <c r="AC38" i="10"/>
  <c r="AB38" i="10"/>
  <c r="Z38" i="10"/>
  <c r="X38" i="10"/>
  <c r="T38" i="10"/>
  <c r="AJ38" i="10"/>
  <c r="AA38" i="10"/>
  <c r="F38" i="10"/>
  <c r="V38" i="10"/>
  <c r="W38" i="10"/>
  <c r="AL38" i="10"/>
  <c r="AM38" i="10"/>
  <c r="F39" i="9"/>
  <c r="J39" i="9"/>
  <c r="AK38" i="12"/>
  <c r="AP38" i="12"/>
  <c r="W38" i="12"/>
  <c r="AG38" i="12"/>
  <c r="AH38" i="12"/>
  <c r="AM38" i="12"/>
  <c r="AC38" i="12"/>
  <c r="V38" i="12"/>
  <c r="F38" i="12"/>
  <c r="AA38" i="12"/>
  <c r="AQ38" i="12"/>
  <c r="G38" i="12"/>
  <c r="J38" i="12"/>
  <c r="K38" i="12" s="1"/>
  <c r="AJ38" i="12"/>
  <c r="X38" i="12"/>
  <c r="AB38" i="12"/>
  <c r="AE38" i="12"/>
  <c r="AI38" i="12"/>
  <c r="AN38" i="12"/>
  <c r="AO38" i="12"/>
  <c r="Z38" i="12"/>
  <c r="AD38" i="12"/>
  <c r="Y38" i="12"/>
  <c r="H38" i="12"/>
  <c r="I38" i="12" s="1"/>
  <c r="AF38" i="12"/>
  <c r="AG38" i="11"/>
  <c r="S38" i="11"/>
  <c r="R38" i="11"/>
  <c r="AF38" i="11"/>
  <c r="F38" i="11"/>
  <c r="AI38" i="11"/>
  <c r="T38" i="11"/>
  <c r="Z38" i="11"/>
  <c r="AJ38" i="11"/>
  <c r="W38" i="11"/>
  <c r="AM38" i="11"/>
  <c r="J38" i="11"/>
  <c r="K38" i="11" s="1"/>
  <c r="U38" i="11"/>
  <c r="AA38" i="11"/>
  <c r="AD38" i="11"/>
  <c r="AK38" i="11"/>
  <c r="V38" i="11"/>
  <c r="G38" i="11"/>
  <c r="AE38" i="11"/>
  <c r="AL38" i="11"/>
  <c r="X38" i="11"/>
  <c r="AB38" i="11"/>
  <c r="H38" i="11"/>
  <c r="I38" i="11" s="1"/>
  <c r="Y38" i="11"/>
  <c r="AC38" i="11"/>
  <c r="C37" i="9"/>
  <c r="C37" i="10"/>
  <c r="C37" i="12"/>
  <c r="C37" i="11"/>
  <c r="M39" i="9"/>
  <c r="AH37" i="11"/>
  <c r="K39" i="10"/>
  <c r="F39" i="10"/>
  <c r="M39" i="10"/>
  <c r="J39" i="10"/>
  <c r="N39" i="10"/>
  <c r="Z39" i="10"/>
  <c r="O39" i="10"/>
  <c r="V39" i="10"/>
  <c r="R39" i="10"/>
  <c r="Q39" i="10"/>
  <c r="X39" i="10"/>
  <c r="W39" i="10"/>
  <c r="U39" i="10"/>
  <c r="S39" i="10"/>
  <c r="T39" i="10"/>
  <c r="G39" i="10"/>
  <c r="AA39" i="10"/>
  <c r="Y39" i="10"/>
  <c r="AL37" i="12"/>
  <c r="M39" i="12"/>
  <c r="R39" i="12"/>
  <c r="O39" i="12"/>
  <c r="X39" i="12"/>
  <c r="AA39" i="12"/>
  <c r="S39" i="12"/>
  <c r="V39" i="12"/>
  <c r="K39" i="12"/>
  <c r="Y39" i="12"/>
  <c r="W39" i="12"/>
  <c r="Z39" i="12"/>
  <c r="Q39" i="12"/>
  <c r="N39" i="12"/>
  <c r="J39" i="12"/>
  <c r="F39" i="12"/>
  <c r="G39" i="12"/>
  <c r="AB39" i="12"/>
  <c r="AC39" i="12"/>
  <c r="Q39" i="9"/>
  <c r="M39" i="11"/>
  <c r="N39" i="11"/>
  <c r="K39" i="11"/>
  <c r="R39" i="11"/>
  <c r="AA39" i="11"/>
  <c r="S39" i="11"/>
  <c r="V39" i="11"/>
  <c r="Z39" i="11"/>
  <c r="O39" i="11"/>
  <c r="W39" i="11"/>
  <c r="Q39" i="11"/>
  <c r="T39" i="11"/>
  <c r="X39" i="11"/>
  <c r="G39" i="11"/>
  <c r="J39" i="11"/>
  <c r="U39" i="11"/>
  <c r="Y39" i="11"/>
  <c r="F39" i="11"/>
  <c r="T39" i="9"/>
  <c r="N39" i="6"/>
  <c r="P39" i="6"/>
  <c r="S39" i="6"/>
  <c r="R39" i="6"/>
  <c r="O39" i="6"/>
  <c r="M39" i="6"/>
  <c r="K39" i="6"/>
  <c r="J39" i="6"/>
  <c r="L39" i="6"/>
  <c r="G39" i="6"/>
  <c r="U39" i="6"/>
  <c r="T39" i="6"/>
  <c r="Q39" i="6"/>
  <c r="I39" i="6"/>
  <c r="F39" i="6"/>
  <c r="D37" i="6"/>
  <c r="AA38" i="6"/>
  <c r="X38" i="6"/>
  <c r="Y38" i="6"/>
  <c r="W38" i="6"/>
  <c r="C134" i="2"/>
  <c r="C37" i="6"/>
  <c r="G38" i="6"/>
  <c r="J38" i="6"/>
  <c r="H38" i="6"/>
  <c r="I38" i="6"/>
  <c r="S38" i="6"/>
  <c r="T38" i="6"/>
  <c r="U38" i="6"/>
  <c r="N38" i="6"/>
  <c r="Q38" i="6"/>
  <c r="L38" i="6"/>
  <c r="F38" i="6"/>
  <c r="K38" i="6"/>
  <c r="M38" i="6"/>
  <c r="O38" i="6"/>
  <c r="P38" i="6"/>
  <c r="R38" i="6"/>
  <c r="F9" i="5"/>
  <c r="I9" i="5" s="1"/>
  <c r="F5" i="5"/>
  <c r="I5" i="5" s="1"/>
  <c r="F8" i="5"/>
  <c r="I8" i="5" s="1"/>
  <c r="F7" i="5"/>
  <c r="I7" i="5" s="1"/>
  <c r="F11" i="5"/>
  <c r="I11" i="5" s="1"/>
  <c r="F6" i="5"/>
  <c r="I6" i="5" s="1"/>
  <c r="F12" i="5"/>
  <c r="I12" i="5" s="1"/>
  <c r="F10" i="5"/>
  <c r="I10" i="5" s="1"/>
  <c r="V37" i="6"/>
  <c r="L133" i="2"/>
  <c r="J133" i="2"/>
  <c r="M133" i="2"/>
  <c r="F132" i="2"/>
  <c r="I133" i="2"/>
  <c r="M37" i="12" l="1"/>
  <c r="AH38" i="9"/>
  <c r="M38" i="9"/>
  <c r="C38" i="9"/>
  <c r="C38" i="11"/>
  <c r="C38" i="12"/>
  <c r="C38" i="10"/>
  <c r="D38" i="9"/>
  <c r="D38" i="12"/>
  <c r="D38" i="11"/>
  <c r="D38" i="10"/>
  <c r="AL38" i="12"/>
  <c r="M38" i="10"/>
  <c r="J54" i="12" s="1"/>
  <c r="M38" i="11"/>
  <c r="J53" i="12" s="1"/>
  <c r="AH38" i="11"/>
  <c r="AH38" i="10"/>
  <c r="C38" i="6"/>
  <c r="V38" i="6"/>
  <c r="L12" i="5"/>
  <c r="T12" i="5"/>
  <c r="L10" i="5"/>
  <c r="T10" i="5"/>
  <c r="U10" i="5" s="1"/>
  <c r="L7" i="5"/>
  <c r="T7" i="5"/>
  <c r="U7" i="5" s="1"/>
  <c r="L9" i="5"/>
  <c r="T9" i="5"/>
  <c r="U9" i="5" s="1"/>
  <c r="L6" i="5"/>
  <c r="T6" i="5"/>
  <c r="U6" i="5" s="1"/>
  <c r="I17" i="5"/>
  <c r="I13" i="5"/>
  <c r="J134" i="2"/>
  <c r="V4" i="5" s="1"/>
  <c r="D38" i="6"/>
  <c r="L11" i="5"/>
  <c r="T11" i="5"/>
  <c r="U11" i="5" s="1"/>
  <c r="L8" i="5"/>
  <c r="T8" i="5"/>
  <c r="U8" i="5" s="1"/>
  <c r="Y12" i="5"/>
  <c r="T5" i="5"/>
  <c r="U5" i="5" s="1"/>
  <c r="L5" i="5"/>
  <c r="L134" i="2"/>
  <c r="M134" i="2"/>
  <c r="J135" i="2" s="1"/>
  <c r="K135" i="2"/>
  <c r="B136" i="2"/>
  <c r="I134" i="2"/>
  <c r="F133" i="2"/>
  <c r="F134" i="2"/>
  <c r="O38" i="12" l="1"/>
  <c r="J55" i="12"/>
  <c r="Q38" i="9"/>
  <c r="M38" i="12"/>
  <c r="Q38" i="11"/>
  <c r="N38" i="12"/>
  <c r="Q38" i="10"/>
  <c r="B40" i="9"/>
  <c r="B40" i="10"/>
  <c r="B40" i="11"/>
  <c r="B40" i="12"/>
  <c r="D39" i="9"/>
  <c r="D39" i="12"/>
  <c r="D39" i="10"/>
  <c r="D39" i="11"/>
  <c r="B40" i="6"/>
  <c r="D39" i="6"/>
  <c r="J18" i="5"/>
  <c r="I19" i="5" s="1"/>
  <c r="J17" i="5"/>
  <c r="T13" i="5"/>
  <c r="X13" i="5" s="1"/>
  <c r="L13" i="5"/>
  <c r="AB4" i="5"/>
  <c r="X12" i="5"/>
  <c r="U12" i="5"/>
  <c r="N20" i="4"/>
  <c r="B64" i="4" s="1"/>
  <c r="N134" i="2"/>
  <c r="O20" i="4"/>
  <c r="Q65" i="4" s="1"/>
  <c r="O134" i="2"/>
  <c r="V13" i="5"/>
  <c r="V9" i="5"/>
  <c r="AB9" i="5" s="1"/>
  <c r="V10" i="5"/>
  <c r="AB10" i="5" s="1"/>
  <c r="V5" i="5"/>
  <c r="V6" i="5"/>
  <c r="AB6" i="5" s="1"/>
  <c r="V7" i="5"/>
  <c r="AB7" i="5" s="1"/>
  <c r="V12" i="5"/>
  <c r="V11" i="5"/>
  <c r="V8" i="5"/>
  <c r="AB8" i="5" s="1"/>
  <c r="T38" i="12" l="1"/>
  <c r="I54" i="12"/>
  <c r="S38" i="12"/>
  <c r="I53" i="12"/>
  <c r="U38" i="12"/>
  <c r="I55" i="12"/>
  <c r="J19" i="5"/>
  <c r="I63" i="4"/>
  <c r="K64" i="4"/>
  <c r="H65" i="4"/>
  <c r="E65" i="4"/>
  <c r="K19" i="5"/>
  <c r="C68" i="4"/>
  <c r="L19" i="5"/>
  <c r="F65" i="4"/>
  <c r="H64" i="4"/>
  <c r="I60" i="4"/>
  <c r="K53" i="4"/>
  <c r="L58" i="4"/>
  <c r="L59" i="4"/>
  <c r="J56" i="4"/>
  <c r="L53" i="4"/>
  <c r="J53" i="4"/>
  <c r="J51" i="4"/>
  <c r="H68" i="4"/>
  <c r="O55" i="4"/>
  <c r="O54" i="4"/>
  <c r="J54" i="4"/>
  <c r="H52" i="4"/>
  <c r="G68" i="4"/>
  <c r="K56" i="4"/>
  <c r="K57" i="4"/>
  <c r="F68" i="4"/>
  <c r="Q57" i="4"/>
  <c r="I57" i="4"/>
  <c r="B65" i="4"/>
  <c r="K51" i="4"/>
  <c r="J66" i="4"/>
  <c r="H56" i="4"/>
  <c r="C65" i="4"/>
  <c r="M58" i="4"/>
  <c r="B67" i="4"/>
  <c r="L51" i="4"/>
  <c r="H51" i="4"/>
  <c r="M60" i="4"/>
  <c r="I58" i="4"/>
  <c r="Q59" i="4"/>
  <c r="K63" i="4"/>
  <c r="H60" i="4"/>
  <c r="H59" i="4"/>
  <c r="G66" i="4"/>
  <c r="B68" i="4"/>
  <c r="I56" i="4"/>
  <c r="H54" i="4"/>
  <c r="K58" i="4"/>
  <c r="K55" i="4"/>
  <c r="S53" i="4"/>
  <c r="D68" i="4"/>
  <c r="L55" i="4"/>
  <c r="H53" i="4"/>
  <c r="M51" i="4"/>
  <c r="N58" i="4"/>
  <c r="J63" i="4"/>
  <c r="M52" i="4"/>
  <c r="I53" i="4"/>
  <c r="D66" i="4"/>
  <c r="J60" i="4"/>
  <c r="H57" i="4"/>
  <c r="M57" i="4"/>
  <c r="N52" i="4"/>
  <c r="B66" i="4"/>
  <c r="M54" i="4"/>
  <c r="I67" i="4"/>
  <c r="J55" i="4"/>
  <c r="J52" i="4"/>
  <c r="C66" i="4"/>
  <c r="M59" i="4"/>
  <c r="L52" i="4"/>
  <c r="M56" i="4"/>
  <c r="Q56" i="4"/>
  <c r="S52" i="4"/>
  <c r="C63" i="4"/>
  <c r="E67" i="4"/>
  <c r="J57" i="4"/>
  <c r="M55" i="4"/>
  <c r="P55" i="4"/>
  <c r="H63" i="4"/>
  <c r="K60" i="4"/>
  <c r="L57" i="4"/>
  <c r="F63" i="4"/>
  <c r="P58" i="4"/>
  <c r="K54" i="4"/>
  <c r="I54" i="4"/>
  <c r="S20" i="4"/>
  <c r="U20" i="4" s="1"/>
  <c r="P56" i="4"/>
  <c r="Q52" i="4"/>
  <c r="J65" i="4"/>
  <c r="I65" i="4"/>
  <c r="N53" i="4"/>
  <c r="E63" i="4"/>
  <c r="I55" i="4"/>
  <c r="L54" i="4"/>
  <c r="K52" i="4"/>
  <c r="Q54" i="4"/>
  <c r="K68" i="4"/>
  <c r="I51" i="4"/>
  <c r="I59" i="4"/>
  <c r="J59" i="4"/>
  <c r="Q53" i="4"/>
  <c r="R55" i="4"/>
  <c r="D64" i="4"/>
  <c r="I68" i="4"/>
  <c r="S54" i="4"/>
  <c r="I52" i="4"/>
  <c r="K59" i="4"/>
  <c r="O60" i="4"/>
  <c r="E66" i="4"/>
  <c r="L60" i="4"/>
  <c r="H58" i="4"/>
  <c r="H55" i="4"/>
  <c r="K65" i="4"/>
  <c r="J58" i="4"/>
  <c r="M53" i="4"/>
  <c r="L56" i="4"/>
  <c r="N51" i="4"/>
  <c r="S56" i="4"/>
  <c r="C67" i="4"/>
  <c r="G65" i="4"/>
  <c r="I64" i="4"/>
  <c r="S55" i="4"/>
  <c r="J67" i="4"/>
  <c r="G64" i="4"/>
  <c r="G67" i="4"/>
  <c r="O56" i="4"/>
  <c r="O51" i="4"/>
  <c r="N54" i="4"/>
  <c r="O57" i="4"/>
  <c r="O59" i="4"/>
  <c r="P59" i="4"/>
  <c r="E64" i="4"/>
  <c r="R56" i="4"/>
  <c r="P53" i="4"/>
  <c r="T20" i="4"/>
  <c r="V20" i="4" s="1"/>
  <c r="H67" i="4"/>
  <c r="D63" i="4"/>
  <c r="D67" i="4"/>
  <c r="N55" i="4"/>
  <c r="Q55" i="4"/>
  <c r="R59" i="4"/>
  <c r="R68" i="4"/>
  <c r="N63" i="4"/>
  <c r="J68" i="4"/>
  <c r="I66" i="4"/>
  <c r="K66" i="4"/>
  <c r="C64" i="4"/>
  <c r="P65" i="4"/>
  <c r="P66" i="4"/>
  <c r="R67" i="4"/>
  <c r="U65" i="4"/>
  <c r="T63" i="4"/>
  <c r="E68" i="4"/>
  <c r="H66" i="4"/>
  <c r="Q63" i="4"/>
  <c r="U68" i="4"/>
  <c r="K67" i="4"/>
  <c r="R66" i="4"/>
  <c r="S63" i="4"/>
  <c r="U67" i="4"/>
  <c r="P63" i="4"/>
  <c r="S64" i="4"/>
  <c r="O64" i="4"/>
  <c r="V68" i="4"/>
  <c r="O52" i="4"/>
  <c r="P54" i="4"/>
  <c r="W63" i="4"/>
  <c r="R65" i="4"/>
  <c r="N67" i="4"/>
  <c r="N56" i="4"/>
  <c r="Q58" i="4"/>
  <c r="W64" i="4"/>
  <c r="V66" i="4"/>
  <c r="R53" i="4"/>
  <c r="P52" i="4"/>
  <c r="B63" i="4"/>
  <c r="F67" i="4"/>
  <c r="F64" i="4"/>
  <c r="J64" i="4"/>
  <c r="N66" i="4"/>
  <c r="U66" i="4"/>
  <c r="R58" i="4"/>
  <c r="N60" i="4"/>
  <c r="S67" i="4"/>
  <c r="S66" i="4"/>
  <c r="G63" i="4"/>
  <c r="O63" i="4"/>
  <c r="T66" i="4"/>
  <c r="R60" i="4"/>
  <c r="R51" i="4"/>
  <c r="O67" i="4"/>
  <c r="U63" i="4"/>
  <c r="R57" i="4"/>
  <c r="Q51" i="4"/>
  <c r="S65" i="4"/>
  <c r="W67" i="4"/>
  <c r="F66" i="4"/>
  <c r="D65" i="4"/>
  <c r="O68" i="4"/>
  <c r="N68" i="4"/>
  <c r="O65" i="4"/>
  <c r="Q66" i="4"/>
  <c r="U64" i="4"/>
  <c r="V64" i="4"/>
  <c r="R63" i="4"/>
  <c r="V67" i="4"/>
  <c r="N59" i="4"/>
  <c r="Q60" i="4"/>
  <c r="S60" i="4"/>
  <c r="O58" i="4"/>
  <c r="V65" i="4"/>
  <c r="W68" i="4"/>
  <c r="O66" i="4"/>
  <c r="W65" i="4"/>
  <c r="T64" i="4"/>
  <c r="S58" i="4"/>
  <c r="P60" i="4"/>
  <c r="S57" i="4"/>
  <c r="R52" i="4"/>
  <c r="P64" i="4"/>
  <c r="Q67" i="4"/>
  <c r="T67" i="4"/>
  <c r="O53" i="4"/>
  <c r="P57" i="4"/>
  <c r="S59" i="4"/>
  <c r="N65" i="4"/>
  <c r="Q68" i="4"/>
  <c r="N64" i="4"/>
  <c r="R64" i="4"/>
  <c r="S51" i="4"/>
  <c r="P51" i="4"/>
  <c r="R54" i="4"/>
  <c r="N57" i="4"/>
  <c r="V63" i="4"/>
  <c r="P68" i="4"/>
  <c r="T68" i="4"/>
  <c r="Q64" i="4"/>
  <c r="P67" i="4"/>
  <c r="T65" i="4"/>
  <c r="S68" i="4"/>
  <c r="W66" i="4"/>
  <c r="AB5" i="5"/>
  <c r="Z12" i="5"/>
  <c r="E67" i="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<sst xmlns="http://schemas.openxmlformats.org/spreadsheetml/2006/main" count="750" uniqueCount="243">
  <si>
    <t>x</t>
  </si>
  <si>
    <t>max</t>
  </si>
  <si>
    <t>st</t>
  </si>
  <si>
    <t>&lt;=</t>
  </si>
  <si>
    <t>=</t>
  </si>
  <si>
    <t>kg</t>
  </si>
  <si>
    <t>kWh/mile</t>
  </si>
  <si>
    <t>ICE</t>
  </si>
  <si>
    <t>EV</t>
  </si>
  <si>
    <t>Distance travel (KM)</t>
  </si>
  <si>
    <t>Emissions (KG CO2)</t>
  </si>
  <si>
    <t>Emissions MIN</t>
  </si>
  <si>
    <t>Emissions MAX</t>
  </si>
  <si>
    <t>Carbon intensity</t>
  </si>
  <si>
    <t>Energy (MJ)</t>
  </si>
  <si>
    <t>Energy MJ/kg</t>
  </si>
  <si>
    <t>MJ/mile</t>
  </si>
  <si>
    <t>Energy ICE</t>
  </si>
  <si>
    <t>d gas</t>
  </si>
  <si>
    <t>hhv</t>
  </si>
  <si>
    <t>FE</t>
  </si>
  <si>
    <t>MIN</t>
  </si>
  <si>
    <t>MAX</t>
  </si>
  <si>
    <t>PHEV</t>
  </si>
  <si>
    <t>HEV</t>
  </si>
  <si>
    <t>Biodiesel vehicle</t>
  </si>
  <si>
    <t>Ethanol/Flex (E85)</t>
  </si>
  <si>
    <t>Compressed NG</t>
  </si>
  <si>
    <t>Propane</t>
  </si>
  <si>
    <t>Hydrogen</t>
  </si>
  <si>
    <t>Gasoline</t>
  </si>
  <si>
    <t>Diesel</t>
  </si>
  <si>
    <t>Unknow fuel</t>
  </si>
  <si>
    <t>Year</t>
  </si>
  <si>
    <t>Vehicle count</t>
  </si>
  <si>
    <t>Market share</t>
  </si>
  <si>
    <t>Material</t>
  </si>
  <si>
    <t>Conventional car</t>
  </si>
  <si>
    <t>Copper</t>
  </si>
  <si>
    <t>Lithium</t>
  </si>
  <si>
    <t>Nickel</t>
  </si>
  <si>
    <t>Manganese</t>
  </si>
  <si>
    <t>Cobalt</t>
  </si>
  <si>
    <t>Graphite</t>
  </si>
  <si>
    <t>Zinc</t>
  </si>
  <si>
    <t>Rare earths</t>
  </si>
  <si>
    <t>Others</t>
  </si>
  <si>
    <t>Requirements (kg)</t>
  </si>
  <si>
    <t>Reference</t>
  </si>
  <si>
    <t>https://www.iea.org/reports/the-role-of-critical-minerals-in-clean-energy-transitions/executive-summary</t>
  </si>
  <si>
    <t>Total</t>
  </si>
  <si>
    <t>Texas population data</t>
  </si>
  <si>
    <t>Person/car</t>
  </si>
  <si>
    <t>Car/person</t>
  </si>
  <si>
    <t>Cars on the road</t>
  </si>
  <si>
    <t>Evs</t>
  </si>
  <si>
    <t>EVs</t>
  </si>
  <si>
    <t>https://www.iea.org/reports/the-role-of-critical-minerals-in-clean-energy-transitions/mineral-requirements-for-clean-energy-transitions</t>
  </si>
  <si>
    <t>https://www.macrotrends.net/states/texas/population</t>
  </si>
  <si>
    <t>https://www.statista.com/statistics/606684/world-production-of-lithium/</t>
  </si>
  <si>
    <t>https://natural-resources.canada.ca/our-natural-resources/minerals-mining/minerals-metals-facts/lithium-facts/24009</t>
  </si>
  <si>
    <t>Compare to 2022 worldwide production</t>
  </si>
  <si>
    <t>Worldwide total lithium reserves (tonnes)</t>
  </si>
  <si>
    <t>Year (tonnes)</t>
  </si>
  <si>
    <t>Year (Million tonnes)</t>
  </si>
  <si>
    <t>[kg]</t>
  </si>
  <si>
    <t># avg. Cars</t>
  </si>
  <si>
    <t>Million of cars</t>
  </si>
  <si>
    <t>https://www.woodmac.com/press-releases/700-million-electric-vehicles-will-be-on-the-roads-by-2050/</t>
  </si>
  <si>
    <t>https://www.eia.gov/todayinenergy/detail.php?id=50096#</t>
  </si>
  <si>
    <t>https://www.globalfleetmanagement.com/10159371/electric-vehicles-expected-to-comprise-31-of-the-global-fleet-by-2050</t>
  </si>
  <si>
    <t>https://www.fuelfreedom.org/cars-in-2050/#:~:text=By%202050%2C%20there%20will%20be,%2C%20using%20petroleum%2Dbased%20fuels.</t>
  </si>
  <si>
    <t>Cars in 2050 (billion)</t>
  </si>
  <si>
    <t>million</t>
  </si>
  <si>
    <t>Scenario = 100% EVs</t>
  </si>
  <si>
    <t>Scenario % EVs =</t>
  </si>
  <si>
    <t>https://www.spglobal.com/mobility/en/research-analysis/average-age-of-vehicles-in-the-us-increases-to-122-years.html</t>
  </si>
  <si>
    <t>https://www.researchgate.net/publication/227352883_International_Trade_in_Used_Vehicles_The_Environmental_Consequences_of_NAFTA</t>
  </si>
  <si>
    <t>https://www.eia.gov/todayinenergy/detail.php?id=36914</t>
  </si>
  <si>
    <t>https://nhts.ornl.gov/vehicles</t>
  </si>
  <si>
    <t>2022 or 2021 worldwide production (tonnes)</t>
  </si>
  <si>
    <t>Ref</t>
  </si>
  <si>
    <t>https://www.visualcapitalist.com/ranked-the-worlds-top-cobalt-producing-countries/#:~:text=In%20total%2C%20global%20cobalt%20production,approximately%2040%25%20of%20total%20demand.</t>
  </si>
  <si>
    <t>https://www.statista.com/statistics/1244066/global-manganese-production-volume-by-country/#:~:text=South%20Africa%20is%20the%20world's,was%2049.5%20million%20metric%20tons.</t>
  </si>
  <si>
    <t>https://investingnews.com/daily/resource-investing/base-metals-investing/copper-investing/copper-production-country/</t>
  </si>
  <si>
    <t>https://www.statista.com/statistics/603621/global-distribution-of-nickel-mine-production-by-select-country/</t>
  </si>
  <si>
    <t>https://www.statista.com/statistics/1005851/global-graphite-production/</t>
  </si>
  <si>
    <t>https://www.statista.com/statistics/264882/world-mine-production-of-zinc/</t>
  </si>
  <si>
    <t>Source: IEA. Licence: CC BY 4.0</t>
  </si>
  <si>
    <t>This data is subject to the IEA's terms and conditions: https://www.iea.org/t_c/termsandconditions/</t>
  </si>
  <si>
    <t>Units: kg/MW</t>
  </si>
  <si>
    <t>Chromium</t>
  </si>
  <si>
    <t>Molybdenum</t>
  </si>
  <si>
    <t>Silicon</t>
  </si>
  <si>
    <t>Offshore wind</t>
  </si>
  <si>
    <t>Onshore wind</t>
  </si>
  <si>
    <t>Solar PV</t>
  </si>
  <si>
    <t>Nuclear</t>
  </si>
  <si>
    <t>Coal</t>
  </si>
  <si>
    <t>Natural gas</t>
  </si>
  <si>
    <t>LB (MW)</t>
  </si>
  <si>
    <t>UB (MW)</t>
  </si>
  <si>
    <t>2030 materials for new tech [tonnes] LB</t>
  </si>
  <si>
    <t>2030 materials for new tech [tonnes] UB</t>
  </si>
  <si>
    <t>2040 materials for new tech [tonnes] LB</t>
  </si>
  <si>
    <t>2040 materials for new tech [tonnes] UB</t>
  </si>
  <si>
    <t>2050 materials for new tech [tonnes] LB</t>
  </si>
  <si>
    <t>2050 materials for new tech [tonnes] UB</t>
  </si>
  <si>
    <t>Approx Evs in 2050 Texas</t>
  </si>
  <si>
    <t>Current EVS</t>
  </si>
  <si>
    <t>Current ports</t>
  </si>
  <si>
    <t>ratio cars/port</t>
  </si>
  <si>
    <t>Ports in 2050</t>
  </si>
  <si>
    <t>New ports req</t>
  </si>
  <si>
    <t>Based on current battery technology, the total volume of lithium necessary for
the number of EVs expected in the state by 2050 would exceed the 2021 worldwide production of both minerals. There will also be a significant increase in the consumption of materials including copper, manganese, and graphite.</t>
  </si>
  <si>
    <t>Energy required for yearly EVs (use)</t>
  </si>
  <si>
    <t>Load prediction</t>
  </si>
  <si>
    <t>MWh</t>
  </si>
  <si>
    <t>% of use</t>
  </si>
  <si>
    <t>% Evs</t>
  </si>
  <si>
    <t>Technology</t>
  </si>
  <si>
    <t>https://afdc.energy.gov/vehicle-registration</t>
  </si>
  <si>
    <t>Fuel stations</t>
  </si>
  <si>
    <t>https://afdc.energy.gov/stations/#/find/nearest?location=Texas</t>
  </si>
  <si>
    <t>growth (%)</t>
  </si>
  <si>
    <t>coef</t>
  </si>
  <si>
    <t>Cars fleet</t>
  </si>
  <si>
    <t>constant ownership asumption</t>
  </si>
  <si>
    <t>% percentage</t>
  </si>
  <si>
    <t>---&gt;Producidos del 2028 en adelante</t>
  </si>
  <si>
    <t>Mas del 90% de esos vehiculos será producido después del 2030</t>
  </si>
  <si>
    <t>EV LB</t>
  </si>
  <si>
    <t>EV UB</t>
  </si>
  <si>
    <t>Electric vehicles energy requirements:</t>
  </si>
  <si>
    <t>Lower bound</t>
  </si>
  <si>
    <t>Upper bound</t>
  </si>
  <si>
    <t>[kWh/miles]</t>
  </si>
  <si>
    <t>The average miles driven per car per year is:</t>
  </si>
  <si>
    <t>Population</t>
  </si>
  <si>
    <t>(Linear stimmation)</t>
  </si>
  <si>
    <t>2050 LB</t>
  </si>
  <si>
    <t>2050 UB</t>
  </si>
  <si>
    <t>Different transition scenarios</t>
  </si>
  <si>
    <t>% of world lithium reserves</t>
  </si>
  <si>
    <t>Using IEA predictions</t>
  </si>
  <si>
    <t>EVs w retirement</t>
  </si>
  <si>
    <t>% of US lithium reserves</t>
  </si>
  <si>
    <t>EVs posible</t>
  </si>
  <si>
    <t>million MWh</t>
  </si>
  <si>
    <t>PERCENTAGE OF CURRENT PRODUCTION</t>
  </si>
  <si>
    <t>https://www.eia.gov/electricity/state/texas/</t>
  </si>
  <si>
    <t>Total Lithium</t>
  </si>
  <si>
    <t>PLANNER FOR EVS CHARGING</t>
  </si>
  <si>
    <t>https://afdc.energy.gov/evi-pro-lite</t>
  </si>
  <si>
    <t xml:space="preserve"> Sales Difference/New cars</t>
  </si>
  <si>
    <t>ABS</t>
  </si>
  <si>
    <t>EPDM</t>
  </si>
  <si>
    <t>LER</t>
  </si>
  <si>
    <t>GPPS</t>
  </si>
  <si>
    <t>HIPS</t>
  </si>
  <si>
    <t>HDPE</t>
  </si>
  <si>
    <t>LDPE</t>
  </si>
  <si>
    <t>LLDPE</t>
  </si>
  <si>
    <t>Nylon 6</t>
  </si>
  <si>
    <t>Nylon 66</t>
  </si>
  <si>
    <t>PC</t>
  </si>
  <si>
    <t>PET</t>
  </si>
  <si>
    <t>PP</t>
  </si>
  <si>
    <t>FPUR foam</t>
  </si>
  <si>
    <t>RPUR foam</t>
  </si>
  <si>
    <t>PVC</t>
  </si>
  <si>
    <t>Value/car</t>
  </si>
  <si>
    <t>NG</t>
  </si>
  <si>
    <t>Crude oil</t>
  </si>
  <si>
    <t>Electricity</t>
  </si>
  <si>
    <t>Natural gas thousand cu ft/car</t>
  </si>
  <si>
    <t>Crude oil gal/car</t>
  </si>
  <si>
    <t>Electricity kWh/car</t>
  </si>
  <si>
    <t>lbs to kg</t>
  </si>
  <si>
    <t>kgs</t>
  </si>
  <si>
    <t>ng mass</t>
  </si>
  <si>
    <t>oil mass</t>
  </si>
  <si>
    <t>final</t>
  </si>
  <si>
    <t>Mass req/kg output</t>
  </si>
  <si>
    <t>Natural gas Million (m3)/car</t>
  </si>
  <si>
    <t>Crude oil Thousands (m3)/car</t>
  </si>
  <si>
    <t>Emissions (kg/car)</t>
  </si>
  <si>
    <t>ROCM</t>
  </si>
  <si>
    <t>TONS OF ETHYLENE</t>
  </si>
  <si>
    <t>TONS OF POLYETHYLENE</t>
  </si>
  <si>
    <t>YIELD</t>
  </si>
  <si>
    <t>KG OF PE/CAR</t>
  </si>
  <si>
    <t>TONS IN 2029 REQ FOR PE</t>
  </si>
  <si>
    <t>KG OF PLASTIC/CAR</t>
  </si>
  <si>
    <t>TONS IN 2029 REQ GENERAL</t>
  </si>
  <si>
    <t>FROM 2029 I CAN PRODUCE</t>
  </si>
  <si>
    <t>BY 2030 I NEED</t>
  </si>
  <si>
    <t>FROM NG I NEED</t>
  </si>
  <si>
    <t>IF WHOLE CAR WAS PE, TONS REQ</t>
  </si>
  <si>
    <t>PRICES PER TON</t>
  </si>
  <si>
    <t>FINAL PRICE/ TON PLASTIC (NO EMISSIONS)</t>
  </si>
  <si>
    <t>100% CCUS (90% YIELD)</t>
  </si>
  <si>
    <t>80% CCUS (90% YIELD)</t>
  </si>
  <si>
    <t>60% CCUS (90% YIELD)</t>
  </si>
  <si>
    <t>40% CCUS (90% YIELD)</t>
  </si>
  <si>
    <t>0% CCUS (90% YIELD)</t>
  </si>
  <si>
    <t>TONS OF CO2 CAPTURED</t>
  </si>
  <si>
    <t>"TONS REQ"</t>
  </si>
  <si>
    <t>DELTA (NG NEEDED)</t>
  </si>
  <si>
    <t>FINAL PRICE/ TON PLASTIC NO EMISSIONS</t>
  </si>
  <si>
    <t>TONS OF PE PRODUCED THROGH CCUS</t>
  </si>
  <si>
    <t>CCUS PRICE</t>
  </si>
  <si>
    <t>https://www.eia.gov/dnav/ng/hist/n3035tx3m.htm</t>
  </si>
  <si>
    <t>JANUARY NG PRICE BASED (USD/THOUSAND CU FT)</t>
  </si>
  <si>
    <t>https://www.naturalgasintel.com/natural-gas-to-become-worlds-primary-fossil-fuel-by-2050-says-gas-exporting-countries-forum/</t>
  </si>
  <si>
    <t>FINAL PRICE/ TON PLASTIC CONVENTIONAL</t>
  </si>
  <si>
    <t>NG PRICE/TON PLASTIC</t>
  </si>
  <si>
    <t>RATIO COST NO EMI/EM</t>
  </si>
  <si>
    <t>Table 7. Average Value of Plastics &amp; Polymer Composites ($/vehicle)</t>
  </si>
  <si>
    <t>https://plasticmakers.org/wp-content/uploads/2023/02/Chemistry-and-Automobiles-March-2023.pdf</t>
  </si>
  <si>
    <t>RANGES $15,000 to $25,000 USD</t>
  </si>
  <si>
    <t>https://www.wfaa.com/article/money/business/right-on-the-money/as-auto-prices-soar-across-check-your-auto-insurance/287-db5a20d6-5bd7-45c4-a870-d48c8491a352#:~:text=As%20auto%20prices%20soar%20across,costs%20almost%20%2430%2C000%20(%2429%2C969%20).</t>
  </si>
  <si>
    <t>INCREMENT OF 2.84% IN THE CAR PRICE (25000)</t>
  </si>
  <si>
    <t>TONS OF CO2 EMITTED</t>
  </si>
  <si>
    <t>Total MJ/kg plastic</t>
  </si>
  <si>
    <t>GREET</t>
  </si>
  <si>
    <t>ENERGY REQUIRED [PJ]</t>
  </si>
  <si>
    <t>RMTO</t>
  </si>
  <si>
    <t>RMTP</t>
  </si>
  <si>
    <t>Impact in car cost</t>
  </si>
  <si>
    <t>Final cost/BAU (2050)</t>
  </si>
  <si>
    <t>Final cost USD/ton (2050)</t>
  </si>
  <si>
    <t>Initial cost/BAU (2025)</t>
  </si>
  <si>
    <t>Initial cost USD/ton (2025)</t>
  </si>
  <si>
    <t>https://www.lse.ac.uk/granthaminstitute/explainers/what-is-carbon-capture-and-storage-and-what-role-can-it-play-in-tackling-climate-change/#:~:text=Currently%20operational%20facilities%20fitted%20with,the%20costs%20of%20doing%20so.</t>
  </si>
  <si>
    <t>Currently operational facilities fitted with CCUS can capture around 90%﻿ of the CO2 present in flue gas. It is technologically possible to achieve higher capture rates, and research is ongoing to reduce the costs of doing so.</t>
  </si>
  <si>
    <t>TONS REQ</t>
  </si>
  <si>
    <t>HDPE DEMAND 2024</t>
  </si>
  <si>
    <t>Miles driven in 2025</t>
  </si>
  <si>
    <t>ton</t>
  </si>
  <si>
    <t>HDPE USD/ton</t>
  </si>
  <si>
    <t>usd</t>
  </si>
  <si>
    <t>raw tons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</si>
</sst>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Red]\-&quot;$&quot;#,##0"/>
    <numFmt numFmtId="165" formatCode="&quot;$&quot;#,##0.00;[Red]\-&quot;$&quot;#,##0.00"/>
    <numFmt numFmtId="166" formatCode="0.000"/>
    <numFmt numFmtId="167" formatCode="0.0000"/>
    <numFmt numFmtId="168" formatCode="0.0"/>
  </numFmts>
  <fonts count="11" x14ac:knownFonts="1">
    <font>
      <sz val="11"/>
      <color theme="1"/>
      <name val="Calibri"/>
      <family val="2"/>
      <scheme val="minor"/>
    </font>
    <font>
      <sz val="11"/>
      <color rgb="FFFF0000"/>
      <name val="Calibri"/>
      <family val="2"/>
      <scheme val="minor"/>
    </font>
    <font>
      <sz val="10"/>
      <color rgb="FF444444"/>
      <name val="Arial"/>
      <family val="2"/>
    </font>
    <font>
      <b/>
      <sz val="12"/>
      <color rgb="FF333333"/>
      <name val="Arial"/>
      <family val="2"/>
    </font>
    <font>
      <sz val="12"/>
      <color theme="1"/>
      <name val="Arial"/>
      <family val="2"/>
    </font>
    <font>
      <u/>
      <sz val="11"/>
      <color theme="10"/>
      <name val="Calibri"/>
      <family val="2"/>
      <scheme val="minor"/>
    </font>
    <font>
      <sz val="8"/>
      <name val="Calibri"/>
      <family val="2"/>
      <scheme val="minor"/>
    </font>
    <font>
      <sz val="11"/>
      <color theme="1"/>
      <name val="Calibri"/>
      <family val="2"/>
      <scheme val="minor"/>
    </font>
    <font>
      <b/>
      <sz val="11"/>
      <color theme="1"/>
      <name val="Calibri"/>
      <family val="2"/>
      <scheme val="minor"/>
    </font>
    <font>
      <b/>
      <sz val="10"/>
      <color rgb="FF000000"/>
      <name val="Arial"/>
      <family val="2"/>
    </font>
    <font>
      <b/>
      <sz val="11"/>
      <color rgb="FFFF0000"/>
      <name val="Calibri"/>
      <family val="2"/>
      <scheme val="minor"/>
    </font>
  </fonts>
  <fills count="14">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rgb="FFF9F9F9"/>
        <bgColor indexed="64"/>
      </patternFill>
    </fill>
    <fill>
      <patternFill patternType="solid">
        <fgColor theme="7" tint="0.79998168889431442"/>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rgb="FFFF99FF"/>
        <bgColor indexed="64"/>
      </patternFill>
    </fill>
    <fill>
      <patternFill patternType="solid">
        <fgColor theme="2" tint="-9.9978637043366805E-2"/>
        <bgColor indexed="64"/>
      </patternFill>
    </fill>
  </fills>
  <borders count="18">
    <border>
      <left/>
      <right/>
      <top/>
      <bottom/>
      <diagonal/>
    </border>
    <border>
      <left style="medium">
        <color rgb="FFDDDDDD"/>
      </left>
      <right style="medium">
        <color rgb="FFDDDDDD"/>
      </right>
      <top style="medium">
        <color rgb="FFDDDDDD"/>
      </top>
      <bottom style="medium">
        <color rgb="FFDDDDDD"/>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5" fillId="0" borderId="0" applyNumberFormat="0" applyFill="0" applyBorder="0" applyAlignment="0" applyProtection="0"/>
    <xf numFmtId="9" fontId="7" fillId="0" borderId="0" applyFont="0" applyFill="0" applyBorder="0" applyAlignment="0" applyProtection="0"/>
  </cellStyleXfs>
  <cellXfs count="139">
    <xf numFmtId="0" fontId="0" fillId="0" borderId="0" xfId="0"/>
    <xf numFmtId="0" fontId="0" fillId="2" borderId="0" xfId="0" applyFill="1"/>
    <xf numFmtId="0" fontId="0" fillId="3" borderId="0" xfId="0" applyFill="1"/>
    <xf numFmtId="2" fontId="0" fillId="0" borderId="0" xfId="0" applyNumberFormat="1"/>
    <xf numFmtId="3" fontId="2" fillId="0" borderId="1" xfId="0" applyNumberFormat="1" applyFont="1" applyBorder="1" applyAlignment="1">
      <alignment horizontal="center" vertical="center" wrapText="1"/>
    </xf>
    <xf numFmtId="3" fontId="2" fillId="4" borderId="1" xfId="0" applyNumberFormat="1" applyFont="1" applyFill="1" applyBorder="1" applyAlignment="1">
      <alignment horizontal="center" vertical="center" wrapText="1"/>
    </xf>
    <xf numFmtId="0" fontId="0" fillId="0" borderId="0" xfId="0" applyAlignment="1">
      <alignment horizontal="center" vertical="center"/>
    </xf>
    <xf numFmtId="3" fontId="0" fillId="0" borderId="0" xfId="0" applyNumberFormat="1" applyAlignment="1">
      <alignment horizontal="center" vertical="center"/>
    </xf>
    <xf numFmtId="3" fontId="2" fillId="0" borderId="0" xfId="0" applyNumberFormat="1" applyFont="1" applyAlignment="1">
      <alignment horizontal="center" vertical="center"/>
    </xf>
    <xf numFmtId="2" fontId="0" fillId="0" borderId="0" xfId="0" applyNumberFormat="1" applyAlignment="1">
      <alignment horizontal="center" vertical="center"/>
    </xf>
    <xf numFmtId="0" fontId="0" fillId="3" borderId="0" xfId="0" applyFill="1" applyAlignment="1">
      <alignment horizontal="center" vertical="center"/>
    </xf>
    <xf numFmtId="0" fontId="0" fillId="5" borderId="0" xfId="0" applyFill="1"/>
    <xf numFmtId="0" fontId="0" fillId="5" borderId="0" xfId="0" applyFill="1" applyAlignment="1">
      <alignment horizontal="center" vertical="center"/>
    </xf>
    <xf numFmtId="2" fontId="0" fillId="5" borderId="0" xfId="0" applyNumberFormat="1" applyFill="1" applyAlignment="1">
      <alignment horizontal="center" vertical="center"/>
    </xf>
    <xf numFmtId="0" fontId="0" fillId="6" borderId="0" xfId="0" applyFill="1"/>
    <xf numFmtId="0" fontId="0" fillId="6" borderId="0" xfId="0" applyFill="1" applyAlignment="1">
      <alignment horizontal="center" vertical="center"/>
    </xf>
    <xf numFmtId="2" fontId="0" fillId="6" borderId="0" xfId="0" applyNumberFormat="1" applyFill="1" applyAlignment="1">
      <alignment horizontal="center" vertical="center"/>
    </xf>
    <xf numFmtId="0" fontId="0" fillId="3" borderId="0" xfId="0" applyFill="1" applyAlignment="1">
      <alignment horizontal="center" vertical="center" wrapText="1"/>
    </xf>
    <xf numFmtId="3" fontId="3" fillId="5" borderId="1" xfId="0" applyNumberFormat="1" applyFont="1" applyFill="1" applyBorder="1" applyAlignment="1">
      <alignment horizontal="right" vertical="top" wrapText="1"/>
    </xf>
    <xf numFmtId="2" fontId="0" fillId="2" borderId="0" xfId="0" applyNumberFormat="1" applyFill="1" applyAlignment="1">
      <alignment horizontal="center" vertical="center"/>
    </xf>
    <xf numFmtId="2" fontId="1" fillId="2" borderId="0" xfId="0" applyNumberFormat="1" applyFont="1" applyFill="1" applyAlignment="1">
      <alignment horizontal="center" vertical="center"/>
    </xf>
    <xf numFmtId="0" fontId="1" fillId="2" borderId="0" xfId="0" applyFont="1" applyFill="1"/>
    <xf numFmtId="0" fontId="5" fillId="0" borderId="0" xfId="1" applyAlignment="1">
      <alignment horizontal="center" vertical="center"/>
    </xf>
    <xf numFmtId="3" fontId="4" fillId="5" borderId="0" xfId="0" applyNumberFormat="1" applyFont="1" applyFill="1" applyAlignment="1">
      <alignment horizontal="center" vertical="center"/>
    </xf>
    <xf numFmtId="0" fontId="5" fillId="0" borderId="0" xfId="1" applyFill="1" applyAlignment="1">
      <alignment horizontal="center" vertical="center"/>
    </xf>
    <xf numFmtId="0" fontId="0" fillId="0" borderId="5" xfId="0" applyBorder="1"/>
    <xf numFmtId="0" fontId="0" fillId="0" borderId="6" xfId="0" applyBorder="1"/>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2" fontId="0" fillId="0" borderId="5" xfId="0" applyNumberFormat="1" applyBorder="1" applyAlignment="1">
      <alignment horizontal="center" vertical="center"/>
    </xf>
    <xf numFmtId="2" fontId="0" fillId="0" borderId="6" xfId="0" applyNumberFormat="1" applyBorder="1" applyAlignment="1">
      <alignment horizontal="center" vertical="center"/>
    </xf>
    <xf numFmtId="2" fontId="0" fillId="0" borderId="7" xfId="0" applyNumberFormat="1" applyBorder="1" applyAlignment="1">
      <alignment horizontal="center" vertical="center"/>
    </xf>
    <xf numFmtId="2" fontId="0" fillId="0" borderId="8" xfId="0" applyNumberFormat="1" applyBorder="1" applyAlignment="1">
      <alignment horizontal="center" vertical="center"/>
    </xf>
    <xf numFmtId="2" fontId="0" fillId="0" borderId="9" xfId="0" applyNumberFormat="1" applyBorder="1" applyAlignment="1">
      <alignment horizontal="center" vertical="center"/>
    </xf>
    <xf numFmtId="166" fontId="0" fillId="5" borderId="0" xfId="0" applyNumberFormat="1" applyFill="1" applyAlignment="1">
      <alignment horizontal="center" vertical="center"/>
    </xf>
    <xf numFmtId="0" fontId="5" fillId="0" borderId="0" xfId="1"/>
    <xf numFmtId="0" fontId="0" fillId="2" borderId="0" xfId="0" applyFill="1" applyAlignment="1">
      <alignment horizontal="center" vertical="center"/>
    </xf>
    <xf numFmtId="167" fontId="0" fillId="0" borderId="0" xfId="0" applyNumberFormat="1" applyAlignment="1">
      <alignment horizontal="center" vertical="center"/>
    </xf>
    <xf numFmtId="166" fontId="0" fillId="0" borderId="0" xfId="0" applyNumberFormat="1" applyAlignment="1">
      <alignment horizontal="center" vertical="center"/>
    </xf>
    <xf numFmtId="167" fontId="0" fillId="5" borderId="0" xfId="0" applyNumberFormat="1" applyFill="1" applyAlignment="1">
      <alignment horizontal="center" vertical="center"/>
    </xf>
    <xf numFmtId="0" fontId="0" fillId="7" borderId="0" xfId="0" applyFill="1" applyAlignment="1">
      <alignment horizontal="center" vertical="center"/>
    </xf>
    <xf numFmtId="0" fontId="0" fillId="7" borderId="0" xfId="0" applyFill="1"/>
    <xf numFmtId="168" fontId="0" fillId="5" borderId="0" xfId="0" applyNumberFormat="1" applyFill="1" applyAlignment="1">
      <alignment horizontal="center" vertical="center"/>
    </xf>
    <xf numFmtId="0" fontId="0" fillId="8" borderId="0" xfId="0" applyFill="1"/>
    <xf numFmtId="168" fontId="0" fillId="0" borderId="0" xfId="0" applyNumberFormat="1" applyAlignment="1">
      <alignment horizontal="center" vertical="center"/>
    </xf>
    <xf numFmtId="9" fontId="0" fillId="0" borderId="0" xfId="2" applyFont="1" applyAlignment="1">
      <alignment horizontal="center" vertical="center"/>
    </xf>
    <xf numFmtId="10" fontId="0" fillId="0" borderId="0" xfId="2" applyNumberFormat="1" applyFont="1" applyAlignment="1">
      <alignment horizontal="center" vertical="center"/>
    </xf>
    <xf numFmtId="0" fontId="0" fillId="0" borderId="0" xfId="0" quotePrefix="1"/>
    <xf numFmtId="0" fontId="0" fillId="9" borderId="12" xfId="0" applyFill="1" applyBorder="1" applyAlignment="1">
      <alignment horizontal="center" vertical="center"/>
    </xf>
    <xf numFmtId="0" fontId="0" fillId="9" borderId="13" xfId="0" applyFill="1" applyBorder="1" applyAlignment="1">
      <alignment horizontal="center" vertical="center"/>
    </xf>
    <xf numFmtId="0" fontId="0" fillId="9" borderId="14" xfId="0" applyFill="1" applyBorder="1" applyAlignment="1">
      <alignment horizontal="center" vertical="center"/>
    </xf>
    <xf numFmtId="0" fontId="0" fillId="9" borderId="15" xfId="0" applyFill="1" applyBorder="1" applyAlignment="1">
      <alignment horizontal="center" vertical="center"/>
    </xf>
    <xf numFmtId="0" fontId="0" fillId="9" borderId="12" xfId="0" applyFill="1" applyBorder="1"/>
    <xf numFmtId="0" fontId="0" fillId="9" borderId="0" xfId="0" applyFill="1"/>
    <xf numFmtId="0" fontId="0" fillId="3" borderId="13" xfId="0" applyFill="1" applyBorder="1"/>
    <xf numFmtId="10" fontId="0" fillId="5" borderId="0" xfId="2" applyNumberFormat="1" applyFont="1" applyFill="1" applyAlignment="1">
      <alignment horizontal="center" vertical="center"/>
    </xf>
    <xf numFmtId="2" fontId="0" fillId="7" borderId="0" xfId="0" applyNumberFormat="1" applyFill="1" applyAlignment="1">
      <alignment horizontal="center" vertical="center"/>
    </xf>
    <xf numFmtId="167" fontId="0" fillId="7" borderId="0" xfId="0" applyNumberFormat="1" applyFill="1" applyAlignment="1">
      <alignment horizontal="center" vertical="center"/>
    </xf>
    <xf numFmtId="168" fontId="0" fillId="7" borderId="0" xfId="0" applyNumberFormat="1" applyFill="1" applyAlignment="1">
      <alignment horizontal="center" vertical="center"/>
    </xf>
    <xf numFmtId="10" fontId="0" fillId="7" borderId="0" xfId="2" applyNumberFormat="1" applyFont="1" applyFill="1" applyAlignment="1">
      <alignment horizontal="center" vertical="center"/>
    </xf>
    <xf numFmtId="2" fontId="0" fillId="7" borderId="0" xfId="0" applyNumberFormat="1" applyFill="1"/>
    <xf numFmtId="167" fontId="0" fillId="2" borderId="0" xfId="0" applyNumberFormat="1" applyFill="1" applyAlignment="1">
      <alignment horizontal="center" vertical="center"/>
    </xf>
    <xf numFmtId="168" fontId="0" fillId="2" borderId="0" xfId="0" applyNumberFormat="1" applyFill="1" applyAlignment="1">
      <alignment horizontal="center" vertical="center"/>
    </xf>
    <xf numFmtId="10" fontId="0" fillId="2" borderId="0" xfId="2" applyNumberFormat="1" applyFont="1" applyFill="1" applyAlignment="1">
      <alignment horizontal="center" vertical="center"/>
    </xf>
    <xf numFmtId="2" fontId="0" fillId="3" borderId="0" xfId="0" applyNumberFormat="1" applyFill="1" applyAlignment="1">
      <alignment horizontal="center" vertical="center"/>
    </xf>
    <xf numFmtId="167" fontId="0" fillId="3" borderId="0" xfId="0" applyNumberFormat="1" applyFill="1" applyAlignment="1">
      <alignment horizontal="center" vertical="center"/>
    </xf>
    <xf numFmtId="168" fontId="0" fillId="3" borderId="0" xfId="0" applyNumberFormat="1" applyFill="1" applyAlignment="1">
      <alignment horizontal="center" vertical="center"/>
    </xf>
    <xf numFmtId="10" fontId="0" fillId="3" borderId="0" xfId="2" applyNumberFormat="1" applyFont="1" applyFill="1" applyAlignment="1">
      <alignment horizontal="center" vertical="center"/>
    </xf>
    <xf numFmtId="2" fontId="0" fillId="3" borderId="0" xfId="0" applyNumberFormat="1" applyFill="1"/>
    <xf numFmtId="0" fontId="0" fillId="0" borderId="2" xfId="0" applyBorder="1"/>
    <xf numFmtId="0" fontId="0" fillId="0" borderId="3" xfId="0" applyBorder="1"/>
    <xf numFmtId="0" fontId="0" fillId="0" borderId="4" xfId="0" applyBorder="1"/>
    <xf numFmtId="0" fontId="0" fillId="0" borderId="7" xfId="0" applyBorder="1"/>
    <xf numFmtId="0" fontId="0" fillId="0" borderId="8" xfId="0" applyBorder="1"/>
    <xf numFmtId="10" fontId="0" fillId="3" borderId="0" xfId="0" applyNumberFormat="1" applyFill="1" applyAlignment="1">
      <alignment horizontal="center" vertical="center"/>
    </xf>
    <xf numFmtId="9" fontId="0" fillId="3" borderId="0" xfId="0" applyNumberFormat="1" applyFill="1" applyAlignment="1">
      <alignment horizontal="center" vertical="center"/>
    </xf>
    <xf numFmtId="2" fontId="0" fillId="8" borderId="0" xfId="0" applyNumberFormat="1" applyFill="1" applyAlignment="1">
      <alignment horizontal="center" vertical="center"/>
    </xf>
    <xf numFmtId="166" fontId="0" fillId="8" borderId="0" xfId="0" applyNumberFormat="1" applyFill="1" applyAlignment="1">
      <alignment horizontal="center" vertical="center"/>
    </xf>
    <xf numFmtId="166" fontId="0" fillId="8" borderId="0" xfId="0" applyNumberFormat="1" applyFill="1" applyAlignment="1">
      <alignment horizontal="center"/>
    </xf>
    <xf numFmtId="0" fontId="5" fillId="7" borderId="0" xfId="1" applyFill="1"/>
    <xf numFmtId="2" fontId="0" fillId="7" borderId="0" xfId="2" applyNumberFormat="1" applyFont="1" applyFill="1" applyAlignment="1">
      <alignment horizontal="center" vertical="center"/>
    </xf>
    <xf numFmtId="0" fontId="0" fillId="8" borderId="0" xfId="0" applyFill="1" applyAlignment="1">
      <alignment horizontal="center" vertical="center"/>
    </xf>
    <xf numFmtId="0" fontId="8" fillId="10" borderId="16" xfId="0" applyFont="1" applyFill="1" applyBorder="1" applyAlignment="1">
      <alignment horizontal="center" vertical="center" wrapText="1"/>
    </xf>
    <xf numFmtId="0" fontId="8" fillId="11" borderId="0" xfId="0" applyFont="1" applyFill="1" applyAlignment="1">
      <alignment horizontal="center" vertical="center" wrapText="1"/>
    </xf>
    <xf numFmtId="0" fontId="9" fillId="0" borderId="0" xfId="0" applyFont="1" applyAlignment="1">
      <alignment horizontal="center" vertical="center"/>
    </xf>
    <xf numFmtId="2" fontId="0" fillId="8" borderId="0" xfId="0" applyNumberFormat="1" applyFill="1"/>
    <xf numFmtId="1" fontId="0" fillId="7" borderId="0" xfId="0" applyNumberFormat="1" applyFill="1" applyAlignment="1">
      <alignment horizontal="center" vertical="center"/>
    </xf>
    <xf numFmtId="1" fontId="0" fillId="3" borderId="0" xfId="0" applyNumberFormat="1" applyFill="1" applyAlignment="1">
      <alignment horizontal="center" vertical="center"/>
    </xf>
    <xf numFmtId="0" fontId="0" fillId="0" borderId="0" xfId="0" applyAlignment="1">
      <alignment horizontal="center"/>
    </xf>
    <xf numFmtId="166" fontId="0" fillId="0" borderId="0" xfId="0" applyNumberFormat="1"/>
    <xf numFmtId="166" fontId="8" fillId="8" borderId="0" xfId="0" applyNumberFormat="1" applyFont="1" applyFill="1" applyAlignment="1">
      <alignment horizontal="center" vertical="center"/>
    </xf>
    <xf numFmtId="166" fontId="0" fillId="0" borderId="0" xfId="0" applyNumberFormat="1" applyAlignment="1">
      <alignment horizontal="right" vertical="center"/>
    </xf>
    <xf numFmtId="0" fontId="0" fillId="3" borderId="0" xfId="0" applyFill="1" applyAlignment="1">
      <alignment horizontal="center"/>
    </xf>
    <xf numFmtId="0" fontId="8" fillId="3" borderId="0" xfId="0" applyFont="1" applyFill="1" applyAlignment="1">
      <alignment horizontal="center"/>
    </xf>
    <xf numFmtId="2" fontId="8" fillId="3" borderId="0" xfId="0" applyNumberFormat="1" applyFont="1" applyFill="1" applyAlignment="1">
      <alignment horizontal="center" vertical="center"/>
    </xf>
    <xf numFmtId="164" fontId="0" fillId="0" borderId="0" xfId="0" applyNumberFormat="1"/>
    <xf numFmtId="164" fontId="8" fillId="0" borderId="0" xfId="0" applyNumberFormat="1" applyFont="1"/>
    <xf numFmtId="0" fontId="8" fillId="0" borderId="0" xfId="0" applyFont="1"/>
    <xf numFmtId="165" fontId="0" fillId="0" borderId="0" xfId="0" applyNumberFormat="1"/>
    <xf numFmtId="165" fontId="8" fillId="0" borderId="0" xfId="0" applyNumberFormat="1" applyFont="1"/>
    <xf numFmtId="0" fontId="0" fillId="0" borderId="0" xfId="0" applyAlignment="1">
      <alignment horizontal="center" vertical="center"/>
    </xf>
    <xf numFmtId="3" fontId="0" fillId="0" borderId="0" xfId="0" applyNumberFormat="1"/>
    <xf numFmtId="10" fontId="8" fillId="5" borderId="0" xfId="0" applyNumberFormat="1" applyFont="1" applyFill="1"/>
    <xf numFmtId="0" fontId="8" fillId="2" borderId="0" xfId="0" applyFont="1" applyFill="1"/>
    <xf numFmtId="0" fontId="0" fillId="12" borderId="0" xfId="0" applyFill="1" applyAlignment="1">
      <alignment horizontal="center"/>
    </xf>
    <xf numFmtId="0" fontId="0" fillId="12" borderId="0" xfId="0" applyFill="1"/>
    <xf numFmtId="0" fontId="8" fillId="12" borderId="0" xfId="0" applyFont="1" applyFill="1" applyAlignment="1">
      <alignment horizontal="center" vertical="center"/>
    </xf>
    <xf numFmtId="2" fontId="0" fillId="12" borderId="0" xfId="0" applyNumberFormat="1" applyFill="1" applyAlignment="1">
      <alignment horizontal="center" vertical="center"/>
    </xf>
    <xf numFmtId="0" fontId="8" fillId="5" borderId="0" xfId="0" applyFont="1" applyFill="1" applyAlignment="1">
      <alignment horizontal="center" vertical="center"/>
    </xf>
    <xf numFmtId="0" fontId="8" fillId="5" borderId="0" xfId="0" applyFont="1" applyFill="1" applyAlignment="1">
      <alignment horizontal="center" vertical="center" wrapText="1"/>
    </xf>
    <xf numFmtId="2" fontId="0" fillId="9" borderId="0" xfId="0" applyNumberFormat="1" applyFill="1" applyAlignment="1">
      <alignment horizontal="center" vertical="center"/>
    </xf>
    <xf numFmtId="10" fontId="0" fillId="9" borderId="0" xfId="0" applyNumberFormat="1" applyFill="1" applyAlignment="1">
      <alignment horizontal="center" vertical="center"/>
    </xf>
    <xf numFmtId="0" fontId="0" fillId="12" borderId="0" xfId="0" applyFill="1" applyAlignment="1">
      <alignment horizontal="center" vertical="center"/>
    </xf>
    <xf numFmtId="0" fontId="0" fillId="3" borderId="0" xfId="0" applyFill="1" applyAlignment="1">
      <alignment horizontal="center" vertical="center" wrapText="1"/>
    </xf>
    <xf numFmtId="0" fontId="0" fillId="5" borderId="0" xfId="0" applyFill="1" applyAlignment="1">
      <alignment horizontal="center" vertical="center" wrapText="1"/>
    </xf>
    <xf numFmtId="0" fontId="0" fillId="5" borderId="0" xfId="0" applyFill="1" applyAlignment="1">
      <alignment horizontal="center" vertical="center"/>
    </xf>
    <xf numFmtId="0" fontId="0" fillId="0" borderId="0" xfId="0" applyAlignment="1">
      <alignment horizontal="center" wrapText="1"/>
    </xf>
    <xf numFmtId="0" fontId="0" fillId="0" borderId="0" xfId="0" applyAlignment="1">
      <alignment horizontal="center" vertical="center"/>
    </xf>
    <xf numFmtId="0" fontId="0" fillId="3" borderId="0" xfId="0" applyFill="1" applyAlignment="1">
      <alignment horizontal="center" vertical="center"/>
    </xf>
    <xf numFmtId="0" fontId="8" fillId="0" borderId="10" xfId="0" applyFont="1" applyBorder="1" applyAlignment="1">
      <alignment horizontal="left"/>
    </xf>
    <xf numFmtId="0" fontId="8" fillId="0" borderId="11" xfId="0" applyFont="1" applyBorder="1" applyAlignment="1">
      <alignment horizontal="left"/>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168" fontId="0" fillId="8" borderId="0" xfId="0" applyNumberFormat="1" applyFill="1" applyAlignment="1">
      <alignment horizontal="center" vertical="center"/>
    </xf>
    <xf numFmtId="0" fontId="8" fillId="2" borderId="0" xfId="0" applyFont="1" applyFill="1" applyAlignment="1">
      <alignment horizontal="center" vertical="center" wrapText="1"/>
    </xf>
    <xf numFmtId="0" fontId="8" fillId="2" borderId="0" xfId="0" applyFont="1" applyFill="1" applyAlignment="1">
      <alignment horizontal="center" vertical="center"/>
    </xf>
    <xf numFmtId="2" fontId="0" fillId="13" borderId="0" xfId="0" applyNumberFormat="1" applyFill="1" applyAlignment="1">
      <alignment horizontal="center" vertical="center"/>
    </xf>
    <xf numFmtId="0" fontId="0" fillId="13" borderId="0" xfId="0" applyFill="1"/>
    <xf numFmtId="2" fontId="0" fillId="13" borderId="0" xfId="0" applyNumberFormat="1" applyFill="1"/>
    <xf numFmtId="0" fontId="8" fillId="13" borderId="0" xfId="0" applyFont="1" applyFill="1"/>
    <xf numFmtId="166" fontId="8" fillId="5" borderId="0" xfId="0" applyNumberFormat="1" applyFont="1" applyFill="1" applyAlignment="1">
      <alignment horizontal="center" vertical="center"/>
    </xf>
    <xf numFmtId="2" fontId="0" fillId="5" borderId="17" xfId="0" applyNumberFormat="1" applyFill="1" applyBorder="1" applyAlignment="1">
      <alignment horizontal="center" vertical="center"/>
    </xf>
    <xf numFmtId="2" fontId="0" fillId="13" borderId="17" xfId="0" applyNumberFormat="1" applyFill="1" applyBorder="1" applyAlignment="1">
      <alignment horizontal="center" vertical="center"/>
    </xf>
    <xf numFmtId="167" fontId="0" fillId="2" borderId="0" xfId="0" applyNumberFormat="1" applyFill="1"/>
    <xf numFmtId="0" fontId="10" fillId="0" borderId="0" xfId="0" applyFont="1" applyAlignment="1">
      <alignment horizontal="center" vertical="center"/>
    </xf>
  </cellXfs>
  <cellStyles count="3">
    <cellStyle name="Hyperlink" xfId="1" builtinId="8"/>
    <cellStyle name="Normal" xfId="0" builtinId="0"/>
    <cellStyle name="Percent" xfId="2" builtinId="5"/>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2000"/>
              <a:t>Annual</a:t>
            </a:r>
            <a:r>
              <a:rPr lang="es-MX" sz="2000" baseline="0"/>
              <a:t> requirements of plastics</a:t>
            </a:r>
            <a:endParaRPr lang="es-MX" sz="2000"/>
          </a:p>
        </c:rich>
      </c:tx>
      <c:layout>
        <c:manualLayout>
          <c:xMode val="edge"/>
          <c:yMode val="edge"/>
          <c:x val="0.28762597559280706"/>
          <c:y val="3.1275769121552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'Plastics CCUS_COMPARISON'!$V$3</c:f>
              <c:strCache>
                <c:ptCount val="1"/>
                <c:pt idx="0">
                  <c:v>ABS</c:v>
                </c:pt>
              </c:strCache>
            </c:strRef>
          </c:tx>
          <c:spPr>
            <a:solidFill>
              <a:schemeClr val="accent1"/>
            </a:solidFill>
            <a:ln>
              <a:noFill/>
            </a:ln>
            <a:effectLst/>
          </c:spPr>
          <c:cat>
            <c:numRef>
              <c:extLst>
                <c:ext xmlns:c15="http://schemas.microsoft.com/office/drawing/2012/chart" uri="{02D57815-91ED-43cb-92C2-25804820EDAC}">
                  <c15:fullRef>
                    <c15:sqref>'Plastics CCUS_COMPARISON'!$A$4:$A$38</c15:sqref>
                  </c15:fullRef>
                </c:ext>
              </c:extLst>
              <c:f>('Plastics CCUS_COMPARISON'!$A$5,'Plastics CCUS_COMPARISON'!$A$7,'Plastics CCUS_COMPARISON'!$A$9,'Plastics CCUS_COMPARISON'!$A$11,'Plastics CCUS_COMPARISON'!$A$13,'Plastics CCUS_COMPARISON'!$A$15,'Plastics CCUS_COMPARISON'!$A$17,'Plastics CCUS_COMPARISON'!$A$19,'Plastics CCUS_COMPARISON'!$A$21,'Plastics CCUS_COMPARISON'!$A$23,'Plastics CCUS_COMPARISON'!$A$25,'Plastics CCUS_COMPARISON'!$A$27,'Plastics CCUS_COMPARISON'!$A$29,'Plastics CCUS_COMPARISON'!$A$31,'Plastics CCUS_COMPARISON'!$A$33,'Plastics CCUS_COMPARISON'!$A$35,'Plastics CCUS_COMPARISON'!$A$37:$A$38)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CCUS_COMPARISON'!$V$4:$V$38</c15:sqref>
                  </c15:fullRef>
                </c:ext>
              </c:extLst>
              <c:f>('Plastics CCUS_COMPARISON'!$V$5,'Plastics CCUS_COMPARISON'!$V$7,'Plastics CCUS_COMPARISON'!$V$9,'Plastics CCUS_COMPARISON'!$V$11,'Plastics CCUS_COMPARISON'!$V$13,'Plastics CCUS_COMPARISON'!$V$15,'Plastics CCUS_COMPARISON'!$V$17,'Plastics CCUS_COMPARISON'!$V$19,'Plastics CCUS_COMPARISON'!$V$21,'Plastics CCUS_COMPARISON'!$V$23,'Plastics CCUS_COMPARISON'!$V$25,'Plastics CCUS_COMPARISON'!$V$27,'Plastics CCUS_COMPARISON'!$V$29,'Plastics CCUS_COMPARISON'!$V$31,'Plastics CCUS_COMPARISON'!$V$33,'Plastics CCUS_COMPARISON'!$V$35,'Plastics CCUS_COMPARISON'!$V$37:$V$38)</c:f>
              <c:numCache>
                <c:formatCode>General</c:formatCode>
                <c:ptCount val="18"/>
                <c:pt idx="0">
                  <c:v>0.11901465526270119</c:v>
                </c:pt>
                <c:pt idx="1">
                  <c:v>0.1955240765030091</c:v>
                </c:pt>
                <c:pt idx="2">
                  <c:v>0.96486881230832755</c:v>
                </c:pt>
                <c:pt idx="3">
                  <c:v>1.2983274738420856</c:v>
                </c:pt>
                <c:pt idx="4">
                  <c:v>1.74702944880191</c:v>
                </c:pt>
                <c:pt idx="5">
                  <c:v>2.35080282630785</c:v>
                </c:pt>
                <c:pt idx="6">
                  <c:v>3.1632402830798436</c:v>
                </c:pt>
                <c:pt idx="7">
                  <c:v>3.9996010139261542</c:v>
                </c:pt>
                <c:pt idx="8">
                  <c:v>4.7519259646456629</c:v>
                </c:pt>
                <c:pt idx="9">
                  <c:v>5.6457632385955128</c:v>
                </c:pt>
                <c:pt idx="10">
                  <c:v>6.7077313037753283</c:v>
                </c:pt>
                <c:pt idx="11">
                  <c:v>7.9694555620154661</c:v>
                </c:pt>
                <c:pt idx="12">
                  <c:v>9.0341748251007346</c:v>
                </c:pt>
                <c:pt idx="13">
                  <c:v>9.7713634908289535</c:v>
                </c:pt>
                <c:pt idx="14">
                  <c:v>10.568706751680594</c:v>
                </c:pt>
                <c:pt idx="15">
                  <c:v>11.43111322261773</c:v>
                </c:pt>
                <c:pt idx="16">
                  <c:v>12.363892061583336</c:v>
                </c:pt>
                <c:pt idx="17">
                  <c:v>12.85844774404667</c:v>
                </c:pt>
              </c:numCache>
            </c:numRef>
          </c:val>
          <c:extLst>
            <c:ext xmlns:c16="http://schemas.microsoft.com/office/drawing/2014/chart" uri="{C3380CC4-5D6E-409C-BE32-E72D297353CC}">
              <c16:uniqueId val="{00000000-9A3F-42EA-ACC4-0327C78FC141}"/>
            </c:ext>
          </c:extLst>
        </c:ser>
        <c:ser>
          <c:idx val="1"/>
          <c:order val="1"/>
          <c:tx>
            <c:strRef>
              <c:f>'Plastics CCUS_COMPARISON'!$W$3</c:f>
              <c:strCache>
                <c:ptCount val="1"/>
                <c:pt idx="0">
                  <c:v>EPDM</c:v>
                </c:pt>
              </c:strCache>
            </c:strRef>
          </c:tx>
          <c:spPr>
            <a:solidFill>
              <a:schemeClr val="accent2"/>
            </a:solidFill>
            <a:ln>
              <a:noFill/>
            </a:ln>
            <a:effectLst/>
          </c:spPr>
          <c:cat>
            <c:numRef>
              <c:extLst>
                <c:ext xmlns:c15="http://schemas.microsoft.com/office/drawing/2012/chart" uri="{02D57815-91ED-43cb-92C2-25804820EDAC}">
                  <c15:fullRef>
                    <c15:sqref>'Plastics CCUS_COMPARISON'!$A$4:$A$38</c15:sqref>
                  </c15:fullRef>
                </c:ext>
              </c:extLst>
              <c:f>('Plastics CCUS_COMPARISON'!$A$5,'Plastics CCUS_COMPARISON'!$A$7,'Plastics CCUS_COMPARISON'!$A$9,'Plastics CCUS_COMPARISON'!$A$11,'Plastics CCUS_COMPARISON'!$A$13,'Plastics CCUS_COMPARISON'!$A$15,'Plastics CCUS_COMPARISON'!$A$17,'Plastics CCUS_COMPARISON'!$A$19,'Plastics CCUS_COMPARISON'!$A$21,'Plastics CCUS_COMPARISON'!$A$23,'Plastics CCUS_COMPARISON'!$A$25,'Plastics CCUS_COMPARISON'!$A$27,'Plastics CCUS_COMPARISON'!$A$29,'Plastics CCUS_COMPARISON'!$A$31,'Plastics CCUS_COMPARISON'!$A$33,'Plastics CCUS_COMPARISON'!$A$35,'Plastics CCUS_COMPARISON'!$A$37:$A$38)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CCUS_COMPARISON'!$W$4:$W$38</c15:sqref>
                  </c15:fullRef>
                </c:ext>
              </c:extLst>
              <c:f>('Plastics CCUS_COMPARISON'!$W$5,'Plastics CCUS_COMPARISON'!$W$7,'Plastics CCUS_COMPARISON'!$W$9,'Plastics CCUS_COMPARISON'!$W$11,'Plastics CCUS_COMPARISON'!$W$13,'Plastics CCUS_COMPARISON'!$W$15,'Plastics CCUS_COMPARISON'!$W$17,'Plastics CCUS_COMPARISON'!$W$19,'Plastics CCUS_COMPARISON'!$W$21,'Plastics CCUS_COMPARISON'!$W$23,'Plastics CCUS_COMPARISON'!$W$25,'Plastics CCUS_COMPARISON'!$W$27,'Plastics CCUS_COMPARISON'!$W$29,'Plastics CCUS_COMPARISON'!$W$31,'Plastics CCUS_COMPARISON'!$W$33,'Plastics CCUS_COMPARISON'!$W$35,'Plastics CCUS_COMPARISON'!$W$37:$W$38)</c:f>
              <c:numCache>
                <c:formatCode>General</c:formatCode>
                <c:ptCount val="18"/>
                <c:pt idx="0">
                  <c:v>0.11118474373226031</c:v>
                </c:pt>
                <c:pt idx="1">
                  <c:v>0.1826606504172848</c:v>
                </c:pt>
                <c:pt idx="2">
                  <c:v>0.90139060097225321</c:v>
                </c:pt>
                <c:pt idx="3">
                  <c:v>1.2129111926682641</c:v>
                </c:pt>
                <c:pt idx="4">
                  <c:v>1.6320933008544158</c:v>
                </c:pt>
                <c:pt idx="5">
                  <c:v>2.1961447456297019</c:v>
                </c:pt>
                <c:pt idx="6">
                  <c:v>2.955132369719327</c:v>
                </c:pt>
                <c:pt idx="7">
                  <c:v>3.7364693682731174</c:v>
                </c:pt>
                <c:pt idx="8">
                  <c:v>4.4392992564452909</c:v>
                </c:pt>
                <c:pt idx="9">
                  <c:v>5.2743314465826492</c:v>
                </c:pt>
                <c:pt idx="10">
                  <c:v>6.2664331916848459</c:v>
                </c:pt>
                <c:pt idx="11">
                  <c:v>7.4451492750407642</c:v>
                </c:pt>
                <c:pt idx="12">
                  <c:v>8.4398212181862124</c:v>
                </c:pt>
                <c:pt idx="13">
                  <c:v>9.1285106295902061</c:v>
                </c:pt>
                <c:pt idx="14">
                  <c:v>9.8733970969647658</c:v>
                </c:pt>
                <c:pt idx="15">
                  <c:v>10.679066300077087</c:v>
                </c:pt>
                <c:pt idx="16">
                  <c:v>11.550478110163377</c:v>
                </c:pt>
                <c:pt idx="17">
                  <c:v>12.012497234569915</c:v>
                </c:pt>
              </c:numCache>
            </c:numRef>
          </c:val>
          <c:extLst>
            <c:ext xmlns:c16="http://schemas.microsoft.com/office/drawing/2014/chart" uri="{C3380CC4-5D6E-409C-BE32-E72D297353CC}">
              <c16:uniqueId val="{00000001-9A3F-42EA-ACC4-0327C78FC141}"/>
            </c:ext>
          </c:extLst>
        </c:ser>
        <c:ser>
          <c:idx val="2"/>
          <c:order val="2"/>
          <c:tx>
            <c:strRef>
              <c:f>'Plastics CCUS_COMPARISON'!$X$3</c:f>
              <c:strCache>
                <c:ptCount val="1"/>
                <c:pt idx="0">
                  <c:v>LER</c:v>
                </c:pt>
              </c:strCache>
            </c:strRef>
          </c:tx>
          <c:spPr>
            <a:solidFill>
              <a:schemeClr val="accent3"/>
            </a:solidFill>
            <a:ln>
              <a:noFill/>
            </a:ln>
            <a:effectLst/>
          </c:spPr>
          <c:cat>
            <c:numRef>
              <c:extLst>
                <c:ext xmlns:c15="http://schemas.microsoft.com/office/drawing/2012/chart" uri="{02D57815-91ED-43cb-92C2-25804820EDAC}">
                  <c15:fullRef>
                    <c15:sqref>'Plastics CCUS_COMPARISON'!$A$4:$A$38</c15:sqref>
                  </c15:fullRef>
                </c:ext>
              </c:extLst>
              <c:f>('Plastics CCUS_COMPARISON'!$A$5,'Plastics CCUS_COMPARISON'!$A$7,'Plastics CCUS_COMPARISON'!$A$9,'Plastics CCUS_COMPARISON'!$A$11,'Plastics CCUS_COMPARISON'!$A$13,'Plastics CCUS_COMPARISON'!$A$15,'Plastics CCUS_COMPARISON'!$A$17,'Plastics CCUS_COMPARISON'!$A$19,'Plastics CCUS_COMPARISON'!$A$21,'Plastics CCUS_COMPARISON'!$A$23,'Plastics CCUS_COMPARISON'!$A$25,'Plastics CCUS_COMPARISON'!$A$27,'Plastics CCUS_COMPARISON'!$A$29,'Plastics CCUS_COMPARISON'!$A$31,'Plastics CCUS_COMPARISON'!$A$33,'Plastics CCUS_COMPARISON'!$A$35,'Plastics CCUS_COMPARISON'!$A$37:$A$38)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CCUS_COMPARISON'!$X$4:$X$38</c15:sqref>
                  </c15:fullRef>
                </c:ext>
              </c:extLst>
              <c:f>('Plastics CCUS_COMPARISON'!$X$5,'Plastics CCUS_COMPARISON'!$X$7,'Plastics CCUS_COMPARISON'!$X$9,'Plastics CCUS_COMPARISON'!$X$11,'Plastics CCUS_COMPARISON'!$X$13,'Plastics CCUS_COMPARISON'!$X$15,'Plastics CCUS_COMPARISON'!$X$17,'Plastics CCUS_COMPARISON'!$X$19,'Plastics CCUS_COMPARISON'!$X$21,'Plastics CCUS_COMPARISON'!$X$23,'Plastics CCUS_COMPARISON'!$X$25,'Plastics CCUS_COMPARISON'!$X$27,'Plastics CCUS_COMPARISON'!$X$29,'Plastics CCUS_COMPARISON'!$X$31,'Plastics CCUS_COMPARISON'!$X$33,'Plastics CCUS_COMPARISON'!$X$35,'Plastics CCUS_COMPARISON'!$X$37:$X$38)</c:f>
              <c:numCache>
                <c:formatCode>General</c:formatCode>
                <c:ptCount val="18"/>
                <c:pt idx="0">
                  <c:v>0.16756010675143457</c:v>
                </c:pt>
                <c:pt idx="1">
                  <c:v>0.27527731823449963</c:v>
                </c:pt>
                <c:pt idx="2">
                  <c:v>1.3584337225919874</c:v>
                </c:pt>
                <c:pt idx="3">
                  <c:v>1.8279084171197781</c:v>
                </c:pt>
                <c:pt idx="4">
                  <c:v>2.4596335660763731</c:v>
                </c:pt>
                <c:pt idx="5">
                  <c:v>3.3096829265123682</c:v>
                </c:pt>
                <c:pt idx="6">
                  <c:v>4.4535093459150428</c:v>
                </c:pt>
                <c:pt idx="7">
                  <c:v>5.6310172169749801</c:v>
                </c:pt>
                <c:pt idx="8">
                  <c:v>6.6902115554879726</c:v>
                </c:pt>
                <c:pt idx="9">
                  <c:v>7.9486403490752604</c:v>
                </c:pt>
                <c:pt idx="10">
                  <c:v>9.4437795987363184</c:v>
                </c:pt>
                <c:pt idx="11">
                  <c:v>11.220154541258616</c:v>
                </c:pt>
                <c:pt idx="12">
                  <c:v>12.71916718797077</c:v>
                </c:pt>
                <c:pt idx="13">
                  <c:v>13.757051230509184</c:v>
                </c:pt>
                <c:pt idx="14">
                  <c:v>14.879626610918731</c:v>
                </c:pt>
                <c:pt idx="15">
                  <c:v>16.093804142369699</c:v>
                </c:pt>
                <c:pt idx="16">
                  <c:v>17.407058560387064</c:v>
                </c:pt>
                <c:pt idx="17">
                  <c:v>18.10334090280255</c:v>
                </c:pt>
              </c:numCache>
            </c:numRef>
          </c:val>
          <c:extLst>
            <c:ext xmlns:c16="http://schemas.microsoft.com/office/drawing/2014/chart" uri="{C3380CC4-5D6E-409C-BE32-E72D297353CC}">
              <c16:uniqueId val="{00000002-9A3F-42EA-ACC4-0327C78FC141}"/>
            </c:ext>
          </c:extLst>
        </c:ser>
        <c:ser>
          <c:idx val="3"/>
          <c:order val="3"/>
          <c:tx>
            <c:strRef>
              <c:f>'Plastics CCUS_COMPARISON'!$Y$3</c:f>
              <c:strCache>
                <c:ptCount val="1"/>
                <c:pt idx="0">
                  <c:v>GPPS</c:v>
                </c:pt>
              </c:strCache>
            </c:strRef>
          </c:tx>
          <c:spPr>
            <a:solidFill>
              <a:schemeClr val="accent4"/>
            </a:solidFill>
            <a:ln>
              <a:noFill/>
            </a:ln>
            <a:effectLst/>
          </c:spPr>
          <c:cat>
            <c:numRef>
              <c:extLst>
                <c:ext xmlns:c15="http://schemas.microsoft.com/office/drawing/2012/chart" uri="{02D57815-91ED-43cb-92C2-25804820EDAC}">
                  <c15:fullRef>
                    <c15:sqref>'Plastics CCUS_COMPARISON'!$A$4:$A$38</c15:sqref>
                  </c15:fullRef>
                </c:ext>
              </c:extLst>
              <c:f>('Plastics CCUS_COMPARISON'!$A$5,'Plastics CCUS_COMPARISON'!$A$7,'Plastics CCUS_COMPARISON'!$A$9,'Plastics CCUS_COMPARISON'!$A$11,'Plastics CCUS_COMPARISON'!$A$13,'Plastics CCUS_COMPARISON'!$A$15,'Plastics CCUS_COMPARISON'!$A$17,'Plastics CCUS_COMPARISON'!$A$19,'Plastics CCUS_COMPARISON'!$A$21,'Plastics CCUS_COMPARISON'!$A$23,'Plastics CCUS_COMPARISON'!$A$25,'Plastics CCUS_COMPARISON'!$A$27,'Plastics CCUS_COMPARISON'!$A$29,'Plastics CCUS_COMPARISON'!$A$31,'Plastics CCUS_COMPARISON'!$A$33,'Plastics CCUS_COMPARISON'!$A$35,'Plastics CCUS_COMPARISON'!$A$37:$A$38)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CCUS_COMPARISON'!$Y$4:$Y$38</c15:sqref>
                  </c15:fullRef>
                </c:ext>
              </c:extLst>
              <c:f>('Plastics CCUS_COMPARISON'!$Y$5,'Plastics CCUS_COMPARISON'!$Y$7,'Plastics CCUS_COMPARISON'!$Y$9,'Plastics CCUS_COMPARISON'!$Y$11,'Plastics CCUS_COMPARISON'!$Y$13,'Plastics CCUS_COMPARISON'!$Y$15,'Plastics CCUS_COMPARISON'!$Y$17,'Plastics CCUS_COMPARISON'!$Y$19,'Plastics CCUS_COMPARISON'!$Y$21,'Plastics CCUS_COMPARISON'!$Y$23,'Plastics CCUS_COMPARISON'!$Y$25,'Plastics CCUS_COMPARISON'!$Y$27,'Plastics CCUS_COMPARISON'!$Y$29,'Plastics CCUS_COMPARISON'!$Y$31,'Plastics CCUS_COMPARISON'!$Y$33,'Plastics CCUS_COMPARISON'!$Y$35,'Plastics CCUS_COMPARISON'!$Y$37:$Y$38)</c:f>
              <c:numCache>
                <c:formatCode>General</c:formatCode>
                <c:ptCount val="18"/>
                <c:pt idx="0">
                  <c:v>1.0961876142617216E-2</c:v>
                </c:pt>
                <c:pt idx="1">
                  <c:v>1.8008796520013994E-2</c:v>
                </c:pt>
                <c:pt idx="2">
                  <c:v>8.8869495870503842E-2</c:v>
                </c:pt>
                <c:pt idx="3">
                  <c:v>0.11958279364334999</c:v>
                </c:pt>
                <c:pt idx="4">
                  <c:v>0.16091060712649172</c:v>
                </c:pt>
                <c:pt idx="5">
                  <c:v>0.21652131294940727</c:v>
                </c:pt>
                <c:pt idx="6">
                  <c:v>0.29135107870472238</c:v>
                </c:pt>
                <c:pt idx="7">
                  <c:v>0.36838430391425103</c:v>
                </c:pt>
                <c:pt idx="8">
                  <c:v>0.43767739148052159</c:v>
                </c:pt>
                <c:pt idx="9">
                  <c:v>0.52000450881800775</c:v>
                </c:pt>
                <c:pt idx="10">
                  <c:v>0.61781735692667494</c:v>
                </c:pt>
                <c:pt idx="11">
                  <c:v>0.73402880176458252</c:v>
                </c:pt>
                <c:pt idx="12">
                  <c:v>0.83209504968033077</c:v>
                </c:pt>
                <c:pt idx="13">
                  <c:v>0.89999400573424571</c:v>
                </c:pt>
                <c:pt idx="14">
                  <c:v>0.97343351660216004</c:v>
                </c:pt>
                <c:pt idx="15">
                  <c:v>1.0528656915568961</c:v>
                </c:pt>
                <c:pt idx="16">
                  <c:v>1.1387795319879388</c:v>
                </c:pt>
                <c:pt idx="17">
                  <c:v>1.1843307132674565</c:v>
                </c:pt>
              </c:numCache>
            </c:numRef>
          </c:val>
          <c:extLst>
            <c:ext xmlns:c16="http://schemas.microsoft.com/office/drawing/2014/chart" uri="{C3380CC4-5D6E-409C-BE32-E72D297353CC}">
              <c16:uniqueId val="{00000003-9A3F-42EA-ACC4-0327C78FC141}"/>
            </c:ext>
          </c:extLst>
        </c:ser>
        <c:ser>
          <c:idx val="4"/>
          <c:order val="4"/>
          <c:tx>
            <c:strRef>
              <c:f>'Plastics CCUS_COMPARISON'!$Z$3</c:f>
              <c:strCache>
                <c:ptCount val="1"/>
                <c:pt idx="0">
                  <c:v>HIPS</c:v>
                </c:pt>
              </c:strCache>
            </c:strRef>
          </c:tx>
          <c:spPr>
            <a:solidFill>
              <a:schemeClr val="accent5"/>
            </a:solidFill>
            <a:ln>
              <a:noFill/>
            </a:ln>
            <a:effectLst/>
          </c:spPr>
          <c:cat>
            <c:numRef>
              <c:extLst>
                <c:ext xmlns:c15="http://schemas.microsoft.com/office/drawing/2012/chart" uri="{02D57815-91ED-43cb-92C2-25804820EDAC}">
                  <c15:fullRef>
                    <c15:sqref>'Plastics CCUS_COMPARISON'!$A$4:$A$38</c15:sqref>
                  </c15:fullRef>
                </c:ext>
              </c:extLst>
              <c:f>('Plastics CCUS_COMPARISON'!$A$5,'Plastics CCUS_COMPARISON'!$A$7,'Plastics CCUS_COMPARISON'!$A$9,'Plastics CCUS_COMPARISON'!$A$11,'Plastics CCUS_COMPARISON'!$A$13,'Plastics CCUS_COMPARISON'!$A$15,'Plastics CCUS_COMPARISON'!$A$17,'Plastics CCUS_COMPARISON'!$A$19,'Plastics CCUS_COMPARISON'!$A$21,'Plastics CCUS_COMPARISON'!$A$23,'Plastics CCUS_COMPARISON'!$A$25,'Plastics CCUS_COMPARISON'!$A$27,'Plastics CCUS_COMPARISON'!$A$29,'Plastics CCUS_COMPARISON'!$A$31,'Plastics CCUS_COMPARISON'!$A$33,'Plastics CCUS_COMPARISON'!$A$35,'Plastics CCUS_COMPARISON'!$A$37:$A$38)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CCUS_COMPARISON'!$Z$4:$Z$38</c15:sqref>
                  </c15:fullRef>
                </c:ext>
              </c:extLst>
              <c:f>('Plastics CCUS_COMPARISON'!$Z$5,'Plastics CCUS_COMPARISON'!$Z$7,'Plastics CCUS_COMPARISON'!$Z$9,'Plastics CCUS_COMPARISON'!$Z$11,'Plastics CCUS_COMPARISON'!$Z$13,'Plastics CCUS_COMPARISON'!$Z$15,'Plastics CCUS_COMPARISON'!$Z$17,'Plastics CCUS_COMPARISON'!$Z$19,'Plastics CCUS_COMPARISON'!$Z$21,'Plastics CCUS_COMPARISON'!$Z$23,'Plastics CCUS_COMPARISON'!$Z$25,'Plastics CCUS_COMPARISON'!$Z$27,'Plastics CCUS_COMPARISON'!$Z$29,'Plastics CCUS_COMPARISON'!$Z$31,'Plastics CCUS_COMPARISON'!$Z$33,'Plastics CCUS_COMPARISON'!$Z$35,'Plastics CCUS_COMPARISON'!$Z$37:$Z$38)</c:f>
              <c:numCache>
                <c:formatCode>General</c:formatCode>
                <c:ptCount val="18"/>
                <c:pt idx="0">
                  <c:v>1.0961876142617216E-2</c:v>
                </c:pt>
                <c:pt idx="1">
                  <c:v>1.8008796520013994E-2</c:v>
                </c:pt>
                <c:pt idx="2">
                  <c:v>8.8869495870503842E-2</c:v>
                </c:pt>
                <c:pt idx="3">
                  <c:v>0.11958279364334999</c:v>
                </c:pt>
                <c:pt idx="4">
                  <c:v>0.16091060712649172</c:v>
                </c:pt>
                <c:pt idx="5">
                  <c:v>0.21652131294940727</c:v>
                </c:pt>
                <c:pt idx="6">
                  <c:v>0.29135107870472238</c:v>
                </c:pt>
                <c:pt idx="7">
                  <c:v>0.36838430391425103</c:v>
                </c:pt>
                <c:pt idx="8">
                  <c:v>0.43767739148052159</c:v>
                </c:pt>
                <c:pt idx="9">
                  <c:v>0.52000450881800775</c:v>
                </c:pt>
                <c:pt idx="10">
                  <c:v>0.61781735692667494</c:v>
                </c:pt>
                <c:pt idx="11">
                  <c:v>0.73402880176458252</c:v>
                </c:pt>
                <c:pt idx="12">
                  <c:v>0.83209504968033077</c:v>
                </c:pt>
                <c:pt idx="13">
                  <c:v>0.89999400573424571</c:v>
                </c:pt>
                <c:pt idx="14">
                  <c:v>0.97343351660216004</c:v>
                </c:pt>
                <c:pt idx="15">
                  <c:v>1.0528656915568961</c:v>
                </c:pt>
                <c:pt idx="16">
                  <c:v>1.1387795319879388</c:v>
                </c:pt>
                <c:pt idx="17">
                  <c:v>1.1843307132674565</c:v>
                </c:pt>
              </c:numCache>
            </c:numRef>
          </c:val>
          <c:extLst>
            <c:ext xmlns:c16="http://schemas.microsoft.com/office/drawing/2014/chart" uri="{C3380CC4-5D6E-409C-BE32-E72D297353CC}">
              <c16:uniqueId val="{00000004-9A3F-42EA-ACC4-0327C78FC141}"/>
            </c:ext>
          </c:extLst>
        </c:ser>
        <c:ser>
          <c:idx val="5"/>
          <c:order val="5"/>
          <c:tx>
            <c:strRef>
              <c:f>'Plastics CCUS_COMPARISON'!$AA$3</c:f>
              <c:strCache>
                <c:ptCount val="1"/>
                <c:pt idx="0">
                  <c:v>HDPE</c:v>
                </c:pt>
              </c:strCache>
            </c:strRef>
          </c:tx>
          <c:spPr>
            <a:solidFill>
              <a:schemeClr val="accent6"/>
            </a:solidFill>
            <a:ln>
              <a:noFill/>
            </a:ln>
            <a:effectLst/>
          </c:spPr>
          <c:cat>
            <c:numRef>
              <c:extLst>
                <c:ext xmlns:c15="http://schemas.microsoft.com/office/drawing/2012/chart" uri="{02D57815-91ED-43cb-92C2-25804820EDAC}">
                  <c15:fullRef>
                    <c15:sqref>'Plastics CCUS_COMPARISON'!$A$4:$A$38</c15:sqref>
                  </c15:fullRef>
                </c:ext>
              </c:extLst>
              <c:f>('Plastics CCUS_COMPARISON'!$A$5,'Plastics CCUS_COMPARISON'!$A$7,'Plastics CCUS_COMPARISON'!$A$9,'Plastics CCUS_COMPARISON'!$A$11,'Plastics CCUS_COMPARISON'!$A$13,'Plastics CCUS_COMPARISON'!$A$15,'Plastics CCUS_COMPARISON'!$A$17,'Plastics CCUS_COMPARISON'!$A$19,'Plastics CCUS_COMPARISON'!$A$21,'Plastics CCUS_COMPARISON'!$A$23,'Plastics CCUS_COMPARISON'!$A$25,'Plastics CCUS_COMPARISON'!$A$27,'Plastics CCUS_COMPARISON'!$A$29,'Plastics CCUS_COMPARISON'!$A$31,'Plastics CCUS_COMPARISON'!$A$33,'Plastics CCUS_COMPARISON'!$A$35,'Plastics CCUS_COMPARISON'!$A$37:$A$38)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CCUS_COMPARISON'!$AA$4:$AA$38</c15:sqref>
                  </c15:fullRef>
                </c:ext>
              </c:extLst>
              <c:f>('Plastics CCUS_COMPARISON'!$AA$5,'Plastics CCUS_COMPARISON'!$AA$7,'Plastics CCUS_COMPARISON'!$AA$9,'Plastics CCUS_COMPARISON'!$AA$11,'Plastics CCUS_COMPARISON'!$AA$13,'Plastics CCUS_COMPARISON'!$AA$15,'Plastics CCUS_COMPARISON'!$AA$17,'Plastics CCUS_COMPARISON'!$AA$19,'Plastics CCUS_COMPARISON'!$AA$21,'Plastics CCUS_COMPARISON'!$AA$23,'Plastics CCUS_COMPARISON'!$AA$25,'Plastics CCUS_COMPARISON'!$AA$27,'Plastics CCUS_COMPARISON'!$AA$29,'Plastics CCUS_COMPARISON'!$AA$31,'Plastics CCUS_COMPARISON'!$AA$33,'Plastics CCUS_COMPARISON'!$AA$35,'Plastics CCUS_COMPARISON'!$AA$37:$AA$38)</c:f>
              <c:numCache>
                <c:formatCode>General</c:formatCode>
                <c:ptCount val="18"/>
                <c:pt idx="0">
                  <c:v>2.1923752285234428E-2</c:v>
                </c:pt>
                <c:pt idx="1">
                  <c:v>3.6017593040027981E-2</c:v>
                </c:pt>
                <c:pt idx="2">
                  <c:v>0.17773899174100766</c:v>
                </c:pt>
                <c:pt idx="3">
                  <c:v>0.2391655872866999</c:v>
                </c:pt>
                <c:pt idx="4">
                  <c:v>0.32182121425298338</c:v>
                </c:pt>
                <c:pt idx="5">
                  <c:v>0.43304262589881443</c:v>
                </c:pt>
                <c:pt idx="6">
                  <c:v>0.58270215740944464</c:v>
                </c:pt>
                <c:pt idx="7">
                  <c:v>0.73676860782850195</c:v>
                </c:pt>
                <c:pt idx="8">
                  <c:v>0.87535478296104308</c:v>
                </c:pt>
                <c:pt idx="9">
                  <c:v>1.0400090176360153</c:v>
                </c:pt>
                <c:pt idx="10">
                  <c:v>1.2356347138533497</c:v>
                </c:pt>
                <c:pt idx="11">
                  <c:v>1.4680576035291648</c:v>
                </c:pt>
                <c:pt idx="12">
                  <c:v>1.6641900993606613</c:v>
                </c:pt>
                <c:pt idx="13">
                  <c:v>1.7999880114684912</c:v>
                </c:pt>
                <c:pt idx="14">
                  <c:v>1.9468670332043196</c:v>
                </c:pt>
                <c:pt idx="15">
                  <c:v>2.1057313831137923</c:v>
                </c:pt>
                <c:pt idx="16">
                  <c:v>2.2775590639758772</c:v>
                </c:pt>
                <c:pt idx="17">
                  <c:v>2.3686614265349126</c:v>
                </c:pt>
              </c:numCache>
            </c:numRef>
          </c:val>
          <c:extLst>
            <c:ext xmlns:c16="http://schemas.microsoft.com/office/drawing/2014/chart" uri="{C3380CC4-5D6E-409C-BE32-E72D297353CC}">
              <c16:uniqueId val="{00000005-9A3F-42EA-ACC4-0327C78FC141}"/>
            </c:ext>
          </c:extLst>
        </c:ser>
        <c:ser>
          <c:idx val="6"/>
          <c:order val="6"/>
          <c:tx>
            <c:strRef>
              <c:f>'Plastics CCUS_COMPARISON'!$AB$3</c:f>
              <c:strCache>
                <c:ptCount val="1"/>
                <c:pt idx="0">
                  <c:v>LDPE</c:v>
                </c:pt>
              </c:strCache>
            </c:strRef>
          </c:tx>
          <c:spPr>
            <a:solidFill>
              <a:schemeClr val="accent1">
                <a:lumMod val="60000"/>
              </a:schemeClr>
            </a:solidFill>
            <a:ln>
              <a:noFill/>
            </a:ln>
            <a:effectLst/>
          </c:spPr>
          <c:cat>
            <c:numRef>
              <c:extLst>
                <c:ext xmlns:c15="http://schemas.microsoft.com/office/drawing/2012/chart" uri="{02D57815-91ED-43cb-92C2-25804820EDAC}">
                  <c15:fullRef>
                    <c15:sqref>'Plastics CCUS_COMPARISON'!$A$4:$A$38</c15:sqref>
                  </c15:fullRef>
                </c:ext>
              </c:extLst>
              <c:f>('Plastics CCUS_COMPARISON'!$A$5,'Plastics CCUS_COMPARISON'!$A$7,'Plastics CCUS_COMPARISON'!$A$9,'Plastics CCUS_COMPARISON'!$A$11,'Plastics CCUS_COMPARISON'!$A$13,'Plastics CCUS_COMPARISON'!$A$15,'Plastics CCUS_COMPARISON'!$A$17,'Plastics CCUS_COMPARISON'!$A$19,'Plastics CCUS_COMPARISON'!$A$21,'Plastics CCUS_COMPARISON'!$A$23,'Plastics CCUS_COMPARISON'!$A$25,'Plastics CCUS_COMPARISON'!$A$27,'Plastics CCUS_COMPARISON'!$A$29,'Plastics CCUS_COMPARISON'!$A$31,'Plastics CCUS_COMPARISON'!$A$33,'Plastics CCUS_COMPARISON'!$A$35,'Plastics CCUS_COMPARISON'!$A$37:$A$38)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CCUS_COMPARISON'!$AB$4:$AB$38</c15:sqref>
                  </c15:fullRef>
                </c:ext>
              </c:extLst>
              <c:f>('Plastics CCUS_COMPARISON'!$AB$5,'Plastics CCUS_COMPARISON'!$AB$7,'Plastics CCUS_COMPARISON'!$AB$9,'Plastics CCUS_COMPARISON'!$AB$11,'Plastics CCUS_COMPARISON'!$AB$13,'Plastics CCUS_COMPARISON'!$AB$15,'Plastics CCUS_COMPARISON'!$AB$17,'Plastics CCUS_COMPARISON'!$AB$19,'Plastics CCUS_COMPARISON'!$AB$21,'Plastics CCUS_COMPARISON'!$AB$23,'Plastics CCUS_COMPARISON'!$AB$25,'Plastics CCUS_COMPARISON'!$AB$27,'Plastics CCUS_COMPARISON'!$AB$29,'Plastics CCUS_COMPARISON'!$AB$31,'Plastics CCUS_COMPARISON'!$AB$33,'Plastics CCUS_COMPARISON'!$AB$35,'Plastics CCUS_COMPARISON'!$AB$37:$AB$38)</c:f>
              <c:numCache>
                <c:formatCode>General</c:formatCode>
                <c:ptCount val="18"/>
                <c:pt idx="0">
                  <c:v>2.1923752285234428E-2</c:v>
                </c:pt>
                <c:pt idx="1">
                  <c:v>3.6017593040027981E-2</c:v>
                </c:pt>
                <c:pt idx="2">
                  <c:v>0.17773899174100766</c:v>
                </c:pt>
                <c:pt idx="3">
                  <c:v>0.2391655872866999</c:v>
                </c:pt>
                <c:pt idx="4">
                  <c:v>0.32182121425298338</c:v>
                </c:pt>
                <c:pt idx="5">
                  <c:v>0.43304262589881443</c:v>
                </c:pt>
                <c:pt idx="6">
                  <c:v>0.58270215740944464</c:v>
                </c:pt>
                <c:pt idx="7">
                  <c:v>0.73676860782850195</c:v>
                </c:pt>
                <c:pt idx="8">
                  <c:v>0.87535478296104308</c:v>
                </c:pt>
                <c:pt idx="9">
                  <c:v>1.0400090176360153</c:v>
                </c:pt>
                <c:pt idx="10">
                  <c:v>1.2356347138533497</c:v>
                </c:pt>
                <c:pt idx="11">
                  <c:v>1.4680576035291648</c:v>
                </c:pt>
                <c:pt idx="12">
                  <c:v>1.6641900993606613</c:v>
                </c:pt>
                <c:pt idx="13">
                  <c:v>1.7999880114684912</c:v>
                </c:pt>
                <c:pt idx="14">
                  <c:v>1.9468670332043196</c:v>
                </c:pt>
                <c:pt idx="15">
                  <c:v>2.1057313831137923</c:v>
                </c:pt>
                <c:pt idx="16">
                  <c:v>2.2775590639758772</c:v>
                </c:pt>
                <c:pt idx="17">
                  <c:v>2.3686614265349126</c:v>
                </c:pt>
              </c:numCache>
            </c:numRef>
          </c:val>
          <c:extLst>
            <c:ext xmlns:c16="http://schemas.microsoft.com/office/drawing/2014/chart" uri="{C3380CC4-5D6E-409C-BE32-E72D297353CC}">
              <c16:uniqueId val="{00000006-9A3F-42EA-ACC4-0327C78FC141}"/>
            </c:ext>
          </c:extLst>
        </c:ser>
        <c:ser>
          <c:idx val="7"/>
          <c:order val="7"/>
          <c:tx>
            <c:strRef>
              <c:f>'Plastics CCUS_COMPARISON'!$AC$3</c:f>
              <c:strCache>
                <c:ptCount val="1"/>
                <c:pt idx="0">
                  <c:v>LLDPE</c:v>
                </c:pt>
              </c:strCache>
            </c:strRef>
          </c:tx>
          <c:spPr>
            <a:solidFill>
              <a:schemeClr val="accent2">
                <a:lumMod val="60000"/>
              </a:schemeClr>
            </a:solidFill>
            <a:ln>
              <a:noFill/>
            </a:ln>
            <a:effectLst/>
          </c:spPr>
          <c:cat>
            <c:numRef>
              <c:extLst>
                <c:ext xmlns:c15="http://schemas.microsoft.com/office/drawing/2012/chart" uri="{02D57815-91ED-43cb-92C2-25804820EDAC}">
                  <c15:fullRef>
                    <c15:sqref>'Plastics CCUS_COMPARISON'!$A$4:$A$38</c15:sqref>
                  </c15:fullRef>
                </c:ext>
              </c:extLst>
              <c:f>('Plastics CCUS_COMPARISON'!$A$5,'Plastics CCUS_COMPARISON'!$A$7,'Plastics CCUS_COMPARISON'!$A$9,'Plastics CCUS_COMPARISON'!$A$11,'Plastics CCUS_COMPARISON'!$A$13,'Plastics CCUS_COMPARISON'!$A$15,'Plastics CCUS_COMPARISON'!$A$17,'Plastics CCUS_COMPARISON'!$A$19,'Plastics CCUS_COMPARISON'!$A$21,'Plastics CCUS_COMPARISON'!$A$23,'Plastics CCUS_COMPARISON'!$A$25,'Plastics CCUS_COMPARISON'!$A$27,'Plastics CCUS_COMPARISON'!$A$29,'Plastics CCUS_COMPARISON'!$A$31,'Plastics CCUS_COMPARISON'!$A$33,'Plastics CCUS_COMPARISON'!$A$35,'Plastics CCUS_COMPARISON'!$A$37:$A$38)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CCUS_COMPARISON'!$AC$4:$AC$38</c15:sqref>
                  </c15:fullRef>
                </c:ext>
              </c:extLst>
              <c:f>('Plastics CCUS_COMPARISON'!$AC$5,'Plastics CCUS_COMPARISON'!$AC$7,'Plastics CCUS_COMPARISON'!$AC$9,'Plastics CCUS_COMPARISON'!$AC$11,'Plastics CCUS_COMPARISON'!$AC$13,'Plastics CCUS_COMPARISON'!$AC$15,'Plastics CCUS_COMPARISON'!$AC$17,'Plastics CCUS_COMPARISON'!$AC$19,'Plastics CCUS_COMPARISON'!$AC$21,'Plastics CCUS_COMPARISON'!$AC$23,'Plastics CCUS_COMPARISON'!$AC$25,'Plastics CCUS_COMPARISON'!$AC$27,'Plastics CCUS_COMPARISON'!$AC$29,'Plastics CCUS_COMPARISON'!$AC$31,'Plastics CCUS_COMPARISON'!$AC$33,'Plastics CCUS_COMPARISON'!$AC$35,'Plastics CCUS_COMPARISON'!$AC$37:$AC$38)</c:f>
              <c:numCache>
                <c:formatCode>General</c:formatCode>
                <c:ptCount val="18"/>
                <c:pt idx="0">
                  <c:v>2.1923752285234428E-2</c:v>
                </c:pt>
                <c:pt idx="1">
                  <c:v>3.6017593040027981E-2</c:v>
                </c:pt>
                <c:pt idx="2">
                  <c:v>0.17773899174100766</c:v>
                </c:pt>
                <c:pt idx="3">
                  <c:v>0.2391655872866999</c:v>
                </c:pt>
                <c:pt idx="4">
                  <c:v>0.32182121425298338</c:v>
                </c:pt>
                <c:pt idx="5">
                  <c:v>0.43304262589881443</c:v>
                </c:pt>
                <c:pt idx="6">
                  <c:v>0.58270215740944464</c:v>
                </c:pt>
                <c:pt idx="7">
                  <c:v>0.73676860782850195</c:v>
                </c:pt>
                <c:pt idx="8">
                  <c:v>0.87535478296104308</c:v>
                </c:pt>
                <c:pt idx="9">
                  <c:v>1.0400090176360153</c:v>
                </c:pt>
                <c:pt idx="10">
                  <c:v>1.2356347138533497</c:v>
                </c:pt>
                <c:pt idx="11">
                  <c:v>1.4680576035291648</c:v>
                </c:pt>
                <c:pt idx="12">
                  <c:v>1.6641900993606613</c:v>
                </c:pt>
                <c:pt idx="13">
                  <c:v>1.7999880114684912</c:v>
                </c:pt>
                <c:pt idx="14">
                  <c:v>1.9468670332043196</c:v>
                </c:pt>
                <c:pt idx="15">
                  <c:v>2.1057313831137923</c:v>
                </c:pt>
                <c:pt idx="16">
                  <c:v>2.2775590639758772</c:v>
                </c:pt>
                <c:pt idx="17">
                  <c:v>2.3686614265349126</c:v>
                </c:pt>
              </c:numCache>
            </c:numRef>
          </c:val>
          <c:extLst>
            <c:ext xmlns:c16="http://schemas.microsoft.com/office/drawing/2014/chart" uri="{C3380CC4-5D6E-409C-BE32-E72D297353CC}">
              <c16:uniqueId val="{00000007-9A3F-42EA-ACC4-0327C78FC141}"/>
            </c:ext>
          </c:extLst>
        </c:ser>
        <c:ser>
          <c:idx val="8"/>
          <c:order val="8"/>
          <c:tx>
            <c:strRef>
              <c:f>'Plastics CCUS_COMPARISON'!$AD$3</c:f>
              <c:strCache>
                <c:ptCount val="1"/>
                <c:pt idx="0">
                  <c:v>Nylon 6</c:v>
                </c:pt>
              </c:strCache>
            </c:strRef>
          </c:tx>
          <c:spPr>
            <a:solidFill>
              <a:schemeClr val="accent3">
                <a:lumMod val="60000"/>
              </a:schemeClr>
            </a:solidFill>
            <a:ln>
              <a:noFill/>
            </a:ln>
            <a:effectLst/>
          </c:spPr>
          <c:cat>
            <c:numRef>
              <c:extLst>
                <c:ext xmlns:c15="http://schemas.microsoft.com/office/drawing/2012/chart" uri="{02D57815-91ED-43cb-92C2-25804820EDAC}">
                  <c15:fullRef>
                    <c15:sqref>'Plastics CCUS_COMPARISON'!$A$4:$A$38</c15:sqref>
                  </c15:fullRef>
                </c:ext>
              </c:extLst>
              <c:f>('Plastics CCUS_COMPARISON'!$A$5,'Plastics CCUS_COMPARISON'!$A$7,'Plastics CCUS_COMPARISON'!$A$9,'Plastics CCUS_COMPARISON'!$A$11,'Plastics CCUS_COMPARISON'!$A$13,'Plastics CCUS_COMPARISON'!$A$15,'Plastics CCUS_COMPARISON'!$A$17,'Plastics CCUS_COMPARISON'!$A$19,'Plastics CCUS_COMPARISON'!$A$21,'Plastics CCUS_COMPARISON'!$A$23,'Plastics CCUS_COMPARISON'!$A$25,'Plastics CCUS_COMPARISON'!$A$27,'Plastics CCUS_COMPARISON'!$A$29,'Plastics CCUS_COMPARISON'!$A$31,'Plastics CCUS_COMPARISON'!$A$33,'Plastics CCUS_COMPARISON'!$A$35,'Plastics CCUS_COMPARISON'!$A$37:$A$38)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CCUS_COMPARISON'!$AD$4:$AD$38</c15:sqref>
                  </c15:fullRef>
                </c:ext>
              </c:extLst>
              <c:f>('Plastics CCUS_COMPARISON'!$AD$5,'Plastics CCUS_COMPARISON'!$AD$7,'Plastics CCUS_COMPARISON'!$AD$9,'Plastics CCUS_COMPARISON'!$AD$11,'Plastics CCUS_COMPARISON'!$AD$13,'Plastics CCUS_COMPARISON'!$AD$15,'Plastics CCUS_COMPARISON'!$AD$17,'Plastics CCUS_COMPARISON'!$AD$19,'Plastics CCUS_COMPARISON'!$AD$21,'Plastics CCUS_COMPARISON'!$AD$23,'Plastics CCUS_COMPARISON'!$AD$25,'Plastics CCUS_COMPARISON'!$AD$27,'Plastics CCUS_COMPARISON'!$AD$29,'Plastics CCUS_COMPARISON'!$AD$31,'Plastics CCUS_COMPARISON'!$AD$33,'Plastics CCUS_COMPARISON'!$AD$35,'Plastics CCUS_COMPARISON'!$AD$37:$AD$38)</c:f>
              <c:numCache>
                <c:formatCode>General</c:formatCode>
                <c:ptCount val="18"/>
                <c:pt idx="0">
                  <c:v>1.722580536696991E-2</c:v>
                </c:pt>
                <c:pt idx="1">
                  <c:v>2.8299537388593424E-2</c:v>
                </c:pt>
                <c:pt idx="2">
                  <c:v>0.13965206493936322</c:v>
                </c:pt>
                <c:pt idx="3">
                  <c:v>0.18791581858240713</c:v>
                </c:pt>
                <c:pt idx="4">
                  <c:v>0.25285952548448698</c:v>
                </c:pt>
                <c:pt idx="5">
                  <c:v>0.34024777749192575</c:v>
                </c:pt>
                <c:pt idx="6">
                  <c:v>0.45783740939313528</c:v>
                </c:pt>
                <c:pt idx="7">
                  <c:v>0.57888962043668024</c:v>
                </c:pt>
                <c:pt idx="8">
                  <c:v>0.68777875804081978</c:v>
                </c:pt>
                <c:pt idx="9">
                  <c:v>0.81714994242829797</c:v>
                </c:pt>
                <c:pt idx="10">
                  <c:v>0.97085584659906077</c:v>
                </c:pt>
                <c:pt idx="11">
                  <c:v>1.153473831344344</c:v>
                </c:pt>
                <c:pt idx="12">
                  <c:v>1.3075779352119485</c:v>
                </c:pt>
                <c:pt idx="13">
                  <c:v>1.4142762947252434</c:v>
                </c:pt>
                <c:pt idx="14">
                  <c:v>1.529681240374823</c:v>
                </c:pt>
                <c:pt idx="15">
                  <c:v>1.6545032295894084</c:v>
                </c:pt>
                <c:pt idx="16">
                  <c:v>1.789510693123904</c:v>
                </c:pt>
                <c:pt idx="17">
                  <c:v>1.8610911208488603</c:v>
                </c:pt>
              </c:numCache>
            </c:numRef>
          </c:val>
          <c:extLst>
            <c:ext xmlns:c16="http://schemas.microsoft.com/office/drawing/2014/chart" uri="{C3380CC4-5D6E-409C-BE32-E72D297353CC}">
              <c16:uniqueId val="{00000008-9A3F-42EA-ACC4-0327C78FC141}"/>
            </c:ext>
          </c:extLst>
        </c:ser>
        <c:ser>
          <c:idx val="9"/>
          <c:order val="9"/>
          <c:tx>
            <c:strRef>
              <c:f>'Plastics CCUS_COMPARISON'!$AE$3</c:f>
              <c:strCache>
                <c:ptCount val="1"/>
                <c:pt idx="0">
                  <c:v>Nylon 66</c:v>
                </c:pt>
              </c:strCache>
            </c:strRef>
          </c:tx>
          <c:spPr>
            <a:solidFill>
              <a:schemeClr val="accent4">
                <a:lumMod val="60000"/>
              </a:schemeClr>
            </a:solidFill>
            <a:ln>
              <a:noFill/>
            </a:ln>
            <a:effectLst/>
          </c:spPr>
          <c:cat>
            <c:numRef>
              <c:extLst>
                <c:ext xmlns:c15="http://schemas.microsoft.com/office/drawing/2012/chart" uri="{02D57815-91ED-43cb-92C2-25804820EDAC}">
                  <c15:fullRef>
                    <c15:sqref>'Plastics CCUS_COMPARISON'!$A$4:$A$38</c15:sqref>
                  </c15:fullRef>
                </c:ext>
              </c:extLst>
              <c:f>('Plastics CCUS_COMPARISON'!$A$5,'Plastics CCUS_COMPARISON'!$A$7,'Plastics CCUS_COMPARISON'!$A$9,'Plastics CCUS_COMPARISON'!$A$11,'Plastics CCUS_COMPARISON'!$A$13,'Plastics CCUS_COMPARISON'!$A$15,'Plastics CCUS_COMPARISON'!$A$17,'Plastics CCUS_COMPARISON'!$A$19,'Plastics CCUS_COMPARISON'!$A$21,'Plastics CCUS_COMPARISON'!$A$23,'Plastics CCUS_COMPARISON'!$A$25,'Plastics CCUS_COMPARISON'!$A$27,'Plastics CCUS_COMPARISON'!$A$29,'Plastics CCUS_COMPARISON'!$A$31,'Plastics CCUS_COMPARISON'!$A$33,'Plastics CCUS_COMPARISON'!$A$35,'Plastics CCUS_COMPARISON'!$A$37:$A$38)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CCUS_COMPARISON'!$AE$4:$AE$38</c15:sqref>
                  </c15:fullRef>
                </c:ext>
              </c:extLst>
              <c:f>('Plastics CCUS_COMPARISON'!$AE$5,'Plastics CCUS_COMPARISON'!$AE$7,'Plastics CCUS_COMPARISON'!$AE$9,'Plastics CCUS_COMPARISON'!$AE$11,'Plastics CCUS_COMPARISON'!$AE$13,'Plastics CCUS_COMPARISON'!$AE$15,'Plastics CCUS_COMPARISON'!$AE$17,'Plastics CCUS_COMPARISON'!$AE$19,'Plastics CCUS_COMPARISON'!$AE$21,'Plastics CCUS_COMPARISON'!$AE$23,'Plastics CCUS_COMPARISON'!$AE$25,'Plastics CCUS_COMPARISON'!$AE$27,'Plastics CCUS_COMPARISON'!$AE$29,'Plastics CCUS_COMPARISON'!$AE$31,'Plastics CCUS_COMPARISON'!$AE$33,'Plastics CCUS_COMPARISON'!$AE$35,'Plastics CCUS_COMPARISON'!$AE$37:$AE$38)</c:f>
              <c:numCache>
                <c:formatCode>General</c:formatCode>
                <c:ptCount val="18"/>
                <c:pt idx="0">
                  <c:v>0.10961876142617212</c:v>
                </c:pt>
                <c:pt idx="1">
                  <c:v>0.18008796520013992</c:v>
                </c:pt>
                <c:pt idx="2">
                  <c:v>0.88869495870503834</c:v>
                </c:pt>
                <c:pt idx="3">
                  <c:v>1.1958279364334994</c:v>
                </c:pt>
                <c:pt idx="4">
                  <c:v>1.6091060712649168</c:v>
                </c:pt>
                <c:pt idx="5">
                  <c:v>2.165213129494072</c:v>
                </c:pt>
                <c:pt idx="6">
                  <c:v>2.9135107870472234</c:v>
                </c:pt>
                <c:pt idx="7">
                  <c:v>3.6838430391425097</c:v>
                </c:pt>
                <c:pt idx="8">
                  <c:v>4.3767739148052147</c:v>
                </c:pt>
                <c:pt idx="9">
                  <c:v>5.2000450881800759</c:v>
                </c:pt>
                <c:pt idx="10">
                  <c:v>6.1781735692667485</c:v>
                </c:pt>
                <c:pt idx="11">
                  <c:v>7.3402880176458227</c:v>
                </c:pt>
                <c:pt idx="12">
                  <c:v>8.3209504968033059</c:v>
                </c:pt>
                <c:pt idx="13">
                  <c:v>8.9999400573424548</c:v>
                </c:pt>
                <c:pt idx="14">
                  <c:v>9.734335166021598</c:v>
                </c:pt>
                <c:pt idx="15">
                  <c:v>10.528656915568959</c:v>
                </c:pt>
                <c:pt idx="16">
                  <c:v>11.387795319879384</c:v>
                </c:pt>
                <c:pt idx="17">
                  <c:v>11.843307132674562</c:v>
                </c:pt>
              </c:numCache>
            </c:numRef>
          </c:val>
          <c:extLst>
            <c:ext xmlns:c16="http://schemas.microsoft.com/office/drawing/2014/chart" uri="{C3380CC4-5D6E-409C-BE32-E72D297353CC}">
              <c16:uniqueId val="{00000009-9A3F-42EA-ACC4-0327C78FC141}"/>
            </c:ext>
          </c:extLst>
        </c:ser>
        <c:ser>
          <c:idx val="10"/>
          <c:order val="10"/>
          <c:tx>
            <c:strRef>
              <c:f>'Plastics CCUS_COMPARISON'!$AF$3</c:f>
              <c:strCache>
                <c:ptCount val="1"/>
                <c:pt idx="0">
                  <c:v>PC</c:v>
                </c:pt>
              </c:strCache>
            </c:strRef>
          </c:tx>
          <c:spPr>
            <a:solidFill>
              <a:schemeClr val="accent5">
                <a:lumMod val="60000"/>
              </a:schemeClr>
            </a:solidFill>
            <a:ln>
              <a:noFill/>
            </a:ln>
            <a:effectLst/>
          </c:spPr>
          <c:cat>
            <c:numRef>
              <c:extLst>
                <c:ext xmlns:c15="http://schemas.microsoft.com/office/drawing/2012/chart" uri="{02D57815-91ED-43cb-92C2-25804820EDAC}">
                  <c15:fullRef>
                    <c15:sqref>'Plastics CCUS_COMPARISON'!$A$4:$A$38</c15:sqref>
                  </c15:fullRef>
                </c:ext>
              </c:extLst>
              <c:f>('Plastics CCUS_COMPARISON'!$A$5,'Plastics CCUS_COMPARISON'!$A$7,'Plastics CCUS_COMPARISON'!$A$9,'Plastics CCUS_COMPARISON'!$A$11,'Plastics CCUS_COMPARISON'!$A$13,'Plastics CCUS_COMPARISON'!$A$15,'Plastics CCUS_COMPARISON'!$A$17,'Plastics CCUS_COMPARISON'!$A$19,'Plastics CCUS_COMPARISON'!$A$21,'Plastics CCUS_COMPARISON'!$A$23,'Plastics CCUS_COMPARISON'!$A$25,'Plastics CCUS_COMPARISON'!$A$27,'Plastics CCUS_COMPARISON'!$A$29,'Plastics CCUS_COMPARISON'!$A$31,'Plastics CCUS_COMPARISON'!$A$33,'Plastics CCUS_COMPARISON'!$A$35,'Plastics CCUS_COMPARISON'!$A$37:$A$38)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CCUS_COMPARISON'!$AF$4:$AF$38</c15:sqref>
                  </c15:fullRef>
                </c:ext>
              </c:extLst>
              <c:f>('Plastics CCUS_COMPARISON'!$AF$5,'Plastics CCUS_COMPARISON'!$AF$7,'Plastics CCUS_COMPARISON'!$AF$9,'Plastics CCUS_COMPARISON'!$AF$11,'Plastics CCUS_COMPARISON'!$AF$13,'Plastics CCUS_COMPARISON'!$AF$15,'Plastics CCUS_COMPARISON'!$AF$17,'Plastics CCUS_COMPARISON'!$AF$19,'Plastics CCUS_COMPARISON'!$AF$21,'Plastics CCUS_COMPARISON'!$AF$23,'Plastics CCUS_COMPARISON'!$AF$25,'Plastics CCUS_COMPARISON'!$AF$27,'Plastics CCUS_COMPARISON'!$AF$29,'Plastics CCUS_COMPARISON'!$AF$31,'Plastics CCUS_COMPARISON'!$AF$33,'Plastics CCUS_COMPARISON'!$AF$35,'Plastics CCUS_COMPARISON'!$AF$37:$AF$38)</c:f>
              <c:numCache>
                <c:formatCode>General</c:formatCode>
                <c:ptCount val="18"/>
                <c:pt idx="0">
                  <c:v>5.4809380713086067E-2</c:v>
                </c:pt>
                <c:pt idx="1">
                  <c:v>9.0043982600069974E-2</c:v>
                </c:pt>
                <c:pt idx="2">
                  <c:v>0.44434747935251923</c:v>
                </c:pt>
                <c:pt idx="3">
                  <c:v>0.5979139682167498</c:v>
                </c:pt>
                <c:pt idx="4">
                  <c:v>0.8045530356324585</c:v>
                </c:pt>
                <c:pt idx="5">
                  <c:v>1.0826065647470362</c:v>
                </c:pt>
                <c:pt idx="6">
                  <c:v>1.4567553935236117</c:v>
                </c:pt>
                <c:pt idx="7">
                  <c:v>1.8419215195712551</c:v>
                </c:pt>
                <c:pt idx="8">
                  <c:v>2.1883869574026078</c:v>
                </c:pt>
                <c:pt idx="9">
                  <c:v>2.6000225440900384</c:v>
                </c:pt>
                <c:pt idx="10">
                  <c:v>3.0890867846333747</c:v>
                </c:pt>
                <c:pt idx="11">
                  <c:v>3.6701440088229118</c:v>
                </c:pt>
                <c:pt idx="12">
                  <c:v>4.1604752484016538</c:v>
                </c:pt>
                <c:pt idx="13">
                  <c:v>4.4999700286712283</c:v>
                </c:pt>
                <c:pt idx="14">
                  <c:v>4.867167583010799</c:v>
                </c:pt>
                <c:pt idx="15">
                  <c:v>5.2643284577844804</c:v>
                </c:pt>
                <c:pt idx="16">
                  <c:v>5.6938976599396929</c:v>
                </c:pt>
                <c:pt idx="17">
                  <c:v>5.921653566337282</c:v>
                </c:pt>
              </c:numCache>
            </c:numRef>
          </c:val>
          <c:extLst>
            <c:ext xmlns:c16="http://schemas.microsoft.com/office/drawing/2014/chart" uri="{C3380CC4-5D6E-409C-BE32-E72D297353CC}">
              <c16:uniqueId val="{0000000A-9A3F-42EA-ACC4-0327C78FC141}"/>
            </c:ext>
          </c:extLst>
        </c:ser>
        <c:ser>
          <c:idx val="11"/>
          <c:order val="11"/>
          <c:tx>
            <c:strRef>
              <c:f>'Plastics CCUS_COMPARISON'!$AG$3</c:f>
              <c:strCache>
                <c:ptCount val="1"/>
                <c:pt idx="0">
                  <c:v>PET</c:v>
                </c:pt>
              </c:strCache>
            </c:strRef>
          </c:tx>
          <c:spPr>
            <a:solidFill>
              <a:schemeClr val="accent6">
                <a:lumMod val="60000"/>
              </a:schemeClr>
            </a:solidFill>
            <a:ln>
              <a:noFill/>
            </a:ln>
            <a:effectLst/>
          </c:spPr>
          <c:cat>
            <c:numRef>
              <c:extLst>
                <c:ext xmlns:c15="http://schemas.microsoft.com/office/drawing/2012/chart" uri="{02D57815-91ED-43cb-92C2-25804820EDAC}">
                  <c15:fullRef>
                    <c15:sqref>'Plastics CCUS_COMPARISON'!$A$4:$A$38</c15:sqref>
                  </c15:fullRef>
                </c:ext>
              </c:extLst>
              <c:f>('Plastics CCUS_COMPARISON'!$A$5,'Plastics CCUS_COMPARISON'!$A$7,'Plastics CCUS_COMPARISON'!$A$9,'Plastics CCUS_COMPARISON'!$A$11,'Plastics CCUS_COMPARISON'!$A$13,'Plastics CCUS_COMPARISON'!$A$15,'Plastics CCUS_COMPARISON'!$A$17,'Plastics CCUS_COMPARISON'!$A$19,'Plastics CCUS_COMPARISON'!$A$21,'Plastics CCUS_COMPARISON'!$A$23,'Plastics CCUS_COMPARISON'!$A$25,'Plastics CCUS_COMPARISON'!$A$27,'Plastics CCUS_COMPARISON'!$A$29,'Plastics CCUS_COMPARISON'!$A$31,'Plastics CCUS_COMPARISON'!$A$33,'Plastics CCUS_COMPARISON'!$A$35,'Plastics CCUS_COMPARISON'!$A$37:$A$38)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CCUS_COMPARISON'!$AG$4:$AG$38</c15:sqref>
                  </c15:fullRef>
                </c:ext>
              </c:extLst>
              <c:f>('Plastics CCUS_COMPARISON'!$AG$5,'Plastics CCUS_COMPARISON'!$AG$7,'Plastics CCUS_COMPARISON'!$AG$9,'Plastics CCUS_COMPARISON'!$AG$11,'Plastics CCUS_COMPARISON'!$AG$13,'Plastics CCUS_COMPARISON'!$AG$15,'Plastics CCUS_COMPARISON'!$AG$17,'Plastics CCUS_COMPARISON'!$AG$19,'Plastics CCUS_COMPARISON'!$AG$21,'Plastics CCUS_COMPARISON'!$AG$23,'Plastics CCUS_COMPARISON'!$AG$25,'Plastics CCUS_COMPARISON'!$AG$27,'Plastics CCUS_COMPARISON'!$AG$29,'Plastics CCUS_COMPARISON'!$AG$31,'Plastics CCUS_COMPARISON'!$AG$33,'Plastics CCUS_COMPARISON'!$AG$35,'Plastics CCUS_COMPARISON'!$AG$37:$AG$38)</c:f>
              <c:numCache>
                <c:formatCode>General</c:formatCode>
                <c:ptCount val="18"/>
                <c:pt idx="0">
                  <c:v>2.6621699203498952E-2</c:v>
                </c:pt>
                <c:pt idx="1">
                  <c:v>4.3735648691462563E-2</c:v>
                </c:pt>
                <c:pt idx="2">
                  <c:v>0.21582591854265221</c:v>
                </c:pt>
                <c:pt idx="3">
                  <c:v>0.29041535599099277</c:v>
                </c:pt>
                <c:pt idx="4">
                  <c:v>0.39078290302147989</c:v>
                </c:pt>
                <c:pt idx="5">
                  <c:v>0.52583747430570327</c:v>
                </c:pt>
                <c:pt idx="6">
                  <c:v>0.70756690542575451</c:v>
                </c:pt>
                <c:pt idx="7">
                  <c:v>0.894647595220324</c:v>
                </c:pt>
                <c:pt idx="8">
                  <c:v>1.0629308078812667</c:v>
                </c:pt>
                <c:pt idx="9">
                  <c:v>1.262868092843733</c:v>
                </c:pt>
                <c:pt idx="10">
                  <c:v>1.5004135811076393</c:v>
                </c:pt>
                <c:pt idx="11">
                  <c:v>1.7826413757139861</c:v>
                </c:pt>
                <c:pt idx="12">
                  <c:v>2.020802263509375</c:v>
                </c:pt>
                <c:pt idx="13">
                  <c:v>2.1856997282117394</c:v>
                </c:pt>
                <c:pt idx="14">
                  <c:v>2.3640528260338169</c:v>
                </c:pt>
                <c:pt idx="15">
                  <c:v>2.5569595366381765</c:v>
                </c:pt>
                <c:pt idx="16">
                  <c:v>2.7656074348278517</c:v>
                </c:pt>
                <c:pt idx="17">
                  <c:v>2.8762317322209658</c:v>
                </c:pt>
              </c:numCache>
            </c:numRef>
          </c:val>
          <c:extLst>
            <c:ext xmlns:c16="http://schemas.microsoft.com/office/drawing/2014/chart" uri="{C3380CC4-5D6E-409C-BE32-E72D297353CC}">
              <c16:uniqueId val="{0000000B-9A3F-42EA-ACC4-0327C78FC141}"/>
            </c:ext>
          </c:extLst>
        </c:ser>
        <c:ser>
          <c:idx val="12"/>
          <c:order val="12"/>
          <c:tx>
            <c:strRef>
              <c:f>'Plastics CCUS_COMPARISON'!$AH$3</c:f>
              <c:strCache>
                <c:ptCount val="1"/>
                <c:pt idx="0">
                  <c:v>PP</c:v>
                </c:pt>
              </c:strCache>
            </c:strRef>
          </c:tx>
          <c:spPr>
            <a:solidFill>
              <a:schemeClr val="accent1">
                <a:lumMod val="80000"/>
                <a:lumOff val="20000"/>
              </a:schemeClr>
            </a:solidFill>
            <a:ln>
              <a:noFill/>
            </a:ln>
            <a:effectLst/>
          </c:spPr>
          <c:cat>
            <c:numRef>
              <c:extLst>
                <c:ext xmlns:c15="http://schemas.microsoft.com/office/drawing/2012/chart" uri="{02D57815-91ED-43cb-92C2-25804820EDAC}">
                  <c15:fullRef>
                    <c15:sqref>'Plastics CCUS_COMPARISON'!$A$4:$A$38</c15:sqref>
                  </c15:fullRef>
                </c:ext>
              </c:extLst>
              <c:f>('Plastics CCUS_COMPARISON'!$A$5,'Plastics CCUS_COMPARISON'!$A$7,'Plastics CCUS_COMPARISON'!$A$9,'Plastics CCUS_COMPARISON'!$A$11,'Plastics CCUS_COMPARISON'!$A$13,'Plastics CCUS_COMPARISON'!$A$15,'Plastics CCUS_COMPARISON'!$A$17,'Plastics CCUS_COMPARISON'!$A$19,'Plastics CCUS_COMPARISON'!$A$21,'Plastics CCUS_COMPARISON'!$A$23,'Plastics CCUS_COMPARISON'!$A$25,'Plastics CCUS_COMPARISON'!$A$27,'Plastics CCUS_COMPARISON'!$A$29,'Plastics CCUS_COMPARISON'!$A$31,'Plastics CCUS_COMPARISON'!$A$33,'Plastics CCUS_COMPARISON'!$A$35,'Plastics CCUS_COMPARISON'!$A$37:$A$38)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CCUS_COMPARISON'!$AH$4:$AH$38</c15:sqref>
                  </c15:fullRef>
                </c:ext>
              </c:extLst>
              <c:f>('Plastics CCUS_COMPARISON'!$AH$5,'Plastics CCUS_COMPARISON'!$AH$7,'Plastics CCUS_COMPARISON'!$AH$9,'Plastics CCUS_COMPARISON'!$AH$11,'Plastics CCUS_COMPARISON'!$AH$13,'Plastics CCUS_COMPARISON'!$AH$15,'Plastics CCUS_COMPARISON'!$AH$17,'Plastics CCUS_COMPARISON'!$AH$19,'Plastics CCUS_COMPARISON'!$AH$21,'Plastics CCUS_COMPARISON'!$AH$23,'Plastics CCUS_COMPARISON'!$AH$25,'Plastics CCUS_COMPARISON'!$AH$27,'Plastics CCUS_COMPARISON'!$AH$29,'Plastics CCUS_COMPARISON'!$AH$31,'Plastics CCUS_COMPARISON'!$AH$33,'Plastics CCUS_COMPARISON'!$AH$35,'Plastics CCUS_COMPARISON'!$AH$37:$AH$38)</c:f>
              <c:numCache>
                <c:formatCode>General</c:formatCode>
                <c:ptCount val="18"/>
                <c:pt idx="0">
                  <c:v>0.28344279740195943</c:v>
                </c:pt>
                <c:pt idx="1">
                  <c:v>0.46565602430321901</c:v>
                </c:pt>
                <c:pt idx="2">
                  <c:v>2.2979112503658849</c:v>
                </c:pt>
                <c:pt idx="3">
                  <c:v>3.0920693784923348</c:v>
                </c:pt>
                <c:pt idx="4">
                  <c:v>4.1606885556992852</c:v>
                </c:pt>
                <c:pt idx="5">
                  <c:v>5.5986225205489593</c:v>
                </c:pt>
                <c:pt idx="6">
                  <c:v>7.5335064636506788</c:v>
                </c:pt>
                <c:pt idx="7">
                  <c:v>9.5253655726399202</c:v>
                </c:pt>
                <c:pt idx="8">
                  <c:v>11.317086836853488</c:v>
                </c:pt>
                <c:pt idx="9">
                  <c:v>13.445830870865628</c:v>
                </c:pt>
                <c:pt idx="10">
                  <c:v>15.974991657675453</c:v>
                </c:pt>
                <c:pt idx="11">
                  <c:v>18.979887588484203</c:v>
                </c:pt>
                <c:pt idx="12">
                  <c:v>21.515600570305697</c:v>
                </c:pt>
                <c:pt idx="13">
                  <c:v>23.271273576842638</c:v>
                </c:pt>
                <c:pt idx="14">
                  <c:v>25.170209500712996</c:v>
                </c:pt>
                <c:pt idx="15">
                  <c:v>27.224098595971171</c:v>
                </c:pt>
                <c:pt idx="16">
                  <c:v>29.445585041402417</c:v>
                </c:pt>
                <c:pt idx="17">
                  <c:v>30.623408443058516</c:v>
                </c:pt>
              </c:numCache>
            </c:numRef>
          </c:val>
          <c:extLst>
            <c:ext xmlns:c16="http://schemas.microsoft.com/office/drawing/2014/chart" uri="{C3380CC4-5D6E-409C-BE32-E72D297353CC}">
              <c16:uniqueId val="{0000000C-9A3F-42EA-ACC4-0327C78FC141}"/>
            </c:ext>
          </c:extLst>
        </c:ser>
        <c:ser>
          <c:idx val="13"/>
          <c:order val="13"/>
          <c:tx>
            <c:strRef>
              <c:f>'Plastics CCUS_COMPARISON'!$AI$3</c:f>
              <c:strCache>
                <c:ptCount val="1"/>
                <c:pt idx="0">
                  <c:v>FPUR foam</c:v>
                </c:pt>
              </c:strCache>
            </c:strRef>
          </c:tx>
          <c:spPr>
            <a:solidFill>
              <a:schemeClr val="accent2">
                <a:lumMod val="80000"/>
                <a:lumOff val="20000"/>
              </a:schemeClr>
            </a:solidFill>
            <a:ln>
              <a:noFill/>
            </a:ln>
            <a:effectLst/>
          </c:spPr>
          <c:cat>
            <c:numRef>
              <c:extLst>
                <c:ext xmlns:c15="http://schemas.microsoft.com/office/drawing/2012/chart" uri="{02D57815-91ED-43cb-92C2-25804820EDAC}">
                  <c15:fullRef>
                    <c15:sqref>'Plastics CCUS_COMPARISON'!$A$4:$A$38</c15:sqref>
                  </c15:fullRef>
                </c:ext>
              </c:extLst>
              <c:f>('Plastics CCUS_COMPARISON'!$A$5,'Plastics CCUS_COMPARISON'!$A$7,'Plastics CCUS_COMPARISON'!$A$9,'Plastics CCUS_COMPARISON'!$A$11,'Plastics CCUS_COMPARISON'!$A$13,'Plastics CCUS_COMPARISON'!$A$15,'Plastics CCUS_COMPARISON'!$A$17,'Plastics CCUS_COMPARISON'!$A$19,'Plastics CCUS_COMPARISON'!$A$21,'Plastics CCUS_COMPARISON'!$A$23,'Plastics CCUS_COMPARISON'!$A$25,'Plastics CCUS_COMPARISON'!$A$27,'Plastics CCUS_COMPARISON'!$A$29,'Plastics CCUS_COMPARISON'!$A$31,'Plastics CCUS_COMPARISON'!$A$33,'Plastics CCUS_COMPARISON'!$A$35,'Plastics CCUS_COMPARISON'!$A$37:$A$38)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CCUS_COMPARISON'!$AI$4:$AI$38</c15:sqref>
                  </c15:fullRef>
                </c:ext>
              </c:extLst>
              <c:f>('Plastics CCUS_COMPARISON'!$AI$5,'Plastics CCUS_COMPARISON'!$AI$7,'Plastics CCUS_COMPARISON'!$AI$9,'Plastics CCUS_COMPARISON'!$AI$11,'Plastics CCUS_COMPARISON'!$AI$13,'Plastics CCUS_COMPARISON'!$AI$15,'Plastics CCUS_COMPARISON'!$AI$17,'Plastics CCUS_COMPARISON'!$AI$19,'Plastics CCUS_COMPARISON'!$AI$21,'Plastics CCUS_COMPARISON'!$AI$23,'Plastics CCUS_COMPARISON'!$AI$25,'Plastics CCUS_COMPARISON'!$AI$27,'Plastics CCUS_COMPARISON'!$AI$29,'Plastics CCUS_COMPARISON'!$AI$31,'Plastics CCUS_COMPARISON'!$AI$33,'Plastics CCUS_COMPARISON'!$AI$35,'Plastics CCUS_COMPARISON'!$AI$37:$AI$38)</c:f>
              <c:numCache>
                <c:formatCode>General</c:formatCode>
                <c:ptCount val="18"/>
                <c:pt idx="0">
                  <c:v>0.19104984134275715</c:v>
                </c:pt>
                <c:pt idx="1">
                  <c:v>0.31386759649167251</c:v>
                </c:pt>
                <c:pt idx="2">
                  <c:v>1.5488683566002099</c:v>
                </c:pt>
                <c:pt idx="3">
                  <c:v>2.0841572606412422</c:v>
                </c:pt>
                <c:pt idx="4">
                  <c:v>2.8044420099188554</c:v>
                </c:pt>
                <c:pt idx="5">
                  <c:v>3.7736571685468121</c:v>
                </c:pt>
                <c:pt idx="6">
                  <c:v>5.0778330859965903</c:v>
                </c:pt>
                <c:pt idx="7">
                  <c:v>6.4204121539340893</c:v>
                </c:pt>
                <c:pt idx="8">
                  <c:v>7.6280916800890912</c:v>
                </c:pt>
                <c:pt idx="9">
                  <c:v>9.0629357251138476</c:v>
                </c:pt>
                <c:pt idx="10">
                  <c:v>10.767673935007764</c:v>
                </c:pt>
                <c:pt idx="11">
                  <c:v>12.793073402182722</c:v>
                </c:pt>
                <c:pt idx="12">
                  <c:v>14.502228008714336</c:v>
                </c:pt>
                <c:pt idx="13">
                  <c:v>15.685609814225426</c:v>
                </c:pt>
                <c:pt idx="14">
                  <c:v>16.965555575066215</c:v>
                </c:pt>
                <c:pt idx="15">
                  <c:v>18.349944909991617</c:v>
                </c:pt>
                <c:pt idx="16">
                  <c:v>19.847300414646934</c:v>
                </c:pt>
                <c:pt idx="17">
                  <c:v>20.641192431232813</c:v>
                </c:pt>
              </c:numCache>
            </c:numRef>
          </c:val>
          <c:extLst>
            <c:ext xmlns:c16="http://schemas.microsoft.com/office/drawing/2014/chart" uri="{C3380CC4-5D6E-409C-BE32-E72D297353CC}">
              <c16:uniqueId val="{0000000D-9A3F-42EA-ACC4-0327C78FC141}"/>
            </c:ext>
          </c:extLst>
        </c:ser>
        <c:ser>
          <c:idx val="14"/>
          <c:order val="14"/>
          <c:tx>
            <c:strRef>
              <c:f>'Plastics CCUS_COMPARISON'!$AJ$3</c:f>
              <c:strCache>
                <c:ptCount val="1"/>
                <c:pt idx="0">
                  <c:v>RPUR foam</c:v>
                </c:pt>
              </c:strCache>
            </c:strRef>
          </c:tx>
          <c:spPr>
            <a:solidFill>
              <a:schemeClr val="accent3">
                <a:lumMod val="80000"/>
                <a:lumOff val="20000"/>
              </a:schemeClr>
            </a:solidFill>
            <a:ln>
              <a:noFill/>
            </a:ln>
            <a:effectLst/>
          </c:spPr>
          <c:cat>
            <c:numRef>
              <c:extLst>
                <c:ext xmlns:c15="http://schemas.microsoft.com/office/drawing/2012/chart" uri="{02D57815-91ED-43cb-92C2-25804820EDAC}">
                  <c15:fullRef>
                    <c15:sqref>'Plastics CCUS_COMPARISON'!$A$4:$A$38</c15:sqref>
                  </c15:fullRef>
                </c:ext>
              </c:extLst>
              <c:f>('Plastics CCUS_COMPARISON'!$A$5,'Plastics CCUS_COMPARISON'!$A$7,'Plastics CCUS_COMPARISON'!$A$9,'Plastics CCUS_COMPARISON'!$A$11,'Plastics CCUS_COMPARISON'!$A$13,'Plastics CCUS_COMPARISON'!$A$15,'Plastics CCUS_COMPARISON'!$A$17,'Plastics CCUS_COMPARISON'!$A$19,'Plastics CCUS_COMPARISON'!$A$21,'Plastics CCUS_COMPARISON'!$A$23,'Plastics CCUS_COMPARISON'!$A$25,'Plastics CCUS_COMPARISON'!$A$27,'Plastics CCUS_COMPARISON'!$A$29,'Plastics CCUS_COMPARISON'!$A$31,'Plastics CCUS_COMPARISON'!$A$33,'Plastics CCUS_COMPARISON'!$A$35,'Plastics CCUS_COMPARISON'!$A$37:$A$38)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CCUS_COMPARISON'!$AJ$4:$AJ$38</c15:sqref>
                  </c15:fullRef>
                </c:ext>
              </c:extLst>
              <c:f>('Plastics CCUS_COMPARISON'!$AJ$5,'Plastics CCUS_COMPARISON'!$AJ$7,'Plastics CCUS_COMPARISON'!$AJ$9,'Plastics CCUS_COMPARISON'!$AJ$11,'Plastics CCUS_COMPARISON'!$AJ$13,'Plastics CCUS_COMPARISON'!$AJ$15,'Plastics CCUS_COMPARISON'!$AJ$17,'Plastics CCUS_COMPARISON'!$AJ$19,'Plastics CCUS_COMPARISON'!$AJ$21,'Plastics CCUS_COMPARISON'!$AJ$23,'Plastics CCUS_COMPARISON'!$AJ$25,'Plastics CCUS_COMPARISON'!$AJ$27,'Plastics CCUS_COMPARISON'!$AJ$29,'Plastics CCUS_COMPARISON'!$AJ$31,'Plastics CCUS_COMPARISON'!$AJ$33,'Plastics CCUS_COMPARISON'!$AJ$35,'Plastics CCUS_COMPARISON'!$AJ$37:$AJ$38)</c:f>
              <c:numCache>
                <c:formatCode>General</c:formatCode>
                <c:ptCount val="18"/>
                <c:pt idx="0">
                  <c:v>0.18165394750622815</c:v>
                </c:pt>
                <c:pt idx="1">
                  <c:v>0.29843148518880336</c:v>
                </c:pt>
                <c:pt idx="2">
                  <c:v>1.472694502996921</c:v>
                </c:pt>
                <c:pt idx="3">
                  <c:v>1.9816577232326567</c:v>
                </c:pt>
                <c:pt idx="4">
                  <c:v>2.6665186323818624</c:v>
                </c:pt>
                <c:pt idx="5">
                  <c:v>3.5880674717330345</c:v>
                </c:pt>
                <c:pt idx="6">
                  <c:v>4.8281035899639715</c:v>
                </c:pt>
                <c:pt idx="7">
                  <c:v>6.1046541791504456</c:v>
                </c:pt>
                <c:pt idx="8">
                  <c:v>7.2529396302486431</c:v>
                </c:pt>
                <c:pt idx="9">
                  <c:v>8.6172175746984152</c:v>
                </c:pt>
                <c:pt idx="10">
                  <c:v>10.238116200499187</c:v>
                </c:pt>
                <c:pt idx="11">
                  <c:v>12.163905857813081</c:v>
                </c:pt>
                <c:pt idx="12">
                  <c:v>13.78900368041691</c:v>
                </c:pt>
                <c:pt idx="13">
                  <c:v>14.914186380738929</c:v>
                </c:pt>
                <c:pt idx="14">
                  <c:v>16.131183989407223</c:v>
                </c:pt>
                <c:pt idx="15">
                  <c:v>17.447488602942851</c:v>
                </c:pt>
                <c:pt idx="16">
                  <c:v>18.871203672942986</c:v>
                </c:pt>
                <c:pt idx="17">
                  <c:v>19.626051819860709</c:v>
                </c:pt>
              </c:numCache>
            </c:numRef>
          </c:val>
          <c:extLst>
            <c:ext xmlns:c16="http://schemas.microsoft.com/office/drawing/2014/chart" uri="{C3380CC4-5D6E-409C-BE32-E72D297353CC}">
              <c16:uniqueId val="{0000000E-9A3F-42EA-ACC4-0327C78FC141}"/>
            </c:ext>
          </c:extLst>
        </c:ser>
        <c:ser>
          <c:idx val="15"/>
          <c:order val="15"/>
          <c:tx>
            <c:strRef>
              <c:f>'Plastics CCUS_COMPARISON'!$AK$3</c:f>
              <c:strCache>
                <c:ptCount val="1"/>
                <c:pt idx="0">
                  <c:v>PVC</c:v>
                </c:pt>
              </c:strCache>
            </c:strRef>
          </c:tx>
          <c:spPr>
            <a:solidFill>
              <a:schemeClr val="accent4">
                <a:lumMod val="80000"/>
                <a:lumOff val="20000"/>
              </a:schemeClr>
            </a:solidFill>
            <a:ln>
              <a:noFill/>
            </a:ln>
            <a:effectLst/>
          </c:spPr>
          <c:cat>
            <c:numRef>
              <c:extLst>
                <c:ext xmlns:c15="http://schemas.microsoft.com/office/drawing/2012/chart" uri="{02D57815-91ED-43cb-92C2-25804820EDAC}">
                  <c15:fullRef>
                    <c15:sqref>'Plastics CCUS_COMPARISON'!$A$4:$A$38</c15:sqref>
                  </c15:fullRef>
                </c:ext>
              </c:extLst>
              <c:f>('Plastics CCUS_COMPARISON'!$A$5,'Plastics CCUS_COMPARISON'!$A$7,'Plastics CCUS_COMPARISON'!$A$9,'Plastics CCUS_COMPARISON'!$A$11,'Plastics CCUS_COMPARISON'!$A$13,'Plastics CCUS_COMPARISON'!$A$15,'Plastics CCUS_COMPARISON'!$A$17,'Plastics CCUS_COMPARISON'!$A$19,'Plastics CCUS_COMPARISON'!$A$21,'Plastics CCUS_COMPARISON'!$A$23,'Plastics CCUS_COMPARISON'!$A$25,'Plastics CCUS_COMPARISON'!$A$27,'Plastics CCUS_COMPARISON'!$A$29,'Plastics CCUS_COMPARISON'!$A$31,'Plastics CCUS_COMPARISON'!$A$33,'Plastics CCUS_COMPARISON'!$A$35,'Plastics CCUS_COMPARISON'!$A$37:$A$38)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CCUS_COMPARISON'!$AK$4:$AK$38</c15:sqref>
                  </c15:fullRef>
                </c:ext>
              </c:extLst>
              <c:f>('Plastics CCUS_COMPARISON'!$AK$5,'Plastics CCUS_COMPARISON'!$AK$7,'Plastics CCUS_COMPARISON'!$AK$9,'Plastics CCUS_COMPARISON'!$AK$11,'Plastics CCUS_COMPARISON'!$AK$13,'Plastics CCUS_COMPARISON'!$AK$15,'Plastics CCUS_COMPARISON'!$AK$17,'Plastics CCUS_COMPARISON'!$AK$19,'Plastics CCUS_COMPARISON'!$AK$21,'Plastics CCUS_COMPARISON'!$AK$23,'Plastics CCUS_COMPARISON'!$AK$25,'Plastics CCUS_COMPARISON'!$AK$27,'Plastics CCUS_COMPARISON'!$AK$29,'Plastics CCUS_COMPARISON'!$AK$31,'Plastics CCUS_COMPARISON'!$AK$33,'Plastics CCUS_COMPARISON'!$AK$35,'Plastics CCUS_COMPARISON'!$AK$37:$AK$38)</c:f>
              <c:numCache>
                <c:formatCode>General</c:formatCode>
                <c:ptCount val="18"/>
                <c:pt idx="0">
                  <c:v>0.216105558240168</c:v>
                </c:pt>
                <c:pt idx="1">
                  <c:v>0.35503055996599026</c:v>
                </c:pt>
                <c:pt idx="2">
                  <c:v>1.7519986328756476</c:v>
                </c:pt>
                <c:pt idx="3">
                  <c:v>2.3574893603974716</c:v>
                </c:pt>
                <c:pt idx="4">
                  <c:v>3.1722376833508372</c:v>
                </c:pt>
                <c:pt idx="5">
                  <c:v>4.2685630267168868</c:v>
                </c:pt>
                <c:pt idx="6">
                  <c:v>5.7437784087502424</c:v>
                </c:pt>
                <c:pt idx="7">
                  <c:v>7.2624334200238074</c:v>
                </c:pt>
                <c:pt idx="8">
                  <c:v>8.6284971463302842</c:v>
                </c:pt>
                <c:pt idx="9">
                  <c:v>10.251517459555011</c:v>
                </c:pt>
                <c:pt idx="10">
                  <c:v>12.179827893697308</c:v>
                </c:pt>
                <c:pt idx="11">
                  <c:v>14.470853520501771</c:v>
                </c:pt>
                <c:pt idx="12">
                  <c:v>16.404159550840813</c:v>
                </c:pt>
                <c:pt idx="13">
                  <c:v>17.742738970189418</c:v>
                </c:pt>
                <c:pt idx="14">
                  <c:v>19.190546470156875</c:v>
                </c:pt>
                <c:pt idx="15">
                  <c:v>20.756495062121672</c:v>
                </c:pt>
                <c:pt idx="16">
                  <c:v>22.450225059190799</c:v>
                </c:pt>
                <c:pt idx="17">
                  <c:v>23.348234061558433</c:v>
                </c:pt>
              </c:numCache>
            </c:numRef>
          </c:val>
          <c:extLst>
            <c:ext xmlns:c16="http://schemas.microsoft.com/office/drawing/2014/chart" uri="{C3380CC4-5D6E-409C-BE32-E72D297353CC}">
              <c16:uniqueId val="{0000000F-9A3F-42EA-ACC4-0327C78FC141}"/>
            </c:ext>
          </c:extLst>
        </c:ser>
        <c:dLbls>
          <c:showLegendKey val="0"/>
          <c:showVal val="0"/>
          <c:showCatName val="0"/>
          <c:showSerName val="0"/>
          <c:showPercent val="0"/>
          <c:showBubbleSize val="0"/>
        </c:dLbls>
        <c:axId val="1482849024"/>
        <c:axId val="259205328"/>
      </c:areaChart>
      <c:catAx>
        <c:axId val="1482849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sz="1600"/>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205328"/>
        <c:crosses val="autoZero"/>
        <c:auto val="1"/>
        <c:lblAlgn val="ctr"/>
        <c:lblOffset val="100"/>
        <c:tickLblSkip val="1"/>
        <c:noMultiLvlLbl val="0"/>
      </c:catAx>
      <c:valAx>
        <c:axId val="259205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sz="1600"/>
                  <a:t>Thousand</a:t>
                </a:r>
                <a:r>
                  <a:rPr lang="es-MX" sz="1600" baseline="0"/>
                  <a:t> tonnes</a:t>
                </a:r>
                <a:endParaRPr lang="es-MX" sz="16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82849024"/>
        <c:crosses val="autoZero"/>
        <c:crossBetween val="midCat"/>
      </c:valAx>
      <c:spPr>
        <a:noFill/>
        <a:ln>
          <a:noFill/>
        </a:ln>
        <a:effectLst/>
      </c:spPr>
    </c:plotArea>
    <c:legend>
      <c:legendPos val="b"/>
      <c:layout>
        <c:manualLayout>
          <c:xMode val="edge"/>
          <c:yMode val="edge"/>
          <c:x val="4.9999948817610017E-2"/>
          <c:y val="0.89508043516833469"/>
          <c:w val="0.89999998724793795"/>
          <c:h val="6.7332462041327742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2000"/>
              <a:t>Annual</a:t>
            </a:r>
            <a:r>
              <a:rPr lang="es-MX" sz="2000" baseline="0"/>
              <a:t> requirements of resources</a:t>
            </a:r>
            <a:endParaRPr lang="es-MX" sz="2000"/>
          </a:p>
        </c:rich>
      </c:tx>
      <c:layout>
        <c:manualLayout>
          <c:xMode val="edge"/>
          <c:yMode val="edge"/>
          <c:x val="0.20243644018044124"/>
          <c:y val="3.8115927658094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60319622091639"/>
          <c:y val="0.17171298762109449"/>
          <c:w val="0.75620027550045943"/>
          <c:h val="0.67081946400898085"/>
        </c:manualLayout>
      </c:layout>
      <c:scatterChart>
        <c:scatterStyle val="lineMarker"/>
        <c:varyColors val="0"/>
        <c:ser>
          <c:idx val="0"/>
          <c:order val="0"/>
          <c:tx>
            <c:strRef>
              <c:f>'Plastics CCUS_COMPARISON'!$AN$3</c:f>
              <c:strCache>
                <c:ptCount val="1"/>
                <c:pt idx="0">
                  <c:v>NG</c:v>
                </c:pt>
              </c:strCache>
            </c:strRef>
          </c:tx>
          <c:spPr>
            <a:ln w="25400" cap="rnd">
              <a:noFill/>
              <a:round/>
            </a:ln>
            <a:effectLst/>
          </c:spPr>
          <c:marker>
            <c:symbol val="circle"/>
            <c:size val="5"/>
            <c:spPr>
              <a:solidFill>
                <a:schemeClr val="accent1"/>
              </a:solidFill>
              <a:ln w="9525">
                <a:solidFill>
                  <a:schemeClr val="accent1"/>
                </a:solidFill>
              </a:ln>
              <a:effectLst/>
            </c:spPr>
          </c:marker>
          <c:xVal>
            <c:numRef>
              <c:f>'Plastics CCUS_COMPARISON'!$A$4:$A$38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CCUS_COMPARISON'!$AN$4:$AN$38</c:f>
              <c:numCache>
                <c:formatCode>0.00</c:formatCode>
                <c:ptCount val="35"/>
                <c:pt idx="0">
                  <c:v>0.88760679722465052</c:v>
                </c:pt>
                <c:pt idx="1">
                  <c:v>1.775213594449301</c:v>
                </c:pt>
                <c:pt idx="2">
                  <c:v>2.9375558289101531</c:v>
                </c:pt>
                <c:pt idx="3">
                  <c:v>2.9164223337381374</c:v>
                </c:pt>
                <c:pt idx="4">
                  <c:v>6.0653131143684451</c:v>
                </c:pt>
                <c:pt idx="5">
                  <c:v>14.391910212142548</c:v>
                </c:pt>
                <c:pt idx="6">
                  <c:v>16.694615846085355</c:v>
                </c:pt>
                <c:pt idx="7">
                  <c:v>19.365754381459013</c:v>
                </c:pt>
                <c:pt idx="8">
                  <c:v>22.464275082492453</c:v>
                </c:pt>
                <c:pt idx="9">
                  <c:v>26.058559095691244</c:v>
                </c:pt>
                <c:pt idx="10">
                  <c:v>30.227928551001842</c:v>
                </c:pt>
                <c:pt idx="11">
                  <c:v>35.064397119162145</c:v>
                </c:pt>
                <c:pt idx="12">
                  <c:v>40.674700658228083</c:v>
                </c:pt>
                <c:pt idx="13">
                  <c:v>47.182652763544574</c:v>
                </c:pt>
                <c:pt idx="14">
                  <c:v>54.731877205711704</c:v>
                </c:pt>
                <c:pt idx="15">
                  <c:v>59.657746154225769</c:v>
                </c:pt>
                <c:pt idx="16">
                  <c:v>65.026943308106084</c:v>
                </c:pt>
                <c:pt idx="17">
                  <c:v>70.879368205835632</c:v>
                </c:pt>
                <c:pt idx="18">
                  <c:v>77.258511344360826</c:v>
                </c:pt>
                <c:pt idx="19">
                  <c:v>84.211777365353299</c:v>
                </c:pt>
                <c:pt idx="20">
                  <c:v>91.790837328235099</c:v>
                </c:pt>
                <c:pt idx="21">
                  <c:v>100.05201268777627</c:v>
                </c:pt>
                <c:pt idx="22">
                  <c:v>109.05669382967612</c:v>
                </c:pt>
                <c:pt idx="23">
                  <c:v>118.87179627434696</c:v>
                </c:pt>
                <c:pt idx="24">
                  <c:v>129.57025793903821</c:v>
                </c:pt>
                <c:pt idx="25">
                  <c:v>134.75306825659976</c:v>
                </c:pt>
                <c:pt idx="26">
                  <c:v>140.14319098686374</c:v>
                </c:pt>
                <c:pt idx="27">
                  <c:v>145.74891862633828</c:v>
                </c:pt>
                <c:pt idx="28">
                  <c:v>151.5788753713918</c:v>
                </c:pt>
                <c:pt idx="29">
                  <c:v>157.64203038624746</c:v>
                </c:pt>
                <c:pt idx="30">
                  <c:v>163.94771160169734</c:v>
                </c:pt>
                <c:pt idx="31">
                  <c:v>170.50562006576524</c:v>
                </c:pt>
                <c:pt idx="32">
                  <c:v>177.32584486839585</c:v>
                </c:pt>
                <c:pt idx="33">
                  <c:v>184.41887866313166</c:v>
                </c:pt>
                <c:pt idx="34">
                  <c:v>191.79563380965692</c:v>
                </c:pt>
              </c:numCache>
            </c:numRef>
          </c:yVal>
          <c:smooth val="0"/>
          <c:extLst>
            <c:ext xmlns:c16="http://schemas.microsoft.com/office/drawing/2014/chart" uri="{C3380CC4-5D6E-409C-BE32-E72D297353CC}">
              <c16:uniqueId val="{00000000-6F2D-4711-9A06-D644D42A1A76}"/>
            </c:ext>
          </c:extLst>
        </c:ser>
        <c:dLbls>
          <c:showLegendKey val="0"/>
          <c:showVal val="0"/>
          <c:showCatName val="0"/>
          <c:showSerName val="0"/>
          <c:showPercent val="0"/>
          <c:showBubbleSize val="0"/>
        </c:dLbls>
        <c:axId val="1687079248"/>
        <c:axId val="573401408"/>
      </c:scatterChart>
      <c:valAx>
        <c:axId val="1687079248"/>
        <c:scaling>
          <c:orientation val="minMax"/>
          <c:max val="2050"/>
          <c:min val="2015"/>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a:t>Year</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73401408"/>
        <c:crosses val="autoZero"/>
        <c:crossBetween val="midCat"/>
      </c:valAx>
      <c:valAx>
        <c:axId val="573401408"/>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a:t>Million</a:t>
                </a:r>
                <a:r>
                  <a:rPr lang="es-MX" sz="1400" baseline="0"/>
                  <a:t> cubic meters (m</a:t>
                </a:r>
                <a:r>
                  <a:rPr lang="es-MX" sz="1400" baseline="30000"/>
                  <a:t>3</a:t>
                </a:r>
                <a:r>
                  <a:rPr lang="es-MX" sz="1400" baseline="0"/>
                  <a:t>)</a:t>
                </a:r>
                <a:endParaRPr lang="es-MX" sz="1400"/>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87079248"/>
        <c:crosses val="autoZero"/>
        <c:crossBetween val="midCat"/>
      </c:valAx>
      <c:spPr>
        <a:noFill/>
        <a:ln>
          <a:noFill/>
        </a:ln>
        <a:effectLst/>
      </c:spPr>
    </c:plotArea>
    <c:legend>
      <c:legendPos val="r"/>
      <c:layout>
        <c:manualLayout>
          <c:xMode val="edge"/>
          <c:yMode val="edge"/>
          <c:x val="0.17989815956277458"/>
          <c:y val="0.14687592582653092"/>
          <c:w val="0.10898052710616733"/>
          <c:h val="0.1204091988290852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2000"/>
              <a:t>Annual</a:t>
            </a:r>
            <a:r>
              <a:rPr lang="es-MX" sz="2000" baseline="0"/>
              <a:t> requirements of resources</a:t>
            </a:r>
            <a:endParaRPr lang="es-MX" sz="2000"/>
          </a:p>
        </c:rich>
      </c:tx>
      <c:layout>
        <c:manualLayout>
          <c:xMode val="edge"/>
          <c:yMode val="edge"/>
          <c:x val="0.19619909800006749"/>
          <c:y val="4.19555151093386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965182460122664"/>
          <c:y val="0.17171298762109449"/>
          <c:w val="0.76258047450254651"/>
          <c:h val="0.67081946400898085"/>
        </c:manualLayout>
      </c:layout>
      <c:scatterChart>
        <c:scatterStyle val="lineMarker"/>
        <c:varyColors val="0"/>
        <c:ser>
          <c:idx val="0"/>
          <c:order val="0"/>
          <c:tx>
            <c:strRef>
              <c:f>'Plastics CCUS_COMPARISON'!$AO$3</c:f>
              <c:strCache>
                <c:ptCount val="1"/>
                <c:pt idx="0">
                  <c:v>Crude oil</c:v>
                </c:pt>
              </c:strCache>
            </c:strRef>
          </c:tx>
          <c:spPr>
            <a:ln w="25400" cap="rnd">
              <a:noFill/>
              <a:round/>
            </a:ln>
            <a:effectLst/>
          </c:spPr>
          <c:marker>
            <c:symbol val="circle"/>
            <c:size val="5"/>
            <c:spPr>
              <a:solidFill>
                <a:schemeClr val="accent2"/>
              </a:solidFill>
              <a:ln w="9525">
                <a:solidFill>
                  <a:schemeClr val="accent2"/>
                </a:solidFill>
              </a:ln>
              <a:effectLst/>
            </c:spPr>
          </c:marker>
          <c:xVal>
            <c:numRef>
              <c:f>'Plastics CCUS_COMPARISON'!$A$4:$A$38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CCUS_COMPARISON'!$AP$4:$AP$38</c:f>
              <c:numCache>
                <c:formatCode>0.00</c:formatCode>
                <c:ptCount val="35"/>
                <c:pt idx="0">
                  <c:v>0.3572904305116798</c:v>
                </c:pt>
                <c:pt idx="1">
                  <c:v>0.7145808610233596</c:v>
                </c:pt>
                <c:pt idx="2">
                  <c:v>1.1824611866934165</c:v>
                </c:pt>
                <c:pt idx="3">
                  <c:v>1.1739542716812337</c:v>
                </c:pt>
                <c:pt idx="4">
                  <c:v>2.441484608496479</c:v>
                </c:pt>
                <c:pt idx="5">
                  <c:v>5.7932091232965233</c:v>
                </c:pt>
                <c:pt idx="6">
                  <c:v>6.7201225830239668</c:v>
                </c:pt>
                <c:pt idx="7">
                  <c:v>7.7953421963078009</c:v>
                </c:pt>
                <c:pt idx="8">
                  <c:v>9.0425969477170494</c:v>
                </c:pt>
                <c:pt idx="9">
                  <c:v>10.489412459351776</c:v>
                </c:pt>
                <c:pt idx="10">
                  <c:v>12.16771845284806</c:v>
                </c:pt>
                <c:pt idx="11">
                  <c:v>14.11455340530375</c:v>
                </c:pt>
                <c:pt idx="12">
                  <c:v>16.372881950152351</c:v>
                </c:pt>
                <c:pt idx="13">
                  <c:v>18.992543062176725</c:v>
                </c:pt>
                <c:pt idx="14">
                  <c:v>22.031349952125005</c:v>
                </c:pt>
                <c:pt idx="15">
                  <c:v>24.014171447816253</c:v>
                </c:pt>
                <c:pt idx="16">
                  <c:v>26.175446878119718</c:v>
                </c:pt>
                <c:pt idx="17">
                  <c:v>28.531237097150491</c:v>
                </c:pt>
                <c:pt idx="18">
                  <c:v>31.099048435894034</c:v>
                </c:pt>
                <c:pt idx="19">
                  <c:v>33.897962795124499</c:v>
                </c:pt>
                <c:pt idx="20">
                  <c:v>36.948779446685698</c:v>
                </c:pt>
                <c:pt idx="21">
                  <c:v>40.274169596887411</c:v>
                </c:pt>
                <c:pt idx="22">
                  <c:v>43.898844860607277</c:v>
                </c:pt>
                <c:pt idx="23">
                  <c:v>47.849740898061931</c:v>
                </c:pt>
                <c:pt idx="24">
                  <c:v>52.156217578887507</c:v>
                </c:pt>
                <c:pt idx="25">
                  <c:v>54.242466282043019</c:v>
                </c:pt>
                <c:pt idx="26">
                  <c:v>56.412164933324739</c:v>
                </c:pt>
                <c:pt idx="27">
                  <c:v>58.668651530657719</c:v>
                </c:pt>
                <c:pt idx="28">
                  <c:v>61.015397591884032</c:v>
                </c:pt>
                <c:pt idx="29">
                  <c:v>63.456013495559382</c:v>
                </c:pt>
                <c:pt idx="30">
                  <c:v>65.994254035381744</c:v>
                </c:pt>
                <c:pt idx="31">
                  <c:v>68.634024196797014</c:v>
                </c:pt>
                <c:pt idx="32">
                  <c:v>71.379385164668903</c:v>
                </c:pt>
                <c:pt idx="33">
                  <c:v>74.234560571255642</c:v>
                </c:pt>
                <c:pt idx="34">
                  <c:v>77.203942994105873</c:v>
                </c:pt>
              </c:numCache>
            </c:numRef>
          </c:yVal>
          <c:smooth val="0"/>
          <c:extLst>
            <c:ext xmlns:c16="http://schemas.microsoft.com/office/drawing/2014/chart" uri="{C3380CC4-5D6E-409C-BE32-E72D297353CC}">
              <c16:uniqueId val="{00000000-A9DD-4E86-8C68-B0ABD58057A1}"/>
            </c:ext>
          </c:extLst>
        </c:ser>
        <c:dLbls>
          <c:showLegendKey val="0"/>
          <c:showVal val="0"/>
          <c:showCatName val="0"/>
          <c:showSerName val="0"/>
          <c:showPercent val="0"/>
          <c:showBubbleSize val="0"/>
        </c:dLbls>
        <c:axId val="1687079248"/>
        <c:axId val="573401408"/>
      </c:scatterChart>
      <c:valAx>
        <c:axId val="1687079248"/>
        <c:scaling>
          <c:orientation val="minMax"/>
          <c:max val="2050"/>
          <c:min val="2015"/>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a:t>Year</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73401408"/>
        <c:crosses val="autoZero"/>
        <c:crossBetween val="midCat"/>
      </c:valAx>
      <c:valAx>
        <c:axId val="573401408"/>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a:t>Thousands</a:t>
                </a:r>
                <a:r>
                  <a:rPr lang="es-MX" sz="1400" baseline="0"/>
                  <a:t> of </a:t>
                </a:r>
                <a:r>
                  <a:rPr lang="es-MX" sz="1400" b="0" i="0" u="none" strike="noStrike" kern="1200" baseline="0">
                    <a:solidFill>
                      <a:sysClr val="windowText" lastClr="000000">
                        <a:lumMod val="65000"/>
                        <a:lumOff val="35000"/>
                      </a:sysClr>
                    </a:solidFill>
                  </a:rPr>
                  <a:t>cubic meters (m</a:t>
                </a:r>
                <a:r>
                  <a:rPr lang="es-MX" sz="1400" b="0" i="0" u="none" strike="noStrike" kern="1200" baseline="30000">
                    <a:solidFill>
                      <a:sysClr val="windowText" lastClr="000000">
                        <a:lumMod val="65000"/>
                        <a:lumOff val="35000"/>
                      </a:sysClr>
                    </a:solidFill>
                  </a:rPr>
                  <a:t>3</a:t>
                </a:r>
                <a:r>
                  <a:rPr lang="es-MX" sz="1400" b="0" i="0" u="none" strike="noStrike" kern="1200" baseline="0">
                    <a:solidFill>
                      <a:sysClr val="windowText" lastClr="000000">
                        <a:lumMod val="65000"/>
                        <a:lumOff val="35000"/>
                      </a:sysClr>
                    </a:solidFill>
                  </a:rPr>
                  <a:t>)</a:t>
                </a:r>
                <a:endParaRPr lang="es-MX" sz="1400"/>
              </a:p>
            </c:rich>
          </c:tx>
          <c:layout>
            <c:manualLayout>
              <c:xMode val="edge"/>
              <c:yMode val="edge"/>
              <c:x val="4.1184390392539461E-2"/>
              <c:y val="0.17171284215597082"/>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87079248"/>
        <c:crosses val="autoZero"/>
        <c:crossBetween val="midCat"/>
      </c:valAx>
      <c:spPr>
        <a:noFill/>
        <a:ln>
          <a:noFill/>
        </a:ln>
        <a:effectLst/>
      </c:spPr>
    </c:plotArea>
    <c:legend>
      <c:legendPos val="r"/>
      <c:layout>
        <c:manualLayout>
          <c:xMode val="edge"/>
          <c:yMode val="edge"/>
          <c:x val="0.15371453754105016"/>
          <c:y val="0.12404920298512546"/>
          <c:w val="0.22333667247047376"/>
          <c:h val="0.1204091988290852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2000"/>
              <a:t>Annual</a:t>
            </a:r>
            <a:r>
              <a:rPr lang="es-MX" sz="2000" baseline="0"/>
              <a:t> requirements of resources</a:t>
            </a:r>
            <a:endParaRPr lang="es-MX" sz="2000"/>
          </a:p>
        </c:rich>
      </c:tx>
      <c:layout>
        <c:manualLayout>
          <c:xMode val="edge"/>
          <c:yMode val="edge"/>
          <c:x val="0.20722916840470271"/>
          <c:y val="4.58183180808378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524387675390414"/>
          <c:y val="0.17171298762109449"/>
          <c:w val="0.78698840769903766"/>
          <c:h val="0.67081946400898085"/>
        </c:manualLayout>
      </c:layout>
      <c:scatterChart>
        <c:scatterStyle val="lineMarker"/>
        <c:varyColors val="0"/>
        <c:ser>
          <c:idx val="0"/>
          <c:order val="0"/>
          <c:tx>
            <c:strRef>
              <c:f>'Plastics CCUS_COMPARISON'!$AQ$3</c:f>
              <c:strCache>
                <c:ptCount val="1"/>
                <c:pt idx="0">
                  <c:v>Electricity</c:v>
                </c:pt>
              </c:strCache>
            </c:strRef>
          </c:tx>
          <c:spPr>
            <a:ln w="25400" cap="rnd">
              <a:noFill/>
              <a:round/>
            </a:ln>
            <a:effectLst/>
          </c:spPr>
          <c:marker>
            <c:symbol val="circle"/>
            <c:size val="5"/>
            <c:spPr>
              <a:solidFill>
                <a:schemeClr val="accent6"/>
              </a:solidFill>
              <a:ln w="9525">
                <a:solidFill>
                  <a:schemeClr val="accent6"/>
                </a:solidFill>
              </a:ln>
              <a:effectLst/>
            </c:spPr>
          </c:marker>
          <c:xVal>
            <c:numRef>
              <c:f>'Plastics CCUS_COMPARISON'!$A$4:$A$38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CCUS_COMPARISON'!$AQ$4:$AQ$38</c:f>
              <c:numCache>
                <c:formatCode>0.00</c:formatCode>
                <c:ptCount val="35"/>
                <c:pt idx="0">
                  <c:v>1.49634330415372</c:v>
                </c:pt>
                <c:pt idx="1">
                  <c:v>2.9926866083074399</c:v>
                </c:pt>
                <c:pt idx="2">
                  <c:v>4.9521837923182632</c:v>
                </c:pt>
                <c:pt idx="3">
                  <c:v>4.9165565707907941</c:v>
                </c:pt>
                <c:pt idx="4">
                  <c:v>10.225012578383753</c:v>
                </c:pt>
                <c:pt idx="5">
                  <c:v>24.262137860206746</c:v>
                </c:pt>
                <c:pt idx="6">
                  <c:v>28.144079917839822</c:v>
                </c:pt>
                <c:pt idx="7">
                  <c:v>32.647132704694194</c:v>
                </c:pt>
                <c:pt idx="8">
                  <c:v>37.870673937445261</c:v>
                </c:pt>
                <c:pt idx="9">
                  <c:v>43.929981767436502</c:v>
                </c:pt>
                <c:pt idx="10">
                  <c:v>50.958778850226345</c:v>
                </c:pt>
                <c:pt idx="11">
                  <c:v>59.112183466262564</c:v>
                </c:pt>
                <c:pt idx="12">
                  <c:v>68.570132820864572</c:v>
                </c:pt>
                <c:pt idx="13">
                  <c:v>79.541354072202907</c:v>
                </c:pt>
                <c:pt idx="14">
                  <c:v>92.267970723755369</c:v>
                </c:pt>
                <c:pt idx="15">
                  <c:v>100.57208808889335</c:v>
                </c:pt>
                <c:pt idx="16">
                  <c:v>109.62357601689376</c:v>
                </c:pt>
                <c:pt idx="17">
                  <c:v>119.48969785841419</c:v>
                </c:pt>
                <c:pt idx="18">
                  <c:v>130.24377066567146</c:v>
                </c:pt>
                <c:pt idx="19">
                  <c:v>141.9657100255819</c:v>
                </c:pt>
                <c:pt idx="20">
                  <c:v>154.74262392788427</c:v>
                </c:pt>
                <c:pt idx="21">
                  <c:v>168.66946008139385</c:v>
                </c:pt>
                <c:pt idx="22">
                  <c:v>183.84971148871929</c:v>
                </c:pt>
                <c:pt idx="23">
                  <c:v>200.396185522704</c:v>
                </c:pt>
                <c:pt idx="24">
                  <c:v>218.43184221974738</c:v>
                </c:pt>
                <c:pt idx="25">
                  <c:v>227.16911590853729</c:v>
                </c:pt>
                <c:pt idx="26">
                  <c:v>236.25588054487881</c:v>
                </c:pt>
                <c:pt idx="27">
                  <c:v>245.70611576667392</c:v>
                </c:pt>
                <c:pt idx="28">
                  <c:v>255.53436039734086</c:v>
                </c:pt>
                <c:pt idx="29">
                  <c:v>265.75573481323448</c:v>
                </c:pt>
                <c:pt idx="30">
                  <c:v>276.3859642057638</c:v>
                </c:pt>
                <c:pt idx="31">
                  <c:v>287.44140277399441</c:v>
                </c:pt>
                <c:pt idx="32">
                  <c:v>298.93905888495414</c:v>
                </c:pt>
                <c:pt idx="33">
                  <c:v>310.89662124035226</c:v>
                </c:pt>
                <c:pt idx="34">
                  <c:v>323.33248608996644</c:v>
                </c:pt>
              </c:numCache>
            </c:numRef>
          </c:yVal>
          <c:smooth val="0"/>
          <c:extLst>
            <c:ext xmlns:c16="http://schemas.microsoft.com/office/drawing/2014/chart" uri="{C3380CC4-5D6E-409C-BE32-E72D297353CC}">
              <c16:uniqueId val="{00000000-D723-4B80-A57E-866E7654833E}"/>
            </c:ext>
          </c:extLst>
        </c:ser>
        <c:dLbls>
          <c:showLegendKey val="0"/>
          <c:showVal val="0"/>
          <c:showCatName val="0"/>
          <c:showSerName val="0"/>
          <c:showPercent val="0"/>
          <c:showBubbleSize val="0"/>
        </c:dLbls>
        <c:axId val="1687079248"/>
        <c:axId val="573401408"/>
      </c:scatterChart>
      <c:valAx>
        <c:axId val="1687079248"/>
        <c:scaling>
          <c:orientation val="minMax"/>
          <c:max val="2050"/>
          <c:min val="2015"/>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a:t>Year</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73401408"/>
        <c:crosses val="autoZero"/>
        <c:crossBetween val="midCat"/>
      </c:valAx>
      <c:valAx>
        <c:axId val="573401408"/>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baseline="0"/>
                  <a:t>GWh</a:t>
                </a:r>
                <a:endParaRPr lang="es-MX" sz="1400"/>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87079248"/>
        <c:crosses val="autoZero"/>
        <c:crossBetween val="midCat"/>
      </c:valAx>
      <c:spPr>
        <a:noFill/>
        <a:ln>
          <a:noFill/>
        </a:ln>
        <a:effectLst/>
      </c:spPr>
    </c:plotArea>
    <c:legend>
      <c:legendPos val="r"/>
      <c:layout>
        <c:manualLayout>
          <c:xMode val="edge"/>
          <c:yMode val="edge"/>
          <c:x val="0.19574151454740499"/>
          <c:y val="0.13950041487112227"/>
          <c:w val="0.17272674403912772"/>
          <c:h val="0.1204091988290852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Price</a:t>
            </a:r>
            <a:r>
              <a:rPr lang="es-MX" baseline="0"/>
              <a:t> per ton of plastic</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876585800085523"/>
          <c:y val="0.13327477236980709"/>
          <c:w val="0.73313985072842913"/>
          <c:h val="0.66329309822369076"/>
        </c:manualLayout>
      </c:layout>
      <c:scatterChart>
        <c:scatterStyle val="smoothMarker"/>
        <c:varyColors val="0"/>
        <c:ser>
          <c:idx val="0"/>
          <c:order val="0"/>
          <c:tx>
            <c:v>RMTO</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'Plastics CCUS_COMPARISON'!$A$4:$A$38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CCUS_COMPARISON'!$M$4:$M$38</c:f>
              <c:numCache>
                <c:formatCode>0.00</c:formatCode>
                <c:ptCount val="35"/>
                <c:pt idx="0">
                  <c:v>453.7037037037037</c:v>
                </c:pt>
                <c:pt idx="1">
                  <c:v>711.11111111111097</c:v>
                </c:pt>
                <c:pt idx="2">
                  <c:v>620.37037037037032</c:v>
                </c:pt>
                <c:pt idx="3">
                  <c:v>725.92592592592587</c:v>
                </c:pt>
                <c:pt idx="4">
                  <c:v>429.62962962962956</c:v>
                </c:pt>
                <c:pt idx="5">
                  <c:v>511.11111111111103</c:v>
                </c:pt>
                <c:pt idx="6">
                  <c:v>901.85185185185173</c:v>
                </c:pt>
                <c:pt idx="7">
                  <c:v>831.48148148148141</c:v>
                </c:pt>
                <c:pt idx="8">
                  <c:v>833.33333333333326</c:v>
                </c:pt>
                <c:pt idx="9">
                  <c:v>1288.8166404621645</c:v>
                </c:pt>
                <c:pt idx="10">
                  <c:v>1283.6275331738495</c:v>
                </c:pt>
                <c:pt idx="11">
                  <c:v>1294.7539031947374</c:v>
                </c:pt>
                <c:pt idx="12">
                  <c:v>1295.1489958866</c:v>
                </c:pt>
                <c:pt idx="13">
                  <c:v>1304.6455822738737</c:v>
                </c:pt>
                <c:pt idx="14">
                  <c:v>1305.2122169261033</c:v>
                </c:pt>
                <c:pt idx="15">
                  <c:v>1326.6952005036494</c:v>
                </c:pt>
                <c:pt idx="16">
                  <c:v>1326.2878873841105</c:v>
                </c:pt>
                <c:pt idx="17">
                  <c:v>1315.8827060403801</c:v>
                </c:pt>
                <c:pt idx="18">
                  <c:v>1302.2027694303679</c:v>
                </c:pt>
                <c:pt idx="19">
                  <c:v>1297.8546942392234</c:v>
                </c:pt>
                <c:pt idx="20">
                  <c:v>1275.1011407453057</c:v>
                </c:pt>
                <c:pt idx="21">
                  <c:v>1283.5307110316135</c:v>
                </c:pt>
                <c:pt idx="22">
                  <c:v>1279.4365963663413</c:v>
                </c:pt>
                <c:pt idx="23">
                  <c:v>1275.4254478114003</c:v>
                </c:pt>
                <c:pt idx="24">
                  <c:v>1275.6989320734961</c:v>
                </c:pt>
                <c:pt idx="25">
                  <c:v>1274.7764569582023</c:v>
                </c:pt>
                <c:pt idx="26">
                  <c:v>1263.2561010464706</c:v>
                </c:pt>
                <c:pt idx="27">
                  <c:v>1285.8699654301474</c:v>
                </c:pt>
                <c:pt idx="28">
                  <c:v>1269.7645719066934</c:v>
                </c:pt>
                <c:pt idx="29">
                  <c:v>1255.3247977700323</c:v>
                </c:pt>
                <c:pt idx="30">
                  <c:v>1243.3417009108173</c:v>
                </c:pt>
                <c:pt idx="31">
                  <c:v>1214.0175570165813</c:v>
                </c:pt>
                <c:pt idx="32">
                  <c:v>1207.7372679419591</c:v>
                </c:pt>
                <c:pt idx="33">
                  <c:v>1191.2412240942783</c:v>
                </c:pt>
                <c:pt idx="34">
                  <c:v>1190.6605653332313</c:v>
                </c:pt>
              </c:numCache>
            </c:numRef>
          </c:yVal>
          <c:smooth val="1"/>
          <c:extLst>
            <c:ext xmlns:c16="http://schemas.microsoft.com/office/drawing/2014/chart" uri="{C3380CC4-5D6E-409C-BE32-E72D297353CC}">
              <c16:uniqueId val="{00000000-B1A4-4E85-89FE-F6B3414B0FB0}"/>
            </c:ext>
          </c:extLst>
        </c:ser>
        <c:ser>
          <c:idx val="2"/>
          <c:order val="1"/>
          <c:tx>
            <c:v>RMTP</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'Plastics CCUS_COMPARISON'!$A$4:$A$38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CCUS_COMPARISON'!$N$4:$N$38</c:f>
              <c:numCache>
                <c:formatCode>0.00</c:formatCode>
                <c:ptCount val="35"/>
                <c:pt idx="0">
                  <c:v>453.7037037037037</c:v>
                </c:pt>
                <c:pt idx="1">
                  <c:v>711.11111111111097</c:v>
                </c:pt>
                <c:pt idx="2">
                  <c:v>620.37037037037032</c:v>
                </c:pt>
                <c:pt idx="3">
                  <c:v>725.92592592592587</c:v>
                </c:pt>
                <c:pt idx="4">
                  <c:v>429.62962962962956</c:v>
                </c:pt>
                <c:pt idx="5">
                  <c:v>511.11111111111103</c:v>
                </c:pt>
                <c:pt idx="6">
                  <c:v>901.85185185185173</c:v>
                </c:pt>
                <c:pt idx="7">
                  <c:v>831.48148148148141</c:v>
                </c:pt>
                <c:pt idx="8">
                  <c:v>833.33333333333326</c:v>
                </c:pt>
                <c:pt idx="9">
                  <c:v>1330.9965415538531</c:v>
                </c:pt>
                <c:pt idx="10">
                  <c:v>1326.2310264732155</c:v>
                </c:pt>
                <c:pt idx="11">
                  <c:v>1339.5625674850262</c:v>
                </c:pt>
                <c:pt idx="12">
                  <c:v>1340.9746543343606</c:v>
                </c:pt>
                <c:pt idx="13">
                  <c:v>1352.4778835918414</c:v>
                </c:pt>
                <c:pt idx="14">
                  <c:v>1354.0609736150575</c:v>
                </c:pt>
                <c:pt idx="15">
                  <c:v>1379.7624832311358</c:v>
                </c:pt>
                <c:pt idx="16">
                  <c:v>1380.4363404559715</c:v>
                </c:pt>
                <c:pt idx="17">
                  <c:v>1369.8478619530001</c:v>
                </c:pt>
                <c:pt idx="18">
                  <c:v>1355.5629572631804</c:v>
                </c:pt>
                <c:pt idx="19">
                  <c:v>1351.7684842153694</c:v>
                </c:pt>
                <c:pt idx="20">
                  <c:v>1327.2505813127832</c:v>
                </c:pt>
                <c:pt idx="21">
                  <c:v>1337.813457711427</c:v>
                </c:pt>
                <c:pt idx="22">
                  <c:v>1334.2721475391709</c:v>
                </c:pt>
                <c:pt idx="23">
                  <c:v>1330.8135428936607</c:v>
                </c:pt>
                <c:pt idx="24">
                  <c:v>1332.1660592219646</c:v>
                </c:pt>
                <c:pt idx="25">
                  <c:v>1333.4327793623447</c:v>
                </c:pt>
                <c:pt idx="26">
                  <c:v>1321.4970020716257</c:v>
                </c:pt>
                <c:pt idx="27">
                  <c:v>1348.4429887504452</c:v>
                </c:pt>
                <c:pt idx="28">
                  <c:v>1331.2591672100966</c:v>
                </c:pt>
                <c:pt idx="29">
                  <c:v>1315.9615361145184</c:v>
                </c:pt>
                <c:pt idx="30">
                  <c:v>1303.4515700192383</c:v>
                </c:pt>
                <c:pt idx="31">
                  <c:v>1271.1711948177858</c:v>
                </c:pt>
                <c:pt idx="32">
                  <c:v>1265.1364336576682</c:v>
                </c:pt>
                <c:pt idx="33">
                  <c:v>1247.4502875106355</c:v>
                </c:pt>
                <c:pt idx="34">
                  <c:v>1247.8875637946023</c:v>
                </c:pt>
              </c:numCache>
            </c:numRef>
          </c:yVal>
          <c:smooth val="1"/>
          <c:extLst>
            <c:ext xmlns:c16="http://schemas.microsoft.com/office/drawing/2014/chart" uri="{C3380CC4-5D6E-409C-BE32-E72D297353CC}">
              <c16:uniqueId val="{00000002-B1A4-4E85-89FE-F6B3414B0FB0}"/>
            </c:ext>
          </c:extLst>
        </c:ser>
        <c:ser>
          <c:idx val="3"/>
          <c:order val="2"/>
          <c:tx>
            <c:v>ROCM</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'Plastics CCUS_COMPARISON'!$A$4:$A$38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CCUS_COMPARISON'!$O$4:$O$38</c:f>
              <c:numCache>
                <c:formatCode>0.00</c:formatCode>
                <c:ptCount val="35"/>
                <c:pt idx="0">
                  <c:v>453.7037037037037</c:v>
                </c:pt>
                <c:pt idx="1">
                  <c:v>711.11111111111097</c:v>
                </c:pt>
                <c:pt idx="2">
                  <c:v>620.37037037037032</c:v>
                </c:pt>
                <c:pt idx="3">
                  <c:v>725.92592592592587</c:v>
                </c:pt>
                <c:pt idx="4">
                  <c:v>429.62962962962956</c:v>
                </c:pt>
                <c:pt idx="5">
                  <c:v>511.11111111111103</c:v>
                </c:pt>
                <c:pt idx="6">
                  <c:v>901.85185185185173</c:v>
                </c:pt>
                <c:pt idx="7">
                  <c:v>831.48148148148141</c:v>
                </c:pt>
                <c:pt idx="8">
                  <c:v>833.33333333333326</c:v>
                </c:pt>
                <c:pt idx="9">
                  <c:v>1248.9626851334885</c:v>
                </c:pt>
                <c:pt idx="10">
                  <c:v>1247.4409634436927</c:v>
                </c:pt>
                <c:pt idx="11">
                  <c:v>1269.103195401025</c:v>
                </c:pt>
                <c:pt idx="12">
                  <c:v>1275.419774265607</c:v>
                </c:pt>
                <c:pt idx="13">
                  <c:v>1294.6445974272042</c:v>
                </c:pt>
                <c:pt idx="14">
                  <c:v>1301.0910516800095</c:v>
                </c:pt>
                <c:pt idx="15">
                  <c:v>1328.5449567709261</c:v>
                </c:pt>
                <c:pt idx="16">
                  <c:v>1334.3516063524264</c:v>
                </c:pt>
                <c:pt idx="17">
                  <c:v>1325.2507789887263</c:v>
                </c:pt>
                <c:pt idx="18">
                  <c:v>1311.2246044359299</c:v>
                </c:pt>
                <c:pt idx="19">
                  <c:v>1310.9901664451547</c:v>
                </c:pt>
                <c:pt idx="20">
                  <c:v>1283.3677737280691</c:v>
                </c:pt>
                <c:pt idx="21">
                  <c:v>1301.9799063541918</c:v>
                </c:pt>
                <c:pt idx="22">
                  <c:v>1301.9377433136415</c:v>
                </c:pt>
                <c:pt idx="23">
                  <c:v>1301.958394384377</c:v>
                </c:pt>
                <c:pt idx="24">
                  <c:v>1308.2804795132615</c:v>
                </c:pt>
                <c:pt idx="25">
                  <c:v>1308.8391059651719</c:v>
                </c:pt>
                <c:pt idx="26">
                  <c:v>1297.6398720309135</c:v>
                </c:pt>
                <c:pt idx="27">
                  <c:v>1338.9127530856031</c:v>
                </c:pt>
                <c:pt idx="28">
                  <c:v>1320.5265002553201</c:v>
                </c:pt>
                <c:pt idx="29">
                  <c:v>1304.6398509457576</c:v>
                </c:pt>
                <c:pt idx="30">
                  <c:v>1292.470996391321</c:v>
                </c:pt>
                <c:pt idx="31">
                  <c:v>1253.5490467599011</c:v>
                </c:pt>
                <c:pt idx="32">
                  <c:v>1250.0327580522435</c:v>
                </c:pt>
                <c:pt idx="33">
                  <c:v>1230.7314648203057</c:v>
                </c:pt>
                <c:pt idx="34">
                  <c:v>1235.8653362781517</c:v>
                </c:pt>
              </c:numCache>
            </c:numRef>
          </c:yVal>
          <c:smooth val="1"/>
          <c:extLst>
            <c:ext xmlns:c16="http://schemas.microsoft.com/office/drawing/2014/chart" uri="{C3380CC4-5D6E-409C-BE32-E72D297353CC}">
              <c16:uniqueId val="{00000003-B1A4-4E85-89FE-F6B3414B0FB0}"/>
            </c:ext>
          </c:extLst>
        </c:ser>
        <c:ser>
          <c:idx val="1"/>
          <c:order val="3"/>
          <c:tx>
            <c:v>BAU</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'Plastics CCUS_COMPARISON'!$A$4:$A$38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CCUS_COMPARISON'!$L$4:$L$38</c:f>
              <c:numCache>
                <c:formatCode>0.00</c:formatCode>
                <c:ptCount val="35"/>
                <c:pt idx="0">
                  <c:v>453.7037037037037</c:v>
                </c:pt>
                <c:pt idx="1">
                  <c:v>711.11111111111097</c:v>
                </c:pt>
                <c:pt idx="2">
                  <c:v>620.37037037037032</c:v>
                </c:pt>
                <c:pt idx="3">
                  <c:v>725.92592592592587</c:v>
                </c:pt>
                <c:pt idx="4">
                  <c:v>429.62962962962956</c:v>
                </c:pt>
                <c:pt idx="5">
                  <c:v>511.11111111111103</c:v>
                </c:pt>
                <c:pt idx="6">
                  <c:v>901.85185185185173</c:v>
                </c:pt>
                <c:pt idx="7">
                  <c:v>831.48148148148141</c:v>
                </c:pt>
                <c:pt idx="8">
                  <c:v>833.33333333333326</c:v>
                </c:pt>
                <c:pt idx="9">
                  <c:v>840.74074074074065</c:v>
                </c:pt>
                <c:pt idx="10">
                  <c:v>848.14814814814804</c:v>
                </c:pt>
                <c:pt idx="11">
                  <c:v>888.8888888888888</c:v>
                </c:pt>
                <c:pt idx="12">
                  <c:v>907.40740740740739</c:v>
                </c:pt>
                <c:pt idx="13">
                  <c:v>944.44444444444423</c:v>
                </c:pt>
                <c:pt idx="14">
                  <c:v>962.96296296296282</c:v>
                </c:pt>
                <c:pt idx="15">
                  <c:v>981.4814814814813</c:v>
                </c:pt>
                <c:pt idx="16">
                  <c:v>999.99999999999989</c:v>
                </c:pt>
                <c:pt idx="17">
                  <c:v>996.29629629629619</c:v>
                </c:pt>
                <c:pt idx="18">
                  <c:v>985.18518518518511</c:v>
                </c:pt>
                <c:pt idx="19">
                  <c:v>994.44444444444434</c:v>
                </c:pt>
                <c:pt idx="20">
                  <c:v>962.96296296296282</c:v>
                </c:pt>
                <c:pt idx="21">
                  <c:v>999.99999999999989</c:v>
                </c:pt>
                <c:pt idx="22">
                  <c:v>1009.2592592592591</c:v>
                </c:pt>
                <c:pt idx="23">
                  <c:v>1018.5185185185184</c:v>
                </c:pt>
                <c:pt idx="24">
                  <c:v>1037.037037037037</c:v>
                </c:pt>
                <c:pt idx="25">
                  <c:v>1027.7777777777776</c:v>
                </c:pt>
                <c:pt idx="26">
                  <c:v>1020.3703703703702</c:v>
                </c:pt>
                <c:pt idx="27">
                  <c:v>1092.5925925925926</c:v>
                </c:pt>
                <c:pt idx="28">
                  <c:v>1074.0740740740739</c:v>
                </c:pt>
                <c:pt idx="29">
                  <c:v>1059.2592592592591</c:v>
                </c:pt>
                <c:pt idx="30">
                  <c:v>1049.9999999999998</c:v>
                </c:pt>
                <c:pt idx="31">
                  <c:v>999.99999999999989</c:v>
                </c:pt>
                <c:pt idx="32">
                  <c:v>1003.7037037037036</c:v>
                </c:pt>
                <c:pt idx="33">
                  <c:v>983.33333333333314</c:v>
                </c:pt>
                <c:pt idx="34">
                  <c:v>999.99999999999989</c:v>
                </c:pt>
              </c:numCache>
            </c:numRef>
          </c:yVal>
          <c:smooth val="1"/>
          <c:extLst>
            <c:ext xmlns:c16="http://schemas.microsoft.com/office/drawing/2014/chart" uri="{C3380CC4-5D6E-409C-BE32-E72D297353CC}">
              <c16:uniqueId val="{00000004-B1A4-4E85-89FE-F6B3414B0FB0}"/>
            </c:ext>
          </c:extLst>
        </c:ser>
        <c:dLbls>
          <c:showLegendKey val="0"/>
          <c:showVal val="0"/>
          <c:showCatName val="0"/>
          <c:showSerName val="0"/>
          <c:showPercent val="0"/>
          <c:showBubbleSize val="0"/>
        </c:dLbls>
        <c:axId val="905011071"/>
        <c:axId val="878589279"/>
      </c:scatterChart>
      <c:valAx>
        <c:axId val="905011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589279"/>
        <c:crosses val="autoZero"/>
        <c:crossBetween val="midCat"/>
      </c:valAx>
      <c:valAx>
        <c:axId val="878589279"/>
        <c:scaling>
          <c:orientation val="minMax"/>
          <c:min val="3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USD/</a:t>
                </a:r>
                <a:r>
                  <a:rPr lang="es-MX" baseline="0"/>
                  <a:t> ton</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011071"/>
        <c:crosses val="autoZero"/>
        <c:crossBetween val="midCat"/>
      </c:valAx>
      <c:spPr>
        <a:noFill/>
        <a:ln>
          <a:noFill/>
        </a:ln>
        <a:effectLst/>
      </c:spPr>
    </c:plotArea>
    <c:legend>
      <c:legendPos val="r"/>
      <c:layout>
        <c:manualLayout>
          <c:xMode val="edge"/>
          <c:yMode val="edge"/>
          <c:x val="0.16161536400317411"/>
          <c:y val="0.1250981226822124"/>
          <c:w val="0.16844288444505667"/>
          <c:h val="0.306406559788803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Tons</a:t>
            </a:r>
            <a:r>
              <a:rPr lang="es-MX" baseline="0"/>
              <a:t> of CO</a:t>
            </a:r>
            <a:r>
              <a:rPr lang="es-MX" baseline="-25000"/>
              <a:t>2</a:t>
            </a:r>
            <a:r>
              <a:rPr lang="es-MX" baseline="0"/>
              <a:t> captured</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685333804530806"/>
          <c:y val="0.10687613846600599"/>
          <c:w val="0.76751431436415329"/>
          <c:h val="0.72028536834392032"/>
        </c:manualLayout>
      </c:layout>
      <c:scatterChart>
        <c:scatterStyle val="smoothMarker"/>
        <c:varyColors val="0"/>
        <c:ser>
          <c:idx val="0"/>
          <c:order val="0"/>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'Plastics CCUS_COMPARISON'!$A$4:$A$38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CCUS_COMPARISON'!$H$4:$H$38</c:f>
              <c:numCache>
                <c:formatCode>General</c:formatCode>
                <c:ptCount val="35"/>
                <c:pt idx="0">
                  <c:v>0</c:v>
                </c:pt>
                <c:pt idx="1">
                  <c:v>0</c:v>
                </c:pt>
                <c:pt idx="2">
                  <c:v>0</c:v>
                </c:pt>
                <c:pt idx="3">
                  <c:v>0</c:v>
                </c:pt>
                <c:pt idx="4">
                  <c:v>0</c:v>
                </c:pt>
                <c:pt idx="5">
                  <c:v>0</c:v>
                </c:pt>
                <c:pt idx="6">
                  <c:v>0</c:v>
                </c:pt>
                <c:pt idx="7">
                  <c:v>0</c:v>
                </c:pt>
                <c:pt idx="8">
                  <c:v>55142.593016518069</c:v>
                </c:pt>
                <c:pt idx="9">
                  <c:v>63965.407899160964</c:v>
                </c:pt>
                <c:pt idx="10">
                  <c:v>74199.873163026714</c:v>
                </c:pt>
                <c:pt idx="11">
                  <c:v>86071.852869110997</c:v>
                </c:pt>
                <c:pt idx="12">
                  <c:v>99843.34932816877</c:v>
                </c:pt>
                <c:pt idx="13">
                  <c:v>115818.28522067577</c:v>
                </c:pt>
                <c:pt idx="14">
                  <c:v>134349.2108559839</c:v>
                </c:pt>
                <c:pt idx="15">
                  <c:v>146440.63983302243</c:v>
                </c:pt>
                <c:pt idx="16">
                  <c:v>159620.29741799444</c:v>
                </c:pt>
                <c:pt idx="17">
                  <c:v>173986.12418561394</c:v>
                </c:pt>
                <c:pt idx="18">
                  <c:v>189644.8753623192</c:v>
                </c:pt>
                <c:pt idx="19">
                  <c:v>206712.91414492793</c:v>
                </c:pt>
                <c:pt idx="20">
                  <c:v>225317.07641797143</c:v>
                </c:pt>
                <c:pt idx="21">
                  <c:v>245595.61329558888</c:v>
                </c:pt>
                <c:pt idx="22">
                  <c:v>267699.21849219187</c:v>
                </c:pt>
                <c:pt idx="23">
                  <c:v>291792.14815648907</c:v>
                </c:pt>
                <c:pt idx="24">
                  <c:v>318053.44149057317</c:v>
                </c:pt>
                <c:pt idx="25">
                  <c:v>330775.57915019605</c:v>
                </c:pt>
                <c:pt idx="26">
                  <c:v>344006.60231620393</c:v>
                </c:pt>
                <c:pt idx="27">
                  <c:v>357766.86640885205</c:v>
                </c:pt>
                <c:pt idx="28">
                  <c:v>372077.54106520617</c:v>
                </c:pt>
                <c:pt idx="29">
                  <c:v>386960.64270781435</c:v>
                </c:pt>
                <c:pt idx="30">
                  <c:v>402439.06841612689</c:v>
                </c:pt>
                <c:pt idx="31">
                  <c:v>418536.63115277194</c:v>
                </c:pt>
                <c:pt idx="32">
                  <c:v>435278.0963988828</c:v>
                </c:pt>
                <c:pt idx="33">
                  <c:v>452689.22025483812</c:v>
                </c:pt>
                <c:pt idx="34">
                  <c:v>470796.78906503163</c:v>
                </c:pt>
              </c:numCache>
            </c:numRef>
          </c:yVal>
          <c:smooth val="1"/>
          <c:extLst>
            <c:ext xmlns:c16="http://schemas.microsoft.com/office/drawing/2014/chart" uri="{C3380CC4-5D6E-409C-BE32-E72D297353CC}">
              <c16:uniqueId val="{00000000-CF3B-47EC-A425-BB90C564599E}"/>
            </c:ext>
          </c:extLst>
        </c:ser>
        <c:dLbls>
          <c:showLegendKey val="0"/>
          <c:showVal val="0"/>
          <c:showCatName val="0"/>
          <c:showSerName val="0"/>
          <c:showPercent val="0"/>
          <c:showBubbleSize val="0"/>
        </c:dLbls>
        <c:axId val="905039871"/>
        <c:axId val="878617055"/>
      </c:scatterChart>
      <c:valAx>
        <c:axId val="905039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617055"/>
        <c:crosses val="autoZero"/>
        <c:crossBetween val="midCat"/>
      </c:valAx>
      <c:valAx>
        <c:axId val="878617055"/>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Tons</a:t>
                </a:r>
                <a:r>
                  <a:rPr lang="es-MX" baseline="0"/>
                  <a:t> of CO</a:t>
                </a:r>
                <a:r>
                  <a:rPr lang="es-MX" baseline="30000"/>
                  <a:t>2</a:t>
                </a:r>
                <a:r>
                  <a:rPr lang="es-MX" baseline="0"/>
                  <a:t> captured</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0398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b="1"/>
              <a:t>Thousand tons</a:t>
            </a:r>
            <a:r>
              <a:rPr lang="es-MX" b="1" baseline="0"/>
              <a:t> of CO</a:t>
            </a:r>
            <a:r>
              <a:rPr lang="es-MX" b="1" baseline="-25000"/>
              <a:t>2</a:t>
            </a:r>
            <a:r>
              <a:rPr lang="es-MX" b="1" baseline="0"/>
              <a:t> emitted</a:t>
            </a:r>
            <a:endParaRPr lang="es-MX"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645326701751149"/>
          <c:y val="0.10687613846600599"/>
          <c:w val="0.79791438539194981"/>
          <c:h val="0.72028536834392032"/>
        </c:manualLayout>
      </c:layout>
      <c:scatterChart>
        <c:scatterStyle val="smoothMarker"/>
        <c:varyColors val="0"/>
        <c:ser>
          <c:idx val="0"/>
          <c:order val="0"/>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'Plastics CCUS_COMPARISON'!$A$4:$A$38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CCUS_COMPARISON'!$G$4:$G$38</c:f>
              <c:numCache>
                <c:formatCode>0.0</c:formatCode>
                <c:ptCount val="35"/>
                <c:pt idx="0">
                  <c:v>2.4208778999999998</c:v>
                </c:pt>
                <c:pt idx="1">
                  <c:v>4.8417557999999996</c:v>
                </c:pt>
                <c:pt idx="2">
                  <c:v>8.0119530500000007</c:v>
                </c:pt>
                <c:pt idx="3">
                  <c:v>7.9543131000000002</c:v>
                </c:pt>
                <c:pt idx="4">
                  <c:v>16.54266565</c:v>
                </c:pt>
                <c:pt idx="5">
                  <c:v>39.252805949999996</c:v>
                </c:pt>
                <c:pt idx="6">
                  <c:v>45.533254901999996</c:v>
                </c:pt>
                <c:pt idx="7">
                  <c:v>52.818575686320003</c:v>
                </c:pt>
                <c:pt idx="8">
                  <c:v>61.269547796131192</c:v>
                </c:pt>
                <c:pt idx="9">
                  <c:v>71.072675443512182</c:v>
                </c:pt>
                <c:pt idx="10">
                  <c:v>82.444303514474129</c:v>
                </c:pt>
                <c:pt idx="11">
                  <c:v>95.635392076789998</c:v>
                </c:pt>
                <c:pt idx="12">
                  <c:v>110.93705480907639</c:v>
                </c:pt>
                <c:pt idx="13">
                  <c:v>128.68698357852864</c:v>
                </c:pt>
                <c:pt idx="14">
                  <c:v>149.27690095109318</c:v>
                </c:pt>
                <c:pt idx="15">
                  <c:v>162.71182203669161</c:v>
                </c:pt>
                <c:pt idx="16">
                  <c:v>177.35588601999385</c:v>
                </c:pt>
                <c:pt idx="17">
                  <c:v>193.31791576179327</c:v>
                </c:pt>
                <c:pt idx="18">
                  <c:v>210.71652818035466</c:v>
                </c:pt>
                <c:pt idx="19">
                  <c:v>229.68101571658659</c:v>
                </c:pt>
                <c:pt idx="20">
                  <c:v>250.35230713107941</c:v>
                </c:pt>
                <c:pt idx="21">
                  <c:v>272.88401477287653</c:v>
                </c:pt>
                <c:pt idx="22">
                  <c:v>297.44357610243543</c:v>
                </c:pt>
                <c:pt idx="23">
                  <c:v>324.21349795165452</c:v>
                </c:pt>
                <c:pt idx="24">
                  <c:v>353.39271276730352</c:v>
                </c:pt>
                <c:pt idx="25">
                  <c:v>367.52842127799568</c:v>
                </c:pt>
                <c:pt idx="26">
                  <c:v>382.22955812911556</c:v>
                </c:pt>
                <c:pt idx="27">
                  <c:v>397.51874045428008</c:v>
                </c:pt>
                <c:pt idx="28">
                  <c:v>413.41949007245131</c:v>
                </c:pt>
                <c:pt idx="29">
                  <c:v>429.95626967534923</c:v>
                </c:pt>
                <c:pt idx="30">
                  <c:v>447.15452046236322</c:v>
                </c:pt>
                <c:pt idx="31">
                  <c:v>465.04070128085766</c:v>
                </c:pt>
                <c:pt idx="32">
                  <c:v>483.64232933209195</c:v>
                </c:pt>
                <c:pt idx="33">
                  <c:v>502.98802250537562</c:v>
                </c:pt>
                <c:pt idx="34">
                  <c:v>523.10754340559072</c:v>
                </c:pt>
              </c:numCache>
            </c:numRef>
          </c:yVal>
          <c:smooth val="1"/>
          <c:extLst>
            <c:ext xmlns:c16="http://schemas.microsoft.com/office/drawing/2014/chart" uri="{C3380CC4-5D6E-409C-BE32-E72D297353CC}">
              <c16:uniqueId val="{00000000-0C41-40E5-AAC5-424796804BDE}"/>
            </c:ext>
          </c:extLst>
        </c:ser>
        <c:dLbls>
          <c:showLegendKey val="0"/>
          <c:showVal val="0"/>
          <c:showCatName val="0"/>
          <c:showSerName val="0"/>
          <c:showPercent val="0"/>
          <c:showBubbleSize val="0"/>
        </c:dLbls>
        <c:axId val="905039871"/>
        <c:axId val="878617055"/>
      </c:scatterChart>
      <c:valAx>
        <c:axId val="905039871"/>
        <c:scaling>
          <c:orientation val="minMax"/>
          <c:max val="2055"/>
          <c:min val="2015"/>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Year</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78617055"/>
        <c:crosses val="autoZero"/>
        <c:crossBetween val="midCat"/>
      </c:valAx>
      <c:valAx>
        <c:axId val="878617055"/>
        <c:scaling>
          <c:orientation val="minMax"/>
          <c:min val="0"/>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Thousand tons</a:t>
                </a:r>
                <a:r>
                  <a:rPr lang="es-MX" sz="1200" baseline="0"/>
                  <a:t> of CO</a:t>
                </a:r>
                <a:r>
                  <a:rPr lang="es-MX" sz="1200" baseline="-25000"/>
                  <a:t>2</a:t>
                </a:r>
                <a:r>
                  <a:rPr lang="es-MX" sz="1200" baseline="0"/>
                  <a:t> emitted</a:t>
                </a:r>
                <a:endParaRPr lang="es-MX"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050398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b="1"/>
              <a:t>Energy</a:t>
            </a:r>
            <a:r>
              <a:rPr lang="es-MX" b="1" baseline="0"/>
              <a:t> required</a:t>
            </a:r>
            <a:endParaRPr lang="es-MX"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370937546923798"/>
          <c:y val="0.10687613846600599"/>
          <c:w val="0.80065831049483471"/>
          <c:h val="0.72028536834392032"/>
        </c:manualLayout>
      </c:layout>
      <c:scatterChart>
        <c:scatterStyle val="smoothMarker"/>
        <c:varyColors val="0"/>
        <c:ser>
          <c:idx val="0"/>
          <c:order val="0"/>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'Plastics CCUS_COMPARISON'!$A$4:$A$38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CCUS_COMPARISON'!$F$4:$F$38</c:f>
              <c:numCache>
                <c:formatCode>0.0</c:formatCode>
                <c:ptCount val="35"/>
                <c:pt idx="0">
                  <c:v>5.8361976597494619E-2</c:v>
                </c:pt>
                <c:pt idx="1">
                  <c:v>0.11672395319498924</c:v>
                </c:pt>
                <c:pt idx="2">
                  <c:v>0.19315035112027978</c:v>
                </c:pt>
                <c:pt idx="3">
                  <c:v>0.19176078024891088</c:v>
                </c:pt>
                <c:pt idx="4">
                  <c:v>0.39880684008287987</c:v>
                </c:pt>
                <c:pt idx="5">
                  <c:v>0.94629776340223404</c:v>
                </c:pt>
                <c:pt idx="6">
                  <c:v>1.0977054055465916</c:v>
                </c:pt>
                <c:pt idx="7">
                  <c:v>1.2733382704340463</c:v>
                </c:pt>
                <c:pt idx="8">
                  <c:v>1.4770723937034933</c:v>
                </c:pt>
                <c:pt idx="9">
                  <c:v>1.7134039766960523</c:v>
                </c:pt>
                <c:pt idx="10">
                  <c:v>1.9875486129674209</c:v>
                </c:pt>
                <c:pt idx="11">
                  <c:v>2.3055563910422081</c:v>
                </c:pt>
                <c:pt idx="12">
                  <c:v>2.6744454136089617</c:v>
                </c:pt>
                <c:pt idx="13">
                  <c:v>3.1023566797863955</c:v>
                </c:pt>
                <c:pt idx="14">
                  <c:v>3.5987337485522191</c:v>
                </c:pt>
                <c:pt idx="15">
                  <c:v>3.9226197859219183</c:v>
                </c:pt>
                <c:pt idx="16">
                  <c:v>4.2756555666548914</c:v>
                </c:pt>
                <c:pt idx="17">
                  <c:v>4.6604645676538308</c:v>
                </c:pt>
                <c:pt idx="18">
                  <c:v>5.0799063787426748</c:v>
                </c:pt>
                <c:pt idx="19">
                  <c:v>5.5370979528295168</c:v>
                </c:pt>
                <c:pt idx="20">
                  <c:v>6.035436768584173</c:v>
                </c:pt>
                <c:pt idx="21">
                  <c:v>6.5786260777567485</c:v>
                </c:pt>
                <c:pt idx="22">
                  <c:v>7.1707024247548565</c:v>
                </c:pt>
                <c:pt idx="23">
                  <c:v>7.8160656429827915</c:v>
                </c:pt>
                <c:pt idx="24">
                  <c:v>8.5195115508512451</c:v>
                </c:pt>
                <c:pt idx="25">
                  <c:v>8.8602920128852958</c:v>
                </c:pt>
                <c:pt idx="26">
                  <c:v>9.2147036934007076</c:v>
                </c:pt>
                <c:pt idx="27">
                  <c:v>9.5832918411367345</c:v>
                </c:pt>
                <c:pt idx="28">
                  <c:v>9.9666235147822029</c:v>
                </c:pt>
                <c:pt idx="29">
                  <c:v>10.36528845537349</c:v>
                </c:pt>
                <c:pt idx="30">
                  <c:v>10.779899993588428</c:v>
                </c:pt>
                <c:pt idx="31">
                  <c:v>11.211095993331966</c:v>
                </c:pt>
                <c:pt idx="32">
                  <c:v>11.659539833065244</c:v>
                </c:pt>
                <c:pt idx="33">
                  <c:v>12.125921426387851</c:v>
                </c:pt>
                <c:pt idx="34">
                  <c:v>12.610958283443367</c:v>
                </c:pt>
              </c:numCache>
            </c:numRef>
          </c:yVal>
          <c:smooth val="1"/>
          <c:extLst>
            <c:ext xmlns:c16="http://schemas.microsoft.com/office/drawing/2014/chart" uri="{C3380CC4-5D6E-409C-BE32-E72D297353CC}">
              <c16:uniqueId val="{00000000-323C-409D-94EB-F7903AC46E06}"/>
            </c:ext>
          </c:extLst>
        </c:ser>
        <c:dLbls>
          <c:showLegendKey val="0"/>
          <c:showVal val="0"/>
          <c:showCatName val="0"/>
          <c:showSerName val="0"/>
          <c:showPercent val="0"/>
          <c:showBubbleSize val="0"/>
        </c:dLbls>
        <c:axId val="905039871"/>
        <c:axId val="878617055"/>
      </c:scatterChart>
      <c:valAx>
        <c:axId val="905039871"/>
        <c:scaling>
          <c:orientation val="minMax"/>
          <c:min val="2015"/>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Year</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78617055"/>
        <c:crosses val="autoZero"/>
        <c:crossBetween val="midCat"/>
      </c:valAx>
      <c:valAx>
        <c:axId val="878617055"/>
        <c:scaling>
          <c:orientation val="minMax"/>
          <c:min val="0"/>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Energy</a:t>
                </a:r>
                <a:r>
                  <a:rPr lang="es-MX" sz="1200" baseline="0"/>
                  <a:t> required (PJ)</a:t>
                </a:r>
                <a:endParaRPr lang="es-MX"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050398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Ratio</a:t>
            </a:r>
            <a:r>
              <a:rPr lang="es-MX" baseline="0"/>
              <a:t> of cost "Net-zero"/BAU for polymers </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876575339186165"/>
          <c:y val="0.14239155794045333"/>
          <c:w val="0.73313985072842913"/>
          <c:h val="0.66329309822369076"/>
        </c:manualLayout>
      </c:layout>
      <c:scatterChart>
        <c:scatterStyle val="smoothMarker"/>
        <c:varyColors val="0"/>
        <c:ser>
          <c:idx val="0"/>
          <c:order val="0"/>
          <c:tx>
            <c:v>RMTO</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'Plastics CCUS_COMPARISON'!$A$13:$A$38</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xVal>
          <c:yVal>
            <c:numRef>
              <c:f>'Plastics CCUS_COMPARISON'!$S$13:$S$38</c:f>
              <c:numCache>
                <c:formatCode>0.00</c:formatCode>
                <c:ptCount val="26"/>
                <c:pt idx="0">
                  <c:v>1.5329537133250417</c:v>
                </c:pt>
                <c:pt idx="1">
                  <c:v>1.5134473098556307</c:v>
                </c:pt>
                <c:pt idx="2">
                  <c:v>1.4565981410940798</c:v>
                </c:pt>
                <c:pt idx="3">
                  <c:v>1.427307056691355</c:v>
                </c:pt>
                <c:pt idx="4">
                  <c:v>1.3813894400546902</c:v>
                </c:pt>
                <c:pt idx="5">
                  <c:v>1.3554126868078769</c:v>
                </c:pt>
                <c:pt idx="6">
                  <c:v>1.3517271854188129</c:v>
                </c:pt>
                <c:pt idx="7">
                  <c:v>1.3262878873841106</c:v>
                </c:pt>
                <c:pt idx="8">
                  <c:v>1.3207744633119058</c:v>
                </c:pt>
                <c:pt idx="9">
                  <c:v>1.3217847659631554</c:v>
                </c:pt>
                <c:pt idx="10">
                  <c:v>1.3051052791232416</c:v>
                </c:pt>
                <c:pt idx="11">
                  <c:v>1.3241434923124329</c:v>
                </c:pt>
                <c:pt idx="12">
                  <c:v>1.2835307110316136</c:v>
                </c:pt>
                <c:pt idx="13">
                  <c:v>1.2676986459409623</c:v>
                </c:pt>
                <c:pt idx="14">
                  <c:v>1.2522358942148295</c:v>
                </c:pt>
                <c:pt idx="15">
                  <c:v>1.2301382559280141</c:v>
                </c:pt>
                <c:pt idx="16">
                  <c:v>1.2403230392025755</c:v>
                </c:pt>
                <c:pt idx="17">
                  <c:v>1.2380368322415503</c:v>
                </c:pt>
                <c:pt idx="18">
                  <c:v>1.1768979344614909</c:v>
                </c:pt>
                <c:pt idx="19">
                  <c:v>1.1821946014303699</c:v>
                </c:pt>
                <c:pt idx="20">
                  <c:v>1.185096837055625</c:v>
                </c:pt>
                <c:pt idx="21">
                  <c:v>1.1841349532483976</c:v>
                </c:pt>
                <c:pt idx="22">
                  <c:v>1.2140175570165814</c:v>
                </c:pt>
                <c:pt idx="23">
                  <c:v>1.2032806728573027</c:v>
                </c:pt>
                <c:pt idx="24">
                  <c:v>1.2114317533162156</c:v>
                </c:pt>
                <c:pt idx="25">
                  <c:v>1.1906605653332314</c:v>
                </c:pt>
              </c:numCache>
            </c:numRef>
          </c:yVal>
          <c:smooth val="1"/>
          <c:extLst>
            <c:ext xmlns:c16="http://schemas.microsoft.com/office/drawing/2014/chart" uri="{C3380CC4-5D6E-409C-BE32-E72D297353CC}">
              <c16:uniqueId val="{00000000-9317-4E07-BD75-DF4D89D66CF5}"/>
            </c:ext>
          </c:extLst>
        </c:ser>
        <c:ser>
          <c:idx val="2"/>
          <c:order val="1"/>
          <c:tx>
            <c:v>RMTP</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'Plastics CCUS_COMPARISON'!$A$13:$A$38</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xVal>
          <c:yVal>
            <c:numRef>
              <c:f>'Plastics CCUS_COMPARISON'!$T$13:$T$38</c:f>
              <c:numCache>
                <c:formatCode>0.00</c:formatCode>
                <c:ptCount val="26"/>
                <c:pt idx="0">
                  <c:v>1.5831236397336581</c:v>
                </c:pt>
                <c:pt idx="1">
                  <c:v>1.5636785028286821</c:v>
                </c:pt>
                <c:pt idx="2">
                  <c:v>1.5070078884206546</c:v>
                </c:pt>
                <c:pt idx="3">
                  <c:v>1.477808802735826</c:v>
                </c:pt>
                <c:pt idx="4">
                  <c:v>1.4320354061560676</c:v>
                </c:pt>
                <c:pt idx="5">
                  <c:v>1.4061402418310214</c:v>
                </c:pt>
                <c:pt idx="6">
                  <c:v>1.4057957376317236</c:v>
                </c:pt>
                <c:pt idx="7">
                  <c:v>1.3804363404559716</c:v>
                </c:pt>
                <c:pt idx="8">
                  <c:v>1.3749402331870262</c:v>
                </c:pt>
                <c:pt idx="9">
                  <c:v>1.3759473626355592</c:v>
                </c:pt>
                <c:pt idx="10">
                  <c:v>1.3593202634567962</c:v>
                </c:pt>
                <c:pt idx="11">
                  <c:v>1.3782986805940443</c:v>
                </c:pt>
                <c:pt idx="12">
                  <c:v>1.3378134577114271</c:v>
                </c:pt>
                <c:pt idx="13">
                  <c:v>1.322031118662665</c:v>
                </c:pt>
                <c:pt idx="14">
                  <c:v>1.3066169330228672</c:v>
                </c:pt>
                <c:pt idx="15">
                  <c:v>1.2845886999640375</c:v>
                </c:pt>
                <c:pt idx="16">
                  <c:v>1.297394055595795</c:v>
                </c:pt>
                <c:pt idx="17">
                  <c:v>1.2951150292534992</c:v>
                </c:pt>
                <c:pt idx="18">
                  <c:v>1.2341681591953226</c:v>
                </c:pt>
                <c:pt idx="19">
                  <c:v>1.2394481901611247</c:v>
                </c:pt>
                <c:pt idx="20">
                  <c:v>1.2423413103179022</c:v>
                </c:pt>
                <c:pt idx="21">
                  <c:v>1.24138244763737</c:v>
                </c:pt>
                <c:pt idx="22">
                  <c:v>1.271171194817786</c:v>
                </c:pt>
                <c:pt idx="23">
                  <c:v>1.2604680335334704</c:v>
                </c:pt>
                <c:pt idx="24">
                  <c:v>1.2685935127226804</c:v>
                </c:pt>
                <c:pt idx="25">
                  <c:v>1.2478875637946025</c:v>
                </c:pt>
              </c:numCache>
            </c:numRef>
          </c:yVal>
          <c:smooth val="1"/>
          <c:extLst>
            <c:ext xmlns:c16="http://schemas.microsoft.com/office/drawing/2014/chart" uri="{C3380CC4-5D6E-409C-BE32-E72D297353CC}">
              <c16:uniqueId val="{00000001-9317-4E07-BD75-DF4D89D66CF5}"/>
            </c:ext>
          </c:extLst>
        </c:ser>
        <c:ser>
          <c:idx val="3"/>
          <c:order val="2"/>
          <c:tx>
            <c:v>ROCM</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'Plastics CCUS_COMPARISON'!$A$13:$A$38</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xVal>
          <c:yVal>
            <c:numRef>
              <c:f>'Plastics CCUS_COMPARISON'!$U$13:$U$38</c:f>
              <c:numCache>
                <c:formatCode>0.00</c:formatCode>
                <c:ptCount val="26"/>
                <c:pt idx="0">
                  <c:v>1.4855503303349866</c:v>
                </c:pt>
                <c:pt idx="1">
                  <c:v>1.4707819219641793</c:v>
                </c:pt>
                <c:pt idx="2">
                  <c:v>1.4277410948261533</c:v>
                </c:pt>
                <c:pt idx="3">
                  <c:v>1.405564649190669</c:v>
                </c:pt>
                <c:pt idx="4">
                  <c:v>1.370800161981746</c:v>
                </c:pt>
                <c:pt idx="5">
                  <c:v>1.351133015206164</c:v>
                </c:pt>
                <c:pt idx="6">
                  <c:v>1.3536118427477364</c:v>
                </c:pt>
                <c:pt idx="7">
                  <c:v>1.3343516063524266</c:v>
                </c:pt>
                <c:pt idx="8">
                  <c:v>1.3301773618102459</c:v>
                </c:pt>
                <c:pt idx="9">
                  <c:v>1.3309422676605305</c:v>
                </c:pt>
                <c:pt idx="10">
                  <c:v>1.3183141338554629</c:v>
                </c:pt>
                <c:pt idx="11">
                  <c:v>1.3327280727176105</c:v>
                </c:pt>
                <c:pt idx="12">
                  <c:v>1.3019799063541919</c:v>
                </c:pt>
                <c:pt idx="13">
                  <c:v>1.2899933603474614</c:v>
                </c:pt>
                <c:pt idx="14">
                  <c:v>1.2782864235773885</c:v>
                </c:pt>
                <c:pt idx="15">
                  <c:v>1.2615561766735024</c:v>
                </c:pt>
                <c:pt idx="16">
                  <c:v>1.2734650760742217</c:v>
                </c:pt>
                <c:pt idx="17">
                  <c:v>1.2717341758560678</c:v>
                </c:pt>
                <c:pt idx="18">
                  <c:v>1.2254455706207215</c:v>
                </c:pt>
                <c:pt idx="19">
                  <c:v>1.2294557071342638</c:v>
                </c:pt>
                <c:pt idx="20">
                  <c:v>1.2316530061376034</c:v>
                </c:pt>
                <c:pt idx="21">
                  <c:v>1.230924758467925</c:v>
                </c:pt>
                <c:pt idx="22">
                  <c:v>1.2535490467599013</c:v>
                </c:pt>
                <c:pt idx="23">
                  <c:v>1.2454200910483608</c:v>
                </c:pt>
                <c:pt idx="24">
                  <c:v>1.2515913201562434</c:v>
                </c:pt>
                <c:pt idx="25">
                  <c:v>1.235865336278152</c:v>
                </c:pt>
              </c:numCache>
            </c:numRef>
          </c:yVal>
          <c:smooth val="1"/>
          <c:extLst>
            <c:ext xmlns:c16="http://schemas.microsoft.com/office/drawing/2014/chart" uri="{C3380CC4-5D6E-409C-BE32-E72D297353CC}">
              <c16:uniqueId val="{00000002-9317-4E07-BD75-DF4D89D66CF5}"/>
            </c:ext>
          </c:extLst>
        </c:ser>
        <c:dLbls>
          <c:showLegendKey val="0"/>
          <c:showVal val="0"/>
          <c:showCatName val="0"/>
          <c:showSerName val="0"/>
          <c:showPercent val="0"/>
          <c:showBubbleSize val="0"/>
        </c:dLbls>
        <c:axId val="905011071"/>
        <c:axId val="878589279"/>
      </c:scatterChart>
      <c:valAx>
        <c:axId val="905011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589279"/>
        <c:crosses val="autoZero"/>
        <c:crossBetween val="midCat"/>
      </c:valAx>
      <c:valAx>
        <c:axId val="878589279"/>
        <c:scaling>
          <c:orientation val="minMax"/>
          <c:max val="1.6"/>
          <c:min val="1"/>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Ratio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011071"/>
        <c:crosses val="autoZero"/>
        <c:crossBetween val="midCat"/>
      </c:valAx>
      <c:spPr>
        <a:noFill/>
        <a:ln>
          <a:noFill/>
        </a:ln>
        <a:effectLst/>
      </c:spPr>
    </c:plotArea>
    <c:legend>
      <c:legendPos val="r"/>
      <c:layout>
        <c:manualLayout>
          <c:xMode val="edge"/>
          <c:yMode val="edge"/>
          <c:x val="0.16724594239134508"/>
          <c:y val="0.56726548339046323"/>
          <c:w val="0.15065680878953519"/>
          <c:h val="0.217554243462967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2000"/>
              <a:t>Annual</a:t>
            </a:r>
            <a:r>
              <a:rPr lang="es-MX" sz="2000" baseline="0"/>
              <a:t> requirements of plastics</a:t>
            </a:r>
            <a:endParaRPr lang="es-MX" sz="2000"/>
          </a:p>
        </c:rich>
      </c:tx>
      <c:layout>
        <c:manualLayout>
          <c:xMode val="edge"/>
          <c:yMode val="edge"/>
          <c:x val="0.28762597559280706"/>
          <c:y val="3.1275769121552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'Plastics CCUS_RMTO'!$R$3</c:f>
              <c:strCache>
                <c:ptCount val="1"/>
                <c:pt idx="0">
                  <c:v>ABS</c:v>
                </c:pt>
              </c:strCache>
            </c:strRef>
          </c:tx>
          <c:spPr>
            <a:solidFill>
              <a:schemeClr val="accent1"/>
            </a:solidFill>
            <a:ln>
              <a:noFill/>
            </a:ln>
            <a:effectLst/>
          </c:spPr>
          <c:cat>
            <c:numRef>
              <c:extLst>
                <c:ext xmlns:c15="http://schemas.microsoft.com/office/drawing/2012/chart" uri="{02D57815-91ED-43cb-92C2-25804820EDAC}">
                  <c15:fullRef>
                    <c15:sqref>'Plastics CCUS_RMTO'!$A$4:$A$38</c15:sqref>
                  </c15:fullRef>
                </c:ext>
              </c:extLst>
              <c:f>('Plastics CCUS_RMTO'!$A$5,'Plastics CCUS_RMTO'!$A$7,'Plastics CCUS_RMTO'!$A$9,'Plastics CCUS_RMTO'!$A$11,'Plastics CCUS_RMTO'!$A$13,'Plastics CCUS_RMTO'!$A$15,'Plastics CCUS_RMTO'!$A$17,'Plastics CCUS_RMTO'!$A$19,'Plastics CCUS_RMTO'!$A$21,'Plastics CCUS_RMTO'!$A$23,'Plastics CCUS_RMTO'!$A$25,'Plastics CCUS_RMTO'!$A$27,'Plastics CCUS_RMTO'!$A$29,'Plastics CCUS_RMTO'!$A$31,'Plastics CCUS_RMTO'!$A$33,'Plastics CCUS_RMTO'!$A$35,'Plastics CCUS_RMTO'!$A$37:$A$38)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CCUS_RMTO'!$R$4:$R$38</c15:sqref>
                  </c15:fullRef>
                </c:ext>
              </c:extLst>
              <c:f>('Plastics CCUS_RMTO'!$R$5,'Plastics CCUS_RMTO'!$R$7,'Plastics CCUS_RMTO'!$R$9,'Plastics CCUS_RMTO'!$R$11,'Plastics CCUS_RMTO'!$R$13,'Plastics CCUS_RMTO'!$R$15,'Plastics CCUS_RMTO'!$R$17,'Plastics CCUS_RMTO'!$R$19,'Plastics CCUS_RMTO'!$R$21,'Plastics CCUS_RMTO'!$R$23,'Plastics CCUS_RMTO'!$R$25,'Plastics CCUS_RMTO'!$R$27,'Plastics CCUS_RMTO'!$R$29,'Plastics CCUS_RMTO'!$R$31,'Plastics CCUS_RMTO'!$R$33,'Plastics CCUS_RMTO'!$R$35,'Plastics CCUS_RMTO'!$R$37:$R$38)</c:f>
              <c:numCache>
                <c:formatCode>General</c:formatCode>
                <c:ptCount val="18"/>
                <c:pt idx="0">
                  <c:v>0.11901465526270119</c:v>
                </c:pt>
                <c:pt idx="1">
                  <c:v>0.1955240765030091</c:v>
                </c:pt>
                <c:pt idx="2">
                  <c:v>0.96486881230832755</c:v>
                </c:pt>
                <c:pt idx="3">
                  <c:v>1.2983274738420856</c:v>
                </c:pt>
                <c:pt idx="4">
                  <c:v>1.74702944880191</c:v>
                </c:pt>
                <c:pt idx="5">
                  <c:v>2.35080282630785</c:v>
                </c:pt>
                <c:pt idx="6">
                  <c:v>3.1632402830798436</c:v>
                </c:pt>
                <c:pt idx="7">
                  <c:v>3.9996010139261542</c:v>
                </c:pt>
                <c:pt idx="8">
                  <c:v>4.7519259646456629</c:v>
                </c:pt>
                <c:pt idx="9">
                  <c:v>5.6457632385955128</c:v>
                </c:pt>
                <c:pt idx="10">
                  <c:v>6.7077313037753283</c:v>
                </c:pt>
                <c:pt idx="11">
                  <c:v>7.9694555620154661</c:v>
                </c:pt>
                <c:pt idx="12">
                  <c:v>9.0341748251007346</c:v>
                </c:pt>
                <c:pt idx="13">
                  <c:v>9.7713634908289535</c:v>
                </c:pt>
                <c:pt idx="14">
                  <c:v>10.568706751680594</c:v>
                </c:pt>
                <c:pt idx="15">
                  <c:v>11.43111322261773</c:v>
                </c:pt>
                <c:pt idx="16">
                  <c:v>12.363892061583336</c:v>
                </c:pt>
                <c:pt idx="17">
                  <c:v>12.85844774404667</c:v>
                </c:pt>
              </c:numCache>
            </c:numRef>
          </c:val>
          <c:extLst>
            <c:ext xmlns:c16="http://schemas.microsoft.com/office/drawing/2014/chart" uri="{C3380CC4-5D6E-409C-BE32-E72D297353CC}">
              <c16:uniqueId val="{00000000-9733-4FD7-BA8E-6078CBFDCF95}"/>
            </c:ext>
          </c:extLst>
        </c:ser>
        <c:ser>
          <c:idx val="1"/>
          <c:order val="1"/>
          <c:tx>
            <c:strRef>
              <c:f>'Plastics CCUS_RMTO'!$S$3</c:f>
              <c:strCache>
                <c:ptCount val="1"/>
                <c:pt idx="0">
                  <c:v>EPDM</c:v>
                </c:pt>
              </c:strCache>
            </c:strRef>
          </c:tx>
          <c:spPr>
            <a:solidFill>
              <a:schemeClr val="accent2"/>
            </a:solidFill>
            <a:ln>
              <a:noFill/>
            </a:ln>
            <a:effectLst/>
          </c:spPr>
          <c:cat>
            <c:numRef>
              <c:extLst>
                <c:ext xmlns:c15="http://schemas.microsoft.com/office/drawing/2012/chart" uri="{02D57815-91ED-43cb-92C2-25804820EDAC}">
                  <c15:fullRef>
                    <c15:sqref>'Plastics CCUS_RMTO'!$A$4:$A$38</c15:sqref>
                  </c15:fullRef>
                </c:ext>
              </c:extLst>
              <c:f>('Plastics CCUS_RMTO'!$A$5,'Plastics CCUS_RMTO'!$A$7,'Plastics CCUS_RMTO'!$A$9,'Plastics CCUS_RMTO'!$A$11,'Plastics CCUS_RMTO'!$A$13,'Plastics CCUS_RMTO'!$A$15,'Plastics CCUS_RMTO'!$A$17,'Plastics CCUS_RMTO'!$A$19,'Plastics CCUS_RMTO'!$A$21,'Plastics CCUS_RMTO'!$A$23,'Plastics CCUS_RMTO'!$A$25,'Plastics CCUS_RMTO'!$A$27,'Plastics CCUS_RMTO'!$A$29,'Plastics CCUS_RMTO'!$A$31,'Plastics CCUS_RMTO'!$A$33,'Plastics CCUS_RMTO'!$A$35,'Plastics CCUS_RMTO'!$A$37:$A$38)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CCUS_RMTO'!$S$4:$S$38</c15:sqref>
                  </c15:fullRef>
                </c:ext>
              </c:extLst>
              <c:f>('Plastics CCUS_RMTO'!$S$5,'Plastics CCUS_RMTO'!$S$7,'Plastics CCUS_RMTO'!$S$9,'Plastics CCUS_RMTO'!$S$11,'Plastics CCUS_RMTO'!$S$13,'Plastics CCUS_RMTO'!$S$15,'Plastics CCUS_RMTO'!$S$17,'Plastics CCUS_RMTO'!$S$19,'Plastics CCUS_RMTO'!$S$21,'Plastics CCUS_RMTO'!$S$23,'Plastics CCUS_RMTO'!$S$25,'Plastics CCUS_RMTO'!$S$27,'Plastics CCUS_RMTO'!$S$29,'Plastics CCUS_RMTO'!$S$31,'Plastics CCUS_RMTO'!$S$33,'Plastics CCUS_RMTO'!$S$35,'Plastics CCUS_RMTO'!$S$37:$S$38)</c:f>
              <c:numCache>
                <c:formatCode>General</c:formatCode>
                <c:ptCount val="18"/>
                <c:pt idx="0">
                  <c:v>0.11118474373226031</c:v>
                </c:pt>
                <c:pt idx="1">
                  <c:v>0.1826606504172848</c:v>
                </c:pt>
                <c:pt idx="2">
                  <c:v>0.90139060097225321</c:v>
                </c:pt>
                <c:pt idx="3">
                  <c:v>1.2129111926682641</c:v>
                </c:pt>
                <c:pt idx="4">
                  <c:v>1.6320933008544158</c:v>
                </c:pt>
                <c:pt idx="5">
                  <c:v>2.1961447456297019</c:v>
                </c:pt>
                <c:pt idx="6">
                  <c:v>2.955132369719327</c:v>
                </c:pt>
                <c:pt idx="7">
                  <c:v>3.7364693682731174</c:v>
                </c:pt>
                <c:pt idx="8">
                  <c:v>4.4392992564452909</c:v>
                </c:pt>
                <c:pt idx="9">
                  <c:v>5.2743314465826492</c:v>
                </c:pt>
                <c:pt idx="10">
                  <c:v>6.2664331916848459</c:v>
                </c:pt>
                <c:pt idx="11">
                  <c:v>7.4451492750407642</c:v>
                </c:pt>
                <c:pt idx="12">
                  <c:v>8.4398212181862124</c:v>
                </c:pt>
                <c:pt idx="13">
                  <c:v>9.1285106295902061</c:v>
                </c:pt>
                <c:pt idx="14">
                  <c:v>9.8733970969647658</c:v>
                </c:pt>
                <c:pt idx="15">
                  <c:v>10.679066300077087</c:v>
                </c:pt>
                <c:pt idx="16">
                  <c:v>11.550478110163377</c:v>
                </c:pt>
                <c:pt idx="17">
                  <c:v>12.012497234569915</c:v>
                </c:pt>
              </c:numCache>
            </c:numRef>
          </c:val>
          <c:extLst>
            <c:ext xmlns:c16="http://schemas.microsoft.com/office/drawing/2014/chart" uri="{C3380CC4-5D6E-409C-BE32-E72D297353CC}">
              <c16:uniqueId val="{00000001-9733-4FD7-BA8E-6078CBFDCF95}"/>
            </c:ext>
          </c:extLst>
        </c:ser>
        <c:ser>
          <c:idx val="2"/>
          <c:order val="2"/>
          <c:tx>
            <c:strRef>
              <c:f>'Plastics CCUS_RMTO'!$T$3</c:f>
              <c:strCache>
                <c:ptCount val="1"/>
                <c:pt idx="0">
                  <c:v>LER</c:v>
                </c:pt>
              </c:strCache>
            </c:strRef>
          </c:tx>
          <c:spPr>
            <a:solidFill>
              <a:schemeClr val="accent3"/>
            </a:solidFill>
            <a:ln>
              <a:noFill/>
            </a:ln>
            <a:effectLst/>
          </c:spPr>
          <c:cat>
            <c:numRef>
              <c:extLst>
                <c:ext xmlns:c15="http://schemas.microsoft.com/office/drawing/2012/chart" uri="{02D57815-91ED-43cb-92C2-25804820EDAC}">
                  <c15:fullRef>
                    <c15:sqref>'Plastics CCUS_RMTO'!$A$4:$A$38</c15:sqref>
                  </c15:fullRef>
                </c:ext>
              </c:extLst>
              <c:f>('Plastics CCUS_RMTO'!$A$5,'Plastics CCUS_RMTO'!$A$7,'Plastics CCUS_RMTO'!$A$9,'Plastics CCUS_RMTO'!$A$11,'Plastics CCUS_RMTO'!$A$13,'Plastics CCUS_RMTO'!$A$15,'Plastics CCUS_RMTO'!$A$17,'Plastics CCUS_RMTO'!$A$19,'Plastics CCUS_RMTO'!$A$21,'Plastics CCUS_RMTO'!$A$23,'Plastics CCUS_RMTO'!$A$25,'Plastics CCUS_RMTO'!$A$27,'Plastics CCUS_RMTO'!$A$29,'Plastics CCUS_RMTO'!$A$31,'Plastics CCUS_RMTO'!$A$33,'Plastics CCUS_RMTO'!$A$35,'Plastics CCUS_RMTO'!$A$37:$A$38)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CCUS_RMTO'!$T$4:$T$38</c15:sqref>
                  </c15:fullRef>
                </c:ext>
              </c:extLst>
              <c:f>('Plastics CCUS_RMTO'!$T$5,'Plastics CCUS_RMTO'!$T$7,'Plastics CCUS_RMTO'!$T$9,'Plastics CCUS_RMTO'!$T$11,'Plastics CCUS_RMTO'!$T$13,'Plastics CCUS_RMTO'!$T$15,'Plastics CCUS_RMTO'!$T$17,'Plastics CCUS_RMTO'!$T$19,'Plastics CCUS_RMTO'!$T$21,'Plastics CCUS_RMTO'!$T$23,'Plastics CCUS_RMTO'!$T$25,'Plastics CCUS_RMTO'!$T$27,'Plastics CCUS_RMTO'!$T$29,'Plastics CCUS_RMTO'!$T$31,'Plastics CCUS_RMTO'!$T$33,'Plastics CCUS_RMTO'!$T$35,'Plastics CCUS_RMTO'!$T$37:$T$38)</c:f>
              <c:numCache>
                <c:formatCode>General</c:formatCode>
                <c:ptCount val="18"/>
                <c:pt idx="0">
                  <c:v>0.16756010675143457</c:v>
                </c:pt>
                <c:pt idx="1">
                  <c:v>0.27527731823449963</c:v>
                </c:pt>
                <c:pt idx="2">
                  <c:v>1.3584337225919874</c:v>
                </c:pt>
                <c:pt idx="3">
                  <c:v>1.8279084171197781</c:v>
                </c:pt>
                <c:pt idx="4">
                  <c:v>2.4596335660763731</c:v>
                </c:pt>
                <c:pt idx="5">
                  <c:v>3.3096829265123682</c:v>
                </c:pt>
                <c:pt idx="6">
                  <c:v>4.4535093459150428</c:v>
                </c:pt>
                <c:pt idx="7">
                  <c:v>5.6310172169749801</c:v>
                </c:pt>
                <c:pt idx="8">
                  <c:v>6.6902115554879726</c:v>
                </c:pt>
                <c:pt idx="9">
                  <c:v>7.9486403490752604</c:v>
                </c:pt>
                <c:pt idx="10">
                  <c:v>9.4437795987363184</c:v>
                </c:pt>
                <c:pt idx="11">
                  <c:v>11.220154541258616</c:v>
                </c:pt>
                <c:pt idx="12">
                  <c:v>12.71916718797077</c:v>
                </c:pt>
                <c:pt idx="13">
                  <c:v>13.757051230509184</c:v>
                </c:pt>
                <c:pt idx="14">
                  <c:v>14.879626610918731</c:v>
                </c:pt>
                <c:pt idx="15">
                  <c:v>16.093804142369699</c:v>
                </c:pt>
                <c:pt idx="16">
                  <c:v>17.407058560387064</c:v>
                </c:pt>
                <c:pt idx="17">
                  <c:v>18.10334090280255</c:v>
                </c:pt>
              </c:numCache>
            </c:numRef>
          </c:val>
          <c:extLst>
            <c:ext xmlns:c16="http://schemas.microsoft.com/office/drawing/2014/chart" uri="{C3380CC4-5D6E-409C-BE32-E72D297353CC}">
              <c16:uniqueId val="{00000002-9733-4FD7-BA8E-6078CBFDCF95}"/>
            </c:ext>
          </c:extLst>
        </c:ser>
        <c:ser>
          <c:idx val="3"/>
          <c:order val="3"/>
          <c:tx>
            <c:strRef>
              <c:f>'Plastics CCUS_RMTO'!$U$3</c:f>
              <c:strCache>
                <c:ptCount val="1"/>
                <c:pt idx="0">
                  <c:v>GPPS</c:v>
                </c:pt>
              </c:strCache>
            </c:strRef>
          </c:tx>
          <c:spPr>
            <a:solidFill>
              <a:schemeClr val="accent4"/>
            </a:solidFill>
            <a:ln>
              <a:noFill/>
            </a:ln>
            <a:effectLst/>
          </c:spPr>
          <c:cat>
            <c:numRef>
              <c:extLst>
                <c:ext xmlns:c15="http://schemas.microsoft.com/office/drawing/2012/chart" uri="{02D57815-91ED-43cb-92C2-25804820EDAC}">
                  <c15:fullRef>
                    <c15:sqref>'Plastics CCUS_RMTO'!$A$4:$A$38</c15:sqref>
                  </c15:fullRef>
                </c:ext>
              </c:extLst>
              <c:f>('Plastics CCUS_RMTO'!$A$5,'Plastics CCUS_RMTO'!$A$7,'Plastics CCUS_RMTO'!$A$9,'Plastics CCUS_RMTO'!$A$11,'Plastics CCUS_RMTO'!$A$13,'Plastics CCUS_RMTO'!$A$15,'Plastics CCUS_RMTO'!$A$17,'Plastics CCUS_RMTO'!$A$19,'Plastics CCUS_RMTO'!$A$21,'Plastics CCUS_RMTO'!$A$23,'Plastics CCUS_RMTO'!$A$25,'Plastics CCUS_RMTO'!$A$27,'Plastics CCUS_RMTO'!$A$29,'Plastics CCUS_RMTO'!$A$31,'Plastics CCUS_RMTO'!$A$33,'Plastics CCUS_RMTO'!$A$35,'Plastics CCUS_RMTO'!$A$37:$A$38)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CCUS_RMTO'!$U$4:$U$38</c15:sqref>
                  </c15:fullRef>
                </c:ext>
              </c:extLst>
              <c:f>('Plastics CCUS_RMTO'!$U$5,'Plastics CCUS_RMTO'!$U$7,'Plastics CCUS_RMTO'!$U$9,'Plastics CCUS_RMTO'!$U$11,'Plastics CCUS_RMTO'!$U$13,'Plastics CCUS_RMTO'!$U$15,'Plastics CCUS_RMTO'!$U$17,'Plastics CCUS_RMTO'!$U$19,'Plastics CCUS_RMTO'!$U$21,'Plastics CCUS_RMTO'!$U$23,'Plastics CCUS_RMTO'!$U$25,'Plastics CCUS_RMTO'!$U$27,'Plastics CCUS_RMTO'!$U$29,'Plastics CCUS_RMTO'!$U$31,'Plastics CCUS_RMTO'!$U$33,'Plastics CCUS_RMTO'!$U$35,'Plastics CCUS_RMTO'!$U$37:$U$38)</c:f>
              <c:numCache>
                <c:formatCode>General</c:formatCode>
                <c:ptCount val="18"/>
                <c:pt idx="0">
                  <c:v>1.0961876142617216E-2</c:v>
                </c:pt>
                <c:pt idx="1">
                  <c:v>1.8008796520013994E-2</c:v>
                </c:pt>
                <c:pt idx="2">
                  <c:v>8.8869495870503842E-2</c:v>
                </c:pt>
                <c:pt idx="3">
                  <c:v>0.11958279364334999</c:v>
                </c:pt>
                <c:pt idx="4">
                  <c:v>0.16091060712649172</c:v>
                </c:pt>
                <c:pt idx="5">
                  <c:v>0.21652131294940727</c:v>
                </c:pt>
                <c:pt idx="6">
                  <c:v>0.29135107870472238</c:v>
                </c:pt>
                <c:pt idx="7">
                  <c:v>0.36838430391425103</c:v>
                </c:pt>
                <c:pt idx="8">
                  <c:v>0.43767739148052159</c:v>
                </c:pt>
                <c:pt idx="9">
                  <c:v>0.52000450881800775</c:v>
                </c:pt>
                <c:pt idx="10">
                  <c:v>0.61781735692667494</c:v>
                </c:pt>
                <c:pt idx="11">
                  <c:v>0.73402880176458252</c:v>
                </c:pt>
                <c:pt idx="12">
                  <c:v>0.83209504968033077</c:v>
                </c:pt>
                <c:pt idx="13">
                  <c:v>0.89999400573424571</c:v>
                </c:pt>
                <c:pt idx="14">
                  <c:v>0.97343351660216004</c:v>
                </c:pt>
                <c:pt idx="15">
                  <c:v>1.0528656915568961</c:v>
                </c:pt>
                <c:pt idx="16">
                  <c:v>1.1387795319879388</c:v>
                </c:pt>
                <c:pt idx="17">
                  <c:v>1.1843307132674565</c:v>
                </c:pt>
              </c:numCache>
            </c:numRef>
          </c:val>
          <c:extLst>
            <c:ext xmlns:c16="http://schemas.microsoft.com/office/drawing/2014/chart" uri="{C3380CC4-5D6E-409C-BE32-E72D297353CC}">
              <c16:uniqueId val="{00000003-9733-4FD7-BA8E-6078CBFDCF95}"/>
            </c:ext>
          </c:extLst>
        </c:ser>
        <c:ser>
          <c:idx val="4"/>
          <c:order val="4"/>
          <c:tx>
            <c:strRef>
              <c:f>'Plastics CCUS_RMTO'!$V$3</c:f>
              <c:strCache>
                <c:ptCount val="1"/>
                <c:pt idx="0">
                  <c:v>HIPS</c:v>
                </c:pt>
              </c:strCache>
            </c:strRef>
          </c:tx>
          <c:spPr>
            <a:solidFill>
              <a:schemeClr val="accent5"/>
            </a:solidFill>
            <a:ln>
              <a:noFill/>
            </a:ln>
            <a:effectLst/>
          </c:spPr>
          <c:cat>
            <c:numRef>
              <c:extLst>
                <c:ext xmlns:c15="http://schemas.microsoft.com/office/drawing/2012/chart" uri="{02D57815-91ED-43cb-92C2-25804820EDAC}">
                  <c15:fullRef>
                    <c15:sqref>'Plastics CCUS_RMTO'!$A$4:$A$38</c15:sqref>
                  </c15:fullRef>
                </c:ext>
              </c:extLst>
              <c:f>('Plastics CCUS_RMTO'!$A$5,'Plastics CCUS_RMTO'!$A$7,'Plastics CCUS_RMTO'!$A$9,'Plastics CCUS_RMTO'!$A$11,'Plastics CCUS_RMTO'!$A$13,'Plastics CCUS_RMTO'!$A$15,'Plastics CCUS_RMTO'!$A$17,'Plastics CCUS_RMTO'!$A$19,'Plastics CCUS_RMTO'!$A$21,'Plastics CCUS_RMTO'!$A$23,'Plastics CCUS_RMTO'!$A$25,'Plastics CCUS_RMTO'!$A$27,'Plastics CCUS_RMTO'!$A$29,'Plastics CCUS_RMTO'!$A$31,'Plastics CCUS_RMTO'!$A$33,'Plastics CCUS_RMTO'!$A$35,'Plastics CCUS_RMTO'!$A$37:$A$38)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CCUS_RMTO'!$V$4:$V$38</c15:sqref>
                  </c15:fullRef>
                </c:ext>
              </c:extLst>
              <c:f>('Plastics CCUS_RMTO'!$V$5,'Plastics CCUS_RMTO'!$V$7,'Plastics CCUS_RMTO'!$V$9,'Plastics CCUS_RMTO'!$V$11,'Plastics CCUS_RMTO'!$V$13,'Plastics CCUS_RMTO'!$V$15,'Plastics CCUS_RMTO'!$V$17,'Plastics CCUS_RMTO'!$V$19,'Plastics CCUS_RMTO'!$V$21,'Plastics CCUS_RMTO'!$V$23,'Plastics CCUS_RMTO'!$V$25,'Plastics CCUS_RMTO'!$V$27,'Plastics CCUS_RMTO'!$V$29,'Plastics CCUS_RMTO'!$V$31,'Plastics CCUS_RMTO'!$V$33,'Plastics CCUS_RMTO'!$V$35,'Plastics CCUS_RMTO'!$V$37:$V$38)</c:f>
              <c:numCache>
                <c:formatCode>General</c:formatCode>
                <c:ptCount val="18"/>
                <c:pt idx="0">
                  <c:v>1.0961876142617216E-2</c:v>
                </c:pt>
                <c:pt idx="1">
                  <c:v>1.8008796520013994E-2</c:v>
                </c:pt>
                <c:pt idx="2">
                  <c:v>8.8869495870503842E-2</c:v>
                </c:pt>
                <c:pt idx="3">
                  <c:v>0.11958279364334999</c:v>
                </c:pt>
                <c:pt idx="4">
                  <c:v>0.16091060712649172</c:v>
                </c:pt>
                <c:pt idx="5">
                  <c:v>0.21652131294940727</c:v>
                </c:pt>
                <c:pt idx="6">
                  <c:v>0.29135107870472238</c:v>
                </c:pt>
                <c:pt idx="7">
                  <c:v>0.36838430391425103</c:v>
                </c:pt>
                <c:pt idx="8">
                  <c:v>0.43767739148052159</c:v>
                </c:pt>
                <c:pt idx="9">
                  <c:v>0.52000450881800775</c:v>
                </c:pt>
                <c:pt idx="10">
                  <c:v>0.61781735692667494</c:v>
                </c:pt>
                <c:pt idx="11">
                  <c:v>0.73402880176458252</c:v>
                </c:pt>
                <c:pt idx="12">
                  <c:v>0.83209504968033077</c:v>
                </c:pt>
                <c:pt idx="13">
                  <c:v>0.89999400573424571</c:v>
                </c:pt>
                <c:pt idx="14">
                  <c:v>0.97343351660216004</c:v>
                </c:pt>
                <c:pt idx="15">
                  <c:v>1.0528656915568961</c:v>
                </c:pt>
                <c:pt idx="16">
                  <c:v>1.1387795319879388</c:v>
                </c:pt>
                <c:pt idx="17">
                  <c:v>1.1843307132674565</c:v>
                </c:pt>
              </c:numCache>
            </c:numRef>
          </c:val>
          <c:extLst>
            <c:ext xmlns:c16="http://schemas.microsoft.com/office/drawing/2014/chart" uri="{C3380CC4-5D6E-409C-BE32-E72D297353CC}">
              <c16:uniqueId val="{00000004-9733-4FD7-BA8E-6078CBFDCF95}"/>
            </c:ext>
          </c:extLst>
        </c:ser>
        <c:ser>
          <c:idx val="5"/>
          <c:order val="5"/>
          <c:tx>
            <c:strRef>
              <c:f>'Plastics CCUS_RMTO'!$W$3</c:f>
              <c:strCache>
                <c:ptCount val="1"/>
                <c:pt idx="0">
                  <c:v>HDPE</c:v>
                </c:pt>
              </c:strCache>
            </c:strRef>
          </c:tx>
          <c:spPr>
            <a:solidFill>
              <a:schemeClr val="accent6"/>
            </a:solidFill>
            <a:ln>
              <a:noFill/>
            </a:ln>
            <a:effectLst/>
          </c:spPr>
          <c:cat>
            <c:numRef>
              <c:extLst>
                <c:ext xmlns:c15="http://schemas.microsoft.com/office/drawing/2012/chart" uri="{02D57815-91ED-43cb-92C2-25804820EDAC}">
                  <c15:fullRef>
                    <c15:sqref>'Plastics CCUS_RMTO'!$A$4:$A$38</c15:sqref>
                  </c15:fullRef>
                </c:ext>
              </c:extLst>
              <c:f>('Plastics CCUS_RMTO'!$A$5,'Plastics CCUS_RMTO'!$A$7,'Plastics CCUS_RMTO'!$A$9,'Plastics CCUS_RMTO'!$A$11,'Plastics CCUS_RMTO'!$A$13,'Plastics CCUS_RMTO'!$A$15,'Plastics CCUS_RMTO'!$A$17,'Plastics CCUS_RMTO'!$A$19,'Plastics CCUS_RMTO'!$A$21,'Plastics CCUS_RMTO'!$A$23,'Plastics CCUS_RMTO'!$A$25,'Plastics CCUS_RMTO'!$A$27,'Plastics CCUS_RMTO'!$A$29,'Plastics CCUS_RMTO'!$A$31,'Plastics CCUS_RMTO'!$A$33,'Plastics CCUS_RMTO'!$A$35,'Plastics CCUS_RMTO'!$A$37:$A$38)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CCUS_RMTO'!$W$4:$W$38</c15:sqref>
                  </c15:fullRef>
                </c:ext>
              </c:extLst>
              <c:f>('Plastics CCUS_RMTO'!$W$5,'Plastics CCUS_RMTO'!$W$7,'Plastics CCUS_RMTO'!$W$9,'Plastics CCUS_RMTO'!$W$11,'Plastics CCUS_RMTO'!$W$13,'Plastics CCUS_RMTO'!$W$15,'Plastics CCUS_RMTO'!$W$17,'Plastics CCUS_RMTO'!$W$19,'Plastics CCUS_RMTO'!$W$21,'Plastics CCUS_RMTO'!$W$23,'Plastics CCUS_RMTO'!$W$25,'Plastics CCUS_RMTO'!$W$27,'Plastics CCUS_RMTO'!$W$29,'Plastics CCUS_RMTO'!$W$31,'Plastics CCUS_RMTO'!$W$33,'Plastics CCUS_RMTO'!$W$35,'Plastics CCUS_RMTO'!$W$37:$W$38)</c:f>
              <c:numCache>
                <c:formatCode>General</c:formatCode>
                <c:ptCount val="18"/>
                <c:pt idx="0">
                  <c:v>2.1923752285234428E-2</c:v>
                </c:pt>
                <c:pt idx="1">
                  <c:v>3.6017593040027981E-2</c:v>
                </c:pt>
                <c:pt idx="2">
                  <c:v>0.17773899174100766</c:v>
                </c:pt>
                <c:pt idx="3">
                  <c:v>0.2391655872866999</c:v>
                </c:pt>
                <c:pt idx="4">
                  <c:v>0.32182121425298338</c:v>
                </c:pt>
                <c:pt idx="5">
                  <c:v>0.43304262589881443</c:v>
                </c:pt>
                <c:pt idx="6">
                  <c:v>0.58270215740944464</c:v>
                </c:pt>
                <c:pt idx="7">
                  <c:v>0.73676860782850195</c:v>
                </c:pt>
                <c:pt idx="8">
                  <c:v>0.87535478296104308</c:v>
                </c:pt>
                <c:pt idx="9">
                  <c:v>1.0400090176360153</c:v>
                </c:pt>
                <c:pt idx="10">
                  <c:v>1.2356347138533497</c:v>
                </c:pt>
                <c:pt idx="11">
                  <c:v>1.4680576035291648</c:v>
                </c:pt>
                <c:pt idx="12">
                  <c:v>1.6641900993606613</c:v>
                </c:pt>
                <c:pt idx="13">
                  <c:v>1.7999880114684912</c:v>
                </c:pt>
                <c:pt idx="14">
                  <c:v>1.9468670332043196</c:v>
                </c:pt>
                <c:pt idx="15">
                  <c:v>2.1057313831137923</c:v>
                </c:pt>
                <c:pt idx="16">
                  <c:v>2.2775590639758772</c:v>
                </c:pt>
                <c:pt idx="17">
                  <c:v>2.3686614265349126</c:v>
                </c:pt>
              </c:numCache>
            </c:numRef>
          </c:val>
          <c:extLst>
            <c:ext xmlns:c16="http://schemas.microsoft.com/office/drawing/2014/chart" uri="{C3380CC4-5D6E-409C-BE32-E72D297353CC}">
              <c16:uniqueId val="{00000005-9733-4FD7-BA8E-6078CBFDCF95}"/>
            </c:ext>
          </c:extLst>
        </c:ser>
        <c:ser>
          <c:idx val="6"/>
          <c:order val="6"/>
          <c:tx>
            <c:strRef>
              <c:f>'Plastics CCUS_RMTO'!$X$3</c:f>
              <c:strCache>
                <c:ptCount val="1"/>
                <c:pt idx="0">
                  <c:v>LDPE</c:v>
                </c:pt>
              </c:strCache>
            </c:strRef>
          </c:tx>
          <c:spPr>
            <a:solidFill>
              <a:schemeClr val="accent1">
                <a:lumMod val="60000"/>
              </a:schemeClr>
            </a:solidFill>
            <a:ln>
              <a:noFill/>
            </a:ln>
            <a:effectLst/>
          </c:spPr>
          <c:cat>
            <c:numRef>
              <c:extLst>
                <c:ext xmlns:c15="http://schemas.microsoft.com/office/drawing/2012/chart" uri="{02D57815-91ED-43cb-92C2-25804820EDAC}">
                  <c15:fullRef>
                    <c15:sqref>'Plastics CCUS_RMTO'!$A$4:$A$38</c15:sqref>
                  </c15:fullRef>
                </c:ext>
              </c:extLst>
              <c:f>('Plastics CCUS_RMTO'!$A$5,'Plastics CCUS_RMTO'!$A$7,'Plastics CCUS_RMTO'!$A$9,'Plastics CCUS_RMTO'!$A$11,'Plastics CCUS_RMTO'!$A$13,'Plastics CCUS_RMTO'!$A$15,'Plastics CCUS_RMTO'!$A$17,'Plastics CCUS_RMTO'!$A$19,'Plastics CCUS_RMTO'!$A$21,'Plastics CCUS_RMTO'!$A$23,'Plastics CCUS_RMTO'!$A$25,'Plastics CCUS_RMTO'!$A$27,'Plastics CCUS_RMTO'!$A$29,'Plastics CCUS_RMTO'!$A$31,'Plastics CCUS_RMTO'!$A$33,'Plastics CCUS_RMTO'!$A$35,'Plastics CCUS_RMTO'!$A$37:$A$38)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CCUS_RMTO'!$X$4:$X$38</c15:sqref>
                  </c15:fullRef>
                </c:ext>
              </c:extLst>
              <c:f>('Plastics CCUS_RMTO'!$X$5,'Plastics CCUS_RMTO'!$X$7,'Plastics CCUS_RMTO'!$X$9,'Plastics CCUS_RMTO'!$X$11,'Plastics CCUS_RMTO'!$X$13,'Plastics CCUS_RMTO'!$X$15,'Plastics CCUS_RMTO'!$X$17,'Plastics CCUS_RMTO'!$X$19,'Plastics CCUS_RMTO'!$X$21,'Plastics CCUS_RMTO'!$X$23,'Plastics CCUS_RMTO'!$X$25,'Plastics CCUS_RMTO'!$X$27,'Plastics CCUS_RMTO'!$X$29,'Plastics CCUS_RMTO'!$X$31,'Plastics CCUS_RMTO'!$X$33,'Plastics CCUS_RMTO'!$X$35,'Plastics CCUS_RMTO'!$X$37:$X$38)</c:f>
              <c:numCache>
                <c:formatCode>General</c:formatCode>
                <c:ptCount val="18"/>
                <c:pt idx="0">
                  <c:v>2.1923752285234428E-2</c:v>
                </c:pt>
                <c:pt idx="1">
                  <c:v>3.6017593040027981E-2</c:v>
                </c:pt>
                <c:pt idx="2">
                  <c:v>0.17773899174100766</c:v>
                </c:pt>
                <c:pt idx="3">
                  <c:v>0.2391655872866999</c:v>
                </c:pt>
                <c:pt idx="4">
                  <c:v>0.32182121425298338</c:v>
                </c:pt>
                <c:pt idx="5">
                  <c:v>0.43304262589881443</c:v>
                </c:pt>
                <c:pt idx="6">
                  <c:v>0.58270215740944464</c:v>
                </c:pt>
                <c:pt idx="7">
                  <c:v>0.73676860782850195</c:v>
                </c:pt>
                <c:pt idx="8">
                  <c:v>0.87535478296104308</c:v>
                </c:pt>
                <c:pt idx="9">
                  <c:v>1.0400090176360153</c:v>
                </c:pt>
                <c:pt idx="10">
                  <c:v>1.2356347138533497</c:v>
                </c:pt>
                <c:pt idx="11">
                  <c:v>1.4680576035291648</c:v>
                </c:pt>
                <c:pt idx="12">
                  <c:v>1.6641900993606613</c:v>
                </c:pt>
                <c:pt idx="13">
                  <c:v>1.7999880114684912</c:v>
                </c:pt>
                <c:pt idx="14">
                  <c:v>1.9468670332043196</c:v>
                </c:pt>
                <c:pt idx="15">
                  <c:v>2.1057313831137923</c:v>
                </c:pt>
                <c:pt idx="16">
                  <c:v>2.2775590639758772</c:v>
                </c:pt>
                <c:pt idx="17">
                  <c:v>2.3686614265349126</c:v>
                </c:pt>
              </c:numCache>
            </c:numRef>
          </c:val>
          <c:extLst>
            <c:ext xmlns:c16="http://schemas.microsoft.com/office/drawing/2014/chart" uri="{C3380CC4-5D6E-409C-BE32-E72D297353CC}">
              <c16:uniqueId val="{00000006-9733-4FD7-BA8E-6078CBFDCF95}"/>
            </c:ext>
          </c:extLst>
        </c:ser>
        <c:ser>
          <c:idx val="7"/>
          <c:order val="7"/>
          <c:tx>
            <c:strRef>
              <c:f>'Plastics CCUS_RMTO'!$Y$3</c:f>
              <c:strCache>
                <c:ptCount val="1"/>
                <c:pt idx="0">
                  <c:v>LLDPE</c:v>
                </c:pt>
              </c:strCache>
            </c:strRef>
          </c:tx>
          <c:spPr>
            <a:solidFill>
              <a:schemeClr val="accent2">
                <a:lumMod val="60000"/>
              </a:schemeClr>
            </a:solidFill>
            <a:ln>
              <a:noFill/>
            </a:ln>
            <a:effectLst/>
          </c:spPr>
          <c:cat>
            <c:numRef>
              <c:extLst>
                <c:ext xmlns:c15="http://schemas.microsoft.com/office/drawing/2012/chart" uri="{02D57815-91ED-43cb-92C2-25804820EDAC}">
                  <c15:fullRef>
                    <c15:sqref>'Plastics CCUS_RMTO'!$A$4:$A$38</c15:sqref>
                  </c15:fullRef>
                </c:ext>
              </c:extLst>
              <c:f>('Plastics CCUS_RMTO'!$A$5,'Plastics CCUS_RMTO'!$A$7,'Plastics CCUS_RMTO'!$A$9,'Plastics CCUS_RMTO'!$A$11,'Plastics CCUS_RMTO'!$A$13,'Plastics CCUS_RMTO'!$A$15,'Plastics CCUS_RMTO'!$A$17,'Plastics CCUS_RMTO'!$A$19,'Plastics CCUS_RMTO'!$A$21,'Plastics CCUS_RMTO'!$A$23,'Plastics CCUS_RMTO'!$A$25,'Plastics CCUS_RMTO'!$A$27,'Plastics CCUS_RMTO'!$A$29,'Plastics CCUS_RMTO'!$A$31,'Plastics CCUS_RMTO'!$A$33,'Plastics CCUS_RMTO'!$A$35,'Plastics CCUS_RMTO'!$A$37:$A$38)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CCUS_RMTO'!$Y$4:$Y$38</c15:sqref>
                  </c15:fullRef>
                </c:ext>
              </c:extLst>
              <c:f>('Plastics CCUS_RMTO'!$Y$5,'Plastics CCUS_RMTO'!$Y$7,'Plastics CCUS_RMTO'!$Y$9,'Plastics CCUS_RMTO'!$Y$11,'Plastics CCUS_RMTO'!$Y$13,'Plastics CCUS_RMTO'!$Y$15,'Plastics CCUS_RMTO'!$Y$17,'Plastics CCUS_RMTO'!$Y$19,'Plastics CCUS_RMTO'!$Y$21,'Plastics CCUS_RMTO'!$Y$23,'Plastics CCUS_RMTO'!$Y$25,'Plastics CCUS_RMTO'!$Y$27,'Plastics CCUS_RMTO'!$Y$29,'Plastics CCUS_RMTO'!$Y$31,'Plastics CCUS_RMTO'!$Y$33,'Plastics CCUS_RMTO'!$Y$35,'Plastics CCUS_RMTO'!$Y$37:$Y$38)</c:f>
              <c:numCache>
                <c:formatCode>General</c:formatCode>
                <c:ptCount val="18"/>
                <c:pt idx="0">
                  <c:v>2.1923752285234428E-2</c:v>
                </c:pt>
                <c:pt idx="1">
                  <c:v>3.6017593040027981E-2</c:v>
                </c:pt>
                <c:pt idx="2">
                  <c:v>0.17773899174100766</c:v>
                </c:pt>
                <c:pt idx="3">
                  <c:v>0.2391655872866999</c:v>
                </c:pt>
                <c:pt idx="4">
                  <c:v>0.32182121425298338</c:v>
                </c:pt>
                <c:pt idx="5">
                  <c:v>0.43304262589881443</c:v>
                </c:pt>
                <c:pt idx="6">
                  <c:v>0.58270215740944464</c:v>
                </c:pt>
                <c:pt idx="7">
                  <c:v>0.73676860782850195</c:v>
                </c:pt>
                <c:pt idx="8">
                  <c:v>0.87535478296104308</c:v>
                </c:pt>
                <c:pt idx="9">
                  <c:v>1.0400090176360153</c:v>
                </c:pt>
                <c:pt idx="10">
                  <c:v>1.2356347138533497</c:v>
                </c:pt>
                <c:pt idx="11">
                  <c:v>1.4680576035291648</c:v>
                </c:pt>
                <c:pt idx="12">
                  <c:v>1.6641900993606613</c:v>
                </c:pt>
                <c:pt idx="13">
                  <c:v>1.7999880114684912</c:v>
                </c:pt>
                <c:pt idx="14">
                  <c:v>1.9468670332043196</c:v>
                </c:pt>
                <c:pt idx="15">
                  <c:v>2.1057313831137923</c:v>
                </c:pt>
                <c:pt idx="16">
                  <c:v>2.2775590639758772</c:v>
                </c:pt>
                <c:pt idx="17">
                  <c:v>2.3686614265349126</c:v>
                </c:pt>
              </c:numCache>
            </c:numRef>
          </c:val>
          <c:extLst>
            <c:ext xmlns:c16="http://schemas.microsoft.com/office/drawing/2014/chart" uri="{C3380CC4-5D6E-409C-BE32-E72D297353CC}">
              <c16:uniqueId val="{00000007-9733-4FD7-BA8E-6078CBFDCF95}"/>
            </c:ext>
          </c:extLst>
        </c:ser>
        <c:ser>
          <c:idx val="8"/>
          <c:order val="8"/>
          <c:tx>
            <c:strRef>
              <c:f>'Plastics CCUS_RMTO'!$Z$3</c:f>
              <c:strCache>
                <c:ptCount val="1"/>
                <c:pt idx="0">
                  <c:v>Nylon 6</c:v>
                </c:pt>
              </c:strCache>
            </c:strRef>
          </c:tx>
          <c:spPr>
            <a:solidFill>
              <a:schemeClr val="accent3">
                <a:lumMod val="60000"/>
              </a:schemeClr>
            </a:solidFill>
            <a:ln>
              <a:noFill/>
            </a:ln>
            <a:effectLst/>
          </c:spPr>
          <c:cat>
            <c:numRef>
              <c:extLst>
                <c:ext xmlns:c15="http://schemas.microsoft.com/office/drawing/2012/chart" uri="{02D57815-91ED-43cb-92C2-25804820EDAC}">
                  <c15:fullRef>
                    <c15:sqref>'Plastics CCUS_RMTO'!$A$4:$A$38</c15:sqref>
                  </c15:fullRef>
                </c:ext>
              </c:extLst>
              <c:f>('Plastics CCUS_RMTO'!$A$5,'Plastics CCUS_RMTO'!$A$7,'Plastics CCUS_RMTO'!$A$9,'Plastics CCUS_RMTO'!$A$11,'Plastics CCUS_RMTO'!$A$13,'Plastics CCUS_RMTO'!$A$15,'Plastics CCUS_RMTO'!$A$17,'Plastics CCUS_RMTO'!$A$19,'Plastics CCUS_RMTO'!$A$21,'Plastics CCUS_RMTO'!$A$23,'Plastics CCUS_RMTO'!$A$25,'Plastics CCUS_RMTO'!$A$27,'Plastics CCUS_RMTO'!$A$29,'Plastics CCUS_RMTO'!$A$31,'Plastics CCUS_RMTO'!$A$33,'Plastics CCUS_RMTO'!$A$35,'Plastics CCUS_RMTO'!$A$37:$A$38)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CCUS_RMTO'!$Z$4:$Z$38</c15:sqref>
                  </c15:fullRef>
                </c:ext>
              </c:extLst>
              <c:f>('Plastics CCUS_RMTO'!$Z$5,'Plastics CCUS_RMTO'!$Z$7,'Plastics CCUS_RMTO'!$Z$9,'Plastics CCUS_RMTO'!$Z$11,'Plastics CCUS_RMTO'!$Z$13,'Plastics CCUS_RMTO'!$Z$15,'Plastics CCUS_RMTO'!$Z$17,'Plastics CCUS_RMTO'!$Z$19,'Plastics CCUS_RMTO'!$Z$21,'Plastics CCUS_RMTO'!$Z$23,'Plastics CCUS_RMTO'!$Z$25,'Plastics CCUS_RMTO'!$Z$27,'Plastics CCUS_RMTO'!$Z$29,'Plastics CCUS_RMTO'!$Z$31,'Plastics CCUS_RMTO'!$Z$33,'Plastics CCUS_RMTO'!$Z$35,'Plastics CCUS_RMTO'!$Z$37:$Z$38)</c:f>
              <c:numCache>
                <c:formatCode>General</c:formatCode>
                <c:ptCount val="18"/>
                <c:pt idx="0">
                  <c:v>1.722580536696991E-2</c:v>
                </c:pt>
                <c:pt idx="1">
                  <c:v>2.8299537388593424E-2</c:v>
                </c:pt>
                <c:pt idx="2">
                  <c:v>0.13965206493936322</c:v>
                </c:pt>
                <c:pt idx="3">
                  <c:v>0.18791581858240713</c:v>
                </c:pt>
                <c:pt idx="4">
                  <c:v>0.25285952548448698</c:v>
                </c:pt>
                <c:pt idx="5">
                  <c:v>0.34024777749192575</c:v>
                </c:pt>
                <c:pt idx="6">
                  <c:v>0.45783740939313528</c:v>
                </c:pt>
                <c:pt idx="7">
                  <c:v>0.57888962043668024</c:v>
                </c:pt>
                <c:pt idx="8">
                  <c:v>0.68777875804081978</c:v>
                </c:pt>
                <c:pt idx="9">
                  <c:v>0.81714994242829797</c:v>
                </c:pt>
                <c:pt idx="10">
                  <c:v>0.97085584659906077</c:v>
                </c:pt>
                <c:pt idx="11">
                  <c:v>1.153473831344344</c:v>
                </c:pt>
                <c:pt idx="12">
                  <c:v>1.3075779352119485</c:v>
                </c:pt>
                <c:pt idx="13">
                  <c:v>1.4142762947252434</c:v>
                </c:pt>
                <c:pt idx="14">
                  <c:v>1.529681240374823</c:v>
                </c:pt>
                <c:pt idx="15">
                  <c:v>1.6545032295894084</c:v>
                </c:pt>
                <c:pt idx="16">
                  <c:v>1.789510693123904</c:v>
                </c:pt>
                <c:pt idx="17">
                  <c:v>1.8610911208488603</c:v>
                </c:pt>
              </c:numCache>
            </c:numRef>
          </c:val>
          <c:extLst>
            <c:ext xmlns:c16="http://schemas.microsoft.com/office/drawing/2014/chart" uri="{C3380CC4-5D6E-409C-BE32-E72D297353CC}">
              <c16:uniqueId val="{00000008-9733-4FD7-BA8E-6078CBFDCF95}"/>
            </c:ext>
          </c:extLst>
        </c:ser>
        <c:ser>
          <c:idx val="9"/>
          <c:order val="9"/>
          <c:tx>
            <c:strRef>
              <c:f>'Plastics CCUS_RMTO'!$AA$3</c:f>
              <c:strCache>
                <c:ptCount val="1"/>
                <c:pt idx="0">
                  <c:v>Nylon 66</c:v>
                </c:pt>
              </c:strCache>
            </c:strRef>
          </c:tx>
          <c:spPr>
            <a:solidFill>
              <a:schemeClr val="accent4">
                <a:lumMod val="60000"/>
              </a:schemeClr>
            </a:solidFill>
            <a:ln>
              <a:noFill/>
            </a:ln>
            <a:effectLst/>
          </c:spPr>
          <c:cat>
            <c:numRef>
              <c:extLst>
                <c:ext xmlns:c15="http://schemas.microsoft.com/office/drawing/2012/chart" uri="{02D57815-91ED-43cb-92C2-25804820EDAC}">
                  <c15:fullRef>
                    <c15:sqref>'Plastics CCUS_RMTO'!$A$4:$A$38</c15:sqref>
                  </c15:fullRef>
                </c:ext>
              </c:extLst>
              <c:f>('Plastics CCUS_RMTO'!$A$5,'Plastics CCUS_RMTO'!$A$7,'Plastics CCUS_RMTO'!$A$9,'Plastics CCUS_RMTO'!$A$11,'Plastics CCUS_RMTO'!$A$13,'Plastics CCUS_RMTO'!$A$15,'Plastics CCUS_RMTO'!$A$17,'Plastics CCUS_RMTO'!$A$19,'Plastics CCUS_RMTO'!$A$21,'Plastics CCUS_RMTO'!$A$23,'Plastics CCUS_RMTO'!$A$25,'Plastics CCUS_RMTO'!$A$27,'Plastics CCUS_RMTO'!$A$29,'Plastics CCUS_RMTO'!$A$31,'Plastics CCUS_RMTO'!$A$33,'Plastics CCUS_RMTO'!$A$35,'Plastics CCUS_RMTO'!$A$37:$A$38)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CCUS_RMTO'!$AA$4:$AA$38</c15:sqref>
                  </c15:fullRef>
                </c:ext>
              </c:extLst>
              <c:f>('Plastics CCUS_RMTO'!$AA$5,'Plastics CCUS_RMTO'!$AA$7,'Plastics CCUS_RMTO'!$AA$9,'Plastics CCUS_RMTO'!$AA$11,'Plastics CCUS_RMTO'!$AA$13,'Plastics CCUS_RMTO'!$AA$15,'Plastics CCUS_RMTO'!$AA$17,'Plastics CCUS_RMTO'!$AA$19,'Plastics CCUS_RMTO'!$AA$21,'Plastics CCUS_RMTO'!$AA$23,'Plastics CCUS_RMTO'!$AA$25,'Plastics CCUS_RMTO'!$AA$27,'Plastics CCUS_RMTO'!$AA$29,'Plastics CCUS_RMTO'!$AA$31,'Plastics CCUS_RMTO'!$AA$33,'Plastics CCUS_RMTO'!$AA$35,'Plastics CCUS_RMTO'!$AA$37:$AA$38)</c:f>
              <c:numCache>
                <c:formatCode>General</c:formatCode>
                <c:ptCount val="18"/>
                <c:pt idx="0">
                  <c:v>0.10961876142617212</c:v>
                </c:pt>
                <c:pt idx="1">
                  <c:v>0.18008796520013992</c:v>
                </c:pt>
                <c:pt idx="2">
                  <c:v>0.88869495870503834</c:v>
                </c:pt>
                <c:pt idx="3">
                  <c:v>1.1958279364334994</c:v>
                </c:pt>
                <c:pt idx="4">
                  <c:v>1.6091060712649168</c:v>
                </c:pt>
                <c:pt idx="5">
                  <c:v>2.165213129494072</c:v>
                </c:pt>
                <c:pt idx="6">
                  <c:v>2.9135107870472234</c:v>
                </c:pt>
                <c:pt idx="7">
                  <c:v>3.6838430391425097</c:v>
                </c:pt>
                <c:pt idx="8">
                  <c:v>4.3767739148052147</c:v>
                </c:pt>
                <c:pt idx="9">
                  <c:v>5.2000450881800759</c:v>
                </c:pt>
                <c:pt idx="10">
                  <c:v>6.1781735692667485</c:v>
                </c:pt>
                <c:pt idx="11">
                  <c:v>7.3402880176458227</c:v>
                </c:pt>
                <c:pt idx="12">
                  <c:v>8.3209504968033059</c:v>
                </c:pt>
                <c:pt idx="13">
                  <c:v>8.9999400573424548</c:v>
                </c:pt>
                <c:pt idx="14">
                  <c:v>9.734335166021598</c:v>
                </c:pt>
                <c:pt idx="15">
                  <c:v>10.528656915568959</c:v>
                </c:pt>
                <c:pt idx="16">
                  <c:v>11.387795319879384</c:v>
                </c:pt>
                <c:pt idx="17">
                  <c:v>11.843307132674562</c:v>
                </c:pt>
              </c:numCache>
            </c:numRef>
          </c:val>
          <c:extLst>
            <c:ext xmlns:c16="http://schemas.microsoft.com/office/drawing/2014/chart" uri="{C3380CC4-5D6E-409C-BE32-E72D297353CC}">
              <c16:uniqueId val="{00000009-9733-4FD7-BA8E-6078CBFDCF95}"/>
            </c:ext>
          </c:extLst>
        </c:ser>
        <c:ser>
          <c:idx val="10"/>
          <c:order val="10"/>
          <c:tx>
            <c:strRef>
              <c:f>'Plastics CCUS_RMTO'!$AB$3</c:f>
              <c:strCache>
                <c:ptCount val="1"/>
                <c:pt idx="0">
                  <c:v>PC</c:v>
                </c:pt>
              </c:strCache>
            </c:strRef>
          </c:tx>
          <c:spPr>
            <a:solidFill>
              <a:schemeClr val="accent5">
                <a:lumMod val="60000"/>
              </a:schemeClr>
            </a:solidFill>
            <a:ln>
              <a:noFill/>
            </a:ln>
            <a:effectLst/>
          </c:spPr>
          <c:cat>
            <c:numRef>
              <c:extLst>
                <c:ext xmlns:c15="http://schemas.microsoft.com/office/drawing/2012/chart" uri="{02D57815-91ED-43cb-92C2-25804820EDAC}">
                  <c15:fullRef>
                    <c15:sqref>'Plastics CCUS_RMTO'!$A$4:$A$38</c15:sqref>
                  </c15:fullRef>
                </c:ext>
              </c:extLst>
              <c:f>('Plastics CCUS_RMTO'!$A$5,'Plastics CCUS_RMTO'!$A$7,'Plastics CCUS_RMTO'!$A$9,'Plastics CCUS_RMTO'!$A$11,'Plastics CCUS_RMTO'!$A$13,'Plastics CCUS_RMTO'!$A$15,'Plastics CCUS_RMTO'!$A$17,'Plastics CCUS_RMTO'!$A$19,'Plastics CCUS_RMTO'!$A$21,'Plastics CCUS_RMTO'!$A$23,'Plastics CCUS_RMTO'!$A$25,'Plastics CCUS_RMTO'!$A$27,'Plastics CCUS_RMTO'!$A$29,'Plastics CCUS_RMTO'!$A$31,'Plastics CCUS_RMTO'!$A$33,'Plastics CCUS_RMTO'!$A$35,'Plastics CCUS_RMTO'!$A$37:$A$38)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CCUS_RMTO'!$AB$4:$AB$38</c15:sqref>
                  </c15:fullRef>
                </c:ext>
              </c:extLst>
              <c:f>('Plastics CCUS_RMTO'!$AB$5,'Plastics CCUS_RMTO'!$AB$7,'Plastics CCUS_RMTO'!$AB$9,'Plastics CCUS_RMTO'!$AB$11,'Plastics CCUS_RMTO'!$AB$13,'Plastics CCUS_RMTO'!$AB$15,'Plastics CCUS_RMTO'!$AB$17,'Plastics CCUS_RMTO'!$AB$19,'Plastics CCUS_RMTO'!$AB$21,'Plastics CCUS_RMTO'!$AB$23,'Plastics CCUS_RMTO'!$AB$25,'Plastics CCUS_RMTO'!$AB$27,'Plastics CCUS_RMTO'!$AB$29,'Plastics CCUS_RMTO'!$AB$31,'Plastics CCUS_RMTO'!$AB$33,'Plastics CCUS_RMTO'!$AB$35,'Plastics CCUS_RMTO'!$AB$37:$AB$38)</c:f>
              <c:numCache>
                <c:formatCode>General</c:formatCode>
                <c:ptCount val="18"/>
                <c:pt idx="0">
                  <c:v>5.4809380713086067E-2</c:v>
                </c:pt>
                <c:pt idx="1">
                  <c:v>9.0043982600069974E-2</c:v>
                </c:pt>
                <c:pt idx="2">
                  <c:v>0.44434747935251923</c:v>
                </c:pt>
                <c:pt idx="3">
                  <c:v>0.5979139682167498</c:v>
                </c:pt>
                <c:pt idx="4">
                  <c:v>0.8045530356324585</c:v>
                </c:pt>
                <c:pt idx="5">
                  <c:v>1.0826065647470362</c:v>
                </c:pt>
                <c:pt idx="6">
                  <c:v>1.4567553935236117</c:v>
                </c:pt>
                <c:pt idx="7">
                  <c:v>1.8419215195712551</c:v>
                </c:pt>
                <c:pt idx="8">
                  <c:v>2.1883869574026078</c:v>
                </c:pt>
                <c:pt idx="9">
                  <c:v>2.6000225440900384</c:v>
                </c:pt>
                <c:pt idx="10">
                  <c:v>3.0890867846333747</c:v>
                </c:pt>
                <c:pt idx="11">
                  <c:v>3.6701440088229118</c:v>
                </c:pt>
                <c:pt idx="12">
                  <c:v>4.1604752484016538</c:v>
                </c:pt>
                <c:pt idx="13">
                  <c:v>4.4999700286712283</c:v>
                </c:pt>
                <c:pt idx="14">
                  <c:v>4.867167583010799</c:v>
                </c:pt>
                <c:pt idx="15">
                  <c:v>5.2643284577844804</c:v>
                </c:pt>
                <c:pt idx="16">
                  <c:v>5.6938976599396929</c:v>
                </c:pt>
                <c:pt idx="17">
                  <c:v>5.921653566337282</c:v>
                </c:pt>
              </c:numCache>
            </c:numRef>
          </c:val>
          <c:extLst>
            <c:ext xmlns:c16="http://schemas.microsoft.com/office/drawing/2014/chart" uri="{C3380CC4-5D6E-409C-BE32-E72D297353CC}">
              <c16:uniqueId val="{0000000A-9733-4FD7-BA8E-6078CBFDCF95}"/>
            </c:ext>
          </c:extLst>
        </c:ser>
        <c:ser>
          <c:idx val="11"/>
          <c:order val="11"/>
          <c:tx>
            <c:strRef>
              <c:f>'Plastics CCUS_RMTO'!$AC$3</c:f>
              <c:strCache>
                <c:ptCount val="1"/>
                <c:pt idx="0">
                  <c:v>PET</c:v>
                </c:pt>
              </c:strCache>
            </c:strRef>
          </c:tx>
          <c:spPr>
            <a:solidFill>
              <a:schemeClr val="accent6">
                <a:lumMod val="60000"/>
              </a:schemeClr>
            </a:solidFill>
            <a:ln>
              <a:noFill/>
            </a:ln>
            <a:effectLst/>
          </c:spPr>
          <c:cat>
            <c:numRef>
              <c:extLst>
                <c:ext xmlns:c15="http://schemas.microsoft.com/office/drawing/2012/chart" uri="{02D57815-91ED-43cb-92C2-25804820EDAC}">
                  <c15:fullRef>
                    <c15:sqref>'Plastics CCUS_RMTO'!$A$4:$A$38</c15:sqref>
                  </c15:fullRef>
                </c:ext>
              </c:extLst>
              <c:f>('Plastics CCUS_RMTO'!$A$5,'Plastics CCUS_RMTO'!$A$7,'Plastics CCUS_RMTO'!$A$9,'Plastics CCUS_RMTO'!$A$11,'Plastics CCUS_RMTO'!$A$13,'Plastics CCUS_RMTO'!$A$15,'Plastics CCUS_RMTO'!$A$17,'Plastics CCUS_RMTO'!$A$19,'Plastics CCUS_RMTO'!$A$21,'Plastics CCUS_RMTO'!$A$23,'Plastics CCUS_RMTO'!$A$25,'Plastics CCUS_RMTO'!$A$27,'Plastics CCUS_RMTO'!$A$29,'Plastics CCUS_RMTO'!$A$31,'Plastics CCUS_RMTO'!$A$33,'Plastics CCUS_RMTO'!$A$35,'Plastics CCUS_RMTO'!$A$37:$A$38)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CCUS_RMTO'!$AC$4:$AC$38</c15:sqref>
                  </c15:fullRef>
                </c:ext>
              </c:extLst>
              <c:f>('Plastics CCUS_RMTO'!$AC$5,'Plastics CCUS_RMTO'!$AC$7,'Plastics CCUS_RMTO'!$AC$9,'Plastics CCUS_RMTO'!$AC$11,'Plastics CCUS_RMTO'!$AC$13,'Plastics CCUS_RMTO'!$AC$15,'Plastics CCUS_RMTO'!$AC$17,'Plastics CCUS_RMTO'!$AC$19,'Plastics CCUS_RMTO'!$AC$21,'Plastics CCUS_RMTO'!$AC$23,'Plastics CCUS_RMTO'!$AC$25,'Plastics CCUS_RMTO'!$AC$27,'Plastics CCUS_RMTO'!$AC$29,'Plastics CCUS_RMTO'!$AC$31,'Plastics CCUS_RMTO'!$AC$33,'Plastics CCUS_RMTO'!$AC$35,'Plastics CCUS_RMTO'!$AC$37:$AC$38)</c:f>
              <c:numCache>
                <c:formatCode>General</c:formatCode>
                <c:ptCount val="18"/>
                <c:pt idx="0">
                  <c:v>2.6621699203498952E-2</c:v>
                </c:pt>
                <c:pt idx="1">
                  <c:v>4.3735648691462563E-2</c:v>
                </c:pt>
                <c:pt idx="2">
                  <c:v>0.21582591854265221</c:v>
                </c:pt>
                <c:pt idx="3">
                  <c:v>0.29041535599099277</c:v>
                </c:pt>
                <c:pt idx="4">
                  <c:v>0.39078290302147989</c:v>
                </c:pt>
                <c:pt idx="5">
                  <c:v>0.52583747430570327</c:v>
                </c:pt>
                <c:pt idx="6">
                  <c:v>0.70756690542575451</c:v>
                </c:pt>
                <c:pt idx="7">
                  <c:v>0.894647595220324</c:v>
                </c:pt>
                <c:pt idx="8">
                  <c:v>1.0629308078812667</c:v>
                </c:pt>
                <c:pt idx="9">
                  <c:v>1.262868092843733</c:v>
                </c:pt>
                <c:pt idx="10">
                  <c:v>1.5004135811076393</c:v>
                </c:pt>
                <c:pt idx="11">
                  <c:v>1.7826413757139861</c:v>
                </c:pt>
                <c:pt idx="12">
                  <c:v>2.020802263509375</c:v>
                </c:pt>
                <c:pt idx="13">
                  <c:v>2.1856997282117394</c:v>
                </c:pt>
                <c:pt idx="14">
                  <c:v>2.3640528260338169</c:v>
                </c:pt>
                <c:pt idx="15">
                  <c:v>2.5569595366381765</c:v>
                </c:pt>
                <c:pt idx="16">
                  <c:v>2.7656074348278517</c:v>
                </c:pt>
                <c:pt idx="17">
                  <c:v>2.8762317322209658</c:v>
                </c:pt>
              </c:numCache>
            </c:numRef>
          </c:val>
          <c:extLst>
            <c:ext xmlns:c16="http://schemas.microsoft.com/office/drawing/2014/chart" uri="{C3380CC4-5D6E-409C-BE32-E72D297353CC}">
              <c16:uniqueId val="{0000000B-9733-4FD7-BA8E-6078CBFDCF95}"/>
            </c:ext>
          </c:extLst>
        </c:ser>
        <c:ser>
          <c:idx val="12"/>
          <c:order val="12"/>
          <c:tx>
            <c:strRef>
              <c:f>'Plastics CCUS_RMTO'!$AD$3</c:f>
              <c:strCache>
                <c:ptCount val="1"/>
                <c:pt idx="0">
                  <c:v>PP</c:v>
                </c:pt>
              </c:strCache>
            </c:strRef>
          </c:tx>
          <c:spPr>
            <a:solidFill>
              <a:schemeClr val="accent1">
                <a:lumMod val="80000"/>
                <a:lumOff val="20000"/>
              </a:schemeClr>
            </a:solidFill>
            <a:ln>
              <a:noFill/>
            </a:ln>
            <a:effectLst/>
          </c:spPr>
          <c:cat>
            <c:numRef>
              <c:extLst>
                <c:ext xmlns:c15="http://schemas.microsoft.com/office/drawing/2012/chart" uri="{02D57815-91ED-43cb-92C2-25804820EDAC}">
                  <c15:fullRef>
                    <c15:sqref>'Plastics CCUS_RMTO'!$A$4:$A$38</c15:sqref>
                  </c15:fullRef>
                </c:ext>
              </c:extLst>
              <c:f>('Plastics CCUS_RMTO'!$A$5,'Plastics CCUS_RMTO'!$A$7,'Plastics CCUS_RMTO'!$A$9,'Plastics CCUS_RMTO'!$A$11,'Plastics CCUS_RMTO'!$A$13,'Plastics CCUS_RMTO'!$A$15,'Plastics CCUS_RMTO'!$A$17,'Plastics CCUS_RMTO'!$A$19,'Plastics CCUS_RMTO'!$A$21,'Plastics CCUS_RMTO'!$A$23,'Plastics CCUS_RMTO'!$A$25,'Plastics CCUS_RMTO'!$A$27,'Plastics CCUS_RMTO'!$A$29,'Plastics CCUS_RMTO'!$A$31,'Plastics CCUS_RMTO'!$A$33,'Plastics CCUS_RMTO'!$A$35,'Plastics CCUS_RMTO'!$A$37:$A$38)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CCUS_RMTO'!$AD$4:$AD$38</c15:sqref>
                  </c15:fullRef>
                </c:ext>
              </c:extLst>
              <c:f>('Plastics CCUS_RMTO'!$AD$5,'Plastics CCUS_RMTO'!$AD$7,'Plastics CCUS_RMTO'!$AD$9,'Plastics CCUS_RMTO'!$AD$11,'Plastics CCUS_RMTO'!$AD$13,'Plastics CCUS_RMTO'!$AD$15,'Plastics CCUS_RMTO'!$AD$17,'Plastics CCUS_RMTO'!$AD$19,'Plastics CCUS_RMTO'!$AD$21,'Plastics CCUS_RMTO'!$AD$23,'Plastics CCUS_RMTO'!$AD$25,'Plastics CCUS_RMTO'!$AD$27,'Plastics CCUS_RMTO'!$AD$29,'Plastics CCUS_RMTO'!$AD$31,'Plastics CCUS_RMTO'!$AD$33,'Plastics CCUS_RMTO'!$AD$35,'Plastics CCUS_RMTO'!$AD$37:$AD$38)</c:f>
              <c:numCache>
                <c:formatCode>General</c:formatCode>
                <c:ptCount val="18"/>
                <c:pt idx="0">
                  <c:v>0.28344279740195943</c:v>
                </c:pt>
                <c:pt idx="1">
                  <c:v>0.46565602430321901</c:v>
                </c:pt>
                <c:pt idx="2">
                  <c:v>2.2979112503658849</c:v>
                </c:pt>
                <c:pt idx="3">
                  <c:v>3.0920693784923348</c:v>
                </c:pt>
                <c:pt idx="4">
                  <c:v>4.1606885556992852</c:v>
                </c:pt>
                <c:pt idx="5">
                  <c:v>5.5986225205489593</c:v>
                </c:pt>
                <c:pt idx="6">
                  <c:v>7.5335064636506788</c:v>
                </c:pt>
                <c:pt idx="7">
                  <c:v>9.5253655726399202</c:v>
                </c:pt>
                <c:pt idx="8">
                  <c:v>11.317086836853488</c:v>
                </c:pt>
                <c:pt idx="9">
                  <c:v>13.445830870865628</c:v>
                </c:pt>
                <c:pt idx="10">
                  <c:v>15.974991657675453</c:v>
                </c:pt>
                <c:pt idx="11">
                  <c:v>18.979887588484203</c:v>
                </c:pt>
                <c:pt idx="12">
                  <c:v>21.515600570305697</c:v>
                </c:pt>
                <c:pt idx="13">
                  <c:v>23.271273576842638</c:v>
                </c:pt>
                <c:pt idx="14">
                  <c:v>25.170209500712996</c:v>
                </c:pt>
                <c:pt idx="15">
                  <c:v>27.224098595971171</c:v>
                </c:pt>
                <c:pt idx="16">
                  <c:v>29.445585041402417</c:v>
                </c:pt>
                <c:pt idx="17">
                  <c:v>30.623408443058516</c:v>
                </c:pt>
              </c:numCache>
            </c:numRef>
          </c:val>
          <c:extLst>
            <c:ext xmlns:c16="http://schemas.microsoft.com/office/drawing/2014/chart" uri="{C3380CC4-5D6E-409C-BE32-E72D297353CC}">
              <c16:uniqueId val="{0000000C-9733-4FD7-BA8E-6078CBFDCF95}"/>
            </c:ext>
          </c:extLst>
        </c:ser>
        <c:ser>
          <c:idx val="13"/>
          <c:order val="13"/>
          <c:tx>
            <c:strRef>
              <c:f>'Plastics CCUS_RMTO'!$AE$3</c:f>
              <c:strCache>
                <c:ptCount val="1"/>
                <c:pt idx="0">
                  <c:v>FPUR foam</c:v>
                </c:pt>
              </c:strCache>
            </c:strRef>
          </c:tx>
          <c:spPr>
            <a:solidFill>
              <a:schemeClr val="accent2">
                <a:lumMod val="80000"/>
                <a:lumOff val="20000"/>
              </a:schemeClr>
            </a:solidFill>
            <a:ln>
              <a:noFill/>
            </a:ln>
            <a:effectLst/>
          </c:spPr>
          <c:cat>
            <c:numRef>
              <c:extLst>
                <c:ext xmlns:c15="http://schemas.microsoft.com/office/drawing/2012/chart" uri="{02D57815-91ED-43cb-92C2-25804820EDAC}">
                  <c15:fullRef>
                    <c15:sqref>'Plastics CCUS_RMTO'!$A$4:$A$38</c15:sqref>
                  </c15:fullRef>
                </c:ext>
              </c:extLst>
              <c:f>('Plastics CCUS_RMTO'!$A$5,'Plastics CCUS_RMTO'!$A$7,'Plastics CCUS_RMTO'!$A$9,'Plastics CCUS_RMTO'!$A$11,'Plastics CCUS_RMTO'!$A$13,'Plastics CCUS_RMTO'!$A$15,'Plastics CCUS_RMTO'!$A$17,'Plastics CCUS_RMTO'!$A$19,'Plastics CCUS_RMTO'!$A$21,'Plastics CCUS_RMTO'!$A$23,'Plastics CCUS_RMTO'!$A$25,'Plastics CCUS_RMTO'!$A$27,'Plastics CCUS_RMTO'!$A$29,'Plastics CCUS_RMTO'!$A$31,'Plastics CCUS_RMTO'!$A$33,'Plastics CCUS_RMTO'!$A$35,'Plastics CCUS_RMTO'!$A$37:$A$38)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CCUS_RMTO'!$AE$4:$AE$38</c15:sqref>
                  </c15:fullRef>
                </c:ext>
              </c:extLst>
              <c:f>('Plastics CCUS_RMTO'!$AE$5,'Plastics CCUS_RMTO'!$AE$7,'Plastics CCUS_RMTO'!$AE$9,'Plastics CCUS_RMTO'!$AE$11,'Plastics CCUS_RMTO'!$AE$13,'Plastics CCUS_RMTO'!$AE$15,'Plastics CCUS_RMTO'!$AE$17,'Plastics CCUS_RMTO'!$AE$19,'Plastics CCUS_RMTO'!$AE$21,'Plastics CCUS_RMTO'!$AE$23,'Plastics CCUS_RMTO'!$AE$25,'Plastics CCUS_RMTO'!$AE$27,'Plastics CCUS_RMTO'!$AE$29,'Plastics CCUS_RMTO'!$AE$31,'Plastics CCUS_RMTO'!$AE$33,'Plastics CCUS_RMTO'!$AE$35,'Plastics CCUS_RMTO'!$AE$37:$AE$38)</c:f>
              <c:numCache>
                <c:formatCode>General</c:formatCode>
                <c:ptCount val="18"/>
                <c:pt idx="0">
                  <c:v>0.19104984134275715</c:v>
                </c:pt>
                <c:pt idx="1">
                  <c:v>0.31386759649167251</c:v>
                </c:pt>
                <c:pt idx="2">
                  <c:v>1.5488683566002099</c:v>
                </c:pt>
                <c:pt idx="3">
                  <c:v>2.0841572606412422</c:v>
                </c:pt>
                <c:pt idx="4">
                  <c:v>2.8044420099188554</c:v>
                </c:pt>
                <c:pt idx="5">
                  <c:v>3.7736571685468121</c:v>
                </c:pt>
                <c:pt idx="6">
                  <c:v>5.0778330859965903</c:v>
                </c:pt>
                <c:pt idx="7">
                  <c:v>6.4204121539340893</c:v>
                </c:pt>
                <c:pt idx="8">
                  <c:v>7.6280916800890912</c:v>
                </c:pt>
                <c:pt idx="9">
                  <c:v>9.0629357251138476</c:v>
                </c:pt>
                <c:pt idx="10">
                  <c:v>10.767673935007764</c:v>
                </c:pt>
                <c:pt idx="11">
                  <c:v>12.793073402182722</c:v>
                </c:pt>
                <c:pt idx="12">
                  <c:v>14.502228008714336</c:v>
                </c:pt>
                <c:pt idx="13">
                  <c:v>15.685609814225426</c:v>
                </c:pt>
                <c:pt idx="14">
                  <c:v>16.965555575066215</c:v>
                </c:pt>
                <c:pt idx="15">
                  <c:v>18.349944909991617</c:v>
                </c:pt>
                <c:pt idx="16">
                  <c:v>19.847300414646934</c:v>
                </c:pt>
                <c:pt idx="17">
                  <c:v>20.641192431232813</c:v>
                </c:pt>
              </c:numCache>
            </c:numRef>
          </c:val>
          <c:extLst>
            <c:ext xmlns:c16="http://schemas.microsoft.com/office/drawing/2014/chart" uri="{C3380CC4-5D6E-409C-BE32-E72D297353CC}">
              <c16:uniqueId val="{0000000D-9733-4FD7-BA8E-6078CBFDCF95}"/>
            </c:ext>
          </c:extLst>
        </c:ser>
        <c:ser>
          <c:idx val="14"/>
          <c:order val="14"/>
          <c:tx>
            <c:strRef>
              <c:f>'Plastics CCUS_RMTO'!$AF$3</c:f>
              <c:strCache>
                <c:ptCount val="1"/>
                <c:pt idx="0">
                  <c:v>RPUR foam</c:v>
                </c:pt>
              </c:strCache>
            </c:strRef>
          </c:tx>
          <c:spPr>
            <a:solidFill>
              <a:schemeClr val="accent3">
                <a:lumMod val="80000"/>
                <a:lumOff val="20000"/>
              </a:schemeClr>
            </a:solidFill>
            <a:ln>
              <a:noFill/>
            </a:ln>
            <a:effectLst/>
          </c:spPr>
          <c:cat>
            <c:numRef>
              <c:extLst>
                <c:ext xmlns:c15="http://schemas.microsoft.com/office/drawing/2012/chart" uri="{02D57815-91ED-43cb-92C2-25804820EDAC}">
                  <c15:fullRef>
                    <c15:sqref>'Plastics CCUS_RMTO'!$A$4:$A$38</c15:sqref>
                  </c15:fullRef>
                </c:ext>
              </c:extLst>
              <c:f>('Plastics CCUS_RMTO'!$A$5,'Plastics CCUS_RMTO'!$A$7,'Plastics CCUS_RMTO'!$A$9,'Plastics CCUS_RMTO'!$A$11,'Plastics CCUS_RMTO'!$A$13,'Plastics CCUS_RMTO'!$A$15,'Plastics CCUS_RMTO'!$A$17,'Plastics CCUS_RMTO'!$A$19,'Plastics CCUS_RMTO'!$A$21,'Plastics CCUS_RMTO'!$A$23,'Plastics CCUS_RMTO'!$A$25,'Plastics CCUS_RMTO'!$A$27,'Plastics CCUS_RMTO'!$A$29,'Plastics CCUS_RMTO'!$A$31,'Plastics CCUS_RMTO'!$A$33,'Plastics CCUS_RMTO'!$A$35,'Plastics CCUS_RMTO'!$A$37:$A$38)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CCUS_RMTO'!$AF$4:$AF$38</c15:sqref>
                  </c15:fullRef>
                </c:ext>
              </c:extLst>
              <c:f>('Plastics CCUS_RMTO'!$AF$5,'Plastics CCUS_RMTO'!$AF$7,'Plastics CCUS_RMTO'!$AF$9,'Plastics CCUS_RMTO'!$AF$11,'Plastics CCUS_RMTO'!$AF$13,'Plastics CCUS_RMTO'!$AF$15,'Plastics CCUS_RMTO'!$AF$17,'Plastics CCUS_RMTO'!$AF$19,'Plastics CCUS_RMTO'!$AF$21,'Plastics CCUS_RMTO'!$AF$23,'Plastics CCUS_RMTO'!$AF$25,'Plastics CCUS_RMTO'!$AF$27,'Plastics CCUS_RMTO'!$AF$29,'Plastics CCUS_RMTO'!$AF$31,'Plastics CCUS_RMTO'!$AF$33,'Plastics CCUS_RMTO'!$AF$35,'Plastics CCUS_RMTO'!$AF$37:$AF$38)</c:f>
              <c:numCache>
                <c:formatCode>General</c:formatCode>
                <c:ptCount val="18"/>
                <c:pt idx="0">
                  <c:v>0.18165394750622815</c:v>
                </c:pt>
                <c:pt idx="1">
                  <c:v>0.29843148518880336</c:v>
                </c:pt>
                <c:pt idx="2">
                  <c:v>1.472694502996921</c:v>
                </c:pt>
                <c:pt idx="3">
                  <c:v>1.9816577232326567</c:v>
                </c:pt>
                <c:pt idx="4">
                  <c:v>2.6665186323818624</c:v>
                </c:pt>
                <c:pt idx="5">
                  <c:v>3.5880674717330345</c:v>
                </c:pt>
                <c:pt idx="6">
                  <c:v>4.8281035899639715</c:v>
                </c:pt>
                <c:pt idx="7">
                  <c:v>6.1046541791504456</c:v>
                </c:pt>
                <c:pt idx="8">
                  <c:v>7.2529396302486431</c:v>
                </c:pt>
                <c:pt idx="9">
                  <c:v>8.6172175746984152</c:v>
                </c:pt>
                <c:pt idx="10">
                  <c:v>10.238116200499187</c:v>
                </c:pt>
                <c:pt idx="11">
                  <c:v>12.163905857813081</c:v>
                </c:pt>
                <c:pt idx="12">
                  <c:v>13.78900368041691</c:v>
                </c:pt>
                <c:pt idx="13">
                  <c:v>14.914186380738929</c:v>
                </c:pt>
                <c:pt idx="14">
                  <c:v>16.131183989407223</c:v>
                </c:pt>
                <c:pt idx="15">
                  <c:v>17.447488602942851</c:v>
                </c:pt>
                <c:pt idx="16">
                  <c:v>18.871203672942986</c:v>
                </c:pt>
                <c:pt idx="17">
                  <c:v>19.626051819860709</c:v>
                </c:pt>
              </c:numCache>
            </c:numRef>
          </c:val>
          <c:extLst>
            <c:ext xmlns:c16="http://schemas.microsoft.com/office/drawing/2014/chart" uri="{C3380CC4-5D6E-409C-BE32-E72D297353CC}">
              <c16:uniqueId val="{0000000E-9733-4FD7-BA8E-6078CBFDCF95}"/>
            </c:ext>
          </c:extLst>
        </c:ser>
        <c:ser>
          <c:idx val="15"/>
          <c:order val="15"/>
          <c:tx>
            <c:strRef>
              <c:f>'Plastics CCUS_RMTO'!$AG$3</c:f>
              <c:strCache>
                <c:ptCount val="1"/>
                <c:pt idx="0">
                  <c:v>PVC</c:v>
                </c:pt>
              </c:strCache>
            </c:strRef>
          </c:tx>
          <c:spPr>
            <a:solidFill>
              <a:schemeClr val="accent4">
                <a:lumMod val="80000"/>
                <a:lumOff val="20000"/>
              </a:schemeClr>
            </a:solidFill>
            <a:ln>
              <a:noFill/>
            </a:ln>
            <a:effectLst/>
          </c:spPr>
          <c:cat>
            <c:numRef>
              <c:extLst>
                <c:ext xmlns:c15="http://schemas.microsoft.com/office/drawing/2012/chart" uri="{02D57815-91ED-43cb-92C2-25804820EDAC}">
                  <c15:fullRef>
                    <c15:sqref>'Plastics CCUS_RMTO'!$A$4:$A$38</c15:sqref>
                  </c15:fullRef>
                </c:ext>
              </c:extLst>
              <c:f>('Plastics CCUS_RMTO'!$A$5,'Plastics CCUS_RMTO'!$A$7,'Plastics CCUS_RMTO'!$A$9,'Plastics CCUS_RMTO'!$A$11,'Plastics CCUS_RMTO'!$A$13,'Plastics CCUS_RMTO'!$A$15,'Plastics CCUS_RMTO'!$A$17,'Plastics CCUS_RMTO'!$A$19,'Plastics CCUS_RMTO'!$A$21,'Plastics CCUS_RMTO'!$A$23,'Plastics CCUS_RMTO'!$A$25,'Plastics CCUS_RMTO'!$A$27,'Plastics CCUS_RMTO'!$A$29,'Plastics CCUS_RMTO'!$A$31,'Plastics CCUS_RMTO'!$A$33,'Plastics CCUS_RMTO'!$A$35,'Plastics CCUS_RMTO'!$A$37:$A$38)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CCUS_RMTO'!$AG$4:$AG$38</c15:sqref>
                  </c15:fullRef>
                </c:ext>
              </c:extLst>
              <c:f>('Plastics CCUS_RMTO'!$AG$5,'Plastics CCUS_RMTO'!$AG$7,'Plastics CCUS_RMTO'!$AG$9,'Plastics CCUS_RMTO'!$AG$11,'Plastics CCUS_RMTO'!$AG$13,'Plastics CCUS_RMTO'!$AG$15,'Plastics CCUS_RMTO'!$AG$17,'Plastics CCUS_RMTO'!$AG$19,'Plastics CCUS_RMTO'!$AG$21,'Plastics CCUS_RMTO'!$AG$23,'Plastics CCUS_RMTO'!$AG$25,'Plastics CCUS_RMTO'!$AG$27,'Plastics CCUS_RMTO'!$AG$29,'Plastics CCUS_RMTO'!$AG$31,'Plastics CCUS_RMTO'!$AG$33,'Plastics CCUS_RMTO'!$AG$35,'Plastics CCUS_RMTO'!$AG$37:$AG$38)</c:f>
              <c:numCache>
                <c:formatCode>General</c:formatCode>
                <c:ptCount val="18"/>
                <c:pt idx="0">
                  <c:v>0.216105558240168</c:v>
                </c:pt>
                <c:pt idx="1">
                  <c:v>0.35503055996599026</c:v>
                </c:pt>
                <c:pt idx="2">
                  <c:v>1.7519986328756476</c:v>
                </c:pt>
                <c:pt idx="3">
                  <c:v>2.3574893603974716</c:v>
                </c:pt>
                <c:pt idx="4">
                  <c:v>3.1722376833508372</c:v>
                </c:pt>
                <c:pt idx="5">
                  <c:v>4.2685630267168868</c:v>
                </c:pt>
                <c:pt idx="6">
                  <c:v>5.7437784087502424</c:v>
                </c:pt>
                <c:pt idx="7">
                  <c:v>7.2624334200238074</c:v>
                </c:pt>
                <c:pt idx="8">
                  <c:v>8.6284971463302842</c:v>
                </c:pt>
                <c:pt idx="9">
                  <c:v>10.251517459555011</c:v>
                </c:pt>
                <c:pt idx="10">
                  <c:v>12.179827893697308</c:v>
                </c:pt>
                <c:pt idx="11">
                  <c:v>14.470853520501771</c:v>
                </c:pt>
                <c:pt idx="12">
                  <c:v>16.404159550840813</c:v>
                </c:pt>
                <c:pt idx="13">
                  <c:v>17.742738970189418</c:v>
                </c:pt>
                <c:pt idx="14">
                  <c:v>19.190546470156875</c:v>
                </c:pt>
                <c:pt idx="15">
                  <c:v>20.756495062121672</c:v>
                </c:pt>
                <c:pt idx="16">
                  <c:v>22.450225059190799</c:v>
                </c:pt>
                <c:pt idx="17">
                  <c:v>23.348234061558433</c:v>
                </c:pt>
              </c:numCache>
            </c:numRef>
          </c:val>
          <c:extLst>
            <c:ext xmlns:c16="http://schemas.microsoft.com/office/drawing/2014/chart" uri="{C3380CC4-5D6E-409C-BE32-E72D297353CC}">
              <c16:uniqueId val="{0000000F-9733-4FD7-BA8E-6078CBFDCF95}"/>
            </c:ext>
          </c:extLst>
        </c:ser>
        <c:dLbls>
          <c:showLegendKey val="0"/>
          <c:showVal val="0"/>
          <c:showCatName val="0"/>
          <c:showSerName val="0"/>
          <c:showPercent val="0"/>
          <c:showBubbleSize val="0"/>
        </c:dLbls>
        <c:axId val="1482849024"/>
        <c:axId val="259205328"/>
      </c:areaChart>
      <c:catAx>
        <c:axId val="1482849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sz="1600"/>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205328"/>
        <c:crosses val="autoZero"/>
        <c:auto val="1"/>
        <c:lblAlgn val="ctr"/>
        <c:lblOffset val="100"/>
        <c:tickLblSkip val="1"/>
        <c:noMultiLvlLbl val="0"/>
      </c:catAx>
      <c:valAx>
        <c:axId val="259205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sz="1600"/>
                  <a:t>Thousand</a:t>
                </a:r>
                <a:r>
                  <a:rPr lang="es-MX" sz="1600" baseline="0"/>
                  <a:t> tonnes</a:t>
                </a:r>
                <a:endParaRPr lang="es-MX" sz="16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82849024"/>
        <c:crosses val="autoZero"/>
        <c:crossBetween val="midCat"/>
      </c:valAx>
      <c:spPr>
        <a:noFill/>
        <a:ln>
          <a:noFill/>
        </a:ln>
        <a:effectLst/>
      </c:spPr>
    </c:plotArea>
    <c:legend>
      <c:legendPos val="b"/>
      <c:layout>
        <c:manualLayout>
          <c:xMode val="edge"/>
          <c:yMode val="edge"/>
          <c:x val="4.9999948817610017E-2"/>
          <c:y val="0.89508043516833469"/>
          <c:w val="0.89999998724793795"/>
          <c:h val="6.7332462041327742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2000"/>
              <a:t>Annual</a:t>
            </a:r>
            <a:r>
              <a:rPr lang="es-MX" sz="2000" baseline="0"/>
              <a:t> requirements of resources</a:t>
            </a:r>
            <a:endParaRPr lang="es-MX" sz="2000"/>
          </a:p>
        </c:rich>
      </c:tx>
      <c:layout>
        <c:manualLayout>
          <c:xMode val="edge"/>
          <c:yMode val="edge"/>
          <c:x val="0.20243644018044124"/>
          <c:y val="3.8115927658094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60319622091639"/>
          <c:y val="0.17171298762109449"/>
          <c:w val="0.75620027550045943"/>
          <c:h val="0.67081946400898085"/>
        </c:manualLayout>
      </c:layout>
      <c:scatterChart>
        <c:scatterStyle val="lineMarker"/>
        <c:varyColors val="0"/>
        <c:ser>
          <c:idx val="0"/>
          <c:order val="0"/>
          <c:tx>
            <c:strRef>
              <c:f>'Plastics CCUS_RMTO'!$AJ$3</c:f>
              <c:strCache>
                <c:ptCount val="1"/>
                <c:pt idx="0">
                  <c:v>NG</c:v>
                </c:pt>
              </c:strCache>
            </c:strRef>
          </c:tx>
          <c:spPr>
            <a:ln w="25400" cap="rnd">
              <a:noFill/>
              <a:round/>
            </a:ln>
            <a:effectLst/>
          </c:spPr>
          <c:marker>
            <c:symbol val="circle"/>
            <c:size val="5"/>
            <c:spPr>
              <a:solidFill>
                <a:schemeClr val="accent1"/>
              </a:solidFill>
              <a:ln w="9525">
                <a:solidFill>
                  <a:schemeClr val="accent1"/>
                </a:solidFill>
              </a:ln>
              <a:effectLst/>
            </c:spPr>
          </c:marker>
          <c:xVal>
            <c:numRef>
              <c:f>'Plastics CCUS_RMTO'!$A$4:$A$38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CCUS_RMTO'!$AJ$4:$AJ$38</c:f>
              <c:numCache>
                <c:formatCode>0.00</c:formatCode>
                <c:ptCount val="35"/>
                <c:pt idx="0">
                  <c:v>0.88760679722465052</c:v>
                </c:pt>
                <c:pt idx="1">
                  <c:v>1.775213594449301</c:v>
                </c:pt>
                <c:pt idx="2">
                  <c:v>2.9375558289101531</c:v>
                </c:pt>
                <c:pt idx="3">
                  <c:v>2.9164223337381374</c:v>
                </c:pt>
                <c:pt idx="4">
                  <c:v>6.0653131143684451</c:v>
                </c:pt>
                <c:pt idx="5">
                  <c:v>14.391910212142548</c:v>
                </c:pt>
                <c:pt idx="6">
                  <c:v>16.694615846085355</c:v>
                </c:pt>
                <c:pt idx="7">
                  <c:v>19.365754381459013</c:v>
                </c:pt>
                <c:pt idx="8">
                  <c:v>22.464275082492453</c:v>
                </c:pt>
                <c:pt idx="9">
                  <c:v>26.058559095691244</c:v>
                </c:pt>
                <c:pt idx="10">
                  <c:v>30.227928551001842</c:v>
                </c:pt>
                <c:pt idx="11">
                  <c:v>35.064397119162145</c:v>
                </c:pt>
                <c:pt idx="12">
                  <c:v>40.674700658228083</c:v>
                </c:pt>
                <c:pt idx="13">
                  <c:v>47.182652763544574</c:v>
                </c:pt>
                <c:pt idx="14">
                  <c:v>54.731877205711704</c:v>
                </c:pt>
                <c:pt idx="15">
                  <c:v>59.657746154225769</c:v>
                </c:pt>
                <c:pt idx="16">
                  <c:v>65.026943308106084</c:v>
                </c:pt>
                <c:pt idx="17">
                  <c:v>70.879368205835632</c:v>
                </c:pt>
                <c:pt idx="18">
                  <c:v>77.258511344360826</c:v>
                </c:pt>
                <c:pt idx="19">
                  <c:v>84.211777365353299</c:v>
                </c:pt>
                <c:pt idx="20">
                  <c:v>91.790837328235099</c:v>
                </c:pt>
                <c:pt idx="21">
                  <c:v>100.05201268777627</c:v>
                </c:pt>
                <c:pt idx="22">
                  <c:v>109.05669382967612</c:v>
                </c:pt>
                <c:pt idx="23">
                  <c:v>118.87179627434696</c:v>
                </c:pt>
                <c:pt idx="24">
                  <c:v>129.57025793903821</c:v>
                </c:pt>
                <c:pt idx="25">
                  <c:v>134.75306825659976</c:v>
                </c:pt>
                <c:pt idx="26">
                  <c:v>140.14319098686374</c:v>
                </c:pt>
                <c:pt idx="27">
                  <c:v>145.74891862633828</c:v>
                </c:pt>
                <c:pt idx="28">
                  <c:v>151.5788753713918</c:v>
                </c:pt>
                <c:pt idx="29">
                  <c:v>157.64203038624746</c:v>
                </c:pt>
                <c:pt idx="30">
                  <c:v>163.94771160169734</c:v>
                </c:pt>
                <c:pt idx="31">
                  <c:v>170.50562006576524</c:v>
                </c:pt>
                <c:pt idx="32">
                  <c:v>177.32584486839585</c:v>
                </c:pt>
                <c:pt idx="33">
                  <c:v>184.41887866313166</c:v>
                </c:pt>
                <c:pt idx="34">
                  <c:v>191.79563380965692</c:v>
                </c:pt>
              </c:numCache>
            </c:numRef>
          </c:yVal>
          <c:smooth val="0"/>
          <c:extLst>
            <c:ext xmlns:c16="http://schemas.microsoft.com/office/drawing/2014/chart" uri="{C3380CC4-5D6E-409C-BE32-E72D297353CC}">
              <c16:uniqueId val="{00000000-1398-41BF-8571-FDE160483110}"/>
            </c:ext>
          </c:extLst>
        </c:ser>
        <c:dLbls>
          <c:showLegendKey val="0"/>
          <c:showVal val="0"/>
          <c:showCatName val="0"/>
          <c:showSerName val="0"/>
          <c:showPercent val="0"/>
          <c:showBubbleSize val="0"/>
        </c:dLbls>
        <c:axId val="1687079248"/>
        <c:axId val="573401408"/>
      </c:scatterChart>
      <c:valAx>
        <c:axId val="1687079248"/>
        <c:scaling>
          <c:orientation val="minMax"/>
          <c:max val="2050"/>
          <c:min val="2015"/>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a:t>Year</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73401408"/>
        <c:crosses val="autoZero"/>
        <c:crossBetween val="midCat"/>
      </c:valAx>
      <c:valAx>
        <c:axId val="573401408"/>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a:t>Million</a:t>
                </a:r>
                <a:r>
                  <a:rPr lang="es-MX" sz="1400" baseline="0"/>
                  <a:t> cubic meters (m</a:t>
                </a:r>
                <a:r>
                  <a:rPr lang="es-MX" sz="1400" baseline="30000"/>
                  <a:t>3</a:t>
                </a:r>
                <a:r>
                  <a:rPr lang="es-MX" sz="1400" baseline="0"/>
                  <a:t>)</a:t>
                </a:r>
                <a:endParaRPr lang="es-MX" sz="1400"/>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87079248"/>
        <c:crosses val="autoZero"/>
        <c:crossBetween val="midCat"/>
      </c:valAx>
      <c:spPr>
        <a:noFill/>
        <a:ln>
          <a:noFill/>
        </a:ln>
        <a:effectLst/>
      </c:spPr>
    </c:plotArea>
    <c:legend>
      <c:legendPos val="r"/>
      <c:layout>
        <c:manualLayout>
          <c:xMode val="edge"/>
          <c:yMode val="edge"/>
          <c:x val="0.17989815956277458"/>
          <c:y val="0.14687592582653092"/>
          <c:w val="0.10898052710616733"/>
          <c:h val="0.1204091988290852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2000"/>
              <a:t>Annual</a:t>
            </a:r>
            <a:r>
              <a:rPr lang="es-MX" sz="2000" baseline="0"/>
              <a:t> requirements of resources</a:t>
            </a:r>
            <a:endParaRPr lang="es-MX" sz="2000"/>
          </a:p>
        </c:rich>
      </c:tx>
      <c:layout>
        <c:manualLayout>
          <c:xMode val="edge"/>
          <c:yMode val="edge"/>
          <c:x val="0.19619909800006749"/>
          <c:y val="4.19555151093386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965182460122664"/>
          <c:y val="0.17171298762109449"/>
          <c:w val="0.76258047450254651"/>
          <c:h val="0.67081946400898085"/>
        </c:manualLayout>
      </c:layout>
      <c:scatterChart>
        <c:scatterStyle val="lineMarker"/>
        <c:varyColors val="0"/>
        <c:ser>
          <c:idx val="0"/>
          <c:order val="0"/>
          <c:tx>
            <c:strRef>
              <c:f>'Plastics CCUS_RMTO'!$AK$3</c:f>
              <c:strCache>
                <c:ptCount val="1"/>
                <c:pt idx="0">
                  <c:v>Crude oil</c:v>
                </c:pt>
              </c:strCache>
            </c:strRef>
          </c:tx>
          <c:spPr>
            <a:ln w="25400" cap="rnd">
              <a:noFill/>
              <a:round/>
            </a:ln>
            <a:effectLst/>
          </c:spPr>
          <c:marker>
            <c:symbol val="circle"/>
            <c:size val="5"/>
            <c:spPr>
              <a:solidFill>
                <a:schemeClr val="accent2"/>
              </a:solidFill>
              <a:ln w="9525">
                <a:solidFill>
                  <a:schemeClr val="accent2"/>
                </a:solidFill>
              </a:ln>
              <a:effectLst/>
            </c:spPr>
          </c:marker>
          <c:xVal>
            <c:numRef>
              <c:f>'Plastics CCUS_RMTO'!$A$4:$A$38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CCUS_RMTO'!$AL$4:$AL$38</c:f>
              <c:numCache>
                <c:formatCode>0.00</c:formatCode>
                <c:ptCount val="35"/>
                <c:pt idx="0">
                  <c:v>0.3572904305116798</c:v>
                </c:pt>
                <c:pt idx="1">
                  <c:v>0.7145808610233596</c:v>
                </c:pt>
                <c:pt idx="2">
                  <c:v>1.1824611866934165</c:v>
                </c:pt>
                <c:pt idx="3">
                  <c:v>1.1739542716812337</c:v>
                </c:pt>
                <c:pt idx="4">
                  <c:v>2.441484608496479</c:v>
                </c:pt>
                <c:pt idx="5">
                  <c:v>5.7932091232965233</c:v>
                </c:pt>
                <c:pt idx="6">
                  <c:v>6.7201225830239668</c:v>
                </c:pt>
                <c:pt idx="7">
                  <c:v>7.7953421963078009</c:v>
                </c:pt>
                <c:pt idx="8">
                  <c:v>9.0425969477170494</c:v>
                </c:pt>
                <c:pt idx="9">
                  <c:v>10.489412459351776</c:v>
                </c:pt>
                <c:pt idx="10">
                  <c:v>12.16771845284806</c:v>
                </c:pt>
                <c:pt idx="11">
                  <c:v>14.11455340530375</c:v>
                </c:pt>
                <c:pt idx="12">
                  <c:v>16.372881950152351</c:v>
                </c:pt>
                <c:pt idx="13">
                  <c:v>18.992543062176725</c:v>
                </c:pt>
                <c:pt idx="14">
                  <c:v>22.031349952125005</c:v>
                </c:pt>
                <c:pt idx="15">
                  <c:v>24.014171447816253</c:v>
                </c:pt>
                <c:pt idx="16">
                  <c:v>26.175446878119718</c:v>
                </c:pt>
                <c:pt idx="17">
                  <c:v>28.531237097150491</c:v>
                </c:pt>
                <c:pt idx="18">
                  <c:v>31.099048435894034</c:v>
                </c:pt>
                <c:pt idx="19">
                  <c:v>33.897962795124499</c:v>
                </c:pt>
                <c:pt idx="20">
                  <c:v>36.948779446685698</c:v>
                </c:pt>
                <c:pt idx="21">
                  <c:v>40.274169596887411</c:v>
                </c:pt>
                <c:pt idx="22">
                  <c:v>43.898844860607277</c:v>
                </c:pt>
                <c:pt idx="23">
                  <c:v>47.849740898061931</c:v>
                </c:pt>
                <c:pt idx="24">
                  <c:v>52.156217578887507</c:v>
                </c:pt>
                <c:pt idx="25">
                  <c:v>54.242466282043019</c:v>
                </c:pt>
                <c:pt idx="26">
                  <c:v>56.412164933324739</c:v>
                </c:pt>
                <c:pt idx="27">
                  <c:v>58.668651530657719</c:v>
                </c:pt>
                <c:pt idx="28">
                  <c:v>61.015397591884032</c:v>
                </c:pt>
                <c:pt idx="29">
                  <c:v>63.456013495559382</c:v>
                </c:pt>
                <c:pt idx="30">
                  <c:v>65.994254035381744</c:v>
                </c:pt>
                <c:pt idx="31">
                  <c:v>68.634024196797014</c:v>
                </c:pt>
                <c:pt idx="32">
                  <c:v>71.379385164668903</c:v>
                </c:pt>
                <c:pt idx="33">
                  <c:v>74.234560571255642</c:v>
                </c:pt>
                <c:pt idx="34">
                  <c:v>77.203942994105873</c:v>
                </c:pt>
              </c:numCache>
            </c:numRef>
          </c:yVal>
          <c:smooth val="0"/>
          <c:extLst>
            <c:ext xmlns:c16="http://schemas.microsoft.com/office/drawing/2014/chart" uri="{C3380CC4-5D6E-409C-BE32-E72D297353CC}">
              <c16:uniqueId val="{00000000-0921-4996-B075-AF2D84B4B7DA}"/>
            </c:ext>
          </c:extLst>
        </c:ser>
        <c:dLbls>
          <c:showLegendKey val="0"/>
          <c:showVal val="0"/>
          <c:showCatName val="0"/>
          <c:showSerName val="0"/>
          <c:showPercent val="0"/>
          <c:showBubbleSize val="0"/>
        </c:dLbls>
        <c:axId val="1687079248"/>
        <c:axId val="573401408"/>
      </c:scatterChart>
      <c:valAx>
        <c:axId val="1687079248"/>
        <c:scaling>
          <c:orientation val="minMax"/>
          <c:max val="2050"/>
          <c:min val="2015"/>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a:t>Year</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73401408"/>
        <c:crosses val="autoZero"/>
        <c:crossBetween val="midCat"/>
      </c:valAx>
      <c:valAx>
        <c:axId val="573401408"/>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a:t>Thousands</a:t>
                </a:r>
                <a:r>
                  <a:rPr lang="es-MX" sz="1400" baseline="0"/>
                  <a:t> of </a:t>
                </a:r>
                <a:r>
                  <a:rPr lang="es-MX" sz="1400" b="0" i="0" u="none" strike="noStrike" kern="1200" baseline="0">
                    <a:solidFill>
                      <a:sysClr val="windowText" lastClr="000000">
                        <a:lumMod val="65000"/>
                        <a:lumOff val="35000"/>
                      </a:sysClr>
                    </a:solidFill>
                  </a:rPr>
                  <a:t>cubic meters (m</a:t>
                </a:r>
                <a:r>
                  <a:rPr lang="es-MX" sz="1400" b="0" i="0" u="none" strike="noStrike" kern="1200" baseline="30000">
                    <a:solidFill>
                      <a:sysClr val="windowText" lastClr="000000">
                        <a:lumMod val="65000"/>
                        <a:lumOff val="35000"/>
                      </a:sysClr>
                    </a:solidFill>
                  </a:rPr>
                  <a:t>3</a:t>
                </a:r>
                <a:r>
                  <a:rPr lang="es-MX" sz="1400" b="0" i="0" u="none" strike="noStrike" kern="1200" baseline="0">
                    <a:solidFill>
                      <a:sysClr val="windowText" lastClr="000000">
                        <a:lumMod val="65000"/>
                        <a:lumOff val="35000"/>
                      </a:sysClr>
                    </a:solidFill>
                  </a:rPr>
                  <a:t>)</a:t>
                </a:r>
                <a:endParaRPr lang="es-MX" sz="1400"/>
              </a:p>
            </c:rich>
          </c:tx>
          <c:layout>
            <c:manualLayout>
              <c:xMode val="edge"/>
              <c:yMode val="edge"/>
              <c:x val="4.1184390392539461E-2"/>
              <c:y val="0.17171284215597082"/>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87079248"/>
        <c:crosses val="autoZero"/>
        <c:crossBetween val="midCat"/>
      </c:valAx>
      <c:spPr>
        <a:noFill/>
        <a:ln>
          <a:noFill/>
        </a:ln>
        <a:effectLst/>
      </c:spPr>
    </c:plotArea>
    <c:legend>
      <c:legendPos val="r"/>
      <c:layout>
        <c:manualLayout>
          <c:xMode val="edge"/>
          <c:yMode val="edge"/>
          <c:x val="0.15371453754105016"/>
          <c:y val="0.12404920298512546"/>
          <c:w val="0.22333667247047376"/>
          <c:h val="0.1204091988290852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2000"/>
              <a:t>Annual</a:t>
            </a:r>
            <a:r>
              <a:rPr lang="es-MX" sz="2000" baseline="0"/>
              <a:t> requirements of resources</a:t>
            </a:r>
            <a:endParaRPr lang="es-MX" sz="2000"/>
          </a:p>
        </c:rich>
      </c:tx>
      <c:layout>
        <c:manualLayout>
          <c:xMode val="edge"/>
          <c:yMode val="edge"/>
          <c:x val="0.20722916840470271"/>
          <c:y val="4.58183180808378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524387675390414"/>
          <c:y val="0.17171298762109449"/>
          <c:w val="0.78698840769903766"/>
          <c:h val="0.67081946400898085"/>
        </c:manualLayout>
      </c:layout>
      <c:scatterChart>
        <c:scatterStyle val="lineMarker"/>
        <c:varyColors val="0"/>
        <c:ser>
          <c:idx val="0"/>
          <c:order val="0"/>
          <c:tx>
            <c:strRef>
              <c:f>'Plastics CCUS_RMTO'!$AM$3</c:f>
              <c:strCache>
                <c:ptCount val="1"/>
                <c:pt idx="0">
                  <c:v>Electricity</c:v>
                </c:pt>
              </c:strCache>
            </c:strRef>
          </c:tx>
          <c:spPr>
            <a:ln w="25400" cap="rnd">
              <a:noFill/>
              <a:round/>
            </a:ln>
            <a:effectLst/>
          </c:spPr>
          <c:marker>
            <c:symbol val="circle"/>
            <c:size val="5"/>
            <c:spPr>
              <a:solidFill>
                <a:schemeClr val="accent6"/>
              </a:solidFill>
              <a:ln w="9525">
                <a:solidFill>
                  <a:schemeClr val="accent6"/>
                </a:solidFill>
              </a:ln>
              <a:effectLst/>
            </c:spPr>
          </c:marker>
          <c:xVal>
            <c:numRef>
              <c:f>'Plastics CCUS_RMTO'!$A$4:$A$38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CCUS_RMTO'!$AM$4:$AM$38</c:f>
              <c:numCache>
                <c:formatCode>0.00</c:formatCode>
                <c:ptCount val="35"/>
                <c:pt idx="0">
                  <c:v>1.49634330415372</c:v>
                </c:pt>
                <c:pt idx="1">
                  <c:v>2.9926866083074399</c:v>
                </c:pt>
                <c:pt idx="2">
                  <c:v>4.9521837923182632</c:v>
                </c:pt>
                <c:pt idx="3">
                  <c:v>4.9165565707907941</c:v>
                </c:pt>
                <c:pt idx="4">
                  <c:v>10.225012578383753</c:v>
                </c:pt>
                <c:pt idx="5">
                  <c:v>24.262137860206746</c:v>
                </c:pt>
                <c:pt idx="6">
                  <c:v>28.144079917839822</c:v>
                </c:pt>
                <c:pt idx="7">
                  <c:v>32.647132704694194</c:v>
                </c:pt>
                <c:pt idx="8">
                  <c:v>37.870673937445261</c:v>
                </c:pt>
                <c:pt idx="9">
                  <c:v>43.929981767436502</c:v>
                </c:pt>
                <c:pt idx="10">
                  <c:v>50.958778850226345</c:v>
                </c:pt>
                <c:pt idx="11">
                  <c:v>59.112183466262564</c:v>
                </c:pt>
                <c:pt idx="12">
                  <c:v>68.570132820864572</c:v>
                </c:pt>
                <c:pt idx="13">
                  <c:v>79.541354072202907</c:v>
                </c:pt>
                <c:pt idx="14">
                  <c:v>92.267970723755369</c:v>
                </c:pt>
                <c:pt idx="15">
                  <c:v>100.57208808889335</c:v>
                </c:pt>
                <c:pt idx="16">
                  <c:v>109.62357601689376</c:v>
                </c:pt>
                <c:pt idx="17">
                  <c:v>119.48969785841419</c:v>
                </c:pt>
                <c:pt idx="18">
                  <c:v>130.24377066567146</c:v>
                </c:pt>
                <c:pt idx="19">
                  <c:v>141.9657100255819</c:v>
                </c:pt>
                <c:pt idx="20">
                  <c:v>154.74262392788427</c:v>
                </c:pt>
                <c:pt idx="21">
                  <c:v>168.66946008139385</c:v>
                </c:pt>
                <c:pt idx="22">
                  <c:v>183.84971148871929</c:v>
                </c:pt>
                <c:pt idx="23">
                  <c:v>200.396185522704</c:v>
                </c:pt>
                <c:pt idx="24">
                  <c:v>218.43184221974738</c:v>
                </c:pt>
                <c:pt idx="25">
                  <c:v>227.16911590853729</c:v>
                </c:pt>
                <c:pt idx="26">
                  <c:v>236.25588054487881</c:v>
                </c:pt>
                <c:pt idx="27">
                  <c:v>245.70611576667392</c:v>
                </c:pt>
                <c:pt idx="28">
                  <c:v>255.53436039734086</c:v>
                </c:pt>
                <c:pt idx="29">
                  <c:v>265.75573481323448</c:v>
                </c:pt>
                <c:pt idx="30">
                  <c:v>276.3859642057638</c:v>
                </c:pt>
                <c:pt idx="31">
                  <c:v>287.44140277399441</c:v>
                </c:pt>
                <c:pt idx="32">
                  <c:v>298.93905888495414</c:v>
                </c:pt>
                <c:pt idx="33">
                  <c:v>310.89662124035226</c:v>
                </c:pt>
                <c:pt idx="34">
                  <c:v>323.33248608996644</c:v>
                </c:pt>
              </c:numCache>
            </c:numRef>
          </c:yVal>
          <c:smooth val="0"/>
          <c:extLst>
            <c:ext xmlns:c16="http://schemas.microsoft.com/office/drawing/2014/chart" uri="{C3380CC4-5D6E-409C-BE32-E72D297353CC}">
              <c16:uniqueId val="{00000000-7FEE-48D2-A002-8CDE50867E86}"/>
            </c:ext>
          </c:extLst>
        </c:ser>
        <c:dLbls>
          <c:showLegendKey val="0"/>
          <c:showVal val="0"/>
          <c:showCatName val="0"/>
          <c:showSerName val="0"/>
          <c:showPercent val="0"/>
          <c:showBubbleSize val="0"/>
        </c:dLbls>
        <c:axId val="1687079248"/>
        <c:axId val="573401408"/>
      </c:scatterChart>
      <c:valAx>
        <c:axId val="1687079248"/>
        <c:scaling>
          <c:orientation val="minMax"/>
          <c:max val="2050"/>
          <c:min val="2015"/>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a:t>Year</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73401408"/>
        <c:crosses val="autoZero"/>
        <c:crossBetween val="midCat"/>
      </c:valAx>
      <c:valAx>
        <c:axId val="573401408"/>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baseline="0"/>
                  <a:t>GWh</a:t>
                </a:r>
                <a:endParaRPr lang="es-MX" sz="1400"/>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87079248"/>
        <c:crosses val="autoZero"/>
        <c:crossBetween val="midCat"/>
      </c:valAx>
      <c:spPr>
        <a:noFill/>
        <a:ln>
          <a:noFill/>
        </a:ln>
        <a:effectLst/>
      </c:spPr>
    </c:plotArea>
    <c:legend>
      <c:legendPos val="r"/>
      <c:layout>
        <c:manualLayout>
          <c:xMode val="edge"/>
          <c:yMode val="edge"/>
          <c:x val="0.19574151454740499"/>
          <c:y val="0.13950041487112227"/>
          <c:w val="0.17272674403912772"/>
          <c:h val="0.1204091988290852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Price</a:t>
            </a:r>
            <a:r>
              <a:rPr lang="es-MX" baseline="0"/>
              <a:t> per ton of plastic</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876585800085523"/>
          <c:y val="0.13327477236980709"/>
          <c:w val="0.73313985072842913"/>
          <c:h val="0.66329309822369076"/>
        </c:manualLayout>
      </c:layout>
      <c:scatterChart>
        <c:scatterStyle val="smoothMarker"/>
        <c:varyColors val="0"/>
        <c:ser>
          <c:idx val="0"/>
          <c:order val="0"/>
          <c:tx>
            <c:v>Net-zero</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'Plastics CCUS_RMTO'!$A$4:$A$38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CCUS_RMTO'!$M$4:$M$38</c:f>
              <c:numCache>
                <c:formatCode>0.00</c:formatCode>
                <c:ptCount val="35"/>
                <c:pt idx="0">
                  <c:v>453.7037037037037</c:v>
                </c:pt>
                <c:pt idx="1">
                  <c:v>711.11111111111097</c:v>
                </c:pt>
                <c:pt idx="2">
                  <c:v>620.37037037037032</c:v>
                </c:pt>
                <c:pt idx="3">
                  <c:v>725.92592592592587</c:v>
                </c:pt>
                <c:pt idx="4">
                  <c:v>429.62962962962956</c:v>
                </c:pt>
                <c:pt idx="5">
                  <c:v>511.11111111111103</c:v>
                </c:pt>
                <c:pt idx="6">
                  <c:v>901.85185185185173</c:v>
                </c:pt>
                <c:pt idx="7">
                  <c:v>831.48148148148141</c:v>
                </c:pt>
                <c:pt idx="8">
                  <c:v>833.33333333333326</c:v>
                </c:pt>
                <c:pt idx="9">
                  <c:v>1288.8166404621645</c:v>
                </c:pt>
                <c:pt idx="10">
                  <c:v>1283.6275331738495</c:v>
                </c:pt>
                <c:pt idx="11">
                  <c:v>1294.7539031947374</c:v>
                </c:pt>
                <c:pt idx="12">
                  <c:v>1295.1489958866</c:v>
                </c:pt>
                <c:pt idx="13">
                  <c:v>1304.6455822738737</c:v>
                </c:pt>
                <c:pt idx="14">
                  <c:v>1305.2122169261033</c:v>
                </c:pt>
                <c:pt idx="15">
                  <c:v>1326.6952005036494</c:v>
                </c:pt>
                <c:pt idx="16">
                  <c:v>1326.2878873841105</c:v>
                </c:pt>
                <c:pt idx="17">
                  <c:v>1315.8827060403801</c:v>
                </c:pt>
                <c:pt idx="18">
                  <c:v>1302.2027694303679</c:v>
                </c:pt>
                <c:pt idx="19">
                  <c:v>1297.8546942392234</c:v>
                </c:pt>
                <c:pt idx="20">
                  <c:v>1275.1011407453057</c:v>
                </c:pt>
                <c:pt idx="21">
                  <c:v>1283.5307110316135</c:v>
                </c:pt>
                <c:pt idx="22">
                  <c:v>1279.4365963663413</c:v>
                </c:pt>
                <c:pt idx="23">
                  <c:v>1275.4254478114003</c:v>
                </c:pt>
                <c:pt idx="24">
                  <c:v>1275.6989320734961</c:v>
                </c:pt>
                <c:pt idx="25">
                  <c:v>1274.7764569582023</c:v>
                </c:pt>
                <c:pt idx="26">
                  <c:v>1263.2561010464706</c:v>
                </c:pt>
                <c:pt idx="27">
                  <c:v>1285.8699654301474</c:v>
                </c:pt>
                <c:pt idx="28">
                  <c:v>1269.7645719066934</c:v>
                </c:pt>
                <c:pt idx="29">
                  <c:v>1255.3247977700323</c:v>
                </c:pt>
                <c:pt idx="30">
                  <c:v>1243.3417009108173</c:v>
                </c:pt>
                <c:pt idx="31">
                  <c:v>1214.0175570165813</c:v>
                </c:pt>
                <c:pt idx="32">
                  <c:v>1207.7372679419591</c:v>
                </c:pt>
                <c:pt idx="33">
                  <c:v>1191.2412240942783</c:v>
                </c:pt>
                <c:pt idx="34">
                  <c:v>1190.6605653332313</c:v>
                </c:pt>
              </c:numCache>
            </c:numRef>
          </c:yVal>
          <c:smooth val="1"/>
          <c:extLst>
            <c:ext xmlns:c16="http://schemas.microsoft.com/office/drawing/2014/chart" uri="{C3380CC4-5D6E-409C-BE32-E72D297353CC}">
              <c16:uniqueId val="{00000000-839B-4F04-8F91-1E5E2A9DE71F}"/>
            </c:ext>
          </c:extLst>
        </c:ser>
        <c:ser>
          <c:idx val="1"/>
          <c:order val="1"/>
          <c:tx>
            <c:v>BAU</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'Plastics CCUS_RMTO'!$A$4:$A$38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CCUS_RMTO'!$L$4:$L$38</c:f>
              <c:numCache>
                <c:formatCode>0.00</c:formatCode>
                <c:ptCount val="35"/>
                <c:pt idx="0">
                  <c:v>453.7037037037037</c:v>
                </c:pt>
                <c:pt idx="1">
                  <c:v>711.11111111111097</c:v>
                </c:pt>
                <c:pt idx="2">
                  <c:v>620.37037037037032</c:v>
                </c:pt>
                <c:pt idx="3">
                  <c:v>725.92592592592587</c:v>
                </c:pt>
                <c:pt idx="4">
                  <c:v>429.62962962962956</c:v>
                </c:pt>
                <c:pt idx="5">
                  <c:v>511.11111111111103</c:v>
                </c:pt>
                <c:pt idx="6">
                  <c:v>901.85185185185173</c:v>
                </c:pt>
                <c:pt idx="7">
                  <c:v>831.48148148148141</c:v>
                </c:pt>
                <c:pt idx="8">
                  <c:v>833.33333333333326</c:v>
                </c:pt>
                <c:pt idx="9">
                  <c:v>840.74074074074065</c:v>
                </c:pt>
                <c:pt idx="10">
                  <c:v>848.14814814814804</c:v>
                </c:pt>
                <c:pt idx="11">
                  <c:v>888.8888888888888</c:v>
                </c:pt>
                <c:pt idx="12">
                  <c:v>907.40740740740739</c:v>
                </c:pt>
                <c:pt idx="13">
                  <c:v>944.44444444444423</c:v>
                </c:pt>
                <c:pt idx="14">
                  <c:v>962.96296296296282</c:v>
                </c:pt>
                <c:pt idx="15">
                  <c:v>981.4814814814813</c:v>
                </c:pt>
                <c:pt idx="16">
                  <c:v>999.99999999999989</c:v>
                </c:pt>
                <c:pt idx="17">
                  <c:v>996.29629629629619</c:v>
                </c:pt>
                <c:pt idx="18">
                  <c:v>985.18518518518511</c:v>
                </c:pt>
                <c:pt idx="19">
                  <c:v>994.44444444444434</c:v>
                </c:pt>
                <c:pt idx="20">
                  <c:v>962.96296296296282</c:v>
                </c:pt>
                <c:pt idx="21">
                  <c:v>999.99999999999989</c:v>
                </c:pt>
                <c:pt idx="22">
                  <c:v>1009.2592592592591</c:v>
                </c:pt>
                <c:pt idx="23">
                  <c:v>1018.5185185185184</c:v>
                </c:pt>
                <c:pt idx="24">
                  <c:v>1037.037037037037</c:v>
                </c:pt>
                <c:pt idx="25">
                  <c:v>1027.7777777777776</c:v>
                </c:pt>
                <c:pt idx="26">
                  <c:v>1020.3703703703702</c:v>
                </c:pt>
                <c:pt idx="27">
                  <c:v>1092.5925925925926</c:v>
                </c:pt>
                <c:pt idx="28">
                  <c:v>1074.0740740740739</c:v>
                </c:pt>
                <c:pt idx="29">
                  <c:v>1059.2592592592591</c:v>
                </c:pt>
                <c:pt idx="30">
                  <c:v>1049.9999999999998</c:v>
                </c:pt>
                <c:pt idx="31">
                  <c:v>999.99999999999989</c:v>
                </c:pt>
                <c:pt idx="32">
                  <c:v>1003.7037037037036</c:v>
                </c:pt>
                <c:pt idx="33">
                  <c:v>983.33333333333314</c:v>
                </c:pt>
                <c:pt idx="34">
                  <c:v>999.99999999999989</c:v>
                </c:pt>
              </c:numCache>
            </c:numRef>
          </c:yVal>
          <c:smooth val="1"/>
          <c:extLst>
            <c:ext xmlns:c16="http://schemas.microsoft.com/office/drawing/2014/chart" uri="{C3380CC4-5D6E-409C-BE32-E72D297353CC}">
              <c16:uniqueId val="{00000001-839B-4F04-8F91-1E5E2A9DE71F}"/>
            </c:ext>
          </c:extLst>
        </c:ser>
        <c:dLbls>
          <c:showLegendKey val="0"/>
          <c:showVal val="0"/>
          <c:showCatName val="0"/>
          <c:showSerName val="0"/>
          <c:showPercent val="0"/>
          <c:showBubbleSize val="0"/>
        </c:dLbls>
        <c:axId val="905011071"/>
        <c:axId val="878589279"/>
      </c:scatterChart>
      <c:valAx>
        <c:axId val="905011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589279"/>
        <c:crosses val="autoZero"/>
        <c:crossBetween val="midCat"/>
      </c:valAx>
      <c:valAx>
        <c:axId val="878589279"/>
        <c:scaling>
          <c:orientation val="minMax"/>
          <c:min val="3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USD/</a:t>
                </a:r>
                <a:r>
                  <a:rPr lang="es-MX" baseline="0"/>
                  <a:t> ton</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011071"/>
        <c:crosses val="autoZero"/>
        <c:crossBetween val="midCat"/>
      </c:valAx>
      <c:spPr>
        <a:noFill/>
        <a:ln>
          <a:noFill/>
        </a:ln>
        <a:effectLst/>
      </c:spPr>
    </c:plotArea>
    <c:legend>
      <c:legendPos val="r"/>
      <c:layout>
        <c:manualLayout>
          <c:xMode val="edge"/>
          <c:yMode val="edge"/>
          <c:x val="0.16161536400317411"/>
          <c:y val="0.1250981226822124"/>
          <c:w val="0.17485917819198504"/>
          <c:h val="0.1603159131762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Tons</a:t>
            </a:r>
            <a:r>
              <a:rPr lang="es-MX" baseline="0"/>
              <a:t> of CO</a:t>
            </a:r>
            <a:r>
              <a:rPr lang="es-MX" baseline="-25000"/>
              <a:t>2</a:t>
            </a:r>
            <a:r>
              <a:rPr lang="es-MX" baseline="0"/>
              <a:t> captured</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685333804530806"/>
          <c:y val="0.10687613846600599"/>
          <c:w val="0.76751431436415329"/>
          <c:h val="0.72028536834392032"/>
        </c:manualLayout>
      </c:layout>
      <c:scatterChart>
        <c:scatterStyle val="smoothMarker"/>
        <c:varyColors val="0"/>
        <c:ser>
          <c:idx val="0"/>
          <c:order val="0"/>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'Plastics CCUS_RMTO'!$A$4:$A$38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CCUS_RMTO'!$H$4:$H$38</c:f>
              <c:numCache>
                <c:formatCode>General</c:formatCode>
                <c:ptCount val="35"/>
                <c:pt idx="0">
                  <c:v>0</c:v>
                </c:pt>
                <c:pt idx="1">
                  <c:v>0</c:v>
                </c:pt>
                <c:pt idx="2">
                  <c:v>0</c:v>
                </c:pt>
                <c:pt idx="3">
                  <c:v>0</c:v>
                </c:pt>
                <c:pt idx="4">
                  <c:v>0</c:v>
                </c:pt>
                <c:pt idx="5">
                  <c:v>0</c:v>
                </c:pt>
                <c:pt idx="6">
                  <c:v>0</c:v>
                </c:pt>
                <c:pt idx="7">
                  <c:v>0</c:v>
                </c:pt>
                <c:pt idx="8">
                  <c:v>55142.593016518069</c:v>
                </c:pt>
                <c:pt idx="9">
                  <c:v>63965.407899160964</c:v>
                </c:pt>
                <c:pt idx="10">
                  <c:v>74199.873163026714</c:v>
                </c:pt>
                <c:pt idx="11">
                  <c:v>86071.852869110997</c:v>
                </c:pt>
                <c:pt idx="12">
                  <c:v>99843.34932816877</c:v>
                </c:pt>
                <c:pt idx="13">
                  <c:v>115818.28522067577</c:v>
                </c:pt>
                <c:pt idx="14">
                  <c:v>134349.2108559839</c:v>
                </c:pt>
                <c:pt idx="15">
                  <c:v>146440.63983302243</c:v>
                </c:pt>
                <c:pt idx="16">
                  <c:v>159620.29741799444</c:v>
                </c:pt>
                <c:pt idx="17">
                  <c:v>173986.12418561394</c:v>
                </c:pt>
                <c:pt idx="18">
                  <c:v>189644.8753623192</c:v>
                </c:pt>
                <c:pt idx="19">
                  <c:v>206712.91414492793</c:v>
                </c:pt>
                <c:pt idx="20">
                  <c:v>225317.07641797143</c:v>
                </c:pt>
                <c:pt idx="21">
                  <c:v>245595.61329558888</c:v>
                </c:pt>
                <c:pt idx="22">
                  <c:v>267699.21849219187</c:v>
                </c:pt>
                <c:pt idx="23">
                  <c:v>291792.14815648907</c:v>
                </c:pt>
                <c:pt idx="24">
                  <c:v>318053.44149057317</c:v>
                </c:pt>
                <c:pt idx="25">
                  <c:v>330775.57915019605</c:v>
                </c:pt>
                <c:pt idx="26">
                  <c:v>344006.60231620393</c:v>
                </c:pt>
                <c:pt idx="27">
                  <c:v>357766.86640885205</c:v>
                </c:pt>
                <c:pt idx="28">
                  <c:v>372077.54106520617</c:v>
                </c:pt>
                <c:pt idx="29">
                  <c:v>386960.64270781435</c:v>
                </c:pt>
                <c:pt idx="30">
                  <c:v>402439.06841612689</c:v>
                </c:pt>
                <c:pt idx="31">
                  <c:v>418536.63115277194</c:v>
                </c:pt>
                <c:pt idx="32">
                  <c:v>435278.0963988828</c:v>
                </c:pt>
                <c:pt idx="33">
                  <c:v>452689.22025483812</c:v>
                </c:pt>
                <c:pt idx="34">
                  <c:v>470796.78906503163</c:v>
                </c:pt>
              </c:numCache>
            </c:numRef>
          </c:yVal>
          <c:smooth val="1"/>
          <c:extLst>
            <c:ext xmlns:c16="http://schemas.microsoft.com/office/drawing/2014/chart" uri="{C3380CC4-5D6E-409C-BE32-E72D297353CC}">
              <c16:uniqueId val="{00000000-AAD1-448B-AFBC-28B361B5A2D0}"/>
            </c:ext>
          </c:extLst>
        </c:ser>
        <c:dLbls>
          <c:showLegendKey val="0"/>
          <c:showVal val="0"/>
          <c:showCatName val="0"/>
          <c:showSerName val="0"/>
          <c:showPercent val="0"/>
          <c:showBubbleSize val="0"/>
        </c:dLbls>
        <c:axId val="905039871"/>
        <c:axId val="878617055"/>
      </c:scatterChart>
      <c:valAx>
        <c:axId val="905039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617055"/>
        <c:crosses val="autoZero"/>
        <c:crossBetween val="midCat"/>
      </c:valAx>
      <c:valAx>
        <c:axId val="878617055"/>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Tons</a:t>
                </a:r>
                <a:r>
                  <a:rPr lang="es-MX" baseline="0"/>
                  <a:t> of CO</a:t>
                </a:r>
                <a:r>
                  <a:rPr lang="es-MX" baseline="30000"/>
                  <a:t>2</a:t>
                </a:r>
                <a:r>
                  <a:rPr lang="es-MX" baseline="0"/>
                  <a:t> captured</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0398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b="1"/>
              <a:t>Thousand tons</a:t>
            </a:r>
            <a:r>
              <a:rPr lang="es-MX" b="1" baseline="0"/>
              <a:t> of CO</a:t>
            </a:r>
            <a:r>
              <a:rPr lang="es-MX" b="1" baseline="-25000"/>
              <a:t>2</a:t>
            </a:r>
            <a:r>
              <a:rPr lang="es-MX" b="1" baseline="0"/>
              <a:t> emitted</a:t>
            </a:r>
            <a:endParaRPr lang="es-MX"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645326701751149"/>
          <c:y val="0.10687613846600599"/>
          <c:w val="0.79791438539194981"/>
          <c:h val="0.72028536834392032"/>
        </c:manualLayout>
      </c:layout>
      <c:scatterChart>
        <c:scatterStyle val="smoothMarker"/>
        <c:varyColors val="0"/>
        <c:ser>
          <c:idx val="0"/>
          <c:order val="0"/>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'Plastics CCUS_RMTO'!$A$4:$A$38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CCUS_RMTO'!$G$4:$G$38</c:f>
              <c:numCache>
                <c:formatCode>0.0</c:formatCode>
                <c:ptCount val="35"/>
                <c:pt idx="0">
                  <c:v>2.4208778999999998</c:v>
                </c:pt>
                <c:pt idx="1">
                  <c:v>4.8417557999999996</c:v>
                </c:pt>
                <c:pt idx="2">
                  <c:v>8.0119530500000007</c:v>
                </c:pt>
                <c:pt idx="3">
                  <c:v>7.9543131000000002</c:v>
                </c:pt>
                <c:pt idx="4">
                  <c:v>16.54266565</c:v>
                </c:pt>
                <c:pt idx="5">
                  <c:v>39.252805949999996</c:v>
                </c:pt>
                <c:pt idx="6">
                  <c:v>45.533254901999996</c:v>
                </c:pt>
                <c:pt idx="7">
                  <c:v>52.818575686320003</c:v>
                </c:pt>
                <c:pt idx="8">
                  <c:v>61.269547796131192</c:v>
                </c:pt>
                <c:pt idx="9">
                  <c:v>71.072675443512182</c:v>
                </c:pt>
                <c:pt idx="10">
                  <c:v>82.444303514474129</c:v>
                </c:pt>
                <c:pt idx="11">
                  <c:v>95.635392076789998</c:v>
                </c:pt>
                <c:pt idx="12">
                  <c:v>110.93705480907639</c:v>
                </c:pt>
                <c:pt idx="13">
                  <c:v>128.68698357852864</c:v>
                </c:pt>
                <c:pt idx="14">
                  <c:v>149.27690095109318</c:v>
                </c:pt>
                <c:pt idx="15">
                  <c:v>162.71182203669161</c:v>
                </c:pt>
                <c:pt idx="16">
                  <c:v>177.35588601999385</c:v>
                </c:pt>
                <c:pt idx="17">
                  <c:v>193.31791576179327</c:v>
                </c:pt>
                <c:pt idx="18">
                  <c:v>210.71652818035466</c:v>
                </c:pt>
                <c:pt idx="19">
                  <c:v>229.68101571658659</c:v>
                </c:pt>
                <c:pt idx="20">
                  <c:v>250.35230713107941</c:v>
                </c:pt>
                <c:pt idx="21">
                  <c:v>272.88401477287653</c:v>
                </c:pt>
                <c:pt idx="22">
                  <c:v>297.44357610243543</c:v>
                </c:pt>
                <c:pt idx="23">
                  <c:v>324.21349795165452</c:v>
                </c:pt>
                <c:pt idx="24">
                  <c:v>353.39271276730352</c:v>
                </c:pt>
                <c:pt idx="25">
                  <c:v>367.52842127799568</c:v>
                </c:pt>
                <c:pt idx="26">
                  <c:v>382.22955812911556</c:v>
                </c:pt>
                <c:pt idx="27">
                  <c:v>397.51874045428008</c:v>
                </c:pt>
                <c:pt idx="28">
                  <c:v>413.41949007245131</c:v>
                </c:pt>
                <c:pt idx="29">
                  <c:v>429.95626967534923</c:v>
                </c:pt>
                <c:pt idx="30">
                  <c:v>447.15452046236322</c:v>
                </c:pt>
                <c:pt idx="31">
                  <c:v>465.04070128085766</c:v>
                </c:pt>
                <c:pt idx="32">
                  <c:v>483.64232933209195</c:v>
                </c:pt>
                <c:pt idx="33">
                  <c:v>502.98802250537562</c:v>
                </c:pt>
                <c:pt idx="34">
                  <c:v>523.10754340559072</c:v>
                </c:pt>
              </c:numCache>
            </c:numRef>
          </c:yVal>
          <c:smooth val="1"/>
          <c:extLst>
            <c:ext xmlns:c16="http://schemas.microsoft.com/office/drawing/2014/chart" uri="{C3380CC4-5D6E-409C-BE32-E72D297353CC}">
              <c16:uniqueId val="{00000000-7520-4CAC-A8B0-814BE94E10C1}"/>
            </c:ext>
          </c:extLst>
        </c:ser>
        <c:dLbls>
          <c:showLegendKey val="0"/>
          <c:showVal val="0"/>
          <c:showCatName val="0"/>
          <c:showSerName val="0"/>
          <c:showPercent val="0"/>
          <c:showBubbleSize val="0"/>
        </c:dLbls>
        <c:axId val="905039871"/>
        <c:axId val="878617055"/>
      </c:scatterChart>
      <c:valAx>
        <c:axId val="905039871"/>
        <c:scaling>
          <c:orientation val="minMax"/>
          <c:max val="2055"/>
          <c:min val="2015"/>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Year</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78617055"/>
        <c:crosses val="autoZero"/>
        <c:crossBetween val="midCat"/>
      </c:valAx>
      <c:valAx>
        <c:axId val="878617055"/>
        <c:scaling>
          <c:orientation val="minMax"/>
          <c:min val="0"/>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Thousand tons</a:t>
                </a:r>
                <a:r>
                  <a:rPr lang="es-MX" sz="1200" baseline="0"/>
                  <a:t> of CO</a:t>
                </a:r>
                <a:r>
                  <a:rPr lang="es-MX" sz="1200" baseline="-25000"/>
                  <a:t>2</a:t>
                </a:r>
                <a:r>
                  <a:rPr lang="es-MX" sz="1200" baseline="0"/>
                  <a:t> emitted</a:t>
                </a:r>
                <a:endParaRPr lang="es-MX"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050398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b="1"/>
              <a:t>Energy</a:t>
            </a:r>
            <a:r>
              <a:rPr lang="es-MX" b="1" baseline="0"/>
              <a:t> required</a:t>
            </a:r>
            <a:endParaRPr lang="es-MX"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370937546923798"/>
          <c:y val="0.10687613846600599"/>
          <c:w val="0.80065831049483471"/>
          <c:h val="0.72028536834392032"/>
        </c:manualLayout>
      </c:layout>
      <c:scatterChart>
        <c:scatterStyle val="smoothMarker"/>
        <c:varyColors val="0"/>
        <c:ser>
          <c:idx val="0"/>
          <c:order val="0"/>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'Plastics CCUS_RMTO'!$A$4:$A$38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CCUS_RMTO'!$F$4:$F$38</c:f>
              <c:numCache>
                <c:formatCode>0.0</c:formatCode>
                <c:ptCount val="35"/>
                <c:pt idx="0">
                  <c:v>5.8361976597494619E-2</c:v>
                </c:pt>
                <c:pt idx="1">
                  <c:v>0.11672395319498924</c:v>
                </c:pt>
                <c:pt idx="2">
                  <c:v>0.19315035112027978</c:v>
                </c:pt>
                <c:pt idx="3">
                  <c:v>0.19176078024891088</c:v>
                </c:pt>
                <c:pt idx="4">
                  <c:v>0.39880684008287987</c:v>
                </c:pt>
                <c:pt idx="5">
                  <c:v>0.94629776340223404</c:v>
                </c:pt>
                <c:pt idx="6">
                  <c:v>1.0977054055465916</c:v>
                </c:pt>
                <c:pt idx="7">
                  <c:v>1.2733382704340463</c:v>
                </c:pt>
                <c:pt idx="8">
                  <c:v>1.4770723937034933</c:v>
                </c:pt>
                <c:pt idx="9">
                  <c:v>1.7134039766960523</c:v>
                </c:pt>
                <c:pt idx="10">
                  <c:v>1.9875486129674209</c:v>
                </c:pt>
                <c:pt idx="11">
                  <c:v>2.3055563910422081</c:v>
                </c:pt>
                <c:pt idx="12">
                  <c:v>2.6744454136089617</c:v>
                </c:pt>
                <c:pt idx="13">
                  <c:v>3.1023566797863955</c:v>
                </c:pt>
                <c:pt idx="14">
                  <c:v>3.5987337485522191</c:v>
                </c:pt>
                <c:pt idx="15">
                  <c:v>3.9226197859219183</c:v>
                </c:pt>
                <c:pt idx="16">
                  <c:v>4.2756555666548914</c:v>
                </c:pt>
                <c:pt idx="17">
                  <c:v>4.6604645676538308</c:v>
                </c:pt>
                <c:pt idx="18">
                  <c:v>5.0799063787426748</c:v>
                </c:pt>
                <c:pt idx="19">
                  <c:v>5.5370979528295168</c:v>
                </c:pt>
                <c:pt idx="20">
                  <c:v>6.035436768584173</c:v>
                </c:pt>
                <c:pt idx="21">
                  <c:v>6.5786260777567485</c:v>
                </c:pt>
                <c:pt idx="22">
                  <c:v>7.1707024247548565</c:v>
                </c:pt>
                <c:pt idx="23">
                  <c:v>7.8160656429827915</c:v>
                </c:pt>
                <c:pt idx="24">
                  <c:v>8.5195115508512451</c:v>
                </c:pt>
                <c:pt idx="25">
                  <c:v>8.8602920128852958</c:v>
                </c:pt>
                <c:pt idx="26">
                  <c:v>9.2147036934007076</c:v>
                </c:pt>
                <c:pt idx="27">
                  <c:v>9.5832918411367345</c:v>
                </c:pt>
                <c:pt idx="28">
                  <c:v>9.9666235147822029</c:v>
                </c:pt>
                <c:pt idx="29">
                  <c:v>10.36528845537349</c:v>
                </c:pt>
                <c:pt idx="30">
                  <c:v>10.779899993588428</c:v>
                </c:pt>
                <c:pt idx="31">
                  <c:v>11.211095993331966</c:v>
                </c:pt>
                <c:pt idx="32">
                  <c:v>11.659539833065244</c:v>
                </c:pt>
                <c:pt idx="33">
                  <c:v>12.125921426387851</c:v>
                </c:pt>
                <c:pt idx="34">
                  <c:v>12.610958283443367</c:v>
                </c:pt>
              </c:numCache>
            </c:numRef>
          </c:yVal>
          <c:smooth val="1"/>
          <c:extLst>
            <c:ext xmlns:c16="http://schemas.microsoft.com/office/drawing/2014/chart" uri="{C3380CC4-5D6E-409C-BE32-E72D297353CC}">
              <c16:uniqueId val="{00000000-462B-445D-BEDF-8174B6A58278}"/>
            </c:ext>
          </c:extLst>
        </c:ser>
        <c:dLbls>
          <c:showLegendKey val="0"/>
          <c:showVal val="0"/>
          <c:showCatName val="0"/>
          <c:showSerName val="0"/>
          <c:showPercent val="0"/>
          <c:showBubbleSize val="0"/>
        </c:dLbls>
        <c:axId val="905039871"/>
        <c:axId val="878617055"/>
      </c:scatterChart>
      <c:valAx>
        <c:axId val="905039871"/>
        <c:scaling>
          <c:orientation val="minMax"/>
          <c:min val="2015"/>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Year</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78617055"/>
        <c:crosses val="autoZero"/>
        <c:crossBetween val="midCat"/>
      </c:valAx>
      <c:valAx>
        <c:axId val="878617055"/>
        <c:scaling>
          <c:orientation val="minMax"/>
          <c:min val="0"/>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Energy</a:t>
                </a:r>
                <a:r>
                  <a:rPr lang="es-MX" sz="1200" baseline="0"/>
                  <a:t> required (PJ)</a:t>
                </a:r>
                <a:endParaRPr lang="es-MX"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050398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2000"/>
              <a:t>Annual</a:t>
            </a:r>
            <a:r>
              <a:rPr lang="es-MX" sz="2000" baseline="0"/>
              <a:t> requirements of plastics</a:t>
            </a:r>
            <a:endParaRPr lang="es-MX" sz="2000"/>
          </a:p>
        </c:rich>
      </c:tx>
      <c:layout>
        <c:manualLayout>
          <c:xMode val="edge"/>
          <c:yMode val="edge"/>
          <c:x val="0.28762597559280706"/>
          <c:y val="3.1275769121552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'Plastics CCUS_RMTP'!$R$3</c:f>
              <c:strCache>
                <c:ptCount val="1"/>
                <c:pt idx="0">
                  <c:v>ABS</c:v>
                </c:pt>
              </c:strCache>
            </c:strRef>
          </c:tx>
          <c:spPr>
            <a:solidFill>
              <a:schemeClr val="accent1"/>
            </a:solidFill>
            <a:ln>
              <a:noFill/>
            </a:ln>
            <a:effectLst/>
          </c:spPr>
          <c:cat>
            <c:numRef>
              <c:extLst>
                <c:ext xmlns:c15="http://schemas.microsoft.com/office/drawing/2012/chart" uri="{02D57815-91ED-43cb-92C2-25804820EDAC}">
                  <c15:fullRef>
                    <c15:sqref>'Plastics CCUS_RMTP'!$A$4:$A$38</c15:sqref>
                  </c15:fullRef>
                </c:ext>
              </c:extLst>
              <c:f>('Plastics CCUS_RMTP'!$A$5,'Plastics CCUS_RMTP'!$A$7,'Plastics CCUS_RMTP'!$A$9,'Plastics CCUS_RMTP'!$A$11,'Plastics CCUS_RMTP'!$A$13,'Plastics CCUS_RMTP'!$A$15,'Plastics CCUS_RMTP'!$A$17,'Plastics CCUS_RMTP'!$A$19,'Plastics CCUS_RMTP'!$A$21,'Plastics CCUS_RMTP'!$A$23,'Plastics CCUS_RMTP'!$A$25,'Plastics CCUS_RMTP'!$A$27,'Plastics CCUS_RMTP'!$A$29,'Plastics CCUS_RMTP'!$A$31,'Plastics CCUS_RMTP'!$A$33,'Plastics CCUS_RMTP'!$A$35,'Plastics CCUS_RMTP'!$A$37:$A$38)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CCUS_RMTP'!$R$4:$R$38</c15:sqref>
                  </c15:fullRef>
                </c:ext>
              </c:extLst>
              <c:f>('Plastics CCUS_RMTP'!$R$5,'Plastics CCUS_RMTP'!$R$7,'Plastics CCUS_RMTP'!$R$9,'Plastics CCUS_RMTP'!$R$11,'Plastics CCUS_RMTP'!$R$13,'Plastics CCUS_RMTP'!$R$15,'Plastics CCUS_RMTP'!$R$17,'Plastics CCUS_RMTP'!$R$19,'Plastics CCUS_RMTP'!$R$21,'Plastics CCUS_RMTP'!$R$23,'Plastics CCUS_RMTP'!$R$25,'Plastics CCUS_RMTP'!$R$27,'Plastics CCUS_RMTP'!$R$29,'Plastics CCUS_RMTP'!$R$31,'Plastics CCUS_RMTP'!$R$33,'Plastics CCUS_RMTP'!$R$35,'Plastics CCUS_RMTP'!$R$37:$R$38)</c:f>
              <c:numCache>
                <c:formatCode>General</c:formatCode>
                <c:ptCount val="18"/>
                <c:pt idx="0">
                  <c:v>0.11901465526270119</c:v>
                </c:pt>
                <c:pt idx="1">
                  <c:v>0.1955240765030091</c:v>
                </c:pt>
                <c:pt idx="2">
                  <c:v>0.96486881230832755</c:v>
                </c:pt>
                <c:pt idx="3">
                  <c:v>1.2983274738420856</c:v>
                </c:pt>
                <c:pt idx="4">
                  <c:v>1.74702944880191</c:v>
                </c:pt>
                <c:pt idx="5">
                  <c:v>2.35080282630785</c:v>
                </c:pt>
                <c:pt idx="6">
                  <c:v>3.1632402830798436</c:v>
                </c:pt>
                <c:pt idx="7">
                  <c:v>3.9996010139261542</c:v>
                </c:pt>
                <c:pt idx="8">
                  <c:v>4.7519259646456629</c:v>
                </c:pt>
                <c:pt idx="9">
                  <c:v>5.6457632385955128</c:v>
                </c:pt>
                <c:pt idx="10">
                  <c:v>6.7077313037753283</c:v>
                </c:pt>
                <c:pt idx="11">
                  <c:v>7.9694555620154661</c:v>
                </c:pt>
                <c:pt idx="12">
                  <c:v>9.0341748251007346</c:v>
                </c:pt>
                <c:pt idx="13">
                  <c:v>9.7713634908289535</c:v>
                </c:pt>
                <c:pt idx="14">
                  <c:v>10.568706751680594</c:v>
                </c:pt>
                <c:pt idx="15">
                  <c:v>11.43111322261773</c:v>
                </c:pt>
                <c:pt idx="16">
                  <c:v>12.363892061583336</c:v>
                </c:pt>
                <c:pt idx="17">
                  <c:v>12.85844774404667</c:v>
                </c:pt>
              </c:numCache>
            </c:numRef>
          </c:val>
          <c:extLst>
            <c:ext xmlns:c16="http://schemas.microsoft.com/office/drawing/2014/chart" uri="{C3380CC4-5D6E-409C-BE32-E72D297353CC}">
              <c16:uniqueId val="{00000000-E3CF-4B7C-A2E2-DFF75DECB345}"/>
            </c:ext>
          </c:extLst>
        </c:ser>
        <c:ser>
          <c:idx val="1"/>
          <c:order val="1"/>
          <c:tx>
            <c:strRef>
              <c:f>'Plastics CCUS_RMTP'!$S$3</c:f>
              <c:strCache>
                <c:ptCount val="1"/>
                <c:pt idx="0">
                  <c:v>EPDM</c:v>
                </c:pt>
              </c:strCache>
            </c:strRef>
          </c:tx>
          <c:spPr>
            <a:solidFill>
              <a:schemeClr val="accent2"/>
            </a:solidFill>
            <a:ln>
              <a:noFill/>
            </a:ln>
            <a:effectLst/>
          </c:spPr>
          <c:cat>
            <c:numRef>
              <c:extLst>
                <c:ext xmlns:c15="http://schemas.microsoft.com/office/drawing/2012/chart" uri="{02D57815-91ED-43cb-92C2-25804820EDAC}">
                  <c15:fullRef>
                    <c15:sqref>'Plastics CCUS_RMTP'!$A$4:$A$38</c15:sqref>
                  </c15:fullRef>
                </c:ext>
              </c:extLst>
              <c:f>('Plastics CCUS_RMTP'!$A$5,'Plastics CCUS_RMTP'!$A$7,'Plastics CCUS_RMTP'!$A$9,'Plastics CCUS_RMTP'!$A$11,'Plastics CCUS_RMTP'!$A$13,'Plastics CCUS_RMTP'!$A$15,'Plastics CCUS_RMTP'!$A$17,'Plastics CCUS_RMTP'!$A$19,'Plastics CCUS_RMTP'!$A$21,'Plastics CCUS_RMTP'!$A$23,'Plastics CCUS_RMTP'!$A$25,'Plastics CCUS_RMTP'!$A$27,'Plastics CCUS_RMTP'!$A$29,'Plastics CCUS_RMTP'!$A$31,'Plastics CCUS_RMTP'!$A$33,'Plastics CCUS_RMTP'!$A$35,'Plastics CCUS_RMTP'!$A$37:$A$38)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CCUS_RMTP'!$S$4:$S$38</c15:sqref>
                  </c15:fullRef>
                </c:ext>
              </c:extLst>
              <c:f>('Plastics CCUS_RMTP'!$S$5,'Plastics CCUS_RMTP'!$S$7,'Plastics CCUS_RMTP'!$S$9,'Plastics CCUS_RMTP'!$S$11,'Plastics CCUS_RMTP'!$S$13,'Plastics CCUS_RMTP'!$S$15,'Plastics CCUS_RMTP'!$S$17,'Plastics CCUS_RMTP'!$S$19,'Plastics CCUS_RMTP'!$S$21,'Plastics CCUS_RMTP'!$S$23,'Plastics CCUS_RMTP'!$S$25,'Plastics CCUS_RMTP'!$S$27,'Plastics CCUS_RMTP'!$S$29,'Plastics CCUS_RMTP'!$S$31,'Plastics CCUS_RMTP'!$S$33,'Plastics CCUS_RMTP'!$S$35,'Plastics CCUS_RMTP'!$S$37:$S$38)</c:f>
              <c:numCache>
                <c:formatCode>General</c:formatCode>
                <c:ptCount val="18"/>
                <c:pt idx="0">
                  <c:v>0.11118474373226031</c:v>
                </c:pt>
                <c:pt idx="1">
                  <c:v>0.1826606504172848</c:v>
                </c:pt>
                <c:pt idx="2">
                  <c:v>0.90139060097225321</c:v>
                </c:pt>
                <c:pt idx="3">
                  <c:v>1.2129111926682641</c:v>
                </c:pt>
                <c:pt idx="4">
                  <c:v>1.6320933008544158</c:v>
                </c:pt>
                <c:pt idx="5">
                  <c:v>2.1961447456297019</c:v>
                </c:pt>
                <c:pt idx="6">
                  <c:v>2.955132369719327</c:v>
                </c:pt>
                <c:pt idx="7">
                  <c:v>3.7364693682731174</c:v>
                </c:pt>
                <c:pt idx="8">
                  <c:v>4.4392992564452909</c:v>
                </c:pt>
                <c:pt idx="9">
                  <c:v>5.2743314465826492</c:v>
                </c:pt>
                <c:pt idx="10">
                  <c:v>6.2664331916848459</c:v>
                </c:pt>
                <c:pt idx="11">
                  <c:v>7.4451492750407642</c:v>
                </c:pt>
                <c:pt idx="12">
                  <c:v>8.4398212181862124</c:v>
                </c:pt>
                <c:pt idx="13">
                  <c:v>9.1285106295902061</c:v>
                </c:pt>
                <c:pt idx="14">
                  <c:v>9.8733970969647658</c:v>
                </c:pt>
                <c:pt idx="15">
                  <c:v>10.679066300077087</c:v>
                </c:pt>
                <c:pt idx="16">
                  <c:v>11.550478110163377</c:v>
                </c:pt>
                <c:pt idx="17">
                  <c:v>12.012497234569915</c:v>
                </c:pt>
              </c:numCache>
            </c:numRef>
          </c:val>
          <c:extLst>
            <c:ext xmlns:c16="http://schemas.microsoft.com/office/drawing/2014/chart" uri="{C3380CC4-5D6E-409C-BE32-E72D297353CC}">
              <c16:uniqueId val="{00000001-E3CF-4B7C-A2E2-DFF75DECB345}"/>
            </c:ext>
          </c:extLst>
        </c:ser>
        <c:ser>
          <c:idx val="2"/>
          <c:order val="2"/>
          <c:tx>
            <c:strRef>
              <c:f>'Plastics CCUS_RMTP'!$T$3</c:f>
              <c:strCache>
                <c:ptCount val="1"/>
                <c:pt idx="0">
                  <c:v>LER</c:v>
                </c:pt>
              </c:strCache>
            </c:strRef>
          </c:tx>
          <c:spPr>
            <a:solidFill>
              <a:schemeClr val="accent3"/>
            </a:solidFill>
            <a:ln>
              <a:noFill/>
            </a:ln>
            <a:effectLst/>
          </c:spPr>
          <c:cat>
            <c:numRef>
              <c:extLst>
                <c:ext xmlns:c15="http://schemas.microsoft.com/office/drawing/2012/chart" uri="{02D57815-91ED-43cb-92C2-25804820EDAC}">
                  <c15:fullRef>
                    <c15:sqref>'Plastics CCUS_RMTP'!$A$4:$A$38</c15:sqref>
                  </c15:fullRef>
                </c:ext>
              </c:extLst>
              <c:f>('Plastics CCUS_RMTP'!$A$5,'Plastics CCUS_RMTP'!$A$7,'Plastics CCUS_RMTP'!$A$9,'Plastics CCUS_RMTP'!$A$11,'Plastics CCUS_RMTP'!$A$13,'Plastics CCUS_RMTP'!$A$15,'Plastics CCUS_RMTP'!$A$17,'Plastics CCUS_RMTP'!$A$19,'Plastics CCUS_RMTP'!$A$21,'Plastics CCUS_RMTP'!$A$23,'Plastics CCUS_RMTP'!$A$25,'Plastics CCUS_RMTP'!$A$27,'Plastics CCUS_RMTP'!$A$29,'Plastics CCUS_RMTP'!$A$31,'Plastics CCUS_RMTP'!$A$33,'Plastics CCUS_RMTP'!$A$35,'Plastics CCUS_RMTP'!$A$37:$A$38)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CCUS_RMTP'!$T$4:$T$38</c15:sqref>
                  </c15:fullRef>
                </c:ext>
              </c:extLst>
              <c:f>('Plastics CCUS_RMTP'!$T$5,'Plastics CCUS_RMTP'!$T$7,'Plastics CCUS_RMTP'!$T$9,'Plastics CCUS_RMTP'!$T$11,'Plastics CCUS_RMTP'!$T$13,'Plastics CCUS_RMTP'!$T$15,'Plastics CCUS_RMTP'!$T$17,'Plastics CCUS_RMTP'!$T$19,'Plastics CCUS_RMTP'!$T$21,'Plastics CCUS_RMTP'!$T$23,'Plastics CCUS_RMTP'!$T$25,'Plastics CCUS_RMTP'!$T$27,'Plastics CCUS_RMTP'!$T$29,'Plastics CCUS_RMTP'!$T$31,'Plastics CCUS_RMTP'!$T$33,'Plastics CCUS_RMTP'!$T$35,'Plastics CCUS_RMTP'!$T$37:$T$38)</c:f>
              <c:numCache>
                <c:formatCode>General</c:formatCode>
                <c:ptCount val="18"/>
                <c:pt idx="0">
                  <c:v>0.16756010675143457</c:v>
                </c:pt>
                <c:pt idx="1">
                  <c:v>0.27527731823449963</c:v>
                </c:pt>
                <c:pt idx="2">
                  <c:v>1.3584337225919874</c:v>
                </c:pt>
                <c:pt idx="3">
                  <c:v>1.8279084171197781</c:v>
                </c:pt>
                <c:pt idx="4">
                  <c:v>2.4596335660763731</c:v>
                </c:pt>
                <c:pt idx="5">
                  <c:v>3.3096829265123682</c:v>
                </c:pt>
                <c:pt idx="6">
                  <c:v>4.4535093459150428</c:v>
                </c:pt>
                <c:pt idx="7">
                  <c:v>5.6310172169749801</c:v>
                </c:pt>
                <c:pt idx="8">
                  <c:v>6.6902115554879726</c:v>
                </c:pt>
                <c:pt idx="9">
                  <c:v>7.9486403490752604</c:v>
                </c:pt>
                <c:pt idx="10">
                  <c:v>9.4437795987363184</c:v>
                </c:pt>
                <c:pt idx="11">
                  <c:v>11.220154541258616</c:v>
                </c:pt>
                <c:pt idx="12">
                  <c:v>12.71916718797077</c:v>
                </c:pt>
                <c:pt idx="13">
                  <c:v>13.757051230509184</c:v>
                </c:pt>
                <c:pt idx="14">
                  <c:v>14.879626610918731</c:v>
                </c:pt>
                <c:pt idx="15">
                  <c:v>16.093804142369699</c:v>
                </c:pt>
                <c:pt idx="16">
                  <c:v>17.407058560387064</c:v>
                </c:pt>
                <c:pt idx="17">
                  <c:v>18.10334090280255</c:v>
                </c:pt>
              </c:numCache>
            </c:numRef>
          </c:val>
          <c:extLst>
            <c:ext xmlns:c16="http://schemas.microsoft.com/office/drawing/2014/chart" uri="{C3380CC4-5D6E-409C-BE32-E72D297353CC}">
              <c16:uniqueId val="{00000002-E3CF-4B7C-A2E2-DFF75DECB345}"/>
            </c:ext>
          </c:extLst>
        </c:ser>
        <c:ser>
          <c:idx val="3"/>
          <c:order val="3"/>
          <c:tx>
            <c:strRef>
              <c:f>'Plastics CCUS_RMTP'!$U$3</c:f>
              <c:strCache>
                <c:ptCount val="1"/>
                <c:pt idx="0">
                  <c:v>GPPS</c:v>
                </c:pt>
              </c:strCache>
            </c:strRef>
          </c:tx>
          <c:spPr>
            <a:solidFill>
              <a:schemeClr val="accent4"/>
            </a:solidFill>
            <a:ln>
              <a:noFill/>
            </a:ln>
            <a:effectLst/>
          </c:spPr>
          <c:cat>
            <c:numRef>
              <c:extLst>
                <c:ext xmlns:c15="http://schemas.microsoft.com/office/drawing/2012/chart" uri="{02D57815-91ED-43cb-92C2-25804820EDAC}">
                  <c15:fullRef>
                    <c15:sqref>'Plastics CCUS_RMTP'!$A$4:$A$38</c15:sqref>
                  </c15:fullRef>
                </c:ext>
              </c:extLst>
              <c:f>('Plastics CCUS_RMTP'!$A$5,'Plastics CCUS_RMTP'!$A$7,'Plastics CCUS_RMTP'!$A$9,'Plastics CCUS_RMTP'!$A$11,'Plastics CCUS_RMTP'!$A$13,'Plastics CCUS_RMTP'!$A$15,'Plastics CCUS_RMTP'!$A$17,'Plastics CCUS_RMTP'!$A$19,'Plastics CCUS_RMTP'!$A$21,'Plastics CCUS_RMTP'!$A$23,'Plastics CCUS_RMTP'!$A$25,'Plastics CCUS_RMTP'!$A$27,'Plastics CCUS_RMTP'!$A$29,'Plastics CCUS_RMTP'!$A$31,'Plastics CCUS_RMTP'!$A$33,'Plastics CCUS_RMTP'!$A$35,'Plastics CCUS_RMTP'!$A$37:$A$38)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CCUS_RMTP'!$U$4:$U$38</c15:sqref>
                  </c15:fullRef>
                </c:ext>
              </c:extLst>
              <c:f>('Plastics CCUS_RMTP'!$U$5,'Plastics CCUS_RMTP'!$U$7,'Plastics CCUS_RMTP'!$U$9,'Plastics CCUS_RMTP'!$U$11,'Plastics CCUS_RMTP'!$U$13,'Plastics CCUS_RMTP'!$U$15,'Plastics CCUS_RMTP'!$U$17,'Plastics CCUS_RMTP'!$U$19,'Plastics CCUS_RMTP'!$U$21,'Plastics CCUS_RMTP'!$U$23,'Plastics CCUS_RMTP'!$U$25,'Plastics CCUS_RMTP'!$U$27,'Plastics CCUS_RMTP'!$U$29,'Plastics CCUS_RMTP'!$U$31,'Plastics CCUS_RMTP'!$U$33,'Plastics CCUS_RMTP'!$U$35,'Plastics CCUS_RMTP'!$U$37:$U$38)</c:f>
              <c:numCache>
                <c:formatCode>General</c:formatCode>
                <c:ptCount val="18"/>
                <c:pt idx="0">
                  <c:v>1.0961876142617216E-2</c:v>
                </c:pt>
                <c:pt idx="1">
                  <c:v>1.8008796520013994E-2</c:v>
                </c:pt>
                <c:pt idx="2">
                  <c:v>8.8869495870503842E-2</c:v>
                </c:pt>
                <c:pt idx="3">
                  <c:v>0.11958279364334999</c:v>
                </c:pt>
                <c:pt idx="4">
                  <c:v>0.16091060712649172</c:v>
                </c:pt>
                <c:pt idx="5">
                  <c:v>0.21652131294940727</c:v>
                </c:pt>
                <c:pt idx="6">
                  <c:v>0.29135107870472238</c:v>
                </c:pt>
                <c:pt idx="7">
                  <c:v>0.36838430391425103</c:v>
                </c:pt>
                <c:pt idx="8">
                  <c:v>0.43767739148052159</c:v>
                </c:pt>
                <c:pt idx="9">
                  <c:v>0.52000450881800775</c:v>
                </c:pt>
                <c:pt idx="10">
                  <c:v>0.61781735692667494</c:v>
                </c:pt>
                <c:pt idx="11">
                  <c:v>0.73402880176458252</c:v>
                </c:pt>
                <c:pt idx="12">
                  <c:v>0.83209504968033077</c:v>
                </c:pt>
                <c:pt idx="13">
                  <c:v>0.89999400573424571</c:v>
                </c:pt>
                <c:pt idx="14">
                  <c:v>0.97343351660216004</c:v>
                </c:pt>
                <c:pt idx="15">
                  <c:v>1.0528656915568961</c:v>
                </c:pt>
                <c:pt idx="16">
                  <c:v>1.1387795319879388</c:v>
                </c:pt>
                <c:pt idx="17">
                  <c:v>1.1843307132674565</c:v>
                </c:pt>
              </c:numCache>
            </c:numRef>
          </c:val>
          <c:extLst>
            <c:ext xmlns:c16="http://schemas.microsoft.com/office/drawing/2014/chart" uri="{C3380CC4-5D6E-409C-BE32-E72D297353CC}">
              <c16:uniqueId val="{00000003-E3CF-4B7C-A2E2-DFF75DECB345}"/>
            </c:ext>
          </c:extLst>
        </c:ser>
        <c:ser>
          <c:idx val="4"/>
          <c:order val="4"/>
          <c:tx>
            <c:strRef>
              <c:f>'Plastics CCUS_RMTP'!$V$3</c:f>
              <c:strCache>
                <c:ptCount val="1"/>
                <c:pt idx="0">
                  <c:v>HIPS</c:v>
                </c:pt>
              </c:strCache>
            </c:strRef>
          </c:tx>
          <c:spPr>
            <a:solidFill>
              <a:schemeClr val="accent5"/>
            </a:solidFill>
            <a:ln>
              <a:noFill/>
            </a:ln>
            <a:effectLst/>
          </c:spPr>
          <c:cat>
            <c:numRef>
              <c:extLst>
                <c:ext xmlns:c15="http://schemas.microsoft.com/office/drawing/2012/chart" uri="{02D57815-91ED-43cb-92C2-25804820EDAC}">
                  <c15:fullRef>
                    <c15:sqref>'Plastics CCUS_RMTP'!$A$4:$A$38</c15:sqref>
                  </c15:fullRef>
                </c:ext>
              </c:extLst>
              <c:f>('Plastics CCUS_RMTP'!$A$5,'Plastics CCUS_RMTP'!$A$7,'Plastics CCUS_RMTP'!$A$9,'Plastics CCUS_RMTP'!$A$11,'Plastics CCUS_RMTP'!$A$13,'Plastics CCUS_RMTP'!$A$15,'Plastics CCUS_RMTP'!$A$17,'Plastics CCUS_RMTP'!$A$19,'Plastics CCUS_RMTP'!$A$21,'Plastics CCUS_RMTP'!$A$23,'Plastics CCUS_RMTP'!$A$25,'Plastics CCUS_RMTP'!$A$27,'Plastics CCUS_RMTP'!$A$29,'Plastics CCUS_RMTP'!$A$31,'Plastics CCUS_RMTP'!$A$33,'Plastics CCUS_RMTP'!$A$35,'Plastics CCUS_RMTP'!$A$37:$A$38)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CCUS_RMTP'!$V$4:$V$38</c15:sqref>
                  </c15:fullRef>
                </c:ext>
              </c:extLst>
              <c:f>('Plastics CCUS_RMTP'!$V$5,'Plastics CCUS_RMTP'!$V$7,'Plastics CCUS_RMTP'!$V$9,'Plastics CCUS_RMTP'!$V$11,'Plastics CCUS_RMTP'!$V$13,'Plastics CCUS_RMTP'!$V$15,'Plastics CCUS_RMTP'!$V$17,'Plastics CCUS_RMTP'!$V$19,'Plastics CCUS_RMTP'!$V$21,'Plastics CCUS_RMTP'!$V$23,'Plastics CCUS_RMTP'!$V$25,'Plastics CCUS_RMTP'!$V$27,'Plastics CCUS_RMTP'!$V$29,'Plastics CCUS_RMTP'!$V$31,'Plastics CCUS_RMTP'!$V$33,'Plastics CCUS_RMTP'!$V$35,'Plastics CCUS_RMTP'!$V$37:$V$38)</c:f>
              <c:numCache>
                <c:formatCode>General</c:formatCode>
                <c:ptCount val="18"/>
                <c:pt idx="0">
                  <c:v>1.0961876142617216E-2</c:v>
                </c:pt>
                <c:pt idx="1">
                  <c:v>1.8008796520013994E-2</c:v>
                </c:pt>
                <c:pt idx="2">
                  <c:v>8.8869495870503842E-2</c:v>
                </c:pt>
                <c:pt idx="3">
                  <c:v>0.11958279364334999</c:v>
                </c:pt>
                <c:pt idx="4">
                  <c:v>0.16091060712649172</c:v>
                </c:pt>
                <c:pt idx="5">
                  <c:v>0.21652131294940727</c:v>
                </c:pt>
                <c:pt idx="6">
                  <c:v>0.29135107870472238</c:v>
                </c:pt>
                <c:pt idx="7">
                  <c:v>0.36838430391425103</c:v>
                </c:pt>
                <c:pt idx="8">
                  <c:v>0.43767739148052159</c:v>
                </c:pt>
                <c:pt idx="9">
                  <c:v>0.52000450881800775</c:v>
                </c:pt>
                <c:pt idx="10">
                  <c:v>0.61781735692667494</c:v>
                </c:pt>
                <c:pt idx="11">
                  <c:v>0.73402880176458252</c:v>
                </c:pt>
                <c:pt idx="12">
                  <c:v>0.83209504968033077</c:v>
                </c:pt>
                <c:pt idx="13">
                  <c:v>0.89999400573424571</c:v>
                </c:pt>
                <c:pt idx="14">
                  <c:v>0.97343351660216004</c:v>
                </c:pt>
                <c:pt idx="15">
                  <c:v>1.0528656915568961</c:v>
                </c:pt>
                <c:pt idx="16">
                  <c:v>1.1387795319879388</c:v>
                </c:pt>
                <c:pt idx="17">
                  <c:v>1.1843307132674565</c:v>
                </c:pt>
              </c:numCache>
            </c:numRef>
          </c:val>
          <c:extLst>
            <c:ext xmlns:c16="http://schemas.microsoft.com/office/drawing/2014/chart" uri="{C3380CC4-5D6E-409C-BE32-E72D297353CC}">
              <c16:uniqueId val="{00000004-E3CF-4B7C-A2E2-DFF75DECB345}"/>
            </c:ext>
          </c:extLst>
        </c:ser>
        <c:ser>
          <c:idx val="5"/>
          <c:order val="5"/>
          <c:tx>
            <c:strRef>
              <c:f>'Plastics CCUS_RMTP'!$W$3</c:f>
              <c:strCache>
                <c:ptCount val="1"/>
                <c:pt idx="0">
                  <c:v>HDPE</c:v>
                </c:pt>
              </c:strCache>
            </c:strRef>
          </c:tx>
          <c:spPr>
            <a:solidFill>
              <a:schemeClr val="accent6"/>
            </a:solidFill>
            <a:ln>
              <a:noFill/>
            </a:ln>
            <a:effectLst/>
          </c:spPr>
          <c:cat>
            <c:numRef>
              <c:extLst>
                <c:ext xmlns:c15="http://schemas.microsoft.com/office/drawing/2012/chart" uri="{02D57815-91ED-43cb-92C2-25804820EDAC}">
                  <c15:fullRef>
                    <c15:sqref>'Plastics CCUS_RMTP'!$A$4:$A$38</c15:sqref>
                  </c15:fullRef>
                </c:ext>
              </c:extLst>
              <c:f>('Plastics CCUS_RMTP'!$A$5,'Plastics CCUS_RMTP'!$A$7,'Plastics CCUS_RMTP'!$A$9,'Plastics CCUS_RMTP'!$A$11,'Plastics CCUS_RMTP'!$A$13,'Plastics CCUS_RMTP'!$A$15,'Plastics CCUS_RMTP'!$A$17,'Plastics CCUS_RMTP'!$A$19,'Plastics CCUS_RMTP'!$A$21,'Plastics CCUS_RMTP'!$A$23,'Plastics CCUS_RMTP'!$A$25,'Plastics CCUS_RMTP'!$A$27,'Plastics CCUS_RMTP'!$A$29,'Plastics CCUS_RMTP'!$A$31,'Plastics CCUS_RMTP'!$A$33,'Plastics CCUS_RMTP'!$A$35,'Plastics CCUS_RMTP'!$A$37:$A$38)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CCUS_RMTP'!$W$4:$W$38</c15:sqref>
                  </c15:fullRef>
                </c:ext>
              </c:extLst>
              <c:f>('Plastics CCUS_RMTP'!$W$5,'Plastics CCUS_RMTP'!$W$7,'Plastics CCUS_RMTP'!$W$9,'Plastics CCUS_RMTP'!$W$11,'Plastics CCUS_RMTP'!$W$13,'Plastics CCUS_RMTP'!$W$15,'Plastics CCUS_RMTP'!$W$17,'Plastics CCUS_RMTP'!$W$19,'Plastics CCUS_RMTP'!$W$21,'Plastics CCUS_RMTP'!$W$23,'Plastics CCUS_RMTP'!$W$25,'Plastics CCUS_RMTP'!$W$27,'Plastics CCUS_RMTP'!$W$29,'Plastics CCUS_RMTP'!$W$31,'Plastics CCUS_RMTP'!$W$33,'Plastics CCUS_RMTP'!$W$35,'Plastics CCUS_RMTP'!$W$37:$W$38)</c:f>
              <c:numCache>
                <c:formatCode>General</c:formatCode>
                <c:ptCount val="18"/>
                <c:pt idx="0">
                  <c:v>2.1923752285234428E-2</c:v>
                </c:pt>
                <c:pt idx="1">
                  <c:v>3.6017593040027981E-2</c:v>
                </c:pt>
                <c:pt idx="2">
                  <c:v>0.17773899174100766</c:v>
                </c:pt>
                <c:pt idx="3">
                  <c:v>0.2391655872866999</c:v>
                </c:pt>
                <c:pt idx="4">
                  <c:v>0.32182121425298338</c:v>
                </c:pt>
                <c:pt idx="5">
                  <c:v>0.43304262589881443</c:v>
                </c:pt>
                <c:pt idx="6">
                  <c:v>0.58270215740944464</c:v>
                </c:pt>
                <c:pt idx="7">
                  <c:v>0.73676860782850195</c:v>
                </c:pt>
                <c:pt idx="8">
                  <c:v>0.87535478296104308</c:v>
                </c:pt>
                <c:pt idx="9">
                  <c:v>1.0400090176360153</c:v>
                </c:pt>
                <c:pt idx="10">
                  <c:v>1.2356347138533497</c:v>
                </c:pt>
                <c:pt idx="11">
                  <c:v>1.4680576035291648</c:v>
                </c:pt>
                <c:pt idx="12">
                  <c:v>1.6641900993606613</c:v>
                </c:pt>
                <c:pt idx="13">
                  <c:v>1.7999880114684912</c:v>
                </c:pt>
                <c:pt idx="14">
                  <c:v>1.9468670332043196</c:v>
                </c:pt>
                <c:pt idx="15">
                  <c:v>2.1057313831137923</c:v>
                </c:pt>
                <c:pt idx="16">
                  <c:v>2.2775590639758772</c:v>
                </c:pt>
                <c:pt idx="17">
                  <c:v>2.3686614265349126</c:v>
                </c:pt>
              </c:numCache>
            </c:numRef>
          </c:val>
          <c:extLst>
            <c:ext xmlns:c16="http://schemas.microsoft.com/office/drawing/2014/chart" uri="{C3380CC4-5D6E-409C-BE32-E72D297353CC}">
              <c16:uniqueId val="{00000005-E3CF-4B7C-A2E2-DFF75DECB345}"/>
            </c:ext>
          </c:extLst>
        </c:ser>
        <c:ser>
          <c:idx val="6"/>
          <c:order val="6"/>
          <c:tx>
            <c:strRef>
              <c:f>'Plastics CCUS_RMTP'!$X$3</c:f>
              <c:strCache>
                <c:ptCount val="1"/>
                <c:pt idx="0">
                  <c:v>LDPE</c:v>
                </c:pt>
              </c:strCache>
            </c:strRef>
          </c:tx>
          <c:spPr>
            <a:solidFill>
              <a:schemeClr val="accent1">
                <a:lumMod val="60000"/>
              </a:schemeClr>
            </a:solidFill>
            <a:ln>
              <a:noFill/>
            </a:ln>
            <a:effectLst/>
          </c:spPr>
          <c:cat>
            <c:numRef>
              <c:extLst>
                <c:ext xmlns:c15="http://schemas.microsoft.com/office/drawing/2012/chart" uri="{02D57815-91ED-43cb-92C2-25804820EDAC}">
                  <c15:fullRef>
                    <c15:sqref>'Plastics CCUS_RMTP'!$A$4:$A$38</c15:sqref>
                  </c15:fullRef>
                </c:ext>
              </c:extLst>
              <c:f>('Plastics CCUS_RMTP'!$A$5,'Plastics CCUS_RMTP'!$A$7,'Plastics CCUS_RMTP'!$A$9,'Plastics CCUS_RMTP'!$A$11,'Plastics CCUS_RMTP'!$A$13,'Plastics CCUS_RMTP'!$A$15,'Plastics CCUS_RMTP'!$A$17,'Plastics CCUS_RMTP'!$A$19,'Plastics CCUS_RMTP'!$A$21,'Plastics CCUS_RMTP'!$A$23,'Plastics CCUS_RMTP'!$A$25,'Plastics CCUS_RMTP'!$A$27,'Plastics CCUS_RMTP'!$A$29,'Plastics CCUS_RMTP'!$A$31,'Plastics CCUS_RMTP'!$A$33,'Plastics CCUS_RMTP'!$A$35,'Plastics CCUS_RMTP'!$A$37:$A$38)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CCUS_RMTP'!$X$4:$X$38</c15:sqref>
                  </c15:fullRef>
                </c:ext>
              </c:extLst>
              <c:f>('Plastics CCUS_RMTP'!$X$5,'Plastics CCUS_RMTP'!$X$7,'Plastics CCUS_RMTP'!$X$9,'Plastics CCUS_RMTP'!$X$11,'Plastics CCUS_RMTP'!$X$13,'Plastics CCUS_RMTP'!$X$15,'Plastics CCUS_RMTP'!$X$17,'Plastics CCUS_RMTP'!$X$19,'Plastics CCUS_RMTP'!$X$21,'Plastics CCUS_RMTP'!$X$23,'Plastics CCUS_RMTP'!$X$25,'Plastics CCUS_RMTP'!$X$27,'Plastics CCUS_RMTP'!$X$29,'Plastics CCUS_RMTP'!$X$31,'Plastics CCUS_RMTP'!$X$33,'Plastics CCUS_RMTP'!$X$35,'Plastics CCUS_RMTP'!$X$37:$X$38)</c:f>
              <c:numCache>
                <c:formatCode>General</c:formatCode>
                <c:ptCount val="18"/>
                <c:pt idx="0">
                  <c:v>2.1923752285234428E-2</c:v>
                </c:pt>
                <c:pt idx="1">
                  <c:v>3.6017593040027981E-2</c:v>
                </c:pt>
                <c:pt idx="2">
                  <c:v>0.17773899174100766</c:v>
                </c:pt>
                <c:pt idx="3">
                  <c:v>0.2391655872866999</c:v>
                </c:pt>
                <c:pt idx="4">
                  <c:v>0.32182121425298338</c:v>
                </c:pt>
                <c:pt idx="5">
                  <c:v>0.43304262589881443</c:v>
                </c:pt>
                <c:pt idx="6">
                  <c:v>0.58270215740944464</c:v>
                </c:pt>
                <c:pt idx="7">
                  <c:v>0.73676860782850195</c:v>
                </c:pt>
                <c:pt idx="8">
                  <c:v>0.87535478296104308</c:v>
                </c:pt>
                <c:pt idx="9">
                  <c:v>1.0400090176360153</c:v>
                </c:pt>
                <c:pt idx="10">
                  <c:v>1.2356347138533497</c:v>
                </c:pt>
                <c:pt idx="11">
                  <c:v>1.4680576035291648</c:v>
                </c:pt>
                <c:pt idx="12">
                  <c:v>1.6641900993606613</c:v>
                </c:pt>
                <c:pt idx="13">
                  <c:v>1.7999880114684912</c:v>
                </c:pt>
                <c:pt idx="14">
                  <c:v>1.9468670332043196</c:v>
                </c:pt>
                <c:pt idx="15">
                  <c:v>2.1057313831137923</c:v>
                </c:pt>
                <c:pt idx="16">
                  <c:v>2.2775590639758772</c:v>
                </c:pt>
                <c:pt idx="17">
                  <c:v>2.3686614265349126</c:v>
                </c:pt>
              </c:numCache>
            </c:numRef>
          </c:val>
          <c:extLst>
            <c:ext xmlns:c16="http://schemas.microsoft.com/office/drawing/2014/chart" uri="{C3380CC4-5D6E-409C-BE32-E72D297353CC}">
              <c16:uniqueId val="{00000006-E3CF-4B7C-A2E2-DFF75DECB345}"/>
            </c:ext>
          </c:extLst>
        </c:ser>
        <c:ser>
          <c:idx val="7"/>
          <c:order val="7"/>
          <c:tx>
            <c:strRef>
              <c:f>'Plastics CCUS_RMTP'!$Y$3</c:f>
              <c:strCache>
                <c:ptCount val="1"/>
                <c:pt idx="0">
                  <c:v>LLDPE</c:v>
                </c:pt>
              </c:strCache>
            </c:strRef>
          </c:tx>
          <c:spPr>
            <a:solidFill>
              <a:schemeClr val="accent2">
                <a:lumMod val="60000"/>
              </a:schemeClr>
            </a:solidFill>
            <a:ln>
              <a:noFill/>
            </a:ln>
            <a:effectLst/>
          </c:spPr>
          <c:cat>
            <c:numRef>
              <c:extLst>
                <c:ext xmlns:c15="http://schemas.microsoft.com/office/drawing/2012/chart" uri="{02D57815-91ED-43cb-92C2-25804820EDAC}">
                  <c15:fullRef>
                    <c15:sqref>'Plastics CCUS_RMTP'!$A$4:$A$38</c15:sqref>
                  </c15:fullRef>
                </c:ext>
              </c:extLst>
              <c:f>('Plastics CCUS_RMTP'!$A$5,'Plastics CCUS_RMTP'!$A$7,'Plastics CCUS_RMTP'!$A$9,'Plastics CCUS_RMTP'!$A$11,'Plastics CCUS_RMTP'!$A$13,'Plastics CCUS_RMTP'!$A$15,'Plastics CCUS_RMTP'!$A$17,'Plastics CCUS_RMTP'!$A$19,'Plastics CCUS_RMTP'!$A$21,'Plastics CCUS_RMTP'!$A$23,'Plastics CCUS_RMTP'!$A$25,'Plastics CCUS_RMTP'!$A$27,'Plastics CCUS_RMTP'!$A$29,'Plastics CCUS_RMTP'!$A$31,'Plastics CCUS_RMTP'!$A$33,'Plastics CCUS_RMTP'!$A$35,'Plastics CCUS_RMTP'!$A$37:$A$38)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CCUS_RMTP'!$Y$4:$Y$38</c15:sqref>
                  </c15:fullRef>
                </c:ext>
              </c:extLst>
              <c:f>('Plastics CCUS_RMTP'!$Y$5,'Plastics CCUS_RMTP'!$Y$7,'Plastics CCUS_RMTP'!$Y$9,'Plastics CCUS_RMTP'!$Y$11,'Plastics CCUS_RMTP'!$Y$13,'Plastics CCUS_RMTP'!$Y$15,'Plastics CCUS_RMTP'!$Y$17,'Plastics CCUS_RMTP'!$Y$19,'Plastics CCUS_RMTP'!$Y$21,'Plastics CCUS_RMTP'!$Y$23,'Plastics CCUS_RMTP'!$Y$25,'Plastics CCUS_RMTP'!$Y$27,'Plastics CCUS_RMTP'!$Y$29,'Plastics CCUS_RMTP'!$Y$31,'Plastics CCUS_RMTP'!$Y$33,'Plastics CCUS_RMTP'!$Y$35,'Plastics CCUS_RMTP'!$Y$37:$Y$38)</c:f>
              <c:numCache>
                <c:formatCode>General</c:formatCode>
                <c:ptCount val="18"/>
                <c:pt idx="0">
                  <c:v>2.1923752285234428E-2</c:v>
                </c:pt>
                <c:pt idx="1">
                  <c:v>3.6017593040027981E-2</c:v>
                </c:pt>
                <c:pt idx="2">
                  <c:v>0.17773899174100766</c:v>
                </c:pt>
                <c:pt idx="3">
                  <c:v>0.2391655872866999</c:v>
                </c:pt>
                <c:pt idx="4">
                  <c:v>0.32182121425298338</c:v>
                </c:pt>
                <c:pt idx="5">
                  <c:v>0.43304262589881443</c:v>
                </c:pt>
                <c:pt idx="6">
                  <c:v>0.58270215740944464</c:v>
                </c:pt>
                <c:pt idx="7">
                  <c:v>0.73676860782850195</c:v>
                </c:pt>
                <c:pt idx="8">
                  <c:v>0.87535478296104308</c:v>
                </c:pt>
                <c:pt idx="9">
                  <c:v>1.0400090176360153</c:v>
                </c:pt>
                <c:pt idx="10">
                  <c:v>1.2356347138533497</c:v>
                </c:pt>
                <c:pt idx="11">
                  <c:v>1.4680576035291648</c:v>
                </c:pt>
                <c:pt idx="12">
                  <c:v>1.6641900993606613</c:v>
                </c:pt>
                <c:pt idx="13">
                  <c:v>1.7999880114684912</c:v>
                </c:pt>
                <c:pt idx="14">
                  <c:v>1.9468670332043196</c:v>
                </c:pt>
                <c:pt idx="15">
                  <c:v>2.1057313831137923</c:v>
                </c:pt>
                <c:pt idx="16">
                  <c:v>2.2775590639758772</c:v>
                </c:pt>
                <c:pt idx="17">
                  <c:v>2.3686614265349126</c:v>
                </c:pt>
              </c:numCache>
            </c:numRef>
          </c:val>
          <c:extLst>
            <c:ext xmlns:c16="http://schemas.microsoft.com/office/drawing/2014/chart" uri="{C3380CC4-5D6E-409C-BE32-E72D297353CC}">
              <c16:uniqueId val="{00000007-E3CF-4B7C-A2E2-DFF75DECB345}"/>
            </c:ext>
          </c:extLst>
        </c:ser>
        <c:ser>
          <c:idx val="8"/>
          <c:order val="8"/>
          <c:tx>
            <c:strRef>
              <c:f>'Plastics CCUS_RMTP'!$Z$3</c:f>
              <c:strCache>
                <c:ptCount val="1"/>
                <c:pt idx="0">
                  <c:v>Nylon 6</c:v>
                </c:pt>
              </c:strCache>
            </c:strRef>
          </c:tx>
          <c:spPr>
            <a:solidFill>
              <a:schemeClr val="accent3">
                <a:lumMod val="60000"/>
              </a:schemeClr>
            </a:solidFill>
            <a:ln>
              <a:noFill/>
            </a:ln>
            <a:effectLst/>
          </c:spPr>
          <c:cat>
            <c:numRef>
              <c:extLst>
                <c:ext xmlns:c15="http://schemas.microsoft.com/office/drawing/2012/chart" uri="{02D57815-91ED-43cb-92C2-25804820EDAC}">
                  <c15:fullRef>
                    <c15:sqref>'Plastics CCUS_RMTP'!$A$4:$A$38</c15:sqref>
                  </c15:fullRef>
                </c:ext>
              </c:extLst>
              <c:f>('Plastics CCUS_RMTP'!$A$5,'Plastics CCUS_RMTP'!$A$7,'Plastics CCUS_RMTP'!$A$9,'Plastics CCUS_RMTP'!$A$11,'Plastics CCUS_RMTP'!$A$13,'Plastics CCUS_RMTP'!$A$15,'Plastics CCUS_RMTP'!$A$17,'Plastics CCUS_RMTP'!$A$19,'Plastics CCUS_RMTP'!$A$21,'Plastics CCUS_RMTP'!$A$23,'Plastics CCUS_RMTP'!$A$25,'Plastics CCUS_RMTP'!$A$27,'Plastics CCUS_RMTP'!$A$29,'Plastics CCUS_RMTP'!$A$31,'Plastics CCUS_RMTP'!$A$33,'Plastics CCUS_RMTP'!$A$35,'Plastics CCUS_RMTP'!$A$37:$A$38)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CCUS_RMTP'!$Z$4:$Z$38</c15:sqref>
                  </c15:fullRef>
                </c:ext>
              </c:extLst>
              <c:f>('Plastics CCUS_RMTP'!$Z$5,'Plastics CCUS_RMTP'!$Z$7,'Plastics CCUS_RMTP'!$Z$9,'Plastics CCUS_RMTP'!$Z$11,'Plastics CCUS_RMTP'!$Z$13,'Plastics CCUS_RMTP'!$Z$15,'Plastics CCUS_RMTP'!$Z$17,'Plastics CCUS_RMTP'!$Z$19,'Plastics CCUS_RMTP'!$Z$21,'Plastics CCUS_RMTP'!$Z$23,'Plastics CCUS_RMTP'!$Z$25,'Plastics CCUS_RMTP'!$Z$27,'Plastics CCUS_RMTP'!$Z$29,'Plastics CCUS_RMTP'!$Z$31,'Plastics CCUS_RMTP'!$Z$33,'Plastics CCUS_RMTP'!$Z$35,'Plastics CCUS_RMTP'!$Z$37:$Z$38)</c:f>
              <c:numCache>
                <c:formatCode>General</c:formatCode>
                <c:ptCount val="18"/>
                <c:pt idx="0">
                  <c:v>1.722580536696991E-2</c:v>
                </c:pt>
                <c:pt idx="1">
                  <c:v>2.8299537388593424E-2</c:v>
                </c:pt>
                <c:pt idx="2">
                  <c:v>0.13965206493936322</c:v>
                </c:pt>
                <c:pt idx="3">
                  <c:v>0.18791581858240713</c:v>
                </c:pt>
                <c:pt idx="4">
                  <c:v>0.25285952548448698</c:v>
                </c:pt>
                <c:pt idx="5">
                  <c:v>0.34024777749192575</c:v>
                </c:pt>
                <c:pt idx="6">
                  <c:v>0.45783740939313528</c:v>
                </c:pt>
                <c:pt idx="7">
                  <c:v>0.57888962043668024</c:v>
                </c:pt>
                <c:pt idx="8">
                  <c:v>0.68777875804081978</c:v>
                </c:pt>
                <c:pt idx="9">
                  <c:v>0.81714994242829797</c:v>
                </c:pt>
                <c:pt idx="10">
                  <c:v>0.97085584659906077</c:v>
                </c:pt>
                <c:pt idx="11">
                  <c:v>1.153473831344344</c:v>
                </c:pt>
                <c:pt idx="12">
                  <c:v>1.3075779352119485</c:v>
                </c:pt>
                <c:pt idx="13">
                  <c:v>1.4142762947252434</c:v>
                </c:pt>
                <c:pt idx="14">
                  <c:v>1.529681240374823</c:v>
                </c:pt>
                <c:pt idx="15">
                  <c:v>1.6545032295894084</c:v>
                </c:pt>
                <c:pt idx="16">
                  <c:v>1.789510693123904</c:v>
                </c:pt>
                <c:pt idx="17">
                  <c:v>1.8610911208488603</c:v>
                </c:pt>
              </c:numCache>
            </c:numRef>
          </c:val>
          <c:extLst>
            <c:ext xmlns:c16="http://schemas.microsoft.com/office/drawing/2014/chart" uri="{C3380CC4-5D6E-409C-BE32-E72D297353CC}">
              <c16:uniqueId val="{00000008-E3CF-4B7C-A2E2-DFF75DECB345}"/>
            </c:ext>
          </c:extLst>
        </c:ser>
        <c:ser>
          <c:idx val="9"/>
          <c:order val="9"/>
          <c:tx>
            <c:strRef>
              <c:f>'Plastics CCUS_RMTP'!$AA$3</c:f>
              <c:strCache>
                <c:ptCount val="1"/>
                <c:pt idx="0">
                  <c:v>Nylon 66</c:v>
                </c:pt>
              </c:strCache>
            </c:strRef>
          </c:tx>
          <c:spPr>
            <a:solidFill>
              <a:schemeClr val="accent4">
                <a:lumMod val="60000"/>
              </a:schemeClr>
            </a:solidFill>
            <a:ln>
              <a:noFill/>
            </a:ln>
            <a:effectLst/>
          </c:spPr>
          <c:cat>
            <c:numRef>
              <c:extLst>
                <c:ext xmlns:c15="http://schemas.microsoft.com/office/drawing/2012/chart" uri="{02D57815-91ED-43cb-92C2-25804820EDAC}">
                  <c15:fullRef>
                    <c15:sqref>'Plastics CCUS_RMTP'!$A$4:$A$38</c15:sqref>
                  </c15:fullRef>
                </c:ext>
              </c:extLst>
              <c:f>('Plastics CCUS_RMTP'!$A$5,'Plastics CCUS_RMTP'!$A$7,'Plastics CCUS_RMTP'!$A$9,'Plastics CCUS_RMTP'!$A$11,'Plastics CCUS_RMTP'!$A$13,'Plastics CCUS_RMTP'!$A$15,'Plastics CCUS_RMTP'!$A$17,'Plastics CCUS_RMTP'!$A$19,'Plastics CCUS_RMTP'!$A$21,'Plastics CCUS_RMTP'!$A$23,'Plastics CCUS_RMTP'!$A$25,'Plastics CCUS_RMTP'!$A$27,'Plastics CCUS_RMTP'!$A$29,'Plastics CCUS_RMTP'!$A$31,'Plastics CCUS_RMTP'!$A$33,'Plastics CCUS_RMTP'!$A$35,'Plastics CCUS_RMTP'!$A$37:$A$38)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CCUS_RMTP'!$AA$4:$AA$38</c15:sqref>
                  </c15:fullRef>
                </c:ext>
              </c:extLst>
              <c:f>('Plastics CCUS_RMTP'!$AA$5,'Plastics CCUS_RMTP'!$AA$7,'Plastics CCUS_RMTP'!$AA$9,'Plastics CCUS_RMTP'!$AA$11,'Plastics CCUS_RMTP'!$AA$13,'Plastics CCUS_RMTP'!$AA$15,'Plastics CCUS_RMTP'!$AA$17,'Plastics CCUS_RMTP'!$AA$19,'Plastics CCUS_RMTP'!$AA$21,'Plastics CCUS_RMTP'!$AA$23,'Plastics CCUS_RMTP'!$AA$25,'Plastics CCUS_RMTP'!$AA$27,'Plastics CCUS_RMTP'!$AA$29,'Plastics CCUS_RMTP'!$AA$31,'Plastics CCUS_RMTP'!$AA$33,'Plastics CCUS_RMTP'!$AA$35,'Plastics CCUS_RMTP'!$AA$37:$AA$38)</c:f>
              <c:numCache>
                <c:formatCode>General</c:formatCode>
                <c:ptCount val="18"/>
                <c:pt idx="0">
                  <c:v>0.10961876142617212</c:v>
                </c:pt>
                <c:pt idx="1">
                  <c:v>0.18008796520013992</c:v>
                </c:pt>
                <c:pt idx="2">
                  <c:v>0.88869495870503834</c:v>
                </c:pt>
                <c:pt idx="3">
                  <c:v>1.1958279364334994</c:v>
                </c:pt>
                <c:pt idx="4">
                  <c:v>1.6091060712649168</c:v>
                </c:pt>
                <c:pt idx="5">
                  <c:v>2.165213129494072</c:v>
                </c:pt>
                <c:pt idx="6">
                  <c:v>2.9135107870472234</c:v>
                </c:pt>
                <c:pt idx="7">
                  <c:v>3.6838430391425097</c:v>
                </c:pt>
                <c:pt idx="8">
                  <c:v>4.3767739148052147</c:v>
                </c:pt>
                <c:pt idx="9">
                  <c:v>5.2000450881800759</c:v>
                </c:pt>
                <c:pt idx="10">
                  <c:v>6.1781735692667485</c:v>
                </c:pt>
                <c:pt idx="11">
                  <c:v>7.3402880176458227</c:v>
                </c:pt>
                <c:pt idx="12">
                  <c:v>8.3209504968033059</c:v>
                </c:pt>
                <c:pt idx="13">
                  <c:v>8.9999400573424548</c:v>
                </c:pt>
                <c:pt idx="14">
                  <c:v>9.734335166021598</c:v>
                </c:pt>
                <c:pt idx="15">
                  <c:v>10.528656915568959</c:v>
                </c:pt>
                <c:pt idx="16">
                  <c:v>11.387795319879384</c:v>
                </c:pt>
                <c:pt idx="17">
                  <c:v>11.843307132674562</c:v>
                </c:pt>
              </c:numCache>
            </c:numRef>
          </c:val>
          <c:extLst>
            <c:ext xmlns:c16="http://schemas.microsoft.com/office/drawing/2014/chart" uri="{C3380CC4-5D6E-409C-BE32-E72D297353CC}">
              <c16:uniqueId val="{00000009-E3CF-4B7C-A2E2-DFF75DECB345}"/>
            </c:ext>
          </c:extLst>
        </c:ser>
        <c:ser>
          <c:idx val="10"/>
          <c:order val="10"/>
          <c:tx>
            <c:strRef>
              <c:f>'Plastics CCUS_RMTP'!$AB$3</c:f>
              <c:strCache>
                <c:ptCount val="1"/>
                <c:pt idx="0">
                  <c:v>PC</c:v>
                </c:pt>
              </c:strCache>
            </c:strRef>
          </c:tx>
          <c:spPr>
            <a:solidFill>
              <a:schemeClr val="accent5">
                <a:lumMod val="60000"/>
              </a:schemeClr>
            </a:solidFill>
            <a:ln>
              <a:noFill/>
            </a:ln>
            <a:effectLst/>
          </c:spPr>
          <c:cat>
            <c:numRef>
              <c:extLst>
                <c:ext xmlns:c15="http://schemas.microsoft.com/office/drawing/2012/chart" uri="{02D57815-91ED-43cb-92C2-25804820EDAC}">
                  <c15:fullRef>
                    <c15:sqref>'Plastics CCUS_RMTP'!$A$4:$A$38</c15:sqref>
                  </c15:fullRef>
                </c:ext>
              </c:extLst>
              <c:f>('Plastics CCUS_RMTP'!$A$5,'Plastics CCUS_RMTP'!$A$7,'Plastics CCUS_RMTP'!$A$9,'Plastics CCUS_RMTP'!$A$11,'Plastics CCUS_RMTP'!$A$13,'Plastics CCUS_RMTP'!$A$15,'Plastics CCUS_RMTP'!$A$17,'Plastics CCUS_RMTP'!$A$19,'Plastics CCUS_RMTP'!$A$21,'Plastics CCUS_RMTP'!$A$23,'Plastics CCUS_RMTP'!$A$25,'Plastics CCUS_RMTP'!$A$27,'Plastics CCUS_RMTP'!$A$29,'Plastics CCUS_RMTP'!$A$31,'Plastics CCUS_RMTP'!$A$33,'Plastics CCUS_RMTP'!$A$35,'Plastics CCUS_RMTP'!$A$37:$A$38)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CCUS_RMTP'!$AB$4:$AB$38</c15:sqref>
                  </c15:fullRef>
                </c:ext>
              </c:extLst>
              <c:f>('Plastics CCUS_RMTP'!$AB$5,'Plastics CCUS_RMTP'!$AB$7,'Plastics CCUS_RMTP'!$AB$9,'Plastics CCUS_RMTP'!$AB$11,'Plastics CCUS_RMTP'!$AB$13,'Plastics CCUS_RMTP'!$AB$15,'Plastics CCUS_RMTP'!$AB$17,'Plastics CCUS_RMTP'!$AB$19,'Plastics CCUS_RMTP'!$AB$21,'Plastics CCUS_RMTP'!$AB$23,'Plastics CCUS_RMTP'!$AB$25,'Plastics CCUS_RMTP'!$AB$27,'Plastics CCUS_RMTP'!$AB$29,'Plastics CCUS_RMTP'!$AB$31,'Plastics CCUS_RMTP'!$AB$33,'Plastics CCUS_RMTP'!$AB$35,'Plastics CCUS_RMTP'!$AB$37:$AB$38)</c:f>
              <c:numCache>
                <c:formatCode>General</c:formatCode>
                <c:ptCount val="18"/>
                <c:pt idx="0">
                  <c:v>5.4809380713086067E-2</c:v>
                </c:pt>
                <c:pt idx="1">
                  <c:v>9.0043982600069974E-2</c:v>
                </c:pt>
                <c:pt idx="2">
                  <c:v>0.44434747935251923</c:v>
                </c:pt>
                <c:pt idx="3">
                  <c:v>0.5979139682167498</c:v>
                </c:pt>
                <c:pt idx="4">
                  <c:v>0.8045530356324585</c:v>
                </c:pt>
                <c:pt idx="5">
                  <c:v>1.0826065647470362</c:v>
                </c:pt>
                <c:pt idx="6">
                  <c:v>1.4567553935236117</c:v>
                </c:pt>
                <c:pt idx="7">
                  <c:v>1.8419215195712551</c:v>
                </c:pt>
                <c:pt idx="8">
                  <c:v>2.1883869574026078</c:v>
                </c:pt>
                <c:pt idx="9">
                  <c:v>2.6000225440900384</c:v>
                </c:pt>
                <c:pt idx="10">
                  <c:v>3.0890867846333747</c:v>
                </c:pt>
                <c:pt idx="11">
                  <c:v>3.6701440088229118</c:v>
                </c:pt>
                <c:pt idx="12">
                  <c:v>4.1604752484016538</c:v>
                </c:pt>
                <c:pt idx="13">
                  <c:v>4.4999700286712283</c:v>
                </c:pt>
                <c:pt idx="14">
                  <c:v>4.867167583010799</c:v>
                </c:pt>
                <c:pt idx="15">
                  <c:v>5.2643284577844804</c:v>
                </c:pt>
                <c:pt idx="16">
                  <c:v>5.6938976599396929</c:v>
                </c:pt>
                <c:pt idx="17">
                  <c:v>5.921653566337282</c:v>
                </c:pt>
              </c:numCache>
            </c:numRef>
          </c:val>
          <c:extLst>
            <c:ext xmlns:c16="http://schemas.microsoft.com/office/drawing/2014/chart" uri="{C3380CC4-5D6E-409C-BE32-E72D297353CC}">
              <c16:uniqueId val="{0000000A-E3CF-4B7C-A2E2-DFF75DECB345}"/>
            </c:ext>
          </c:extLst>
        </c:ser>
        <c:ser>
          <c:idx val="11"/>
          <c:order val="11"/>
          <c:tx>
            <c:strRef>
              <c:f>'Plastics CCUS_RMTP'!$AC$3</c:f>
              <c:strCache>
                <c:ptCount val="1"/>
                <c:pt idx="0">
                  <c:v>PET</c:v>
                </c:pt>
              </c:strCache>
            </c:strRef>
          </c:tx>
          <c:spPr>
            <a:solidFill>
              <a:schemeClr val="accent6">
                <a:lumMod val="60000"/>
              </a:schemeClr>
            </a:solidFill>
            <a:ln>
              <a:noFill/>
            </a:ln>
            <a:effectLst/>
          </c:spPr>
          <c:cat>
            <c:numRef>
              <c:extLst>
                <c:ext xmlns:c15="http://schemas.microsoft.com/office/drawing/2012/chart" uri="{02D57815-91ED-43cb-92C2-25804820EDAC}">
                  <c15:fullRef>
                    <c15:sqref>'Plastics CCUS_RMTP'!$A$4:$A$38</c15:sqref>
                  </c15:fullRef>
                </c:ext>
              </c:extLst>
              <c:f>('Plastics CCUS_RMTP'!$A$5,'Plastics CCUS_RMTP'!$A$7,'Plastics CCUS_RMTP'!$A$9,'Plastics CCUS_RMTP'!$A$11,'Plastics CCUS_RMTP'!$A$13,'Plastics CCUS_RMTP'!$A$15,'Plastics CCUS_RMTP'!$A$17,'Plastics CCUS_RMTP'!$A$19,'Plastics CCUS_RMTP'!$A$21,'Plastics CCUS_RMTP'!$A$23,'Plastics CCUS_RMTP'!$A$25,'Plastics CCUS_RMTP'!$A$27,'Plastics CCUS_RMTP'!$A$29,'Plastics CCUS_RMTP'!$A$31,'Plastics CCUS_RMTP'!$A$33,'Plastics CCUS_RMTP'!$A$35,'Plastics CCUS_RMTP'!$A$37:$A$38)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CCUS_RMTP'!$AC$4:$AC$38</c15:sqref>
                  </c15:fullRef>
                </c:ext>
              </c:extLst>
              <c:f>('Plastics CCUS_RMTP'!$AC$5,'Plastics CCUS_RMTP'!$AC$7,'Plastics CCUS_RMTP'!$AC$9,'Plastics CCUS_RMTP'!$AC$11,'Plastics CCUS_RMTP'!$AC$13,'Plastics CCUS_RMTP'!$AC$15,'Plastics CCUS_RMTP'!$AC$17,'Plastics CCUS_RMTP'!$AC$19,'Plastics CCUS_RMTP'!$AC$21,'Plastics CCUS_RMTP'!$AC$23,'Plastics CCUS_RMTP'!$AC$25,'Plastics CCUS_RMTP'!$AC$27,'Plastics CCUS_RMTP'!$AC$29,'Plastics CCUS_RMTP'!$AC$31,'Plastics CCUS_RMTP'!$AC$33,'Plastics CCUS_RMTP'!$AC$35,'Plastics CCUS_RMTP'!$AC$37:$AC$38)</c:f>
              <c:numCache>
                <c:formatCode>General</c:formatCode>
                <c:ptCount val="18"/>
                <c:pt idx="0">
                  <c:v>2.6621699203498952E-2</c:v>
                </c:pt>
                <c:pt idx="1">
                  <c:v>4.3735648691462563E-2</c:v>
                </c:pt>
                <c:pt idx="2">
                  <c:v>0.21582591854265221</c:v>
                </c:pt>
                <c:pt idx="3">
                  <c:v>0.29041535599099277</c:v>
                </c:pt>
                <c:pt idx="4">
                  <c:v>0.39078290302147989</c:v>
                </c:pt>
                <c:pt idx="5">
                  <c:v>0.52583747430570327</c:v>
                </c:pt>
                <c:pt idx="6">
                  <c:v>0.70756690542575451</c:v>
                </c:pt>
                <c:pt idx="7">
                  <c:v>0.894647595220324</c:v>
                </c:pt>
                <c:pt idx="8">
                  <c:v>1.0629308078812667</c:v>
                </c:pt>
                <c:pt idx="9">
                  <c:v>1.262868092843733</c:v>
                </c:pt>
                <c:pt idx="10">
                  <c:v>1.5004135811076393</c:v>
                </c:pt>
                <c:pt idx="11">
                  <c:v>1.7826413757139861</c:v>
                </c:pt>
                <c:pt idx="12">
                  <c:v>2.020802263509375</c:v>
                </c:pt>
                <c:pt idx="13">
                  <c:v>2.1856997282117394</c:v>
                </c:pt>
                <c:pt idx="14">
                  <c:v>2.3640528260338169</c:v>
                </c:pt>
                <c:pt idx="15">
                  <c:v>2.5569595366381765</c:v>
                </c:pt>
                <c:pt idx="16">
                  <c:v>2.7656074348278517</c:v>
                </c:pt>
                <c:pt idx="17">
                  <c:v>2.8762317322209658</c:v>
                </c:pt>
              </c:numCache>
            </c:numRef>
          </c:val>
          <c:extLst>
            <c:ext xmlns:c16="http://schemas.microsoft.com/office/drawing/2014/chart" uri="{C3380CC4-5D6E-409C-BE32-E72D297353CC}">
              <c16:uniqueId val="{0000000B-E3CF-4B7C-A2E2-DFF75DECB345}"/>
            </c:ext>
          </c:extLst>
        </c:ser>
        <c:ser>
          <c:idx val="12"/>
          <c:order val="12"/>
          <c:tx>
            <c:strRef>
              <c:f>'Plastics CCUS_RMTP'!$AD$3</c:f>
              <c:strCache>
                <c:ptCount val="1"/>
                <c:pt idx="0">
                  <c:v>PP</c:v>
                </c:pt>
              </c:strCache>
            </c:strRef>
          </c:tx>
          <c:spPr>
            <a:solidFill>
              <a:schemeClr val="accent1">
                <a:lumMod val="80000"/>
                <a:lumOff val="20000"/>
              </a:schemeClr>
            </a:solidFill>
            <a:ln>
              <a:noFill/>
            </a:ln>
            <a:effectLst/>
          </c:spPr>
          <c:cat>
            <c:numRef>
              <c:extLst>
                <c:ext xmlns:c15="http://schemas.microsoft.com/office/drawing/2012/chart" uri="{02D57815-91ED-43cb-92C2-25804820EDAC}">
                  <c15:fullRef>
                    <c15:sqref>'Plastics CCUS_RMTP'!$A$4:$A$38</c15:sqref>
                  </c15:fullRef>
                </c:ext>
              </c:extLst>
              <c:f>('Plastics CCUS_RMTP'!$A$5,'Plastics CCUS_RMTP'!$A$7,'Plastics CCUS_RMTP'!$A$9,'Plastics CCUS_RMTP'!$A$11,'Plastics CCUS_RMTP'!$A$13,'Plastics CCUS_RMTP'!$A$15,'Plastics CCUS_RMTP'!$A$17,'Plastics CCUS_RMTP'!$A$19,'Plastics CCUS_RMTP'!$A$21,'Plastics CCUS_RMTP'!$A$23,'Plastics CCUS_RMTP'!$A$25,'Plastics CCUS_RMTP'!$A$27,'Plastics CCUS_RMTP'!$A$29,'Plastics CCUS_RMTP'!$A$31,'Plastics CCUS_RMTP'!$A$33,'Plastics CCUS_RMTP'!$A$35,'Plastics CCUS_RMTP'!$A$37:$A$38)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CCUS_RMTP'!$AD$4:$AD$38</c15:sqref>
                  </c15:fullRef>
                </c:ext>
              </c:extLst>
              <c:f>('Plastics CCUS_RMTP'!$AD$5,'Plastics CCUS_RMTP'!$AD$7,'Plastics CCUS_RMTP'!$AD$9,'Plastics CCUS_RMTP'!$AD$11,'Plastics CCUS_RMTP'!$AD$13,'Plastics CCUS_RMTP'!$AD$15,'Plastics CCUS_RMTP'!$AD$17,'Plastics CCUS_RMTP'!$AD$19,'Plastics CCUS_RMTP'!$AD$21,'Plastics CCUS_RMTP'!$AD$23,'Plastics CCUS_RMTP'!$AD$25,'Plastics CCUS_RMTP'!$AD$27,'Plastics CCUS_RMTP'!$AD$29,'Plastics CCUS_RMTP'!$AD$31,'Plastics CCUS_RMTP'!$AD$33,'Plastics CCUS_RMTP'!$AD$35,'Plastics CCUS_RMTP'!$AD$37:$AD$38)</c:f>
              <c:numCache>
                <c:formatCode>General</c:formatCode>
                <c:ptCount val="18"/>
                <c:pt idx="0">
                  <c:v>0.28344279740195943</c:v>
                </c:pt>
                <c:pt idx="1">
                  <c:v>0.46565602430321901</c:v>
                </c:pt>
                <c:pt idx="2">
                  <c:v>2.2979112503658849</c:v>
                </c:pt>
                <c:pt idx="3">
                  <c:v>3.0920693784923348</c:v>
                </c:pt>
                <c:pt idx="4">
                  <c:v>4.1606885556992852</c:v>
                </c:pt>
                <c:pt idx="5">
                  <c:v>5.5986225205489593</c:v>
                </c:pt>
                <c:pt idx="6">
                  <c:v>7.5335064636506788</c:v>
                </c:pt>
                <c:pt idx="7">
                  <c:v>9.5253655726399202</c:v>
                </c:pt>
                <c:pt idx="8">
                  <c:v>11.317086836853488</c:v>
                </c:pt>
                <c:pt idx="9">
                  <c:v>13.445830870865628</c:v>
                </c:pt>
                <c:pt idx="10">
                  <c:v>15.974991657675453</c:v>
                </c:pt>
                <c:pt idx="11">
                  <c:v>18.979887588484203</c:v>
                </c:pt>
                <c:pt idx="12">
                  <c:v>21.515600570305697</c:v>
                </c:pt>
                <c:pt idx="13">
                  <c:v>23.271273576842638</c:v>
                </c:pt>
                <c:pt idx="14">
                  <c:v>25.170209500712996</c:v>
                </c:pt>
                <c:pt idx="15">
                  <c:v>27.224098595971171</c:v>
                </c:pt>
                <c:pt idx="16">
                  <c:v>29.445585041402417</c:v>
                </c:pt>
                <c:pt idx="17">
                  <c:v>30.623408443058516</c:v>
                </c:pt>
              </c:numCache>
            </c:numRef>
          </c:val>
          <c:extLst>
            <c:ext xmlns:c16="http://schemas.microsoft.com/office/drawing/2014/chart" uri="{C3380CC4-5D6E-409C-BE32-E72D297353CC}">
              <c16:uniqueId val="{0000000C-E3CF-4B7C-A2E2-DFF75DECB345}"/>
            </c:ext>
          </c:extLst>
        </c:ser>
        <c:ser>
          <c:idx val="13"/>
          <c:order val="13"/>
          <c:tx>
            <c:strRef>
              <c:f>'Plastics CCUS_RMTP'!$AE$3</c:f>
              <c:strCache>
                <c:ptCount val="1"/>
                <c:pt idx="0">
                  <c:v>FPUR foam</c:v>
                </c:pt>
              </c:strCache>
            </c:strRef>
          </c:tx>
          <c:spPr>
            <a:solidFill>
              <a:schemeClr val="accent2">
                <a:lumMod val="80000"/>
                <a:lumOff val="20000"/>
              </a:schemeClr>
            </a:solidFill>
            <a:ln>
              <a:noFill/>
            </a:ln>
            <a:effectLst/>
          </c:spPr>
          <c:cat>
            <c:numRef>
              <c:extLst>
                <c:ext xmlns:c15="http://schemas.microsoft.com/office/drawing/2012/chart" uri="{02D57815-91ED-43cb-92C2-25804820EDAC}">
                  <c15:fullRef>
                    <c15:sqref>'Plastics CCUS_RMTP'!$A$4:$A$38</c15:sqref>
                  </c15:fullRef>
                </c:ext>
              </c:extLst>
              <c:f>('Plastics CCUS_RMTP'!$A$5,'Plastics CCUS_RMTP'!$A$7,'Plastics CCUS_RMTP'!$A$9,'Plastics CCUS_RMTP'!$A$11,'Plastics CCUS_RMTP'!$A$13,'Plastics CCUS_RMTP'!$A$15,'Plastics CCUS_RMTP'!$A$17,'Plastics CCUS_RMTP'!$A$19,'Plastics CCUS_RMTP'!$A$21,'Plastics CCUS_RMTP'!$A$23,'Plastics CCUS_RMTP'!$A$25,'Plastics CCUS_RMTP'!$A$27,'Plastics CCUS_RMTP'!$A$29,'Plastics CCUS_RMTP'!$A$31,'Plastics CCUS_RMTP'!$A$33,'Plastics CCUS_RMTP'!$A$35,'Plastics CCUS_RMTP'!$A$37:$A$38)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CCUS_RMTP'!$AE$4:$AE$38</c15:sqref>
                  </c15:fullRef>
                </c:ext>
              </c:extLst>
              <c:f>('Plastics CCUS_RMTP'!$AE$5,'Plastics CCUS_RMTP'!$AE$7,'Plastics CCUS_RMTP'!$AE$9,'Plastics CCUS_RMTP'!$AE$11,'Plastics CCUS_RMTP'!$AE$13,'Plastics CCUS_RMTP'!$AE$15,'Plastics CCUS_RMTP'!$AE$17,'Plastics CCUS_RMTP'!$AE$19,'Plastics CCUS_RMTP'!$AE$21,'Plastics CCUS_RMTP'!$AE$23,'Plastics CCUS_RMTP'!$AE$25,'Plastics CCUS_RMTP'!$AE$27,'Plastics CCUS_RMTP'!$AE$29,'Plastics CCUS_RMTP'!$AE$31,'Plastics CCUS_RMTP'!$AE$33,'Plastics CCUS_RMTP'!$AE$35,'Plastics CCUS_RMTP'!$AE$37:$AE$38)</c:f>
              <c:numCache>
                <c:formatCode>General</c:formatCode>
                <c:ptCount val="18"/>
                <c:pt idx="0">
                  <c:v>0.19104984134275715</c:v>
                </c:pt>
                <c:pt idx="1">
                  <c:v>0.31386759649167251</c:v>
                </c:pt>
                <c:pt idx="2">
                  <c:v>1.5488683566002099</c:v>
                </c:pt>
                <c:pt idx="3">
                  <c:v>2.0841572606412422</c:v>
                </c:pt>
                <c:pt idx="4">
                  <c:v>2.8044420099188554</c:v>
                </c:pt>
                <c:pt idx="5">
                  <c:v>3.7736571685468121</c:v>
                </c:pt>
                <c:pt idx="6">
                  <c:v>5.0778330859965903</c:v>
                </c:pt>
                <c:pt idx="7">
                  <c:v>6.4204121539340893</c:v>
                </c:pt>
                <c:pt idx="8">
                  <c:v>7.6280916800890912</c:v>
                </c:pt>
                <c:pt idx="9">
                  <c:v>9.0629357251138476</c:v>
                </c:pt>
                <c:pt idx="10">
                  <c:v>10.767673935007764</c:v>
                </c:pt>
                <c:pt idx="11">
                  <c:v>12.793073402182722</c:v>
                </c:pt>
                <c:pt idx="12">
                  <c:v>14.502228008714336</c:v>
                </c:pt>
                <c:pt idx="13">
                  <c:v>15.685609814225426</c:v>
                </c:pt>
                <c:pt idx="14">
                  <c:v>16.965555575066215</c:v>
                </c:pt>
                <c:pt idx="15">
                  <c:v>18.349944909991617</c:v>
                </c:pt>
                <c:pt idx="16">
                  <c:v>19.847300414646934</c:v>
                </c:pt>
                <c:pt idx="17">
                  <c:v>20.641192431232813</c:v>
                </c:pt>
              </c:numCache>
            </c:numRef>
          </c:val>
          <c:extLst>
            <c:ext xmlns:c16="http://schemas.microsoft.com/office/drawing/2014/chart" uri="{C3380CC4-5D6E-409C-BE32-E72D297353CC}">
              <c16:uniqueId val="{0000000D-E3CF-4B7C-A2E2-DFF75DECB345}"/>
            </c:ext>
          </c:extLst>
        </c:ser>
        <c:ser>
          <c:idx val="14"/>
          <c:order val="14"/>
          <c:tx>
            <c:strRef>
              <c:f>'Plastics CCUS_RMTP'!$AF$3</c:f>
              <c:strCache>
                <c:ptCount val="1"/>
                <c:pt idx="0">
                  <c:v>RPUR foam</c:v>
                </c:pt>
              </c:strCache>
            </c:strRef>
          </c:tx>
          <c:spPr>
            <a:solidFill>
              <a:schemeClr val="accent3">
                <a:lumMod val="80000"/>
                <a:lumOff val="20000"/>
              </a:schemeClr>
            </a:solidFill>
            <a:ln>
              <a:noFill/>
            </a:ln>
            <a:effectLst/>
          </c:spPr>
          <c:cat>
            <c:numRef>
              <c:extLst>
                <c:ext xmlns:c15="http://schemas.microsoft.com/office/drawing/2012/chart" uri="{02D57815-91ED-43cb-92C2-25804820EDAC}">
                  <c15:fullRef>
                    <c15:sqref>'Plastics CCUS_RMTP'!$A$4:$A$38</c15:sqref>
                  </c15:fullRef>
                </c:ext>
              </c:extLst>
              <c:f>('Plastics CCUS_RMTP'!$A$5,'Plastics CCUS_RMTP'!$A$7,'Plastics CCUS_RMTP'!$A$9,'Plastics CCUS_RMTP'!$A$11,'Plastics CCUS_RMTP'!$A$13,'Plastics CCUS_RMTP'!$A$15,'Plastics CCUS_RMTP'!$A$17,'Plastics CCUS_RMTP'!$A$19,'Plastics CCUS_RMTP'!$A$21,'Plastics CCUS_RMTP'!$A$23,'Plastics CCUS_RMTP'!$A$25,'Plastics CCUS_RMTP'!$A$27,'Plastics CCUS_RMTP'!$A$29,'Plastics CCUS_RMTP'!$A$31,'Plastics CCUS_RMTP'!$A$33,'Plastics CCUS_RMTP'!$A$35,'Plastics CCUS_RMTP'!$A$37:$A$38)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CCUS_RMTP'!$AF$4:$AF$38</c15:sqref>
                  </c15:fullRef>
                </c:ext>
              </c:extLst>
              <c:f>('Plastics CCUS_RMTP'!$AF$5,'Plastics CCUS_RMTP'!$AF$7,'Plastics CCUS_RMTP'!$AF$9,'Plastics CCUS_RMTP'!$AF$11,'Plastics CCUS_RMTP'!$AF$13,'Plastics CCUS_RMTP'!$AF$15,'Plastics CCUS_RMTP'!$AF$17,'Plastics CCUS_RMTP'!$AF$19,'Plastics CCUS_RMTP'!$AF$21,'Plastics CCUS_RMTP'!$AF$23,'Plastics CCUS_RMTP'!$AF$25,'Plastics CCUS_RMTP'!$AF$27,'Plastics CCUS_RMTP'!$AF$29,'Plastics CCUS_RMTP'!$AF$31,'Plastics CCUS_RMTP'!$AF$33,'Plastics CCUS_RMTP'!$AF$35,'Plastics CCUS_RMTP'!$AF$37:$AF$38)</c:f>
              <c:numCache>
                <c:formatCode>General</c:formatCode>
                <c:ptCount val="18"/>
                <c:pt idx="0">
                  <c:v>0.18165394750622815</c:v>
                </c:pt>
                <c:pt idx="1">
                  <c:v>0.29843148518880336</c:v>
                </c:pt>
                <c:pt idx="2">
                  <c:v>1.472694502996921</c:v>
                </c:pt>
                <c:pt idx="3">
                  <c:v>1.9816577232326567</c:v>
                </c:pt>
                <c:pt idx="4">
                  <c:v>2.6665186323818624</c:v>
                </c:pt>
                <c:pt idx="5">
                  <c:v>3.5880674717330345</c:v>
                </c:pt>
                <c:pt idx="6">
                  <c:v>4.8281035899639715</c:v>
                </c:pt>
                <c:pt idx="7">
                  <c:v>6.1046541791504456</c:v>
                </c:pt>
                <c:pt idx="8">
                  <c:v>7.2529396302486431</c:v>
                </c:pt>
                <c:pt idx="9">
                  <c:v>8.6172175746984152</c:v>
                </c:pt>
                <c:pt idx="10">
                  <c:v>10.238116200499187</c:v>
                </c:pt>
                <c:pt idx="11">
                  <c:v>12.163905857813081</c:v>
                </c:pt>
                <c:pt idx="12">
                  <c:v>13.78900368041691</c:v>
                </c:pt>
                <c:pt idx="13">
                  <c:v>14.914186380738929</c:v>
                </c:pt>
                <c:pt idx="14">
                  <c:v>16.131183989407223</c:v>
                </c:pt>
                <c:pt idx="15">
                  <c:v>17.447488602942851</c:v>
                </c:pt>
                <c:pt idx="16">
                  <c:v>18.871203672942986</c:v>
                </c:pt>
                <c:pt idx="17">
                  <c:v>19.626051819860709</c:v>
                </c:pt>
              </c:numCache>
            </c:numRef>
          </c:val>
          <c:extLst>
            <c:ext xmlns:c16="http://schemas.microsoft.com/office/drawing/2014/chart" uri="{C3380CC4-5D6E-409C-BE32-E72D297353CC}">
              <c16:uniqueId val="{0000000E-E3CF-4B7C-A2E2-DFF75DECB345}"/>
            </c:ext>
          </c:extLst>
        </c:ser>
        <c:ser>
          <c:idx val="15"/>
          <c:order val="15"/>
          <c:tx>
            <c:strRef>
              <c:f>'Plastics CCUS_RMTP'!$AG$3</c:f>
              <c:strCache>
                <c:ptCount val="1"/>
                <c:pt idx="0">
                  <c:v>PVC</c:v>
                </c:pt>
              </c:strCache>
            </c:strRef>
          </c:tx>
          <c:spPr>
            <a:solidFill>
              <a:schemeClr val="accent4">
                <a:lumMod val="80000"/>
                <a:lumOff val="20000"/>
              </a:schemeClr>
            </a:solidFill>
            <a:ln>
              <a:noFill/>
            </a:ln>
            <a:effectLst/>
          </c:spPr>
          <c:cat>
            <c:numRef>
              <c:extLst>
                <c:ext xmlns:c15="http://schemas.microsoft.com/office/drawing/2012/chart" uri="{02D57815-91ED-43cb-92C2-25804820EDAC}">
                  <c15:fullRef>
                    <c15:sqref>'Plastics CCUS_RMTP'!$A$4:$A$38</c15:sqref>
                  </c15:fullRef>
                </c:ext>
              </c:extLst>
              <c:f>('Plastics CCUS_RMTP'!$A$5,'Plastics CCUS_RMTP'!$A$7,'Plastics CCUS_RMTP'!$A$9,'Plastics CCUS_RMTP'!$A$11,'Plastics CCUS_RMTP'!$A$13,'Plastics CCUS_RMTP'!$A$15,'Plastics CCUS_RMTP'!$A$17,'Plastics CCUS_RMTP'!$A$19,'Plastics CCUS_RMTP'!$A$21,'Plastics CCUS_RMTP'!$A$23,'Plastics CCUS_RMTP'!$A$25,'Plastics CCUS_RMTP'!$A$27,'Plastics CCUS_RMTP'!$A$29,'Plastics CCUS_RMTP'!$A$31,'Plastics CCUS_RMTP'!$A$33,'Plastics CCUS_RMTP'!$A$35,'Plastics CCUS_RMTP'!$A$37:$A$38)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CCUS_RMTP'!$AG$4:$AG$38</c15:sqref>
                  </c15:fullRef>
                </c:ext>
              </c:extLst>
              <c:f>('Plastics CCUS_RMTP'!$AG$5,'Plastics CCUS_RMTP'!$AG$7,'Plastics CCUS_RMTP'!$AG$9,'Plastics CCUS_RMTP'!$AG$11,'Plastics CCUS_RMTP'!$AG$13,'Plastics CCUS_RMTP'!$AG$15,'Plastics CCUS_RMTP'!$AG$17,'Plastics CCUS_RMTP'!$AG$19,'Plastics CCUS_RMTP'!$AG$21,'Plastics CCUS_RMTP'!$AG$23,'Plastics CCUS_RMTP'!$AG$25,'Plastics CCUS_RMTP'!$AG$27,'Plastics CCUS_RMTP'!$AG$29,'Plastics CCUS_RMTP'!$AG$31,'Plastics CCUS_RMTP'!$AG$33,'Plastics CCUS_RMTP'!$AG$35,'Plastics CCUS_RMTP'!$AG$37:$AG$38)</c:f>
              <c:numCache>
                <c:formatCode>General</c:formatCode>
                <c:ptCount val="18"/>
                <c:pt idx="0">
                  <c:v>0.216105558240168</c:v>
                </c:pt>
                <c:pt idx="1">
                  <c:v>0.35503055996599026</c:v>
                </c:pt>
                <c:pt idx="2">
                  <c:v>1.7519986328756476</c:v>
                </c:pt>
                <c:pt idx="3">
                  <c:v>2.3574893603974716</c:v>
                </c:pt>
                <c:pt idx="4">
                  <c:v>3.1722376833508372</c:v>
                </c:pt>
                <c:pt idx="5">
                  <c:v>4.2685630267168868</c:v>
                </c:pt>
                <c:pt idx="6">
                  <c:v>5.7437784087502424</c:v>
                </c:pt>
                <c:pt idx="7">
                  <c:v>7.2624334200238074</c:v>
                </c:pt>
                <c:pt idx="8">
                  <c:v>8.6284971463302842</c:v>
                </c:pt>
                <c:pt idx="9">
                  <c:v>10.251517459555011</c:v>
                </c:pt>
                <c:pt idx="10">
                  <c:v>12.179827893697308</c:v>
                </c:pt>
                <c:pt idx="11">
                  <c:v>14.470853520501771</c:v>
                </c:pt>
                <c:pt idx="12">
                  <c:v>16.404159550840813</c:v>
                </c:pt>
                <c:pt idx="13">
                  <c:v>17.742738970189418</c:v>
                </c:pt>
                <c:pt idx="14">
                  <c:v>19.190546470156875</c:v>
                </c:pt>
                <c:pt idx="15">
                  <c:v>20.756495062121672</c:v>
                </c:pt>
                <c:pt idx="16">
                  <c:v>22.450225059190799</c:v>
                </c:pt>
                <c:pt idx="17">
                  <c:v>23.348234061558433</c:v>
                </c:pt>
              </c:numCache>
            </c:numRef>
          </c:val>
          <c:extLst>
            <c:ext xmlns:c16="http://schemas.microsoft.com/office/drawing/2014/chart" uri="{C3380CC4-5D6E-409C-BE32-E72D297353CC}">
              <c16:uniqueId val="{0000000F-E3CF-4B7C-A2E2-DFF75DECB345}"/>
            </c:ext>
          </c:extLst>
        </c:ser>
        <c:dLbls>
          <c:showLegendKey val="0"/>
          <c:showVal val="0"/>
          <c:showCatName val="0"/>
          <c:showSerName val="0"/>
          <c:showPercent val="0"/>
          <c:showBubbleSize val="0"/>
        </c:dLbls>
        <c:axId val="1482849024"/>
        <c:axId val="259205328"/>
      </c:areaChart>
      <c:catAx>
        <c:axId val="1482849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sz="1600"/>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205328"/>
        <c:crosses val="autoZero"/>
        <c:auto val="1"/>
        <c:lblAlgn val="ctr"/>
        <c:lblOffset val="100"/>
        <c:tickLblSkip val="1"/>
        <c:noMultiLvlLbl val="0"/>
      </c:catAx>
      <c:valAx>
        <c:axId val="259205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sz="1600"/>
                  <a:t>Thousand</a:t>
                </a:r>
                <a:r>
                  <a:rPr lang="es-MX" sz="1600" baseline="0"/>
                  <a:t> tonnes</a:t>
                </a:r>
                <a:endParaRPr lang="es-MX" sz="16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82849024"/>
        <c:crosses val="autoZero"/>
        <c:crossBetween val="midCat"/>
      </c:valAx>
      <c:spPr>
        <a:noFill/>
        <a:ln>
          <a:noFill/>
        </a:ln>
        <a:effectLst/>
      </c:spPr>
    </c:plotArea>
    <c:legend>
      <c:legendPos val="b"/>
      <c:layout>
        <c:manualLayout>
          <c:xMode val="edge"/>
          <c:yMode val="edge"/>
          <c:x val="4.9999948817610017E-2"/>
          <c:y val="0.89508043516833469"/>
          <c:w val="0.89999998724793795"/>
          <c:h val="6.7332462041327742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2000"/>
              <a:t>Annual</a:t>
            </a:r>
            <a:r>
              <a:rPr lang="es-MX" sz="2000" baseline="0"/>
              <a:t> requirements of resources</a:t>
            </a:r>
            <a:endParaRPr lang="es-MX" sz="2000"/>
          </a:p>
        </c:rich>
      </c:tx>
      <c:layout>
        <c:manualLayout>
          <c:xMode val="edge"/>
          <c:yMode val="edge"/>
          <c:x val="0.20243644018044124"/>
          <c:y val="3.8115927658094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60319622091639"/>
          <c:y val="0.17171298762109449"/>
          <c:w val="0.75620027550045943"/>
          <c:h val="0.67081946400898085"/>
        </c:manualLayout>
      </c:layout>
      <c:scatterChart>
        <c:scatterStyle val="lineMarker"/>
        <c:varyColors val="0"/>
        <c:ser>
          <c:idx val="0"/>
          <c:order val="0"/>
          <c:tx>
            <c:strRef>
              <c:f>'Plastics CCUS_RMTP'!$AJ$3</c:f>
              <c:strCache>
                <c:ptCount val="1"/>
                <c:pt idx="0">
                  <c:v>NG</c:v>
                </c:pt>
              </c:strCache>
            </c:strRef>
          </c:tx>
          <c:spPr>
            <a:ln w="25400" cap="rnd">
              <a:noFill/>
              <a:round/>
            </a:ln>
            <a:effectLst/>
          </c:spPr>
          <c:marker>
            <c:symbol val="circle"/>
            <c:size val="5"/>
            <c:spPr>
              <a:solidFill>
                <a:schemeClr val="accent1"/>
              </a:solidFill>
              <a:ln w="9525">
                <a:solidFill>
                  <a:schemeClr val="accent1"/>
                </a:solidFill>
              </a:ln>
              <a:effectLst/>
            </c:spPr>
          </c:marker>
          <c:xVal>
            <c:numRef>
              <c:f>'Plastics CCUS_RMTP'!$A$4:$A$38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CCUS_RMTP'!$AJ$4:$AJ$38</c:f>
              <c:numCache>
                <c:formatCode>0.00</c:formatCode>
                <c:ptCount val="35"/>
                <c:pt idx="0">
                  <c:v>0.88760679722465052</c:v>
                </c:pt>
                <c:pt idx="1">
                  <c:v>1.775213594449301</c:v>
                </c:pt>
                <c:pt idx="2">
                  <c:v>2.9375558289101531</c:v>
                </c:pt>
                <c:pt idx="3">
                  <c:v>2.9164223337381374</c:v>
                </c:pt>
                <c:pt idx="4">
                  <c:v>6.0653131143684451</c:v>
                </c:pt>
                <c:pt idx="5">
                  <c:v>14.391910212142548</c:v>
                </c:pt>
                <c:pt idx="6">
                  <c:v>16.694615846085355</c:v>
                </c:pt>
                <c:pt idx="7">
                  <c:v>19.365754381459013</c:v>
                </c:pt>
                <c:pt idx="8">
                  <c:v>22.464275082492453</c:v>
                </c:pt>
                <c:pt idx="9">
                  <c:v>26.058559095691244</c:v>
                </c:pt>
                <c:pt idx="10">
                  <c:v>30.227928551001842</c:v>
                </c:pt>
                <c:pt idx="11">
                  <c:v>35.064397119162145</c:v>
                </c:pt>
                <c:pt idx="12">
                  <c:v>40.674700658228083</c:v>
                </c:pt>
                <c:pt idx="13">
                  <c:v>47.182652763544574</c:v>
                </c:pt>
                <c:pt idx="14">
                  <c:v>54.731877205711704</c:v>
                </c:pt>
                <c:pt idx="15">
                  <c:v>59.657746154225769</c:v>
                </c:pt>
                <c:pt idx="16">
                  <c:v>65.026943308106084</c:v>
                </c:pt>
                <c:pt idx="17">
                  <c:v>70.879368205835632</c:v>
                </c:pt>
                <c:pt idx="18">
                  <c:v>77.258511344360826</c:v>
                </c:pt>
                <c:pt idx="19">
                  <c:v>84.211777365353299</c:v>
                </c:pt>
                <c:pt idx="20">
                  <c:v>91.790837328235099</c:v>
                </c:pt>
                <c:pt idx="21">
                  <c:v>100.05201268777627</c:v>
                </c:pt>
                <c:pt idx="22">
                  <c:v>109.05669382967612</c:v>
                </c:pt>
                <c:pt idx="23">
                  <c:v>118.87179627434696</c:v>
                </c:pt>
                <c:pt idx="24">
                  <c:v>129.57025793903821</c:v>
                </c:pt>
                <c:pt idx="25">
                  <c:v>134.75306825659976</c:v>
                </c:pt>
                <c:pt idx="26">
                  <c:v>140.14319098686374</c:v>
                </c:pt>
                <c:pt idx="27">
                  <c:v>145.74891862633828</c:v>
                </c:pt>
                <c:pt idx="28">
                  <c:v>151.5788753713918</c:v>
                </c:pt>
                <c:pt idx="29">
                  <c:v>157.64203038624746</c:v>
                </c:pt>
                <c:pt idx="30">
                  <c:v>163.94771160169734</c:v>
                </c:pt>
                <c:pt idx="31">
                  <c:v>170.50562006576524</c:v>
                </c:pt>
                <c:pt idx="32">
                  <c:v>177.32584486839585</c:v>
                </c:pt>
                <c:pt idx="33">
                  <c:v>184.41887866313166</c:v>
                </c:pt>
                <c:pt idx="34">
                  <c:v>191.79563380965692</c:v>
                </c:pt>
              </c:numCache>
            </c:numRef>
          </c:yVal>
          <c:smooth val="0"/>
          <c:extLst>
            <c:ext xmlns:c16="http://schemas.microsoft.com/office/drawing/2014/chart" uri="{C3380CC4-5D6E-409C-BE32-E72D297353CC}">
              <c16:uniqueId val="{00000000-2623-48B6-ADCE-2F1BC1DBA56C}"/>
            </c:ext>
          </c:extLst>
        </c:ser>
        <c:dLbls>
          <c:showLegendKey val="0"/>
          <c:showVal val="0"/>
          <c:showCatName val="0"/>
          <c:showSerName val="0"/>
          <c:showPercent val="0"/>
          <c:showBubbleSize val="0"/>
        </c:dLbls>
        <c:axId val="1687079248"/>
        <c:axId val="573401408"/>
      </c:scatterChart>
      <c:valAx>
        <c:axId val="1687079248"/>
        <c:scaling>
          <c:orientation val="minMax"/>
          <c:max val="2050"/>
          <c:min val="2015"/>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a:t>Year</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73401408"/>
        <c:crosses val="autoZero"/>
        <c:crossBetween val="midCat"/>
      </c:valAx>
      <c:valAx>
        <c:axId val="573401408"/>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a:t>Million</a:t>
                </a:r>
                <a:r>
                  <a:rPr lang="es-MX" sz="1400" baseline="0"/>
                  <a:t> cubic meters (m</a:t>
                </a:r>
                <a:r>
                  <a:rPr lang="es-MX" sz="1400" baseline="30000"/>
                  <a:t>3</a:t>
                </a:r>
                <a:r>
                  <a:rPr lang="es-MX" sz="1400" baseline="0"/>
                  <a:t>)</a:t>
                </a:r>
                <a:endParaRPr lang="es-MX" sz="1400"/>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87079248"/>
        <c:crosses val="autoZero"/>
        <c:crossBetween val="midCat"/>
      </c:valAx>
      <c:spPr>
        <a:noFill/>
        <a:ln>
          <a:noFill/>
        </a:ln>
        <a:effectLst/>
      </c:spPr>
    </c:plotArea>
    <c:legend>
      <c:legendPos val="r"/>
      <c:layout>
        <c:manualLayout>
          <c:xMode val="edge"/>
          <c:yMode val="edge"/>
          <c:x val="0.17989815956277458"/>
          <c:y val="0.14687592582653092"/>
          <c:w val="0.10898052710616733"/>
          <c:h val="0.1204091988290852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2000"/>
              <a:t>Annual</a:t>
            </a:r>
            <a:r>
              <a:rPr lang="es-MX" sz="2000" baseline="0"/>
              <a:t> requirements of resources</a:t>
            </a:r>
            <a:endParaRPr lang="es-MX" sz="2000"/>
          </a:p>
        </c:rich>
      </c:tx>
      <c:layout>
        <c:manualLayout>
          <c:xMode val="edge"/>
          <c:yMode val="edge"/>
          <c:x val="0.19619909800006749"/>
          <c:y val="4.19555151093386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965182460122664"/>
          <c:y val="0.17171298762109449"/>
          <c:w val="0.76258047450254651"/>
          <c:h val="0.67081946400898085"/>
        </c:manualLayout>
      </c:layout>
      <c:scatterChart>
        <c:scatterStyle val="lineMarker"/>
        <c:varyColors val="0"/>
        <c:ser>
          <c:idx val="0"/>
          <c:order val="0"/>
          <c:tx>
            <c:strRef>
              <c:f>'Plastics CCUS_RMTP'!$AK$3</c:f>
              <c:strCache>
                <c:ptCount val="1"/>
                <c:pt idx="0">
                  <c:v>Crude oil</c:v>
                </c:pt>
              </c:strCache>
            </c:strRef>
          </c:tx>
          <c:spPr>
            <a:ln w="25400" cap="rnd">
              <a:noFill/>
              <a:round/>
            </a:ln>
            <a:effectLst/>
          </c:spPr>
          <c:marker>
            <c:symbol val="circle"/>
            <c:size val="5"/>
            <c:spPr>
              <a:solidFill>
                <a:schemeClr val="accent2"/>
              </a:solidFill>
              <a:ln w="9525">
                <a:solidFill>
                  <a:schemeClr val="accent2"/>
                </a:solidFill>
              </a:ln>
              <a:effectLst/>
            </c:spPr>
          </c:marker>
          <c:xVal>
            <c:numRef>
              <c:f>'Plastics CCUS_RMTP'!$A$4:$A$38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CCUS_RMTP'!$AL$4:$AL$38</c:f>
              <c:numCache>
                <c:formatCode>0.00</c:formatCode>
                <c:ptCount val="35"/>
                <c:pt idx="0">
                  <c:v>0.3572904305116798</c:v>
                </c:pt>
                <c:pt idx="1">
                  <c:v>0.7145808610233596</c:v>
                </c:pt>
                <c:pt idx="2">
                  <c:v>1.1824611866934165</c:v>
                </c:pt>
                <c:pt idx="3">
                  <c:v>1.1739542716812337</c:v>
                </c:pt>
                <c:pt idx="4">
                  <c:v>2.441484608496479</c:v>
                </c:pt>
                <c:pt idx="5">
                  <c:v>5.7932091232965233</c:v>
                </c:pt>
                <c:pt idx="6">
                  <c:v>6.7201225830239668</c:v>
                </c:pt>
                <c:pt idx="7">
                  <c:v>7.7953421963078009</c:v>
                </c:pt>
                <c:pt idx="8">
                  <c:v>9.0425969477170494</c:v>
                </c:pt>
                <c:pt idx="9">
                  <c:v>10.489412459351776</c:v>
                </c:pt>
                <c:pt idx="10">
                  <c:v>12.16771845284806</c:v>
                </c:pt>
                <c:pt idx="11">
                  <c:v>14.11455340530375</c:v>
                </c:pt>
                <c:pt idx="12">
                  <c:v>16.372881950152351</c:v>
                </c:pt>
                <c:pt idx="13">
                  <c:v>18.992543062176725</c:v>
                </c:pt>
                <c:pt idx="14">
                  <c:v>22.031349952125005</c:v>
                </c:pt>
                <c:pt idx="15">
                  <c:v>24.014171447816253</c:v>
                </c:pt>
                <c:pt idx="16">
                  <c:v>26.175446878119718</c:v>
                </c:pt>
                <c:pt idx="17">
                  <c:v>28.531237097150491</c:v>
                </c:pt>
                <c:pt idx="18">
                  <c:v>31.099048435894034</c:v>
                </c:pt>
                <c:pt idx="19">
                  <c:v>33.897962795124499</c:v>
                </c:pt>
                <c:pt idx="20">
                  <c:v>36.948779446685698</c:v>
                </c:pt>
                <c:pt idx="21">
                  <c:v>40.274169596887411</c:v>
                </c:pt>
                <c:pt idx="22">
                  <c:v>43.898844860607277</c:v>
                </c:pt>
                <c:pt idx="23">
                  <c:v>47.849740898061931</c:v>
                </c:pt>
                <c:pt idx="24">
                  <c:v>52.156217578887507</c:v>
                </c:pt>
                <c:pt idx="25">
                  <c:v>54.242466282043019</c:v>
                </c:pt>
                <c:pt idx="26">
                  <c:v>56.412164933324739</c:v>
                </c:pt>
                <c:pt idx="27">
                  <c:v>58.668651530657719</c:v>
                </c:pt>
                <c:pt idx="28">
                  <c:v>61.015397591884032</c:v>
                </c:pt>
                <c:pt idx="29">
                  <c:v>63.456013495559382</c:v>
                </c:pt>
                <c:pt idx="30">
                  <c:v>65.994254035381744</c:v>
                </c:pt>
                <c:pt idx="31">
                  <c:v>68.634024196797014</c:v>
                </c:pt>
                <c:pt idx="32">
                  <c:v>71.379385164668903</c:v>
                </c:pt>
                <c:pt idx="33">
                  <c:v>74.234560571255642</c:v>
                </c:pt>
                <c:pt idx="34">
                  <c:v>77.203942994105873</c:v>
                </c:pt>
              </c:numCache>
            </c:numRef>
          </c:yVal>
          <c:smooth val="0"/>
          <c:extLst>
            <c:ext xmlns:c16="http://schemas.microsoft.com/office/drawing/2014/chart" uri="{C3380CC4-5D6E-409C-BE32-E72D297353CC}">
              <c16:uniqueId val="{00000000-6BE6-46B2-AE8B-DF66CD8B8549}"/>
            </c:ext>
          </c:extLst>
        </c:ser>
        <c:dLbls>
          <c:showLegendKey val="0"/>
          <c:showVal val="0"/>
          <c:showCatName val="0"/>
          <c:showSerName val="0"/>
          <c:showPercent val="0"/>
          <c:showBubbleSize val="0"/>
        </c:dLbls>
        <c:axId val="1687079248"/>
        <c:axId val="573401408"/>
      </c:scatterChart>
      <c:valAx>
        <c:axId val="1687079248"/>
        <c:scaling>
          <c:orientation val="minMax"/>
          <c:max val="2050"/>
          <c:min val="2015"/>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a:t>Year</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73401408"/>
        <c:crosses val="autoZero"/>
        <c:crossBetween val="midCat"/>
      </c:valAx>
      <c:valAx>
        <c:axId val="573401408"/>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a:t>Thousands</a:t>
                </a:r>
                <a:r>
                  <a:rPr lang="es-MX" sz="1400" baseline="0"/>
                  <a:t> of </a:t>
                </a:r>
                <a:r>
                  <a:rPr lang="es-MX" sz="1400" b="0" i="0" u="none" strike="noStrike" kern="1200" baseline="0">
                    <a:solidFill>
                      <a:sysClr val="windowText" lastClr="000000">
                        <a:lumMod val="65000"/>
                        <a:lumOff val="35000"/>
                      </a:sysClr>
                    </a:solidFill>
                  </a:rPr>
                  <a:t>cubic meters (m</a:t>
                </a:r>
                <a:r>
                  <a:rPr lang="es-MX" sz="1400" b="0" i="0" u="none" strike="noStrike" kern="1200" baseline="30000">
                    <a:solidFill>
                      <a:sysClr val="windowText" lastClr="000000">
                        <a:lumMod val="65000"/>
                        <a:lumOff val="35000"/>
                      </a:sysClr>
                    </a:solidFill>
                  </a:rPr>
                  <a:t>3</a:t>
                </a:r>
                <a:r>
                  <a:rPr lang="es-MX" sz="1400" b="0" i="0" u="none" strike="noStrike" kern="1200" baseline="0">
                    <a:solidFill>
                      <a:sysClr val="windowText" lastClr="000000">
                        <a:lumMod val="65000"/>
                        <a:lumOff val="35000"/>
                      </a:sysClr>
                    </a:solidFill>
                  </a:rPr>
                  <a:t>)</a:t>
                </a:r>
                <a:endParaRPr lang="es-MX" sz="1400"/>
              </a:p>
            </c:rich>
          </c:tx>
          <c:layout>
            <c:manualLayout>
              <c:xMode val="edge"/>
              <c:yMode val="edge"/>
              <c:x val="4.1184390392539461E-2"/>
              <c:y val="0.17171284215597082"/>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87079248"/>
        <c:crosses val="autoZero"/>
        <c:crossBetween val="midCat"/>
      </c:valAx>
      <c:spPr>
        <a:noFill/>
        <a:ln>
          <a:noFill/>
        </a:ln>
        <a:effectLst/>
      </c:spPr>
    </c:plotArea>
    <c:legend>
      <c:legendPos val="r"/>
      <c:layout>
        <c:manualLayout>
          <c:xMode val="edge"/>
          <c:yMode val="edge"/>
          <c:x val="0.15371453754105016"/>
          <c:y val="0.12404920298512546"/>
          <c:w val="0.22333667247047376"/>
          <c:h val="0.1204091988290852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2000"/>
              <a:t>Annual</a:t>
            </a:r>
            <a:r>
              <a:rPr lang="es-MX" sz="2000" baseline="0"/>
              <a:t> requirements of resources</a:t>
            </a:r>
            <a:endParaRPr lang="es-MX" sz="2000"/>
          </a:p>
        </c:rich>
      </c:tx>
      <c:layout>
        <c:manualLayout>
          <c:xMode val="edge"/>
          <c:yMode val="edge"/>
          <c:x val="0.20722916840470271"/>
          <c:y val="4.58183180808378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524387675390414"/>
          <c:y val="0.17171298762109449"/>
          <c:w val="0.78698840769903766"/>
          <c:h val="0.67081946400898085"/>
        </c:manualLayout>
      </c:layout>
      <c:scatterChart>
        <c:scatterStyle val="lineMarker"/>
        <c:varyColors val="0"/>
        <c:ser>
          <c:idx val="0"/>
          <c:order val="0"/>
          <c:tx>
            <c:strRef>
              <c:f>'Plastics CCUS_RMTP'!$AM$3</c:f>
              <c:strCache>
                <c:ptCount val="1"/>
                <c:pt idx="0">
                  <c:v>Electricity</c:v>
                </c:pt>
              </c:strCache>
            </c:strRef>
          </c:tx>
          <c:spPr>
            <a:ln w="25400" cap="rnd">
              <a:noFill/>
              <a:round/>
            </a:ln>
            <a:effectLst/>
          </c:spPr>
          <c:marker>
            <c:symbol val="circle"/>
            <c:size val="5"/>
            <c:spPr>
              <a:solidFill>
                <a:schemeClr val="accent6"/>
              </a:solidFill>
              <a:ln w="9525">
                <a:solidFill>
                  <a:schemeClr val="accent6"/>
                </a:solidFill>
              </a:ln>
              <a:effectLst/>
            </c:spPr>
          </c:marker>
          <c:xVal>
            <c:numRef>
              <c:f>'Plastics CCUS_RMTP'!$A$4:$A$38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CCUS_RMTP'!$AM$4:$AM$38</c:f>
              <c:numCache>
                <c:formatCode>0.00</c:formatCode>
                <c:ptCount val="35"/>
                <c:pt idx="0">
                  <c:v>1.49634330415372</c:v>
                </c:pt>
                <c:pt idx="1">
                  <c:v>2.9926866083074399</c:v>
                </c:pt>
                <c:pt idx="2">
                  <c:v>4.9521837923182632</c:v>
                </c:pt>
                <c:pt idx="3">
                  <c:v>4.9165565707907941</c:v>
                </c:pt>
                <c:pt idx="4">
                  <c:v>10.225012578383753</c:v>
                </c:pt>
                <c:pt idx="5">
                  <c:v>24.262137860206746</c:v>
                </c:pt>
                <c:pt idx="6">
                  <c:v>28.144079917839822</c:v>
                </c:pt>
                <c:pt idx="7">
                  <c:v>32.647132704694194</c:v>
                </c:pt>
                <c:pt idx="8">
                  <c:v>37.870673937445261</c:v>
                </c:pt>
                <c:pt idx="9">
                  <c:v>43.929981767436502</c:v>
                </c:pt>
                <c:pt idx="10">
                  <c:v>50.958778850226345</c:v>
                </c:pt>
                <c:pt idx="11">
                  <c:v>59.112183466262564</c:v>
                </c:pt>
                <c:pt idx="12">
                  <c:v>68.570132820864572</c:v>
                </c:pt>
                <c:pt idx="13">
                  <c:v>79.541354072202907</c:v>
                </c:pt>
                <c:pt idx="14">
                  <c:v>92.267970723755369</c:v>
                </c:pt>
                <c:pt idx="15">
                  <c:v>100.57208808889335</c:v>
                </c:pt>
                <c:pt idx="16">
                  <c:v>109.62357601689376</c:v>
                </c:pt>
                <c:pt idx="17">
                  <c:v>119.48969785841419</c:v>
                </c:pt>
                <c:pt idx="18">
                  <c:v>130.24377066567146</c:v>
                </c:pt>
                <c:pt idx="19">
                  <c:v>141.9657100255819</c:v>
                </c:pt>
                <c:pt idx="20">
                  <c:v>154.74262392788427</c:v>
                </c:pt>
                <c:pt idx="21">
                  <c:v>168.66946008139385</c:v>
                </c:pt>
                <c:pt idx="22">
                  <c:v>183.84971148871929</c:v>
                </c:pt>
                <c:pt idx="23">
                  <c:v>200.396185522704</c:v>
                </c:pt>
                <c:pt idx="24">
                  <c:v>218.43184221974738</c:v>
                </c:pt>
                <c:pt idx="25">
                  <c:v>227.16911590853729</c:v>
                </c:pt>
                <c:pt idx="26">
                  <c:v>236.25588054487881</c:v>
                </c:pt>
                <c:pt idx="27">
                  <c:v>245.70611576667392</c:v>
                </c:pt>
                <c:pt idx="28">
                  <c:v>255.53436039734086</c:v>
                </c:pt>
                <c:pt idx="29">
                  <c:v>265.75573481323448</c:v>
                </c:pt>
                <c:pt idx="30">
                  <c:v>276.3859642057638</c:v>
                </c:pt>
                <c:pt idx="31">
                  <c:v>287.44140277399441</c:v>
                </c:pt>
                <c:pt idx="32">
                  <c:v>298.93905888495414</c:v>
                </c:pt>
                <c:pt idx="33">
                  <c:v>310.89662124035226</c:v>
                </c:pt>
                <c:pt idx="34">
                  <c:v>323.33248608996644</c:v>
                </c:pt>
              </c:numCache>
            </c:numRef>
          </c:yVal>
          <c:smooth val="0"/>
          <c:extLst>
            <c:ext xmlns:c16="http://schemas.microsoft.com/office/drawing/2014/chart" uri="{C3380CC4-5D6E-409C-BE32-E72D297353CC}">
              <c16:uniqueId val="{00000000-740E-4C26-A0AE-E5EE6691F79F}"/>
            </c:ext>
          </c:extLst>
        </c:ser>
        <c:dLbls>
          <c:showLegendKey val="0"/>
          <c:showVal val="0"/>
          <c:showCatName val="0"/>
          <c:showSerName val="0"/>
          <c:showPercent val="0"/>
          <c:showBubbleSize val="0"/>
        </c:dLbls>
        <c:axId val="1687079248"/>
        <c:axId val="573401408"/>
      </c:scatterChart>
      <c:valAx>
        <c:axId val="1687079248"/>
        <c:scaling>
          <c:orientation val="minMax"/>
          <c:max val="2050"/>
          <c:min val="2015"/>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a:t>Year</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73401408"/>
        <c:crosses val="autoZero"/>
        <c:crossBetween val="midCat"/>
      </c:valAx>
      <c:valAx>
        <c:axId val="573401408"/>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baseline="0"/>
                  <a:t>GWh</a:t>
                </a:r>
                <a:endParaRPr lang="es-MX" sz="1400"/>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87079248"/>
        <c:crosses val="autoZero"/>
        <c:crossBetween val="midCat"/>
      </c:valAx>
      <c:spPr>
        <a:noFill/>
        <a:ln>
          <a:noFill/>
        </a:ln>
        <a:effectLst/>
      </c:spPr>
    </c:plotArea>
    <c:legend>
      <c:legendPos val="r"/>
      <c:layout>
        <c:manualLayout>
          <c:xMode val="edge"/>
          <c:yMode val="edge"/>
          <c:x val="0.19574151454740499"/>
          <c:y val="0.13950041487112227"/>
          <c:w val="0.17272674403912772"/>
          <c:h val="0.1204091988290852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Price</a:t>
            </a:r>
            <a:r>
              <a:rPr lang="es-MX" baseline="0"/>
              <a:t> per ton of plastic</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876585800085523"/>
          <c:y val="0.13327477236980709"/>
          <c:w val="0.73313985072842913"/>
          <c:h val="0.66329309822369076"/>
        </c:manualLayout>
      </c:layout>
      <c:scatterChart>
        <c:scatterStyle val="smoothMarker"/>
        <c:varyColors val="0"/>
        <c:ser>
          <c:idx val="0"/>
          <c:order val="0"/>
          <c:tx>
            <c:v>Net-zero</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'Plastics CCUS_RMTP'!$A$4:$A$38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CCUS_RMTP'!$M$4:$M$38</c:f>
              <c:numCache>
                <c:formatCode>0.00</c:formatCode>
                <c:ptCount val="35"/>
                <c:pt idx="0">
                  <c:v>453.7037037037037</c:v>
                </c:pt>
                <c:pt idx="1">
                  <c:v>711.11111111111097</c:v>
                </c:pt>
                <c:pt idx="2">
                  <c:v>620.37037037037032</c:v>
                </c:pt>
                <c:pt idx="3">
                  <c:v>725.92592592592587</c:v>
                </c:pt>
                <c:pt idx="4">
                  <c:v>429.62962962962956</c:v>
                </c:pt>
                <c:pt idx="5">
                  <c:v>511.11111111111103</c:v>
                </c:pt>
                <c:pt idx="6">
                  <c:v>901.85185185185173</c:v>
                </c:pt>
                <c:pt idx="7">
                  <c:v>831.48148148148141</c:v>
                </c:pt>
                <c:pt idx="8">
                  <c:v>833.33333333333326</c:v>
                </c:pt>
                <c:pt idx="9">
                  <c:v>1330.9965415538531</c:v>
                </c:pt>
                <c:pt idx="10">
                  <c:v>1326.2310264732155</c:v>
                </c:pt>
                <c:pt idx="11">
                  <c:v>1339.5625674850262</c:v>
                </c:pt>
                <c:pt idx="12">
                  <c:v>1340.9746543343606</c:v>
                </c:pt>
                <c:pt idx="13">
                  <c:v>1352.4778835918414</c:v>
                </c:pt>
                <c:pt idx="14">
                  <c:v>1354.0609736150575</c:v>
                </c:pt>
                <c:pt idx="15">
                  <c:v>1379.7624832311358</c:v>
                </c:pt>
                <c:pt idx="16">
                  <c:v>1380.4363404559715</c:v>
                </c:pt>
                <c:pt idx="17">
                  <c:v>1369.8478619530001</c:v>
                </c:pt>
                <c:pt idx="18">
                  <c:v>1355.5629572631804</c:v>
                </c:pt>
                <c:pt idx="19">
                  <c:v>1351.7684842153694</c:v>
                </c:pt>
                <c:pt idx="20">
                  <c:v>1327.2505813127832</c:v>
                </c:pt>
                <c:pt idx="21">
                  <c:v>1337.813457711427</c:v>
                </c:pt>
                <c:pt idx="22">
                  <c:v>1334.2721475391709</c:v>
                </c:pt>
                <c:pt idx="23">
                  <c:v>1330.8135428936607</c:v>
                </c:pt>
                <c:pt idx="24">
                  <c:v>1332.1660592219646</c:v>
                </c:pt>
                <c:pt idx="25">
                  <c:v>1333.4327793623447</c:v>
                </c:pt>
                <c:pt idx="26">
                  <c:v>1321.4970020716257</c:v>
                </c:pt>
                <c:pt idx="27">
                  <c:v>1348.4429887504452</c:v>
                </c:pt>
                <c:pt idx="28">
                  <c:v>1331.2591672100966</c:v>
                </c:pt>
                <c:pt idx="29">
                  <c:v>1315.9615361145184</c:v>
                </c:pt>
                <c:pt idx="30">
                  <c:v>1303.4515700192383</c:v>
                </c:pt>
                <c:pt idx="31">
                  <c:v>1271.1711948177858</c:v>
                </c:pt>
                <c:pt idx="32">
                  <c:v>1265.1364336576682</c:v>
                </c:pt>
                <c:pt idx="33">
                  <c:v>1247.4502875106355</c:v>
                </c:pt>
                <c:pt idx="34">
                  <c:v>1247.8875637946023</c:v>
                </c:pt>
              </c:numCache>
            </c:numRef>
          </c:yVal>
          <c:smooth val="1"/>
          <c:extLst>
            <c:ext xmlns:c16="http://schemas.microsoft.com/office/drawing/2014/chart" uri="{C3380CC4-5D6E-409C-BE32-E72D297353CC}">
              <c16:uniqueId val="{00000000-E0B0-4F82-91A7-0A1A658FB567}"/>
            </c:ext>
          </c:extLst>
        </c:ser>
        <c:ser>
          <c:idx val="1"/>
          <c:order val="1"/>
          <c:tx>
            <c:v>BAU</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'Plastics CCUS_RMTP'!$A$4:$A$38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CCUS_RMTP'!$L$4:$L$38</c:f>
              <c:numCache>
                <c:formatCode>0.00</c:formatCode>
                <c:ptCount val="35"/>
                <c:pt idx="0">
                  <c:v>453.7037037037037</c:v>
                </c:pt>
                <c:pt idx="1">
                  <c:v>711.11111111111097</c:v>
                </c:pt>
                <c:pt idx="2">
                  <c:v>620.37037037037032</c:v>
                </c:pt>
                <c:pt idx="3">
                  <c:v>725.92592592592587</c:v>
                </c:pt>
                <c:pt idx="4">
                  <c:v>429.62962962962956</c:v>
                </c:pt>
                <c:pt idx="5">
                  <c:v>511.11111111111103</c:v>
                </c:pt>
                <c:pt idx="6">
                  <c:v>901.85185185185173</c:v>
                </c:pt>
                <c:pt idx="7">
                  <c:v>831.48148148148141</c:v>
                </c:pt>
                <c:pt idx="8">
                  <c:v>833.33333333333326</c:v>
                </c:pt>
                <c:pt idx="9">
                  <c:v>840.74074074074065</c:v>
                </c:pt>
                <c:pt idx="10">
                  <c:v>848.14814814814804</c:v>
                </c:pt>
                <c:pt idx="11">
                  <c:v>888.8888888888888</c:v>
                </c:pt>
                <c:pt idx="12">
                  <c:v>907.40740740740739</c:v>
                </c:pt>
                <c:pt idx="13">
                  <c:v>944.44444444444423</c:v>
                </c:pt>
                <c:pt idx="14">
                  <c:v>962.96296296296282</c:v>
                </c:pt>
                <c:pt idx="15">
                  <c:v>981.4814814814813</c:v>
                </c:pt>
                <c:pt idx="16">
                  <c:v>999.99999999999989</c:v>
                </c:pt>
                <c:pt idx="17">
                  <c:v>996.29629629629619</c:v>
                </c:pt>
                <c:pt idx="18">
                  <c:v>985.18518518518511</c:v>
                </c:pt>
                <c:pt idx="19">
                  <c:v>994.44444444444434</c:v>
                </c:pt>
                <c:pt idx="20">
                  <c:v>962.96296296296282</c:v>
                </c:pt>
                <c:pt idx="21">
                  <c:v>999.99999999999989</c:v>
                </c:pt>
                <c:pt idx="22">
                  <c:v>1009.2592592592591</c:v>
                </c:pt>
                <c:pt idx="23">
                  <c:v>1018.5185185185184</c:v>
                </c:pt>
                <c:pt idx="24">
                  <c:v>1037.037037037037</c:v>
                </c:pt>
                <c:pt idx="25">
                  <c:v>1027.7777777777776</c:v>
                </c:pt>
                <c:pt idx="26">
                  <c:v>1020.3703703703702</c:v>
                </c:pt>
                <c:pt idx="27">
                  <c:v>1092.5925925925926</c:v>
                </c:pt>
                <c:pt idx="28">
                  <c:v>1074.0740740740739</c:v>
                </c:pt>
                <c:pt idx="29">
                  <c:v>1059.2592592592591</c:v>
                </c:pt>
                <c:pt idx="30">
                  <c:v>1049.9999999999998</c:v>
                </c:pt>
                <c:pt idx="31">
                  <c:v>999.99999999999989</c:v>
                </c:pt>
                <c:pt idx="32">
                  <c:v>1003.7037037037036</c:v>
                </c:pt>
                <c:pt idx="33">
                  <c:v>983.33333333333314</c:v>
                </c:pt>
                <c:pt idx="34">
                  <c:v>999.99999999999989</c:v>
                </c:pt>
              </c:numCache>
            </c:numRef>
          </c:yVal>
          <c:smooth val="1"/>
          <c:extLst>
            <c:ext xmlns:c16="http://schemas.microsoft.com/office/drawing/2014/chart" uri="{C3380CC4-5D6E-409C-BE32-E72D297353CC}">
              <c16:uniqueId val="{00000001-E0B0-4F82-91A7-0A1A658FB567}"/>
            </c:ext>
          </c:extLst>
        </c:ser>
        <c:dLbls>
          <c:showLegendKey val="0"/>
          <c:showVal val="0"/>
          <c:showCatName val="0"/>
          <c:showSerName val="0"/>
          <c:showPercent val="0"/>
          <c:showBubbleSize val="0"/>
        </c:dLbls>
        <c:axId val="905011071"/>
        <c:axId val="878589279"/>
      </c:scatterChart>
      <c:valAx>
        <c:axId val="905011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589279"/>
        <c:crosses val="autoZero"/>
        <c:crossBetween val="midCat"/>
      </c:valAx>
      <c:valAx>
        <c:axId val="878589279"/>
        <c:scaling>
          <c:orientation val="minMax"/>
          <c:min val="3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USD/</a:t>
                </a:r>
                <a:r>
                  <a:rPr lang="es-MX" baseline="0"/>
                  <a:t> ton</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011071"/>
        <c:crosses val="autoZero"/>
        <c:crossBetween val="midCat"/>
      </c:valAx>
      <c:spPr>
        <a:noFill/>
        <a:ln>
          <a:noFill/>
        </a:ln>
        <a:effectLst/>
      </c:spPr>
    </c:plotArea>
    <c:legend>
      <c:legendPos val="r"/>
      <c:layout>
        <c:manualLayout>
          <c:xMode val="edge"/>
          <c:yMode val="edge"/>
          <c:x val="0.16161536400317411"/>
          <c:y val="0.1250981226822124"/>
          <c:w val="0.17485917819198504"/>
          <c:h val="0.1603159131762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Tons</a:t>
            </a:r>
            <a:r>
              <a:rPr lang="es-MX" baseline="0"/>
              <a:t> of CO</a:t>
            </a:r>
            <a:r>
              <a:rPr lang="es-MX" baseline="-25000"/>
              <a:t>2</a:t>
            </a:r>
            <a:r>
              <a:rPr lang="es-MX" baseline="0"/>
              <a:t> captured</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685333804530806"/>
          <c:y val="0.10687613846600599"/>
          <c:w val="0.76751431436415329"/>
          <c:h val="0.72028536834392032"/>
        </c:manualLayout>
      </c:layout>
      <c:scatterChart>
        <c:scatterStyle val="smoothMarker"/>
        <c:varyColors val="0"/>
        <c:ser>
          <c:idx val="0"/>
          <c:order val="0"/>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'Plastics CCUS_RMTP'!$A$4:$A$38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CCUS_RMTP'!$H$4:$H$38</c:f>
              <c:numCache>
                <c:formatCode>General</c:formatCode>
                <c:ptCount val="35"/>
                <c:pt idx="0">
                  <c:v>0</c:v>
                </c:pt>
                <c:pt idx="1">
                  <c:v>0</c:v>
                </c:pt>
                <c:pt idx="2">
                  <c:v>0</c:v>
                </c:pt>
                <c:pt idx="3">
                  <c:v>0</c:v>
                </c:pt>
                <c:pt idx="4">
                  <c:v>0</c:v>
                </c:pt>
                <c:pt idx="5">
                  <c:v>0</c:v>
                </c:pt>
                <c:pt idx="6">
                  <c:v>0</c:v>
                </c:pt>
                <c:pt idx="7">
                  <c:v>0</c:v>
                </c:pt>
                <c:pt idx="8">
                  <c:v>55142.593016518069</c:v>
                </c:pt>
                <c:pt idx="9">
                  <c:v>63965.407899160964</c:v>
                </c:pt>
                <c:pt idx="10">
                  <c:v>74199.873163026714</c:v>
                </c:pt>
                <c:pt idx="11">
                  <c:v>86071.852869110997</c:v>
                </c:pt>
                <c:pt idx="12">
                  <c:v>99843.34932816877</c:v>
                </c:pt>
                <c:pt idx="13">
                  <c:v>115818.28522067577</c:v>
                </c:pt>
                <c:pt idx="14">
                  <c:v>134349.2108559839</c:v>
                </c:pt>
                <c:pt idx="15">
                  <c:v>146440.63983302243</c:v>
                </c:pt>
                <c:pt idx="16">
                  <c:v>159620.29741799444</c:v>
                </c:pt>
                <c:pt idx="17">
                  <c:v>173986.12418561394</c:v>
                </c:pt>
                <c:pt idx="18">
                  <c:v>189644.8753623192</c:v>
                </c:pt>
                <c:pt idx="19">
                  <c:v>206712.91414492793</c:v>
                </c:pt>
                <c:pt idx="20">
                  <c:v>225317.07641797143</c:v>
                </c:pt>
                <c:pt idx="21">
                  <c:v>245595.61329558888</c:v>
                </c:pt>
                <c:pt idx="22">
                  <c:v>267699.21849219187</c:v>
                </c:pt>
                <c:pt idx="23">
                  <c:v>291792.14815648907</c:v>
                </c:pt>
                <c:pt idx="24">
                  <c:v>318053.44149057317</c:v>
                </c:pt>
                <c:pt idx="25">
                  <c:v>330775.57915019605</c:v>
                </c:pt>
                <c:pt idx="26">
                  <c:v>344006.60231620393</c:v>
                </c:pt>
                <c:pt idx="27">
                  <c:v>357766.86640885205</c:v>
                </c:pt>
                <c:pt idx="28">
                  <c:v>372077.54106520617</c:v>
                </c:pt>
                <c:pt idx="29">
                  <c:v>386960.64270781435</c:v>
                </c:pt>
                <c:pt idx="30">
                  <c:v>402439.06841612689</c:v>
                </c:pt>
                <c:pt idx="31">
                  <c:v>418536.63115277194</c:v>
                </c:pt>
                <c:pt idx="32">
                  <c:v>435278.0963988828</c:v>
                </c:pt>
                <c:pt idx="33">
                  <c:v>452689.22025483812</c:v>
                </c:pt>
                <c:pt idx="34">
                  <c:v>470796.78906503163</c:v>
                </c:pt>
              </c:numCache>
            </c:numRef>
          </c:yVal>
          <c:smooth val="1"/>
          <c:extLst>
            <c:ext xmlns:c16="http://schemas.microsoft.com/office/drawing/2014/chart" uri="{C3380CC4-5D6E-409C-BE32-E72D297353CC}">
              <c16:uniqueId val="{00000000-8211-4456-A957-0CE580707018}"/>
            </c:ext>
          </c:extLst>
        </c:ser>
        <c:dLbls>
          <c:showLegendKey val="0"/>
          <c:showVal val="0"/>
          <c:showCatName val="0"/>
          <c:showSerName val="0"/>
          <c:showPercent val="0"/>
          <c:showBubbleSize val="0"/>
        </c:dLbls>
        <c:axId val="905039871"/>
        <c:axId val="878617055"/>
      </c:scatterChart>
      <c:valAx>
        <c:axId val="905039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617055"/>
        <c:crosses val="autoZero"/>
        <c:crossBetween val="midCat"/>
      </c:valAx>
      <c:valAx>
        <c:axId val="878617055"/>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Tons</a:t>
                </a:r>
                <a:r>
                  <a:rPr lang="es-MX" baseline="0"/>
                  <a:t> of CO</a:t>
                </a:r>
                <a:r>
                  <a:rPr lang="es-MX" baseline="30000"/>
                  <a:t>2</a:t>
                </a:r>
                <a:r>
                  <a:rPr lang="es-MX" baseline="0"/>
                  <a:t> captured</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0398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b="1"/>
              <a:t>Thousand tons</a:t>
            </a:r>
            <a:r>
              <a:rPr lang="es-MX" b="1" baseline="0"/>
              <a:t> of CO</a:t>
            </a:r>
            <a:r>
              <a:rPr lang="es-MX" b="1" baseline="-25000"/>
              <a:t>2</a:t>
            </a:r>
            <a:r>
              <a:rPr lang="es-MX" b="1" baseline="0"/>
              <a:t> emitted</a:t>
            </a:r>
            <a:endParaRPr lang="es-MX"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645326701751149"/>
          <c:y val="0.10687613846600599"/>
          <c:w val="0.79791438539194981"/>
          <c:h val="0.72028536834392032"/>
        </c:manualLayout>
      </c:layout>
      <c:scatterChart>
        <c:scatterStyle val="smoothMarker"/>
        <c:varyColors val="0"/>
        <c:ser>
          <c:idx val="0"/>
          <c:order val="0"/>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'Plastics CCUS_RMTP'!$A$4:$A$38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CCUS_RMTP'!$G$4:$G$38</c:f>
              <c:numCache>
                <c:formatCode>0.0</c:formatCode>
                <c:ptCount val="35"/>
                <c:pt idx="0">
                  <c:v>2.4208778999999998</c:v>
                </c:pt>
                <c:pt idx="1">
                  <c:v>4.8417557999999996</c:v>
                </c:pt>
                <c:pt idx="2">
                  <c:v>8.0119530500000007</c:v>
                </c:pt>
                <c:pt idx="3">
                  <c:v>7.9543131000000002</c:v>
                </c:pt>
                <c:pt idx="4">
                  <c:v>16.54266565</c:v>
                </c:pt>
                <c:pt idx="5">
                  <c:v>39.252805949999996</c:v>
                </c:pt>
                <c:pt idx="6">
                  <c:v>45.533254901999996</c:v>
                </c:pt>
                <c:pt idx="7">
                  <c:v>52.818575686320003</c:v>
                </c:pt>
                <c:pt idx="8">
                  <c:v>61.269547796131192</c:v>
                </c:pt>
                <c:pt idx="9">
                  <c:v>71.072675443512182</c:v>
                </c:pt>
                <c:pt idx="10">
                  <c:v>82.444303514474129</c:v>
                </c:pt>
                <c:pt idx="11">
                  <c:v>95.635392076789998</c:v>
                </c:pt>
                <c:pt idx="12">
                  <c:v>110.93705480907639</c:v>
                </c:pt>
                <c:pt idx="13">
                  <c:v>128.68698357852864</c:v>
                </c:pt>
                <c:pt idx="14">
                  <c:v>149.27690095109318</c:v>
                </c:pt>
                <c:pt idx="15">
                  <c:v>162.71182203669161</c:v>
                </c:pt>
                <c:pt idx="16">
                  <c:v>177.35588601999385</c:v>
                </c:pt>
                <c:pt idx="17">
                  <c:v>193.31791576179327</c:v>
                </c:pt>
                <c:pt idx="18">
                  <c:v>210.71652818035466</c:v>
                </c:pt>
                <c:pt idx="19">
                  <c:v>229.68101571658659</c:v>
                </c:pt>
                <c:pt idx="20">
                  <c:v>250.35230713107941</c:v>
                </c:pt>
                <c:pt idx="21">
                  <c:v>272.88401477287653</c:v>
                </c:pt>
                <c:pt idx="22">
                  <c:v>297.44357610243543</c:v>
                </c:pt>
                <c:pt idx="23">
                  <c:v>324.21349795165452</c:v>
                </c:pt>
                <c:pt idx="24">
                  <c:v>353.39271276730352</c:v>
                </c:pt>
                <c:pt idx="25">
                  <c:v>367.52842127799568</c:v>
                </c:pt>
                <c:pt idx="26">
                  <c:v>382.22955812911556</c:v>
                </c:pt>
                <c:pt idx="27">
                  <c:v>397.51874045428008</c:v>
                </c:pt>
                <c:pt idx="28">
                  <c:v>413.41949007245131</c:v>
                </c:pt>
                <c:pt idx="29">
                  <c:v>429.95626967534923</c:v>
                </c:pt>
                <c:pt idx="30">
                  <c:v>447.15452046236322</c:v>
                </c:pt>
                <c:pt idx="31">
                  <c:v>465.04070128085766</c:v>
                </c:pt>
                <c:pt idx="32">
                  <c:v>483.64232933209195</c:v>
                </c:pt>
                <c:pt idx="33">
                  <c:v>502.98802250537562</c:v>
                </c:pt>
                <c:pt idx="34">
                  <c:v>523.10754340559072</c:v>
                </c:pt>
              </c:numCache>
            </c:numRef>
          </c:yVal>
          <c:smooth val="1"/>
          <c:extLst>
            <c:ext xmlns:c16="http://schemas.microsoft.com/office/drawing/2014/chart" uri="{C3380CC4-5D6E-409C-BE32-E72D297353CC}">
              <c16:uniqueId val="{00000000-BA53-4C5C-870F-6B8718188457}"/>
            </c:ext>
          </c:extLst>
        </c:ser>
        <c:dLbls>
          <c:showLegendKey val="0"/>
          <c:showVal val="0"/>
          <c:showCatName val="0"/>
          <c:showSerName val="0"/>
          <c:showPercent val="0"/>
          <c:showBubbleSize val="0"/>
        </c:dLbls>
        <c:axId val="905039871"/>
        <c:axId val="878617055"/>
      </c:scatterChart>
      <c:valAx>
        <c:axId val="905039871"/>
        <c:scaling>
          <c:orientation val="minMax"/>
          <c:max val="2055"/>
          <c:min val="2015"/>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Year</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78617055"/>
        <c:crosses val="autoZero"/>
        <c:crossBetween val="midCat"/>
      </c:valAx>
      <c:valAx>
        <c:axId val="878617055"/>
        <c:scaling>
          <c:orientation val="minMax"/>
          <c:min val="0"/>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Thousand tons</a:t>
                </a:r>
                <a:r>
                  <a:rPr lang="es-MX" sz="1200" baseline="0"/>
                  <a:t> of CO</a:t>
                </a:r>
                <a:r>
                  <a:rPr lang="es-MX" sz="1200" baseline="-25000"/>
                  <a:t>2</a:t>
                </a:r>
                <a:r>
                  <a:rPr lang="es-MX" sz="1200" baseline="0"/>
                  <a:t> emitted</a:t>
                </a:r>
                <a:endParaRPr lang="es-MX"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050398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b="1"/>
              <a:t>Energy</a:t>
            </a:r>
            <a:r>
              <a:rPr lang="es-MX" b="1" baseline="0"/>
              <a:t> required</a:t>
            </a:r>
            <a:endParaRPr lang="es-MX"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370937546923798"/>
          <c:y val="0.10687613846600599"/>
          <c:w val="0.80065831049483471"/>
          <c:h val="0.72028536834392032"/>
        </c:manualLayout>
      </c:layout>
      <c:scatterChart>
        <c:scatterStyle val="smoothMarker"/>
        <c:varyColors val="0"/>
        <c:ser>
          <c:idx val="0"/>
          <c:order val="0"/>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'Plastics CCUS_RMTP'!$A$4:$A$38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CCUS_RMTP'!$F$4:$F$38</c:f>
              <c:numCache>
                <c:formatCode>0.0</c:formatCode>
                <c:ptCount val="35"/>
                <c:pt idx="0">
                  <c:v>5.8361976597494619E-2</c:v>
                </c:pt>
                <c:pt idx="1">
                  <c:v>0.11672395319498924</c:v>
                </c:pt>
                <c:pt idx="2">
                  <c:v>0.19315035112027978</c:v>
                </c:pt>
                <c:pt idx="3">
                  <c:v>0.19176078024891088</c:v>
                </c:pt>
                <c:pt idx="4">
                  <c:v>0.39880684008287987</c:v>
                </c:pt>
                <c:pt idx="5">
                  <c:v>0.94629776340223404</c:v>
                </c:pt>
                <c:pt idx="6">
                  <c:v>1.0977054055465916</c:v>
                </c:pt>
                <c:pt idx="7">
                  <c:v>1.2733382704340463</c:v>
                </c:pt>
                <c:pt idx="8">
                  <c:v>1.4770723937034933</c:v>
                </c:pt>
                <c:pt idx="9">
                  <c:v>1.7134039766960523</c:v>
                </c:pt>
                <c:pt idx="10">
                  <c:v>1.9875486129674209</c:v>
                </c:pt>
                <c:pt idx="11">
                  <c:v>2.3055563910422081</c:v>
                </c:pt>
                <c:pt idx="12">
                  <c:v>2.6744454136089617</c:v>
                </c:pt>
                <c:pt idx="13">
                  <c:v>3.1023566797863955</c:v>
                </c:pt>
                <c:pt idx="14">
                  <c:v>3.5987337485522191</c:v>
                </c:pt>
                <c:pt idx="15">
                  <c:v>3.9226197859219183</c:v>
                </c:pt>
                <c:pt idx="16">
                  <c:v>4.2756555666548914</c:v>
                </c:pt>
                <c:pt idx="17">
                  <c:v>4.6604645676538308</c:v>
                </c:pt>
                <c:pt idx="18">
                  <c:v>5.0799063787426748</c:v>
                </c:pt>
                <c:pt idx="19">
                  <c:v>5.5370979528295168</c:v>
                </c:pt>
                <c:pt idx="20">
                  <c:v>6.035436768584173</c:v>
                </c:pt>
                <c:pt idx="21">
                  <c:v>6.5786260777567485</c:v>
                </c:pt>
                <c:pt idx="22">
                  <c:v>7.1707024247548565</c:v>
                </c:pt>
                <c:pt idx="23">
                  <c:v>7.8160656429827915</c:v>
                </c:pt>
                <c:pt idx="24">
                  <c:v>8.5195115508512451</c:v>
                </c:pt>
                <c:pt idx="25">
                  <c:v>8.8602920128852958</c:v>
                </c:pt>
                <c:pt idx="26">
                  <c:v>9.2147036934007076</c:v>
                </c:pt>
                <c:pt idx="27">
                  <c:v>9.5832918411367345</c:v>
                </c:pt>
                <c:pt idx="28">
                  <c:v>9.9666235147822029</c:v>
                </c:pt>
                <c:pt idx="29">
                  <c:v>10.36528845537349</c:v>
                </c:pt>
                <c:pt idx="30">
                  <c:v>10.779899993588428</c:v>
                </c:pt>
                <c:pt idx="31">
                  <c:v>11.211095993331966</c:v>
                </c:pt>
                <c:pt idx="32">
                  <c:v>11.659539833065244</c:v>
                </c:pt>
                <c:pt idx="33">
                  <c:v>12.125921426387851</c:v>
                </c:pt>
                <c:pt idx="34">
                  <c:v>12.610958283443367</c:v>
                </c:pt>
              </c:numCache>
            </c:numRef>
          </c:yVal>
          <c:smooth val="1"/>
          <c:extLst>
            <c:ext xmlns:c16="http://schemas.microsoft.com/office/drawing/2014/chart" uri="{C3380CC4-5D6E-409C-BE32-E72D297353CC}">
              <c16:uniqueId val="{00000000-19F8-43FF-97FD-201009DB8748}"/>
            </c:ext>
          </c:extLst>
        </c:ser>
        <c:dLbls>
          <c:showLegendKey val="0"/>
          <c:showVal val="0"/>
          <c:showCatName val="0"/>
          <c:showSerName val="0"/>
          <c:showPercent val="0"/>
          <c:showBubbleSize val="0"/>
        </c:dLbls>
        <c:axId val="905039871"/>
        <c:axId val="878617055"/>
      </c:scatterChart>
      <c:valAx>
        <c:axId val="905039871"/>
        <c:scaling>
          <c:orientation val="minMax"/>
          <c:min val="2015"/>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Year</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78617055"/>
        <c:crosses val="autoZero"/>
        <c:crossBetween val="midCat"/>
      </c:valAx>
      <c:valAx>
        <c:axId val="878617055"/>
        <c:scaling>
          <c:orientation val="minMax"/>
          <c:min val="0"/>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Energy</a:t>
                </a:r>
                <a:r>
                  <a:rPr lang="es-MX" sz="1200" baseline="0"/>
                  <a:t> required (PJ)</a:t>
                </a:r>
                <a:endParaRPr lang="es-MX"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050398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2000"/>
              <a:t>Annual</a:t>
            </a:r>
            <a:r>
              <a:rPr lang="es-MX" sz="2000" baseline="0"/>
              <a:t> requirements of plastics</a:t>
            </a:r>
            <a:endParaRPr lang="es-MX" sz="2000"/>
          </a:p>
        </c:rich>
      </c:tx>
      <c:layout>
        <c:manualLayout>
          <c:xMode val="edge"/>
          <c:yMode val="edge"/>
          <c:x val="0.28762597559280706"/>
          <c:y val="3.1275769121552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'Plastics CCUS_ROCM'!$R$3</c:f>
              <c:strCache>
                <c:ptCount val="1"/>
                <c:pt idx="0">
                  <c:v>ABS</c:v>
                </c:pt>
              </c:strCache>
            </c:strRef>
          </c:tx>
          <c:spPr>
            <a:solidFill>
              <a:schemeClr val="accent1"/>
            </a:solidFill>
            <a:ln>
              <a:noFill/>
            </a:ln>
            <a:effectLst/>
          </c:spPr>
          <c:cat>
            <c:numRef>
              <c:extLst>
                <c:ext xmlns:c15="http://schemas.microsoft.com/office/drawing/2012/chart" uri="{02D57815-91ED-43cb-92C2-25804820EDAC}">
                  <c15:fullRef>
                    <c15:sqref>'Plastics CCUS_ROCM'!$A$4:$A$38</c15:sqref>
                  </c15:fullRef>
                </c:ext>
              </c:extLst>
              <c:f>('Plastics CCUS_ROCM'!$A$5,'Plastics CCUS_ROCM'!$A$7,'Plastics CCUS_ROCM'!$A$9,'Plastics CCUS_ROCM'!$A$11,'Plastics CCUS_ROCM'!$A$13,'Plastics CCUS_ROCM'!$A$15,'Plastics CCUS_ROCM'!$A$17,'Plastics CCUS_ROCM'!$A$19,'Plastics CCUS_ROCM'!$A$21,'Plastics CCUS_ROCM'!$A$23,'Plastics CCUS_ROCM'!$A$25,'Plastics CCUS_ROCM'!$A$27,'Plastics CCUS_ROCM'!$A$29,'Plastics CCUS_ROCM'!$A$31,'Plastics CCUS_ROCM'!$A$33,'Plastics CCUS_ROCM'!$A$35,'Plastics CCUS_ROCM'!$A$37:$A$38)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CCUS_ROCM'!$R$4:$R$38</c15:sqref>
                  </c15:fullRef>
                </c:ext>
              </c:extLst>
              <c:f>('Plastics CCUS_ROCM'!$R$5,'Plastics CCUS_ROCM'!$R$7,'Plastics CCUS_ROCM'!$R$9,'Plastics CCUS_ROCM'!$R$11,'Plastics CCUS_ROCM'!$R$13,'Plastics CCUS_ROCM'!$R$15,'Plastics CCUS_ROCM'!$R$17,'Plastics CCUS_ROCM'!$R$19,'Plastics CCUS_ROCM'!$R$21,'Plastics CCUS_ROCM'!$R$23,'Plastics CCUS_ROCM'!$R$25,'Plastics CCUS_ROCM'!$R$27,'Plastics CCUS_ROCM'!$R$29,'Plastics CCUS_ROCM'!$R$31,'Plastics CCUS_ROCM'!$R$33,'Plastics CCUS_ROCM'!$R$35,'Plastics CCUS_ROCM'!$R$37:$R$38)</c:f>
              <c:numCache>
                <c:formatCode>General</c:formatCode>
                <c:ptCount val="18"/>
                <c:pt idx="0">
                  <c:v>0.11901465526270119</c:v>
                </c:pt>
                <c:pt idx="1">
                  <c:v>0.1955240765030091</c:v>
                </c:pt>
                <c:pt idx="2">
                  <c:v>0.96486881230832755</c:v>
                </c:pt>
                <c:pt idx="3">
                  <c:v>1.2983274738420856</c:v>
                </c:pt>
                <c:pt idx="4">
                  <c:v>1.74702944880191</c:v>
                </c:pt>
                <c:pt idx="5">
                  <c:v>2.35080282630785</c:v>
                </c:pt>
                <c:pt idx="6">
                  <c:v>3.1632402830798436</c:v>
                </c:pt>
                <c:pt idx="7">
                  <c:v>3.9996010139261542</c:v>
                </c:pt>
                <c:pt idx="8">
                  <c:v>4.7519259646456629</c:v>
                </c:pt>
                <c:pt idx="9">
                  <c:v>5.6457632385955128</c:v>
                </c:pt>
                <c:pt idx="10">
                  <c:v>6.7077313037753283</c:v>
                </c:pt>
                <c:pt idx="11">
                  <c:v>7.9694555620154661</c:v>
                </c:pt>
                <c:pt idx="12">
                  <c:v>9.0341748251007346</c:v>
                </c:pt>
                <c:pt idx="13">
                  <c:v>9.7713634908289535</c:v>
                </c:pt>
                <c:pt idx="14">
                  <c:v>10.568706751680594</c:v>
                </c:pt>
                <c:pt idx="15">
                  <c:v>11.43111322261773</c:v>
                </c:pt>
                <c:pt idx="16">
                  <c:v>12.363892061583336</c:v>
                </c:pt>
                <c:pt idx="17">
                  <c:v>12.85844774404667</c:v>
                </c:pt>
              </c:numCache>
            </c:numRef>
          </c:val>
          <c:extLst>
            <c:ext xmlns:c16="http://schemas.microsoft.com/office/drawing/2014/chart" uri="{C3380CC4-5D6E-409C-BE32-E72D297353CC}">
              <c16:uniqueId val="{00000000-F8F2-414C-A834-C716BE576220}"/>
            </c:ext>
          </c:extLst>
        </c:ser>
        <c:ser>
          <c:idx val="1"/>
          <c:order val="1"/>
          <c:tx>
            <c:strRef>
              <c:f>'Plastics CCUS_ROCM'!$S$3</c:f>
              <c:strCache>
                <c:ptCount val="1"/>
                <c:pt idx="0">
                  <c:v>EPDM</c:v>
                </c:pt>
              </c:strCache>
            </c:strRef>
          </c:tx>
          <c:spPr>
            <a:solidFill>
              <a:schemeClr val="accent2"/>
            </a:solidFill>
            <a:ln>
              <a:noFill/>
            </a:ln>
            <a:effectLst/>
          </c:spPr>
          <c:cat>
            <c:numRef>
              <c:extLst>
                <c:ext xmlns:c15="http://schemas.microsoft.com/office/drawing/2012/chart" uri="{02D57815-91ED-43cb-92C2-25804820EDAC}">
                  <c15:fullRef>
                    <c15:sqref>'Plastics CCUS_ROCM'!$A$4:$A$38</c15:sqref>
                  </c15:fullRef>
                </c:ext>
              </c:extLst>
              <c:f>('Plastics CCUS_ROCM'!$A$5,'Plastics CCUS_ROCM'!$A$7,'Plastics CCUS_ROCM'!$A$9,'Plastics CCUS_ROCM'!$A$11,'Plastics CCUS_ROCM'!$A$13,'Plastics CCUS_ROCM'!$A$15,'Plastics CCUS_ROCM'!$A$17,'Plastics CCUS_ROCM'!$A$19,'Plastics CCUS_ROCM'!$A$21,'Plastics CCUS_ROCM'!$A$23,'Plastics CCUS_ROCM'!$A$25,'Plastics CCUS_ROCM'!$A$27,'Plastics CCUS_ROCM'!$A$29,'Plastics CCUS_ROCM'!$A$31,'Plastics CCUS_ROCM'!$A$33,'Plastics CCUS_ROCM'!$A$35,'Plastics CCUS_ROCM'!$A$37:$A$38)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CCUS_ROCM'!$S$4:$S$38</c15:sqref>
                  </c15:fullRef>
                </c:ext>
              </c:extLst>
              <c:f>('Plastics CCUS_ROCM'!$S$5,'Plastics CCUS_ROCM'!$S$7,'Plastics CCUS_ROCM'!$S$9,'Plastics CCUS_ROCM'!$S$11,'Plastics CCUS_ROCM'!$S$13,'Plastics CCUS_ROCM'!$S$15,'Plastics CCUS_ROCM'!$S$17,'Plastics CCUS_ROCM'!$S$19,'Plastics CCUS_ROCM'!$S$21,'Plastics CCUS_ROCM'!$S$23,'Plastics CCUS_ROCM'!$S$25,'Plastics CCUS_ROCM'!$S$27,'Plastics CCUS_ROCM'!$S$29,'Plastics CCUS_ROCM'!$S$31,'Plastics CCUS_ROCM'!$S$33,'Plastics CCUS_ROCM'!$S$35,'Plastics CCUS_ROCM'!$S$37:$S$38)</c:f>
              <c:numCache>
                <c:formatCode>General</c:formatCode>
                <c:ptCount val="18"/>
                <c:pt idx="0">
                  <c:v>0.11118474373226031</c:v>
                </c:pt>
                <c:pt idx="1">
                  <c:v>0.1826606504172848</c:v>
                </c:pt>
                <c:pt idx="2">
                  <c:v>0.90139060097225321</c:v>
                </c:pt>
                <c:pt idx="3">
                  <c:v>1.2129111926682641</c:v>
                </c:pt>
                <c:pt idx="4">
                  <c:v>1.6320933008544158</c:v>
                </c:pt>
                <c:pt idx="5">
                  <c:v>2.1961447456297019</c:v>
                </c:pt>
                <c:pt idx="6">
                  <c:v>2.955132369719327</c:v>
                </c:pt>
                <c:pt idx="7">
                  <c:v>3.7364693682731174</c:v>
                </c:pt>
                <c:pt idx="8">
                  <c:v>4.4392992564452909</c:v>
                </c:pt>
                <c:pt idx="9">
                  <c:v>5.2743314465826492</c:v>
                </c:pt>
                <c:pt idx="10">
                  <c:v>6.2664331916848459</c:v>
                </c:pt>
                <c:pt idx="11">
                  <c:v>7.4451492750407642</c:v>
                </c:pt>
                <c:pt idx="12">
                  <c:v>8.4398212181862124</c:v>
                </c:pt>
                <c:pt idx="13">
                  <c:v>9.1285106295902061</c:v>
                </c:pt>
                <c:pt idx="14">
                  <c:v>9.8733970969647658</c:v>
                </c:pt>
                <c:pt idx="15">
                  <c:v>10.679066300077087</c:v>
                </c:pt>
                <c:pt idx="16">
                  <c:v>11.550478110163377</c:v>
                </c:pt>
                <c:pt idx="17">
                  <c:v>12.012497234569915</c:v>
                </c:pt>
              </c:numCache>
            </c:numRef>
          </c:val>
          <c:extLst>
            <c:ext xmlns:c16="http://schemas.microsoft.com/office/drawing/2014/chart" uri="{C3380CC4-5D6E-409C-BE32-E72D297353CC}">
              <c16:uniqueId val="{00000001-F8F2-414C-A834-C716BE576220}"/>
            </c:ext>
          </c:extLst>
        </c:ser>
        <c:ser>
          <c:idx val="2"/>
          <c:order val="2"/>
          <c:tx>
            <c:strRef>
              <c:f>'Plastics CCUS_ROCM'!$T$3</c:f>
              <c:strCache>
                <c:ptCount val="1"/>
                <c:pt idx="0">
                  <c:v>LER</c:v>
                </c:pt>
              </c:strCache>
            </c:strRef>
          </c:tx>
          <c:spPr>
            <a:solidFill>
              <a:schemeClr val="accent3"/>
            </a:solidFill>
            <a:ln>
              <a:noFill/>
            </a:ln>
            <a:effectLst/>
          </c:spPr>
          <c:cat>
            <c:numRef>
              <c:extLst>
                <c:ext xmlns:c15="http://schemas.microsoft.com/office/drawing/2012/chart" uri="{02D57815-91ED-43cb-92C2-25804820EDAC}">
                  <c15:fullRef>
                    <c15:sqref>'Plastics CCUS_ROCM'!$A$4:$A$38</c15:sqref>
                  </c15:fullRef>
                </c:ext>
              </c:extLst>
              <c:f>('Plastics CCUS_ROCM'!$A$5,'Plastics CCUS_ROCM'!$A$7,'Plastics CCUS_ROCM'!$A$9,'Plastics CCUS_ROCM'!$A$11,'Plastics CCUS_ROCM'!$A$13,'Plastics CCUS_ROCM'!$A$15,'Plastics CCUS_ROCM'!$A$17,'Plastics CCUS_ROCM'!$A$19,'Plastics CCUS_ROCM'!$A$21,'Plastics CCUS_ROCM'!$A$23,'Plastics CCUS_ROCM'!$A$25,'Plastics CCUS_ROCM'!$A$27,'Plastics CCUS_ROCM'!$A$29,'Plastics CCUS_ROCM'!$A$31,'Plastics CCUS_ROCM'!$A$33,'Plastics CCUS_ROCM'!$A$35,'Plastics CCUS_ROCM'!$A$37:$A$38)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CCUS_ROCM'!$T$4:$T$38</c15:sqref>
                  </c15:fullRef>
                </c:ext>
              </c:extLst>
              <c:f>('Plastics CCUS_ROCM'!$T$5,'Plastics CCUS_ROCM'!$T$7,'Plastics CCUS_ROCM'!$T$9,'Plastics CCUS_ROCM'!$T$11,'Plastics CCUS_ROCM'!$T$13,'Plastics CCUS_ROCM'!$T$15,'Plastics CCUS_ROCM'!$T$17,'Plastics CCUS_ROCM'!$T$19,'Plastics CCUS_ROCM'!$T$21,'Plastics CCUS_ROCM'!$T$23,'Plastics CCUS_ROCM'!$T$25,'Plastics CCUS_ROCM'!$T$27,'Plastics CCUS_ROCM'!$T$29,'Plastics CCUS_ROCM'!$T$31,'Plastics CCUS_ROCM'!$T$33,'Plastics CCUS_ROCM'!$T$35,'Plastics CCUS_ROCM'!$T$37:$T$38)</c:f>
              <c:numCache>
                <c:formatCode>General</c:formatCode>
                <c:ptCount val="18"/>
                <c:pt idx="0">
                  <c:v>0.16756010675143457</c:v>
                </c:pt>
                <c:pt idx="1">
                  <c:v>0.27527731823449963</c:v>
                </c:pt>
                <c:pt idx="2">
                  <c:v>1.3584337225919874</c:v>
                </c:pt>
                <c:pt idx="3">
                  <c:v>1.8279084171197781</c:v>
                </c:pt>
                <c:pt idx="4">
                  <c:v>2.4596335660763731</c:v>
                </c:pt>
                <c:pt idx="5">
                  <c:v>3.3096829265123682</c:v>
                </c:pt>
                <c:pt idx="6">
                  <c:v>4.4535093459150428</c:v>
                </c:pt>
                <c:pt idx="7">
                  <c:v>5.6310172169749801</c:v>
                </c:pt>
                <c:pt idx="8">
                  <c:v>6.6902115554879726</c:v>
                </c:pt>
                <c:pt idx="9">
                  <c:v>7.9486403490752604</c:v>
                </c:pt>
                <c:pt idx="10">
                  <c:v>9.4437795987363184</c:v>
                </c:pt>
                <c:pt idx="11">
                  <c:v>11.220154541258616</c:v>
                </c:pt>
                <c:pt idx="12">
                  <c:v>12.71916718797077</c:v>
                </c:pt>
                <c:pt idx="13">
                  <c:v>13.757051230509184</c:v>
                </c:pt>
                <c:pt idx="14">
                  <c:v>14.879626610918731</c:v>
                </c:pt>
                <c:pt idx="15">
                  <c:v>16.093804142369699</c:v>
                </c:pt>
                <c:pt idx="16">
                  <c:v>17.407058560387064</c:v>
                </c:pt>
                <c:pt idx="17">
                  <c:v>18.10334090280255</c:v>
                </c:pt>
              </c:numCache>
            </c:numRef>
          </c:val>
          <c:extLst>
            <c:ext xmlns:c16="http://schemas.microsoft.com/office/drawing/2014/chart" uri="{C3380CC4-5D6E-409C-BE32-E72D297353CC}">
              <c16:uniqueId val="{00000002-F8F2-414C-A834-C716BE576220}"/>
            </c:ext>
          </c:extLst>
        </c:ser>
        <c:ser>
          <c:idx val="3"/>
          <c:order val="3"/>
          <c:tx>
            <c:strRef>
              <c:f>'Plastics CCUS_ROCM'!$U$3</c:f>
              <c:strCache>
                <c:ptCount val="1"/>
                <c:pt idx="0">
                  <c:v>GPPS</c:v>
                </c:pt>
              </c:strCache>
            </c:strRef>
          </c:tx>
          <c:spPr>
            <a:solidFill>
              <a:schemeClr val="accent4"/>
            </a:solidFill>
            <a:ln>
              <a:noFill/>
            </a:ln>
            <a:effectLst/>
          </c:spPr>
          <c:cat>
            <c:numRef>
              <c:extLst>
                <c:ext xmlns:c15="http://schemas.microsoft.com/office/drawing/2012/chart" uri="{02D57815-91ED-43cb-92C2-25804820EDAC}">
                  <c15:fullRef>
                    <c15:sqref>'Plastics CCUS_ROCM'!$A$4:$A$38</c15:sqref>
                  </c15:fullRef>
                </c:ext>
              </c:extLst>
              <c:f>('Plastics CCUS_ROCM'!$A$5,'Plastics CCUS_ROCM'!$A$7,'Plastics CCUS_ROCM'!$A$9,'Plastics CCUS_ROCM'!$A$11,'Plastics CCUS_ROCM'!$A$13,'Plastics CCUS_ROCM'!$A$15,'Plastics CCUS_ROCM'!$A$17,'Plastics CCUS_ROCM'!$A$19,'Plastics CCUS_ROCM'!$A$21,'Plastics CCUS_ROCM'!$A$23,'Plastics CCUS_ROCM'!$A$25,'Plastics CCUS_ROCM'!$A$27,'Plastics CCUS_ROCM'!$A$29,'Plastics CCUS_ROCM'!$A$31,'Plastics CCUS_ROCM'!$A$33,'Plastics CCUS_ROCM'!$A$35,'Plastics CCUS_ROCM'!$A$37:$A$38)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CCUS_ROCM'!$U$4:$U$38</c15:sqref>
                  </c15:fullRef>
                </c:ext>
              </c:extLst>
              <c:f>('Plastics CCUS_ROCM'!$U$5,'Plastics CCUS_ROCM'!$U$7,'Plastics CCUS_ROCM'!$U$9,'Plastics CCUS_ROCM'!$U$11,'Plastics CCUS_ROCM'!$U$13,'Plastics CCUS_ROCM'!$U$15,'Plastics CCUS_ROCM'!$U$17,'Plastics CCUS_ROCM'!$U$19,'Plastics CCUS_ROCM'!$U$21,'Plastics CCUS_ROCM'!$U$23,'Plastics CCUS_ROCM'!$U$25,'Plastics CCUS_ROCM'!$U$27,'Plastics CCUS_ROCM'!$U$29,'Plastics CCUS_ROCM'!$U$31,'Plastics CCUS_ROCM'!$U$33,'Plastics CCUS_ROCM'!$U$35,'Plastics CCUS_ROCM'!$U$37:$U$38)</c:f>
              <c:numCache>
                <c:formatCode>General</c:formatCode>
                <c:ptCount val="18"/>
                <c:pt idx="0">
                  <c:v>1.0961876142617216E-2</c:v>
                </c:pt>
                <c:pt idx="1">
                  <c:v>1.8008796520013994E-2</c:v>
                </c:pt>
                <c:pt idx="2">
                  <c:v>8.8869495870503842E-2</c:v>
                </c:pt>
                <c:pt idx="3">
                  <c:v>0.11958279364334999</c:v>
                </c:pt>
                <c:pt idx="4">
                  <c:v>0.16091060712649172</c:v>
                </c:pt>
                <c:pt idx="5">
                  <c:v>0.21652131294940727</c:v>
                </c:pt>
                <c:pt idx="6">
                  <c:v>0.29135107870472238</c:v>
                </c:pt>
                <c:pt idx="7">
                  <c:v>0.36838430391425103</c:v>
                </c:pt>
                <c:pt idx="8">
                  <c:v>0.43767739148052159</c:v>
                </c:pt>
                <c:pt idx="9">
                  <c:v>0.52000450881800775</c:v>
                </c:pt>
                <c:pt idx="10">
                  <c:v>0.61781735692667494</c:v>
                </c:pt>
                <c:pt idx="11">
                  <c:v>0.73402880176458252</c:v>
                </c:pt>
                <c:pt idx="12">
                  <c:v>0.83209504968033077</c:v>
                </c:pt>
                <c:pt idx="13">
                  <c:v>0.89999400573424571</c:v>
                </c:pt>
                <c:pt idx="14">
                  <c:v>0.97343351660216004</c:v>
                </c:pt>
                <c:pt idx="15">
                  <c:v>1.0528656915568961</c:v>
                </c:pt>
                <c:pt idx="16">
                  <c:v>1.1387795319879388</c:v>
                </c:pt>
                <c:pt idx="17">
                  <c:v>1.1843307132674565</c:v>
                </c:pt>
              </c:numCache>
            </c:numRef>
          </c:val>
          <c:extLst>
            <c:ext xmlns:c16="http://schemas.microsoft.com/office/drawing/2014/chart" uri="{C3380CC4-5D6E-409C-BE32-E72D297353CC}">
              <c16:uniqueId val="{00000003-F8F2-414C-A834-C716BE576220}"/>
            </c:ext>
          </c:extLst>
        </c:ser>
        <c:ser>
          <c:idx val="4"/>
          <c:order val="4"/>
          <c:tx>
            <c:strRef>
              <c:f>'Plastics CCUS_ROCM'!$V$3</c:f>
              <c:strCache>
                <c:ptCount val="1"/>
                <c:pt idx="0">
                  <c:v>HIPS</c:v>
                </c:pt>
              </c:strCache>
            </c:strRef>
          </c:tx>
          <c:spPr>
            <a:solidFill>
              <a:schemeClr val="accent5"/>
            </a:solidFill>
            <a:ln>
              <a:noFill/>
            </a:ln>
            <a:effectLst/>
          </c:spPr>
          <c:cat>
            <c:numRef>
              <c:extLst>
                <c:ext xmlns:c15="http://schemas.microsoft.com/office/drawing/2012/chart" uri="{02D57815-91ED-43cb-92C2-25804820EDAC}">
                  <c15:fullRef>
                    <c15:sqref>'Plastics CCUS_ROCM'!$A$4:$A$38</c15:sqref>
                  </c15:fullRef>
                </c:ext>
              </c:extLst>
              <c:f>('Plastics CCUS_ROCM'!$A$5,'Plastics CCUS_ROCM'!$A$7,'Plastics CCUS_ROCM'!$A$9,'Plastics CCUS_ROCM'!$A$11,'Plastics CCUS_ROCM'!$A$13,'Plastics CCUS_ROCM'!$A$15,'Plastics CCUS_ROCM'!$A$17,'Plastics CCUS_ROCM'!$A$19,'Plastics CCUS_ROCM'!$A$21,'Plastics CCUS_ROCM'!$A$23,'Plastics CCUS_ROCM'!$A$25,'Plastics CCUS_ROCM'!$A$27,'Plastics CCUS_ROCM'!$A$29,'Plastics CCUS_ROCM'!$A$31,'Plastics CCUS_ROCM'!$A$33,'Plastics CCUS_ROCM'!$A$35,'Plastics CCUS_ROCM'!$A$37:$A$38)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CCUS_ROCM'!$V$4:$V$38</c15:sqref>
                  </c15:fullRef>
                </c:ext>
              </c:extLst>
              <c:f>('Plastics CCUS_ROCM'!$V$5,'Plastics CCUS_ROCM'!$V$7,'Plastics CCUS_ROCM'!$V$9,'Plastics CCUS_ROCM'!$V$11,'Plastics CCUS_ROCM'!$V$13,'Plastics CCUS_ROCM'!$V$15,'Plastics CCUS_ROCM'!$V$17,'Plastics CCUS_ROCM'!$V$19,'Plastics CCUS_ROCM'!$V$21,'Plastics CCUS_ROCM'!$V$23,'Plastics CCUS_ROCM'!$V$25,'Plastics CCUS_ROCM'!$V$27,'Plastics CCUS_ROCM'!$V$29,'Plastics CCUS_ROCM'!$V$31,'Plastics CCUS_ROCM'!$V$33,'Plastics CCUS_ROCM'!$V$35,'Plastics CCUS_ROCM'!$V$37:$V$38)</c:f>
              <c:numCache>
                <c:formatCode>General</c:formatCode>
                <c:ptCount val="18"/>
                <c:pt idx="0">
                  <c:v>1.0961876142617216E-2</c:v>
                </c:pt>
                <c:pt idx="1">
                  <c:v>1.8008796520013994E-2</c:v>
                </c:pt>
                <c:pt idx="2">
                  <c:v>8.8869495870503842E-2</c:v>
                </c:pt>
                <c:pt idx="3">
                  <c:v>0.11958279364334999</c:v>
                </c:pt>
                <c:pt idx="4">
                  <c:v>0.16091060712649172</c:v>
                </c:pt>
                <c:pt idx="5">
                  <c:v>0.21652131294940727</c:v>
                </c:pt>
                <c:pt idx="6">
                  <c:v>0.29135107870472238</c:v>
                </c:pt>
                <c:pt idx="7">
                  <c:v>0.36838430391425103</c:v>
                </c:pt>
                <c:pt idx="8">
                  <c:v>0.43767739148052159</c:v>
                </c:pt>
                <c:pt idx="9">
                  <c:v>0.52000450881800775</c:v>
                </c:pt>
                <c:pt idx="10">
                  <c:v>0.61781735692667494</c:v>
                </c:pt>
                <c:pt idx="11">
                  <c:v>0.73402880176458252</c:v>
                </c:pt>
                <c:pt idx="12">
                  <c:v>0.83209504968033077</c:v>
                </c:pt>
                <c:pt idx="13">
                  <c:v>0.89999400573424571</c:v>
                </c:pt>
                <c:pt idx="14">
                  <c:v>0.97343351660216004</c:v>
                </c:pt>
                <c:pt idx="15">
                  <c:v>1.0528656915568961</c:v>
                </c:pt>
                <c:pt idx="16">
                  <c:v>1.1387795319879388</c:v>
                </c:pt>
                <c:pt idx="17">
                  <c:v>1.1843307132674565</c:v>
                </c:pt>
              </c:numCache>
            </c:numRef>
          </c:val>
          <c:extLst>
            <c:ext xmlns:c16="http://schemas.microsoft.com/office/drawing/2014/chart" uri="{C3380CC4-5D6E-409C-BE32-E72D297353CC}">
              <c16:uniqueId val="{00000004-F8F2-414C-A834-C716BE576220}"/>
            </c:ext>
          </c:extLst>
        </c:ser>
        <c:ser>
          <c:idx val="5"/>
          <c:order val="5"/>
          <c:tx>
            <c:strRef>
              <c:f>'Plastics CCUS_ROCM'!$W$3</c:f>
              <c:strCache>
                <c:ptCount val="1"/>
                <c:pt idx="0">
                  <c:v>HDPE</c:v>
                </c:pt>
              </c:strCache>
            </c:strRef>
          </c:tx>
          <c:spPr>
            <a:solidFill>
              <a:schemeClr val="accent6"/>
            </a:solidFill>
            <a:ln>
              <a:noFill/>
            </a:ln>
            <a:effectLst/>
          </c:spPr>
          <c:cat>
            <c:numRef>
              <c:extLst>
                <c:ext xmlns:c15="http://schemas.microsoft.com/office/drawing/2012/chart" uri="{02D57815-91ED-43cb-92C2-25804820EDAC}">
                  <c15:fullRef>
                    <c15:sqref>'Plastics CCUS_ROCM'!$A$4:$A$38</c15:sqref>
                  </c15:fullRef>
                </c:ext>
              </c:extLst>
              <c:f>('Plastics CCUS_ROCM'!$A$5,'Plastics CCUS_ROCM'!$A$7,'Plastics CCUS_ROCM'!$A$9,'Plastics CCUS_ROCM'!$A$11,'Plastics CCUS_ROCM'!$A$13,'Plastics CCUS_ROCM'!$A$15,'Plastics CCUS_ROCM'!$A$17,'Plastics CCUS_ROCM'!$A$19,'Plastics CCUS_ROCM'!$A$21,'Plastics CCUS_ROCM'!$A$23,'Plastics CCUS_ROCM'!$A$25,'Plastics CCUS_ROCM'!$A$27,'Plastics CCUS_ROCM'!$A$29,'Plastics CCUS_ROCM'!$A$31,'Plastics CCUS_ROCM'!$A$33,'Plastics CCUS_ROCM'!$A$35,'Plastics CCUS_ROCM'!$A$37:$A$38)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CCUS_ROCM'!$W$4:$W$38</c15:sqref>
                  </c15:fullRef>
                </c:ext>
              </c:extLst>
              <c:f>('Plastics CCUS_ROCM'!$W$5,'Plastics CCUS_ROCM'!$W$7,'Plastics CCUS_ROCM'!$W$9,'Plastics CCUS_ROCM'!$W$11,'Plastics CCUS_ROCM'!$W$13,'Plastics CCUS_ROCM'!$W$15,'Plastics CCUS_ROCM'!$W$17,'Plastics CCUS_ROCM'!$W$19,'Plastics CCUS_ROCM'!$W$21,'Plastics CCUS_ROCM'!$W$23,'Plastics CCUS_ROCM'!$W$25,'Plastics CCUS_ROCM'!$W$27,'Plastics CCUS_ROCM'!$W$29,'Plastics CCUS_ROCM'!$W$31,'Plastics CCUS_ROCM'!$W$33,'Plastics CCUS_ROCM'!$W$35,'Plastics CCUS_ROCM'!$W$37:$W$38)</c:f>
              <c:numCache>
                <c:formatCode>General</c:formatCode>
                <c:ptCount val="18"/>
                <c:pt idx="0">
                  <c:v>2.1923752285234428E-2</c:v>
                </c:pt>
                <c:pt idx="1">
                  <c:v>3.6017593040027981E-2</c:v>
                </c:pt>
                <c:pt idx="2">
                  <c:v>0.17773899174100766</c:v>
                </c:pt>
                <c:pt idx="3">
                  <c:v>0.2391655872866999</c:v>
                </c:pt>
                <c:pt idx="4">
                  <c:v>0.32182121425298338</c:v>
                </c:pt>
                <c:pt idx="5">
                  <c:v>0.43304262589881443</c:v>
                </c:pt>
                <c:pt idx="6">
                  <c:v>0.58270215740944464</c:v>
                </c:pt>
                <c:pt idx="7">
                  <c:v>0.73676860782850195</c:v>
                </c:pt>
                <c:pt idx="8">
                  <c:v>0.87535478296104308</c:v>
                </c:pt>
                <c:pt idx="9">
                  <c:v>1.0400090176360153</c:v>
                </c:pt>
                <c:pt idx="10">
                  <c:v>1.2356347138533497</c:v>
                </c:pt>
                <c:pt idx="11">
                  <c:v>1.4680576035291648</c:v>
                </c:pt>
                <c:pt idx="12">
                  <c:v>1.6641900993606613</c:v>
                </c:pt>
                <c:pt idx="13">
                  <c:v>1.7999880114684912</c:v>
                </c:pt>
                <c:pt idx="14">
                  <c:v>1.9468670332043196</c:v>
                </c:pt>
                <c:pt idx="15">
                  <c:v>2.1057313831137923</c:v>
                </c:pt>
                <c:pt idx="16">
                  <c:v>2.2775590639758772</c:v>
                </c:pt>
                <c:pt idx="17">
                  <c:v>2.3686614265349126</c:v>
                </c:pt>
              </c:numCache>
            </c:numRef>
          </c:val>
          <c:extLst>
            <c:ext xmlns:c16="http://schemas.microsoft.com/office/drawing/2014/chart" uri="{C3380CC4-5D6E-409C-BE32-E72D297353CC}">
              <c16:uniqueId val="{00000005-F8F2-414C-A834-C716BE576220}"/>
            </c:ext>
          </c:extLst>
        </c:ser>
        <c:ser>
          <c:idx val="6"/>
          <c:order val="6"/>
          <c:tx>
            <c:strRef>
              <c:f>'Plastics CCUS_ROCM'!$X$3</c:f>
              <c:strCache>
                <c:ptCount val="1"/>
                <c:pt idx="0">
                  <c:v>LDPE</c:v>
                </c:pt>
              </c:strCache>
            </c:strRef>
          </c:tx>
          <c:spPr>
            <a:solidFill>
              <a:schemeClr val="accent1">
                <a:lumMod val="60000"/>
              </a:schemeClr>
            </a:solidFill>
            <a:ln>
              <a:noFill/>
            </a:ln>
            <a:effectLst/>
          </c:spPr>
          <c:cat>
            <c:numRef>
              <c:extLst>
                <c:ext xmlns:c15="http://schemas.microsoft.com/office/drawing/2012/chart" uri="{02D57815-91ED-43cb-92C2-25804820EDAC}">
                  <c15:fullRef>
                    <c15:sqref>'Plastics CCUS_ROCM'!$A$4:$A$38</c15:sqref>
                  </c15:fullRef>
                </c:ext>
              </c:extLst>
              <c:f>('Plastics CCUS_ROCM'!$A$5,'Plastics CCUS_ROCM'!$A$7,'Plastics CCUS_ROCM'!$A$9,'Plastics CCUS_ROCM'!$A$11,'Plastics CCUS_ROCM'!$A$13,'Plastics CCUS_ROCM'!$A$15,'Plastics CCUS_ROCM'!$A$17,'Plastics CCUS_ROCM'!$A$19,'Plastics CCUS_ROCM'!$A$21,'Plastics CCUS_ROCM'!$A$23,'Plastics CCUS_ROCM'!$A$25,'Plastics CCUS_ROCM'!$A$27,'Plastics CCUS_ROCM'!$A$29,'Plastics CCUS_ROCM'!$A$31,'Plastics CCUS_ROCM'!$A$33,'Plastics CCUS_ROCM'!$A$35,'Plastics CCUS_ROCM'!$A$37:$A$38)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CCUS_ROCM'!$X$4:$X$38</c15:sqref>
                  </c15:fullRef>
                </c:ext>
              </c:extLst>
              <c:f>('Plastics CCUS_ROCM'!$X$5,'Plastics CCUS_ROCM'!$X$7,'Plastics CCUS_ROCM'!$X$9,'Plastics CCUS_ROCM'!$X$11,'Plastics CCUS_ROCM'!$X$13,'Plastics CCUS_ROCM'!$X$15,'Plastics CCUS_ROCM'!$X$17,'Plastics CCUS_ROCM'!$X$19,'Plastics CCUS_ROCM'!$X$21,'Plastics CCUS_ROCM'!$X$23,'Plastics CCUS_ROCM'!$X$25,'Plastics CCUS_ROCM'!$X$27,'Plastics CCUS_ROCM'!$X$29,'Plastics CCUS_ROCM'!$X$31,'Plastics CCUS_ROCM'!$X$33,'Plastics CCUS_ROCM'!$X$35,'Plastics CCUS_ROCM'!$X$37:$X$38)</c:f>
              <c:numCache>
                <c:formatCode>General</c:formatCode>
                <c:ptCount val="18"/>
                <c:pt idx="0">
                  <c:v>2.1923752285234428E-2</c:v>
                </c:pt>
                <c:pt idx="1">
                  <c:v>3.6017593040027981E-2</c:v>
                </c:pt>
                <c:pt idx="2">
                  <c:v>0.17773899174100766</c:v>
                </c:pt>
                <c:pt idx="3">
                  <c:v>0.2391655872866999</c:v>
                </c:pt>
                <c:pt idx="4">
                  <c:v>0.32182121425298338</c:v>
                </c:pt>
                <c:pt idx="5">
                  <c:v>0.43304262589881443</c:v>
                </c:pt>
                <c:pt idx="6">
                  <c:v>0.58270215740944464</c:v>
                </c:pt>
                <c:pt idx="7">
                  <c:v>0.73676860782850195</c:v>
                </c:pt>
                <c:pt idx="8">
                  <c:v>0.87535478296104308</c:v>
                </c:pt>
                <c:pt idx="9">
                  <c:v>1.0400090176360153</c:v>
                </c:pt>
                <c:pt idx="10">
                  <c:v>1.2356347138533497</c:v>
                </c:pt>
                <c:pt idx="11">
                  <c:v>1.4680576035291648</c:v>
                </c:pt>
                <c:pt idx="12">
                  <c:v>1.6641900993606613</c:v>
                </c:pt>
                <c:pt idx="13">
                  <c:v>1.7999880114684912</c:v>
                </c:pt>
                <c:pt idx="14">
                  <c:v>1.9468670332043196</c:v>
                </c:pt>
                <c:pt idx="15">
                  <c:v>2.1057313831137923</c:v>
                </c:pt>
                <c:pt idx="16">
                  <c:v>2.2775590639758772</c:v>
                </c:pt>
                <c:pt idx="17">
                  <c:v>2.3686614265349126</c:v>
                </c:pt>
              </c:numCache>
            </c:numRef>
          </c:val>
          <c:extLst>
            <c:ext xmlns:c16="http://schemas.microsoft.com/office/drawing/2014/chart" uri="{C3380CC4-5D6E-409C-BE32-E72D297353CC}">
              <c16:uniqueId val="{00000006-F8F2-414C-A834-C716BE576220}"/>
            </c:ext>
          </c:extLst>
        </c:ser>
        <c:ser>
          <c:idx val="7"/>
          <c:order val="7"/>
          <c:tx>
            <c:strRef>
              <c:f>'Plastics CCUS_ROCM'!$Y$3</c:f>
              <c:strCache>
                <c:ptCount val="1"/>
                <c:pt idx="0">
                  <c:v>LLDPE</c:v>
                </c:pt>
              </c:strCache>
            </c:strRef>
          </c:tx>
          <c:spPr>
            <a:solidFill>
              <a:schemeClr val="accent2">
                <a:lumMod val="60000"/>
              </a:schemeClr>
            </a:solidFill>
            <a:ln>
              <a:noFill/>
            </a:ln>
            <a:effectLst/>
          </c:spPr>
          <c:cat>
            <c:numRef>
              <c:extLst>
                <c:ext xmlns:c15="http://schemas.microsoft.com/office/drawing/2012/chart" uri="{02D57815-91ED-43cb-92C2-25804820EDAC}">
                  <c15:fullRef>
                    <c15:sqref>'Plastics CCUS_ROCM'!$A$4:$A$38</c15:sqref>
                  </c15:fullRef>
                </c:ext>
              </c:extLst>
              <c:f>('Plastics CCUS_ROCM'!$A$5,'Plastics CCUS_ROCM'!$A$7,'Plastics CCUS_ROCM'!$A$9,'Plastics CCUS_ROCM'!$A$11,'Plastics CCUS_ROCM'!$A$13,'Plastics CCUS_ROCM'!$A$15,'Plastics CCUS_ROCM'!$A$17,'Plastics CCUS_ROCM'!$A$19,'Plastics CCUS_ROCM'!$A$21,'Plastics CCUS_ROCM'!$A$23,'Plastics CCUS_ROCM'!$A$25,'Plastics CCUS_ROCM'!$A$27,'Plastics CCUS_ROCM'!$A$29,'Plastics CCUS_ROCM'!$A$31,'Plastics CCUS_ROCM'!$A$33,'Plastics CCUS_ROCM'!$A$35,'Plastics CCUS_ROCM'!$A$37:$A$38)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CCUS_ROCM'!$Y$4:$Y$38</c15:sqref>
                  </c15:fullRef>
                </c:ext>
              </c:extLst>
              <c:f>('Plastics CCUS_ROCM'!$Y$5,'Plastics CCUS_ROCM'!$Y$7,'Plastics CCUS_ROCM'!$Y$9,'Plastics CCUS_ROCM'!$Y$11,'Plastics CCUS_ROCM'!$Y$13,'Plastics CCUS_ROCM'!$Y$15,'Plastics CCUS_ROCM'!$Y$17,'Plastics CCUS_ROCM'!$Y$19,'Plastics CCUS_ROCM'!$Y$21,'Plastics CCUS_ROCM'!$Y$23,'Plastics CCUS_ROCM'!$Y$25,'Plastics CCUS_ROCM'!$Y$27,'Plastics CCUS_ROCM'!$Y$29,'Plastics CCUS_ROCM'!$Y$31,'Plastics CCUS_ROCM'!$Y$33,'Plastics CCUS_ROCM'!$Y$35,'Plastics CCUS_ROCM'!$Y$37:$Y$38)</c:f>
              <c:numCache>
                <c:formatCode>General</c:formatCode>
                <c:ptCount val="18"/>
                <c:pt idx="0">
                  <c:v>2.1923752285234428E-2</c:v>
                </c:pt>
                <c:pt idx="1">
                  <c:v>3.6017593040027981E-2</c:v>
                </c:pt>
                <c:pt idx="2">
                  <c:v>0.17773899174100766</c:v>
                </c:pt>
                <c:pt idx="3">
                  <c:v>0.2391655872866999</c:v>
                </c:pt>
                <c:pt idx="4">
                  <c:v>0.32182121425298338</c:v>
                </c:pt>
                <c:pt idx="5">
                  <c:v>0.43304262589881443</c:v>
                </c:pt>
                <c:pt idx="6">
                  <c:v>0.58270215740944464</c:v>
                </c:pt>
                <c:pt idx="7">
                  <c:v>0.73676860782850195</c:v>
                </c:pt>
                <c:pt idx="8">
                  <c:v>0.87535478296104308</c:v>
                </c:pt>
                <c:pt idx="9">
                  <c:v>1.0400090176360153</c:v>
                </c:pt>
                <c:pt idx="10">
                  <c:v>1.2356347138533497</c:v>
                </c:pt>
                <c:pt idx="11">
                  <c:v>1.4680576035291648</c:v>
                </c:pt>
                <c:pt idx="12">
                  <c:v>1.6641900993606613</c:v>
                </c:pt>
                <c:pt idx="13">
                  <c:v>1.7999880114684912</c:v>
                </c:pt>
                <c:pt idx="14">
                  <c:v>1.9468670332043196</c:v>
                </c:pt>
                <c:pt idx="15">
                  <c:v>2.1057313831137923</c:v>
                </c:pt>
                <c:pt idx="16">
                  <c:v>2.2775590639758772</c:v>
                </c:pt>
                <c:pt idx="17">
                  <c:v>2.3686614265349126</c:v>
                </c:pt>
              </c:numCache>
            </c:numRef>
          </c:val>
          <c:extLst>
            <c:ext xmlns:c16="http://schemas.microsoft.com/office/drawing/2014/chart" uri="{C3380CC4-5D6E-409C-BE32-E72D297353CC}">
              <c16:uniqueId val="{00000007-F8F2-414C-A834-C716BE576220}"/>
            </c:ext>
          </c:extLst>
        </c:ser>
        <c:ser>
          <c:idx val="8"/>
          <c:order val="8"/>
          <c:tx>
            <c:strRef>
              <c:f>'Plastics CCUS_ROCM'!$Z$3</c:f>
              <c:strCache>
                <c:ptCount val="1"/>
                <c:pt idx="0">
                  <c:v>Nylon 6</c:v>
                </c:pt>
              </c:strCache>
            </c:strRef>
          </c:tx>
          <c:spPr>
            <a:solidFill>
              <a:schemeClr val="accent3">
                <a:lumMod val="60000"/>
              </a:schemeClr>
            </a:solidFill>
            <a:ln>
              <a:noFill/>
            </a:ln>
            <a:effectLst/>
          </c:spPr>
          <c:cat>
            <c:numRef>
              <c:extLst>
                <c:ext xmlns:c15="http://schemas.microsoft.com/office/drawing/2012/chart" uri="{02D57815-91ED-43cb-92C2-25804820EDAC}">
                  <c15:fullRef>
                    <c15:sqref>'Plastics CCUS_ROCM'!$A$4:$A$38</c15:sqref>
                  </c15:fullRef>
                </c:ext>
              </c:extLst>
              <c:f>('Plastics CCUS_ROCM'!$A$5,'Plastics CCUS_ROCM'!$A$7,'Plastics CCUS_ROCM'!$A$9,'Plastics CCUS_ROCM'!$A$11,'Plastics CCUS_ROCM'!$A$13,'Plastics CCUS_ROCM'!$A$15,'Plastics CCUS_ROCM'!$A$17,'Plastics CCUS_ROCM'!$A$19,'Plastics CCUS_ROCM'!$A$21,'Plastics CCUS_ROCM'!$A$23,'Plastics CCUS_ROCM'!$A$25,'Plastics CCUS_ROCM'!$A$27,'Plastics CCUS_ROCM'!$A$29,'Plastics CCUS_ROCM'!$A$31,'Plastics CCUS_ROCM'!$A$33,'Plastics CCUS_ROCM'!$A$35,'Plastics CCUS_ROCM'!$A$37:$A$38)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CCUS_ROCM'!$Z$4:$Z$38</c15:sqref>
                  </c15:fullRef>
                </c:ext>
              </c:extLst>
              <c:f>('Plastics CCUS_ROCM'!$Z$5,'Plastics CCUS_ROCM'!$Z$7,'Plastics CCUS_ROCM'!$Z$9,'Plastics CCUS_ROCM'!$Z$11,'Plastics CCUS_ROCM'!$Z$13,'Plastics CCUS_ROCM'!$Z$15,'Plastics CCUS_ROCM'!$Z$17,'Plastics CCUS_ROCM'!$Z$19,'Plastics CCUS_ROCM'!$Z$21,'Plastics CCUS_ROCM'!$Z$23,'Plastics CCUS_ROCM'!$Z$25,'Plastics CCUS_ROCM'!$Z$27,'Plastics CCUS_ROCM'!$Z$29,'Plastics CCUS_ROCM'!$Z$31,'Plastics CCUS_ROCM'!$Z$33,'Plastics CCUS_ROCM'!$Z$35,'Plastics CCUS_ROCM'!$Z$37:$Z$38)</c:f>
              <c:numCache>
                <c:formatCode>General</c:formatCode>
                <c:ptCount val="18"/>
                <c:pt idx="0">
                  <c:v>1.722580536696991E-2</c:v>
                </c:pt>
                <c:pt idx="1">
                  <c:v>2.8299537388593424E-2</c:v>
                </c:pt>
                <c:pt idx="2">
                  <c:v>0.13965206493936322</c:v>
                </c:pt>
                <c:pt idx="3">
                  <c:v>0.18791581858240713</c:v>
                </c:pt>
                <c:pt idx="4">
                  <c:v>0.25285952548448698</c:v>
                </c:pt>
                <c:pt idx="5">
                  <c:v>0.34024777749192575</c:v>
                </c:pt>
                <c:pt idx="6">
                  <c:v>0.45783740939313528</c:v>
                </c:pt>
                <c:pt idx="7">
                  <c:v>0.57888962043668024</c:v>
                </c:pt>
                <c:pt idx="8">
                  <c:v>0.68777875804081978</c:v>
                </c:pt>
                <c:pt idx="9">
                  <c:v>0.81714994242829797</c:v>
                </c:pt>
                <c:pt idx="10">
                  <c:v>0.97085584659906077</c:v>
                </c:pt>
                <c:pt idx="11">
                  <c:v>1.153473831344344</c:v>
                </c:pt>
                <c:pt idx="12">
                  <c:v>1.3075779352119485</c:v>
                </c:pt>
                <c:pt idx="13">
                  <c:v>1.4142762947252434</c:v>
                </c:pt>
                <c:pt idx="14">
                  <c:v>1.529681240374823</c:v>
                </c:pt>
                <c:pt idx="15">
                  <c:v>1.6545032295894084</c:v>
                </c:pt>
                <c:pt idx="16">
                  <c:v>1.789510693123904</c:v>
                </c:pt>
                <c:pt idx="17">
                  <c:v>1.8610911208488603</c:v>
                </c:pt>
              </c:numCache>
            </c:numRef>
          </c:val>
          <c:extLst>
            <c:ext xmlns:c16="http://schemas.microsoft.com/office/drawing/2014/chart" uri="{C3380CC4-5D6E-409C-BE32-E72D297353CC}">
              <c16:uniqueId val="{00000008-F8F2-414C-A834-C716BE576220}"/>
            </c:ext>
          </c:extLst>
        </c:ser>
        <c:ser>
          <c:idx val="9"/>
          <c:order val="9"/>
          <c:tx>
            <c:strRef>
              <c:f>'Plastics CCUS_ROCM'!$AA$3</c:f>
              <c:strCache>
                <c:ptCount val="1"/>
                <c:pt idx="0">
                  <c:v>Nylon 66</c:v>
                </c:pt>
              </c:strCache>
            </c:strRef>
          </c:tx>
          <c:spPr>
            <a:solidFill>
              <a:schemeClr val="accent4">
                <a:lumMod val="60000"/>
              </a:schemeClr>
            </a:solidFill>
            <a:ln>
              <a:noFill/>
            </a:ln>
            <a:effectLst/>
          </c:spPr>
          <c:cat>
            <c:numRef>
              <c:extLst>
                <c:ext xmlns:c15="http://schemas.microsoft.com/office/drawing/2012/chart" uri="{02D57815-91ED-43cb-92C2-25804820EDAC}">
                  <c15:fullRef>
                    <c15:sqref>'Plastics CCUS_ROCM'!$A$4:$A$38</c15:sqref>
                  </c15:fullRef>
                </c:ext>
              </c:extLst>
              <c:f>('Plastics CCUS_ROCM'!$A$5,'Plastics CCUS_ROCM'!$A$7,'Plastics CCUS_ROCM'!$A$9,'Plastics CCUS_ROCM'!$A$11,'Plastics CCUS_ROCM'!$A$13,'Plastics CCUS_ROCM'!$A$15,'Plastics CCUS_ROCM'!$A$17,'Plastics CCUS_ROCM'!$A$19,'Plastics CCUS_ROCM'!$A$21,'Plastics CCUS_ROCM'!$A$23,'Plastics CCUS_ROCM'!$A$25,'Plastics CCUS_ROCM'!$A$27,'Plastics CCUS_ROCM'!$A$29,'Plastics CCUS_ROCM'!$A$31,'Plastics CCUS_ROCM'!$A$33,'Plastics CCUS_ROCM'!$A$35,'Plastics CCUS_ROCM'!$A$37:$A$38)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CCUS_ROCM'!$AA$4:$AA$38</c15:sqref>
                  </c15:fullRef>
                </c:ext>
              </c:extLst>
              <c:f>('Plastics CCUS_ROCM'!$AA$5,'Plastics CCUS_ROCM'!$AA$7,'Plastics CCUS_ROCM'!$AA$9,'Plastics CCUS_ROCM'!$AA$11,'Plastics CCUS_ROCM'!$AA$13,'Plastics CCUS_ROCM'!$AA$15,'Plastics CCUS_ROCM'!$AA$17,'Plastics CCUS_ROCM'!$AA$19,'Plastics CCUS_ROCM'!$AA$21,'Plastics CCUS_ROCM'!$AA$23,'Plastics CCUS_ROCM'!$AA$25,'Plastics CCUS_ROCM'!$AA$27,'Plastics CCUS_ROCM'!$AA$29,'Plastics CCUS_ROCM'!$AA$31,'Plastics CCUS_ROCM'!$AA$33,'Plastics CCUS_ROCM'!$AA$35,'Plastics CCUS_ROCM'!$AA$37:$AA$38)</c:f>
              <c:numCache>
                <c:formatCode>General</c:formatCode>
                <c:ptCount val="18"/>
                <c:pt idx="0">
                  <c:v>0.10961876142617212</c:v>
                </c:pt>
                <c:pt idx="1">
                  <c:v>0.18008796520013992</c:v>
                </c:pt>
                <c:pt idx="2">
                  <c:v>0.88869495870503834</c:v>
                </c:pt>
                <c:pt idx="3">
                  <c:v>1.1958279364334994</c:v>
                </c:pt>
                <c:pt idx="4">
                  <c:v>1.6091060712649168</c:v>
                </c:pt>
                <c:pt idx="5">
                  <c:v>2.165213129494072</c:v>
                </c:pt>
                <c:pt idx="6">
                  <c:v>2.9135107870472234</c:v>
                </c:pt>
                <c:pt idx="7">
                  <c:v>3.6838430391425097</c:v>
                </c:pt>
                <c:pt idx="8">
                  <c:v>4.3767739148052147</c:v>
                </c:pt>
                <c:pt idx="9">
                  <c:v>5.2000450881800759</c:v>
                </c:pt>
                <c:pt idx="10">
                  <c:v>6.1781735692667485</c:v>
                </c:pt>
                <c:pt idx="11">
                  <c:v>7.3402880176458227</c:v>
                </c:pt>
                <c:pt idx="12">
                  <c:v>8.3209504968033059</c:v>
                </c:pt>
                <c:pt idx="13">
                  <c:v>8.9999400573424548</c:v>
                </c:pt>
                <c:pt idx="14">
                  <c:v>9.734335166021598</c:v>
                </c:pt>
                <c:pt idx="15">
                  <c:v>10.528656915568959</c:v>
                </c:pt>
                <c:pt idx="16">
                  <c:v>11.387795319879384</c:v>
                </c:pt>
                <c:pt idx="17">
                  <c:v>11.843307132674562</c:v>
                </c:pt>
              </c:numCache>
            </c:numRef>
          </c:val>
          <c:extLst>
            <c:ext xmlns:c16="http://schemas.microsoft.com/office/drawing/2014/chart" uri="{C3380CC4-5D6E-409C-BE32-E72D297353CC}">
              <c16:uniqueId val="{00000009-F8F2-414C-A834-C716BE576220}"/>
            </c:ext>
          </c:extLst>
        </c:ser>
        <c:ser>
          <c:idx val="10"/>
          <c:order val="10"/>
          <c:tx>
            <c:strRef>
              <c:f>'Plastics CCUS_ROCM'!$AB$3</c:f>
              <c:strCache>
                <c:ptCount val="1"/>
                <c:pt idx="0">
                  <c:v>PC</c:v>
                </c:pt>
              </c:strCache>
            </c:strRef>
          </c:tx>
          <c:spPr>
            <a:solidFill>
              <a:schemeClr val="accent5">
                <a:lumMod val="60000"/>
              </a:schemeClr>
            </a:solidFill>
            <a:ln>
              <a:noFill/>
            </a:ln>
            <a:effectLst/>
          </c:spPr>
          <c:cat>
            <c:numRef>
              <c:extLst>
                <c:ext xmlns:c15="http://schemas.microsoft.com/office/drawing/2012/chart" uri="{02D57815-91ED-43cb-92C2-25804820EDAC}">
                  <c15:fullRef>
                    <c15:sqref>'Plastics CCUS_ROCM'!$A$4:$A$38</c15:sqref>
                  </c15:fullRef>
                </c:ext>
              </c:extLst>
              <c:f>('Plastics CCUS_ROCM'!$A$5,'Plastics CCUS_ROCM'!$A$7,'Plastics CCUS_ROCM'!$A$9,'Plastics CCUS_ROCM'!$A$11,'Plastics CCUS_ROCM'!$A$13,'Plastics CCUS_ROCM'!$A$15,'Plastics CCUS_ROCM'!$A$17,'Plastics CCUS_ROCM'!$A$19,'Plastics CCUS_ROCM'!$A$21,'Plastics CCUS_ROCM'!$A$23,'Plastics CCUS_ROCM'!$A$25,'Plastics CCUS_ROCM'!$A$27,'Plastics CCUS_ROCM'!$A$29,'Plastics CCUS_ROCM'!$A$31,'Plastics CCUS_ROCM'!$A$33,'Plastics CCUS_ROCM'!$A$35,'Plastics CCUS_ROCM'!$A$37:$A$38)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CCUS_ROCM'!$AB$4:$AB$38</c15:sqref>
                  </c15:fullRef>
                </c:ext>
              </c:extLst>
              <c:f>('Plastics CCUS_ROCM'!$AB$5,'Plastics CCUS_ROCM'!$AB$7,'Plastics CCUS_ROCM'!$AB$9,'Plastics CCUS_ROCM'!$AB$11,'Plastics CCUS_ROCM'!$AB$13,'Plastics CCUS_ROCM'!$AB$15,'Plastics CCUS_ROCM'!$AB$17,'Plastics CCUS_ROCM'!$AB$19,'Plastics CCUS_ROCM'!$AB$21,'Plastics CCUS_ROCM'!$AB$23,'Plastics CCUS_ROCM'!$AB$25,'Plastics CCUS_ROCM'!$AB$27,'Plastics CCUS_ROCM'!$AB$29,'Plastics CCUS_ROCM'!$AB$31,'Plastics CCUS_ROCM'!$AB$33,'Plastics CCUS_ROCM'!$AB$35,'Plastics CCUS_ROCM'!$AB$37:$AB$38)</c:f>
              <c:numCache>
                <c:formatCode>General</c:formatCode>
                <c:ptCount val="18"/>
                <c:pt idx="0">
                  <c:v>5.4809380713086067E-2</c:v>
                </c:pt>
                <c:pt idx="1">
                  <c:v>9.0043982600069974E-2</c:v>
                </c:pt>
                <c:pt idx="2">
                  <c:v>0.44434747935251923</c:v>
                </c:pt>
                <c:pt idx="3">
                  <c:v>0.5979139682167498</c:v>
                </c:pt>
                <c:pt idx="4">
                  <c:v>0.8045530356324585</c:v>
                </c:pt>
                <c:pt idx="5">
                  <c:v>1.0826065647470362</c:v>
                </c:pt>
                <c:pt idx="6">
                  <c:v>1.4567553935236117</c:v>
                </c:pt>
                <c:pt idx="7">
                  <c:v>1.8419215195712551</c:v>
                </c:pt>
                <c:pt idx="8">
                  <c:v>2.1883869574026078</c:v>
                </c:pt>
                <c:pt idx="9">
                  <c:v>2.6000225440900384</c:v>
                </c:pt>
                <c:pt idx="10">
                  <c:v>3.0890867846333747</c:v>
                </c:pt>
                <c:pt idx="11">
                  <c:v>3.6701440088229118</c:v>
                </c:pt>
                <c:pt idx="12">
                  <c:v>4.1604752484016538</c:v>
                </c:pt>
                <c:pt idx="13">
                  <c:v>4.4999700286712283</c:v>
                </c:pt>
                <c:pt idx="14">
                  <c:v>4.867167583010799</c:v>
                </c:pt>
                <c:pt idx="15">
                  <c:v>5.2643284577844804</c:v>
                </c:pt>
                <c:pt idx="16">
                  <c:v>5.6938976599396929</c:v>
                </c:pt>
                <c:pt idx="17">
                  <c:v>5.921653566337282</c:v>
                </c:pt>
              </c:numCache>
            </c:numRef>
          </c:val>
          <c:extLst>
            <c:ext xmlns:c16="http://schemas.microsoft.com/office/drawing/2014/chart" uri="{C3380CC4-5D6E-409C-BE32-E72D297353CC}">
              <c16:uniqueId val="{0000000A-F8F2-414C-A834-C716BE576220}"/>
            </c:ext>
          </c:extLst>
        </c:ser>
        <c:ser>
          <c:idx val="11"/>
          <c:order val="11"/>
          <c:tx>
            <c:strRef>
              <c:f>'Plastics CCUS_ROCM'!$AC$3</c:f>
              <c:strCache>
                <c:ptCount val="1"/>
                <c:pt idx="0">
                  <c:v>PET</c:v>
                </c:pt>
              </c:strCache>
            </c:strRef>
          </c:tx>
          <c:spPr>
            <a:solidFill>
              <a:schemeClr val="accent6">
                <a:lumMod val="60000"/>
              </a:schemeClr>
            </a:solidFill>
            <a:ln>
              <a:noFill/>
            </a:ln>
            <a:effectLst/>
          </c:spPr>
          <c:cat>
            <c:numRef>
              <c:extLst>
                <c:ext xmlns:c15="http://schemas.microsoft.com/office/drawing/2012/chart" uri="{02D57815-91ED-43cb-92C2-25804820EDAC}">
                  <c15:fullRef>
                    <c15:sqref>'Plastics CCUS_ROCM'!$A$4:$A$38</c15:sqref>
                  </c15:fullRef>
                </c:ext>
              </c:extLst>
              <c:f>('Plastics CCUS_ROCM'!$A$5,'Plastics CCUS_ROCM'!$A$7,'Plastics CCUS_ROCM'!$A$9,'Plastics CCUS_ROCM'!$A$11,'Plastics CCUS_ROCM'!$A$13,'Plastics CCUS_ROCM'!$A$15,'Plastics CCUS_ROCM'!$A$17,'Plastics CCUS_ROCM'!$A$19,'Plastics CCUS_ROCM'!$A$21,'Plastics CCUS_ROCM'!$A$23,'Plastics CCUS_ROCM'!$A$25,'Plastics CCUS_ROCM'!$A$27,'Plastics CCUS_ROCM'!$A$29,'Plastics CCUS_ROCM'!$A$31,'Plastics CCUS_ROCM'!$A$33,'Plastics CCUS_ROCM'!$A$35,'Plastics CCUS_ROCM'!$A$37:$A$38)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CCUS_ROCM'!$AC$4:$AC$38</c15:sqref>
                  </c15:fullRef>
                </c:ext>
              </c:extLst>
              <c:f>('Plastics CCUS_ROCM'!$AC$5,'Plastics CCUS_ROCM'!$AC$7,'Plastics CCUS_ROCM'!$AC$9,'Plastics CCUS_ROCM'!$AC$11,'Plastics CCUS_ROCM'!$AC$13,'Plastics CCUS_ROCM'!$AC$15,'Plastics CCUS_ROCM'!$AC$17,'Plastics CCUS_ROCM'!$AC$19,'Plastics CCUS_ROCM'!$AC$21,'Plastics CCUS_ROCM'!$AC$23,'Plastics CCUS_ROCM'!$AC$25,'Plastics CCUS_ROCM'!$AC$27,'Plastics CCUS_ROCM'!$AC$29,'Plastics CCUS_ROCM'!$AC$31,'Plastics CCUS_ROCM'!$AC$33,'Plastics CCUS_ROCM'!$AC$35,'Plastics CCUS_ROCM'!$AC$37:$AC$38)</c:f>
              <c:numCache>
                <c:formatCode>General</c:formatCode>
                <c:ptCount val="18"/>
                <c:pt idx="0">
                  <c:v>2.6621699203498952E-2</c:v>
                </c:pt>
                <c:pt idx="1">
                  <c:v>4.3735648691462563E-2</c:v>
                </c:pt>
                <c:pt idx="2">
                  <c:v>0.21582591854265221</c:v>
                </c:pt>
                <c:pt idx="3">
                  <c:v>0.29041535599099277</c:v>
                </c:pt>
                <c:pt idx="4">
                  <c:v>0.39078290302147989</c:v>
                </c:pt>
                <c:pt idx="5">
                  <c:v>0.52583747430570327</c:v>
                </c:pt>
                <c:pt idx="6">
                  <c:v>0.70756690542575451</c:v>
                </c:pt>
                <c:pt idx="7">
                  <c:v>0.894647595220324</c:v>
                </c:pt>
                <c:pt idx="8">
                  <c:v>1.0629308078812667</c:v>
                </c:pt>
                <c:pt idx="9">
                  <c:v>1.262868092843733</c:v>
                </c:pt>
                <c:pt idx="10">
                  <c:v>1.5004135811076393</c:v>
                </c:pt>
                <c:pt idx="11">
                  <c:v>1.7826413757139861</c:v>
                </c:pt>
                <c:pt idx="12">
                  <c:v>2.020802263509375</c:v>
                </c:pt>
                <c:pt idx="13">
                  <c:v>2.1856997282117394</c:v>
                </c:pt>
                <c:pt idx="14">
                  <c:v>2.3640528260338169</c:v>
                </c:pt>
                <c:pt idx="15">
                  <c:v>2.5569595366381765</c:v>
                </c:pt>
                <c:pt idx="16">
                  <c:v>2.7656074348278517</c:v>
                </c:pt>
                <c:pt idx="17">
                  <c:v>2.8762317322209658</c:v>
                </c:pt>
              </c:numCache>
            </c:numRef>
          </c:val>
          <c:extLst>
            <c:ext xmlns:c16="http://schemas.microsoft.com/office/drawing/2014/chart" uri="{C3380CC4-5D6E-409C-BE32-E72D297353CC}">
              <c16:uniqueId val="{0000000B-F8F2-414C-A834-C716BE576220}"/>
            </c:ext>
          </c:extLst>
        </c:ser>
        <c:ser>
          <c:idx val="12"/>
          <c:order val="12"/>
          <c:tx>
            <c:strRef>
              <c:f>'Plastics CCUS_ROCM'!$AD$3</c:f>
              <c:strCache>
                <c:ptCount val="1"/>
                <c:pt idx="0">
                  <c:v>PP</c:v>
                </c:pt>
              </c:strCache>
            </c:strRef>
          </c:tx>
          <c:spPr>
            <a:solidFill>
              <a:schemeClr val="accent1">
                <a:lumMod val="80000"/>
                <a:lumOff val="20000"/>
              </a:schemeClr>
            </a:solidFill>
            <a:ln>
              <a:noFill/>
            </a:ln>
            <a:effectLst/>
          </c:spPr>
          <c:cat>
            <c:numRef>
              <c:extLst>
                <c:ext xmlns:c15="http://schemas.microsoft.com/office/drawing/2012/chart" uri="{02D57815-91ED-43cb-92C2-25804820EDAC}">
                  <c15:fullRef>
                    <c15:sqref>'Plastics CCUS_ROCM'!$A$4:$A$38</c15:sqref>
                  </c15:fullRef>
                </c:ext>
              </c:extLst>
              <c:f>('Plastics CCUS_ROCM'!$A$5,'Plastics CCUS_ROCM'!$A$7,'Plastics CCUS_ROCM'!$A$9,'Plastics CCUS_ROCM'!$A$11,'Plastics CCUS_ROCM'!$A$13,'Plastics CCUS_ROCM'!$A$15,'Plastics CCUS_ROCM'!$A$17,'Plastics CCUS_ROCM'!$A$19,'Plastics CCUS_ROCM'!$A$21,'Plastics CCUS_ROCM'!$A$23,'Plastics CCUS_ROCM'!$A$25,'Plastics CCUS_ROCM'!$A$27,'Plastics CCUS_ROCM'!$A$29,'Plastics CCUS_ROCM'!$A$31,'Plastics CCUS_ROCM'!$A$33,'Plastics CCUS_ROCM'!$A$35,'Plastics CCUS_ROCM'!$A$37:$A$38)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CCUS_ROCM'!$AD$4:$AD$38</c15:sqref>
                  </c15:fullRef>
                </c:ext>
              </c:extLst>
              <c:f>('Plastics CCUS_ROCM'!$AD$5,'Plastics CCUS_ROCM'!$AD$7,'Plastics CCUS_ROCM'!$AD$9,'Plastics CCUS_ROCM'!$AD$11,'Plastics CCUS_ROCM'!$AD$13,'Plastics CCUS_ROCM'!$AD$15,'Plastics CCUS_ROCM'!$AD$17,'Plastics CCUS_ROCM'!$AD$19,'Plastics CCUS_ROCM'!$AD$21,'Plastics CCUS_ROCM'!$AD$23,'Plastics CCUS_ROCM'!$AD$25,'Plastics CCUS_ROCM'!$AD$27,'Plastics CCUS_ROCM'!$AD$29,'Plastics CCUS_ROCM'!$AD$31,'Plastics CCUS_ROCM'!$AD$33,'Plastics CCUS_ROCM'!$AD$35,'Plastics CCUS_ROCM'!$AD$37:$AD$38)</c:f>
              <c:numCache>
                <c:formatCode>General</c:formatCode>
                <c:ptCount val="18"/>
                <c:pt idx="0">
                  <c:v>0.28344279740195943</c:v>
                </c:pt>
                <c:pt idx="1">
                  <c:v>0.46565602430321901</c:v>
                </c:pt>
                <c:pt idx="2">
                  <c:v>2.2979112503658849</c:v>
                </c:pt>
                <c:pt idx="3">
                  <c:v>3.0920693784923348</c:v>
                </c:pt>
                <c:pt idx="4">
                  <c:v>4.1606885556992852</c:v>
                </c:pt>
                <c:pt idx="5">
                  <c:v>5.5986225205489593</c:v>
                </c:pt>
                <c:pt idx="6">
                  <c:v>7.5335064636506788</c:v>
                </c:pt>
                <c:pt idx="7">
                  <c:v>9.5253655726399202</c:v>
                </c:pt>
                <c:pt idx="8">
                  <c:v>11.317086836853488</c:v>
                </c:pt>
                <c:pt idx="9">
                  <c:v>13.445830870865628</c:v>
                </c:pt>
                <c:pt idx="10">
                  <c:v>15.974991657675453</c:v>
                </c:pt>
                <c:pt idx="11">
                  <c:v>18.979887588484203</c:v>
                </c:pt>
                <c:pt idx="12">
                  <c:v>21.515600570305697</c:v>
                </c:pt>
                <c:pt idx="13">
                  <c:v>23.271273576842638</c:v>
                </c:pt>
                <c:pt idx="14">
                  <c:v>25.170209500712996</c:v>
                </c:pt>
                <c:pt idx="15">
                  <c:v>27.224098595971171</c:v>
                </c:pt>
                <c:pt idx="16">
                  <c:v>29.445585041402417</c:v>
                </c:pt>
                <c:pt idx="17">
                  <c:v>30.623408443058516</c:v>
                </c:pt>
              </c:numCache>
            </c:numRef>
          </c:val>
          <c:extLst>
            <c:ext xmlns:c16="http://schemas.microsoft.com/office/drawing/2014/chart" uri="{C3380CC4-5D6E-409C-BE32-E72D297353CC}">
              <c16:uniqueId val="{0000000C-F8F2-414C-A834-C716BE576220}"/>
            </c:ext>
          </c:extLst>
        </c:ser>
        <c:ser>
          <c:idx val="13"/>
          <c:order val="13"/>
          <c:tx>
            <c:strRef>
              <c:f>'Plastics CCUS_ROCM'!$AE$3</c:f>
              <c:strCache>
                <c:ptCount val="1"/>
                <c:pt idx="0">
                  <c:v>FPUR foam</c:v>
                </c:pt>
              </c:strCache>
            </c:strRef>
          </c:tx>
          <c:spPr>
            <a:solidFill>
              <a:schemeClr val="accent2">
                <a:lumMod val="80000"/>
                <a:lumOff val="20000"/>
              </a:schemeClr>
            </a:solidFill>
            <a:ln>
              <a:noFill/>
            </a:ln>
            <a:effectLst/>
          </c:spPr>
          <c:cat>
            <c:numRef>
              <c:extLst>
                <c:ext xmlns:c15="http://schemas.microsoft.com/office/drawing/2012/chart" uri="{02D57815-91ED-43cb-92C2-25804820EDAC}">
                  <c15:fullRef>
                    <c15:sqref>'Plastics CCUS_ROCM'!$A$4:$A$38</c15:sqref>
                  </c15:fullRef>
                </c:ext>
              </c:extLst>
              <c:f>('Plastics CCUS_ROCM'!$A$5,'Plastics CCUS_ROCM'!$A$7,'Plastics CCUS_ROCM'!$A$9,'Plastics CCUS_ROCM'!$A$11,'Plastics CCUS_ROCM'!$A$13,'Plastics CCUS_ROCM'!$A$15,'Plastics CCUS_ROCM'!$A$17,'Plastics CCUS_ROCM'!$A$19,'Plastics CCUS_ROCM'!$A$21,'Plastics CCUS_ROCM'!$A$23,'Plastics CCUS_ROCM'!$A$25,'Plastics CCUS_ROCM'!$A$27,'Plastics CCUS_ROCM'!$A$29,'Plastics CCUS_ROCM'!$A$31,'Plastics CCUS_ROCM'!$A$33,'Plastics CCUS_ROCM'!$A$35,'Plastics CCUS_ROCM'!$A$37:$A$38)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CCUS_ROCM'!$AE$4:$AE$38</c15:sqref>
                  </c15:fullRef>
                </c:ext>
              </c:extLst>
              <c:f>('Plastics CCUS_ROCM'!$AE$5,'Plastics CCUS_ROCM'!$AE$7,'Plastics CCUS_ROCM'!$AE$9,'Plastics CCUS_ROCM'!$AE$11,'Plastics CCUS_ROCM'!$AE$13,'Plastics CCUS_ROCM'!$AE$15,'Plastics CCUS_ROCM'!$AE$17,'Plastics CCUS_ROCM'!$AE$19,'Plastics CCUS_ROCM'!$AE$21,'Plastics CCUS_ROCM'!$AE$23,'Plastics CCUS_ROCM'!$AE$25,'Plastics CCUS_ROCM'!$AE$27,'Plastics CCUS_ROCM'!$AE$29,'Plastics CCUS_ROCM'!$AE$31,'Plastics CCUS_ROCM'!$AE$33,'Plastics CCUS_ROCM'!$AE$35,'Plastics CCUS_ROCM'!$AE$37:$AE$38)</c:f>
              <c:numCache>
                <c:formatCode>General</c:formatCode>
                <c:ptCount val="18"/>
                <c:pt idx="0">
                  <c:v>0.19104984134275715</c:v>
                </c:pt>
                <c:pt idx="1">
                  <c:v>0.31386759649167251</c:v>
                </c:pt>
                <c:pt idx="2">
                  <c:v>1.5488683566002099</c:v>
                </c:pt>
                <c:pt idx="3">
                  <c:v>2.0841572606412422</c:v>
                </c:pt>
                <c:pt idx="4">
                  <c:v>2.8044420099188554</c:v>
                </c:pt>
                <c:pt idx="5">
                  <c:v>3.7736571685468121</c:v>
                </c:pt>
                <c:pt idx="6">
                  <c:v>5.0778330859965903</c:v>
                </c:pt>
                <c:pt idx="7">
                  <c:v>6.4204121539340893</c:v>
                </c:pt>
                <c:pt idx="8">
                  <c:v>7.6280916800890912</c:v>
                </c:pt>
                <c:pt idx="9">
                  <c:v>9.0629357251138476</c:v>
                </c:pt>
                <c:pt idx="10">
                  <c:v>10.767673935007764</c:v>
                </c:pt>
                <c:pt idx="11">
                  <c:v>12.793073402182722</c:v>
                </c:pt>
                <c:pt idx="12">
                  <c:v>14.502228008714336</c:v>
                </c:pt>
                <c:pt idx="13">
                  <c:v>15.685609814225426</c:v>
                </c:pt>
                <c:pt idx="14">
                  <c:v>16.965555575066215</c:v>
                </c:pt>
                <c:pt idx="15">
                  <c:v>18.349944909991617</c:v>
                </c:pt>
                <c:pt idx="16">
                  <c:v>19.847300414646934</c:v>
                </c:pt>
                <c:pt idx="17">
                  <c:v>20.641192431232813</c:v>
                </c:pt>
              </c:numCache>
            </c:numRef>
          </c:val>
          <c:extLst>
            <c:ext xmlns:c16="http://schemas.microsoft.com/office/drawing/2014/chart" uri="{C3380CC4-5D6E-409C-BE32-E72D297353CC}">
              <c16:uniqueId val="{0000000D-F8F2-414C-A834-C716BE576220}"/>
            </c:ext>
          </c:extLst>
        </c:ser>
        <c:ser>
          <c:idx val="14"/>
          <c:order val="14"/>
          <c:tx>
            <c:strRef>
              <c:f>'Plastics CCUS_ROCM'!$AF$3</c:f>
              <c:strCache>
                <c:ptCount val="1"/>
                <c:pt idx="0">
                  <c:v>RPUR foam</c:v>
                </c:pt>
              </c:strCache>
            </c:strRef>
          </c:tx>
          <c:spPr>
            <a:solidFill>
              <a:schemeClr val="accent3">
                <a:lumMod val="80000"/>
                <a:lumOff val="20000"/>
              </a:schemeClr>
            </a:solidFill>
            <a:ln>
              <a:noFill/>
            </a:ln>
            <a:effectLst/>
          </c:spPr>
          <c:cat>
            <c:numRef>
              <c:extLst>
                <c:ext xmlns:c15="http://schemas.microsoft.com/office/drawing/2012/chart" uri="{02D57815-91ED-43cb-92C2-25804820EDAC}">
                  <c15:fullRef>
                    <c15:sqref>'Plastics CCUS_ROCM'!$A$4:$A$38</c15:sqref>
                  </c15:fullRef>
                </c:ext>
              </c:extLst>
              <c:f>('Plastics CCUS_ROCM'!$A$5,'Plastics CCUS_ROCM'!$A$7,'Plastics CCUS_ROCM'!$A$9,'Plastics CCUS_ROCM'!$A$11,'Plastics CCUS_ROCM'!$A$13,'Plastics CCUS_ROCM'!$A$15,'Plastics CCUS_ROCM'!$A$17,'Plastics CCUS_ROCM'!$A$19,'Plastics CCUS_ROCM'!$A$21,'Plastics CCUS_ROCM'!$A$23,'Plastics CCUS_ROCM'!$A$25,'Plastics CCUS_ROCM'!$A$27,'Plastics CCUS_ROCM'!$A$29,'Plastics CCUS_ROCM'!$A$31,'Plastics CCUS_ROCM'!$A$33,'Plastics CCUS_ROCM'!$A$35,'Plastics CCUS_ROCM'!$A$37:$A$38)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CCUS_ROCM'!$AF$4:$AF$38</c15:sqref>
                  </c15:fullRef>
                </c:ext>
              </c:extLst>
              <c:f>('Plastics CCUS_ROCM'!$AF$5,'Plastics CCUS_ROCM'!$AF$7,'Plastics CCUS_ROCM'!$AF$9,'Plastics CCUS_ROCM'!$AF$11,'Plastics CCUS_ROCM'!$AF$13,'Plastics CCUS_ROCM'!$AF$15,'Plastics CCUS_ROCM'!$AF$17,'Plastics CCUS_ROCM'!$AF$19,'Plastics CCUS_ROCM'!$AF$21,'Plastics CCUS_ROCM'!$AF$23,'Plastics CCUS_ROCM'!$AF$25,'Plastics CCUS_ROCM'!$AF$27,'Plastics CCUS_ROCM'!$AF$29,'Plastics CCUS_ROCM'!$AF$31,'Plastics CCUS_ROCM'!$AF$33,'Plastics CCUS_ROCM'!$AF$35,'Plastics CCUS_ROCM'!$AF$37:$AF$38)</c:f>
              <c:numCache>
                <c:formatCode>General</c:formatCode>
                <c:ptCount val="18"/>
                <c:pt idx="0">
                  <c:v>0.18165394750622815</c:v>
                </c:pt>
                <c:pt idx="1">
                  <c:v>0.29843148518880336</c:v>
                </c:pt>
                <c:pt idx="2">
                  <c:v>1.472694502996921</c:v>
                </c:pt>
                <c:pt idx="3">
                  <c:v>1.9816577232326567</c:v>
                </c:pt>
                <c:pt idx="4">
                  <c:v>2.6665186323818624</c:v>
                </c:pt>
                <c:pt idx="5">
                  <c:v>3.5880674717330345</c:v>
                </c:pt>
                <c:pt idx="6">
                  <c:v>4.8281035899639715</c:v>
                </c:pt>
                <c:pt idx="7">
                  <c:v>6.1046541791504456</c:v>
                </c:pt>
                <c:pt idx="8">
                  <c:v>7.2529396302486431</c:v>
                </c:pt>
                <c:pt idx="9">
                  <c:v>8.6172175746984152</c:v>
                </c:pt>
                <c:pt idx="10">
                  <c:v>10.238116200499187</c:v>
                </c:pt>
                <c:pt idx="11">
                  <c:v>12.163905857813081</c:v>
                </c:pt>
                <c:pt idx="12">
                  <c:v>13.78900368041691</c:v>
                </c:pt>
                <c:pt idx="13">
                  <c:v>14.914186380738929</c:v>
                </c:pt>
                <c:pt idx="14">
                  <c:v>16.131183989407223</c:v>
                </c:pt>
                <c:pt idx="15">
                  <c:v>17.447488602942851</c:v>
                </c:pt>
                <c:pt idx="16">
                  <c:v>18.871203672942986</c:v>
                </c:pt>
                <c:pt idx="17">
                  <c:v>19.626051819860709</c:v>
                </c:pt>
              </c:numCache>
            </c:numRef>
          </c:val>
          <c:extLst>
            <c:ext xmlns:c16="http://schemas.microsoft.com/office/drawing/2014/chart" uri="{C3380CC4-5D6E-409C-BE32-E72D297353CC}">
              <c16:uniqueId val="{0000000E-F8F2-414C-A834-C716BE576220}"/>
            </c:ext>
          </c:extLst>
        </c:ser>
        <c:ser>
          <c:idx val="15"/>
          <c:order val="15"/>
          <c:tx>
            <c:strRef>
              <c:f>'Plastics CCUS_ROCM'!$AG$3</c:f>
              <c:strCache>
                <c:ptCount val="1"/>
                <c:pt idx="0">
                  <c:v>PVC</c:v>
                </c:pt>
              </c:strCache>
            </c:strRef>
          </c:tx>
          <c:spPr>
            <a:solidFill>
              <a:schemeClr val="accent4">
                <a:lumMod val="80000"/>
                <a:lumOff val="20000"/>
              </a:schemeClr>
            </a:solidFill>
            <a:ln>
              <a:noFill/>
            </a:ln>
            <a:effectLst/>
          </c:spPr>
          <c:cat>
            <c:numRef>
              <c:extLst>
                <c:ext xmlns:c15="http://schemas.microsoft.com/office/drawing/2012/chart" uri="{02D57815-91ED-43cb-92C2-25804820EDAC}">
                  <c15:fullRef>
                    <c15:sqref>'Plastics CCUS_ROCM'!$A$4:$A$38</c15:sqref>
                  </c15:fullRef>
                </c:ext>
              </c:extLst>
              <c:f>('Plastics CCUS_ROCM'!$A$5,'Plastics CCUS_ROCM'!$A$7,'Plastics CCUS_ROCM'!$A$9,'Plastics CCUS_ROCM'!$A$11,'Plastics CCUS_ROCM'!$A$13,'Plastics CCUS_ROCM'!$A$15,'Plastics CCUS_ROCM'!$A$17,'Plastics CCUS_ROCM'!$A$19,'Plastics CCUS_ROCM'!$A$21,'Plastics CCUS_ROCM'!$A$23,'Plastics CCUS_ROCM'!$A$25,'Plastics CCUS_ROCM'!$A$27,'Plastics CCUS_ROCM'!$A$29,'Plastics CCUS_ROCM'!$A$31,'Plastics CCUS_ROCM'!$A$33,'Plastics CCUS_ROCM'!$A$35,'Plastics CCUS_ROCM'!$A$37:$A$38)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 CCUS_ROCM'!$AG$4:$AG$38</c15:sqref>
                  </c15:fullRef>
                </c:ext>
              </c:extLst>
              <c:f>('Plastics CCUS_ROCM'!$AG$5,'Plastics CCUS_ROCM'!$AG$7,'Plastics CCUS_ROCM'!$AG$9,'Plastics CCUS_ROCM'!$AG$11,'Plastics CCUS_ROCM'!$AG$13,'Plastics CCUS_ROCM'!$AG$15,'Plastics CCUS_ROCM'!$AG$17,'Plastics CCUS_ROCM'!$AG$19,'Plastics CCUS_ROCM'!$AG$21,'Plastics CCUS_ROCM'!$AG$23,'Plastics CCUS_ROCM'!$AG$25,'Plastics CCUS_ROCM'!$AG$27,'Plastics CCUS_ROCM'!$AG$29,'Plastics CCUS_ROCM'!$AG$31,'Plastics CCUS_ROCM'!$AG$33,'Plastics CCUS_ROCM'!$AG$35,'Plastics CCUS_ROCM'!$AG$37:$AG$38)</c:f>
              <c:numCache>
                <c:formatCode>General</c:formatCode>
                <c:ptCount val="18"/>
                <c:pt idx="0">
                  <c:v>0.216105558240168</c:v>
                </c:pt>
                <c:pt idx="1">
                  <c:v>0.35503055996599026</c:v>
                </c:pt>
                <c:pt idx="2">
                  <c:v>1.7519986328756476</c:v>
                </c:pt>
                <c:pt idx="3">
                  <c:v>2.3574893603974716</c:v>
                </c:pt>
                <c:pt idx="4">
                  <c:v>3.1722376833508372</c:v>
                </c:pt>
                <c:pt idx="5">
                  <c:v>4.2685630267168868</c:v>
                </c:pt>
                <c:pt idx="6">
                  <c:v>5.7437784087502424</c:v>
                </c:pt>
                <c:pt idx="7">
                  <c:v>7.2624334200238074</c:v>
                </c:pt>
                <c:pt idx="8">
                  <c:v>8.6284971463302842</c:v>
                </c:pt>
                <c:pt idx="9">
                  <c:v>10.251517459555011</c:v>
                </c:pt>
                <c:pt idx="10">
                  <c:v>12.179827893697308</c:v>
                </c:pt>
                <c:pt idx="11">
                  <c:v>14.470853520501771</c:v>
                </c:pt>
                <c:pt idx="12">
                  <c:v>16.404159550840813</c:v>
                </c:pt>
                <c:pt idx="13">
                  <c:v>17.742738970189418</c:v>
                </c:pt>
                <c:pt idx="14">
                  <c:v>19.190546470156875</c:v>
                </c:pt>
                <c:pt idx="15">
                  <c:v>20.756495062121672</c:v>
                </c:pt>
                <c:pt idx="16">
                  <c:v>22.450225059190799</c:v>
                </c:pt>
                <c:pt idx="17">
                  <c:v>23.348234061558433</c:v>
                </c:pt>
              </c:numCache>
            </c:numRef>
          </c:val>
          <c:extLst>
            <c:ext xmlns:c16="http://schemas.microsoft.com/office/drawing/2014/chart" uri="{C3380CC4-5D6E-409C-BE32-E72D297353CC}">
              <c16:uniqueId val="{0000000F-F8F2-414C-A834-C716BE576220}"/>
            </c:ext>
          </c:extLst>
        </c:ser>
        <c:dLbls>
          <c:showLegendKey val="0"/>
          <c:showVal val="0"/>
          <c:showCatName val="0"/>
          <c:showSerName val="0"/>
          <c:showPercent val="0"/>
          <c:showBubbleSize val="0"/>
        </c:dLbls>
        <c:axId val="1482849024"/>
        <c:axId val="259205328"/>
      </c:areaChart>
      <c:catAx>
        <c:axId val="1482849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sz="1600"/>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205328"/>
        <c:crosses val="autoZero"/>
        <c:auto val="1"/>
        <c:lblAlgn val="ctr"/>
        <c:lblOffset val="100"/>
        <c:tickLblSkip val="1"/>
        <c:noMultiLvlLbl val="0"/>
      </c:catAx>
      <c:valAx>
        <c:axId val="259205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sz="1600"/>
                  <a:t>Thousand</a:t>
                </a:r>
                <a:r>
                  <a:rPr lang="es-MX" sz="1600" baseline="0"/>
                  <a:t> tonnes</a:t>
                </a:r>
                <a:endParaRPr lang="es-MX" sz="16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82849024"/>
        <c:crosses val="autoZero"/>
        <c:crossBetween val="midCat"/>
      </c:valAx>
      <c:spPr>
        <a:noFill/>
        <a:ln>
          <a:noFill/>
        </a:ln>
        <a:effectLst/>
      </c:spPr>
    </c:plotArea>
    <c:legend>
      <c:legendPos val="b"/>
      <c:layout>
        <c:manualLayout>
          <c:xMode val="edge"/>
          <c:yMode val="edge"/>
          <c:x val="4.9999948817610017E-2"/>
          <c:y val="0.89508043516833469"/>
          <c:w val="0.89999998724793795"/>
          <c:h val="6.7332462041327742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2000"/>
              <a:t>Annual</a:t>
            </a:r>
            <a:r>
              <a:rPr lang="es-MX" sz="2000" baseline="0"/>
              <a:t> requirements of resources</a:t>
            </a:r>
            <a:endParaRPr lang="es-MX" sz="2000"/>
          </a:p>
        </c:rich>
      </c:tx>
      <c:layout>
        <c:manualLayout>
          <c:xMode val="edge"/>
          <c:yMode val="edge"/>
          <c:x val="0.20243644018044124"/>
          <c:y val="3.8115927658094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60319622091639"/>
          <c:y val="0.17171298762109449"/>
          <c:w val="0.75620027550045943"/>
          <c:h val="0.67081946400898085"/>
        </c:manualLayout>
      </c:layout>
      <c:scatterChart>
        <c:scatterStyle val="lineMarker"/>
        <c:varyColors val="0"/>
        <c:ser>
          <c:idx val="0"/>
          <c:order val="0"/>
          <c:tx>
            <c:strRef>
              <c:f>'Plastics CCUS_ROCM'!$AJ$3</c:f>
              <c:strCache>
                <c:ptCount val="1"/>
                <c:pt idx="0">
                  <c:v>NG</c:v>
                </c:pt>
              </c:strCache>
            </c:strRef>
          </c:tx>
          <c:spPr>
            <a:ln w="25400" cap="rnd">
              <a:noFill/>
              <a:round/>
            </a:ln>
            <a:effectLst/>
          </c:spPr>
          <c:marker>
            <c:symbol val="circle"/>
            <c:size val="5"/>
            <c:spPr>
              <a:solidFill>
                <a:schemeClr val="accent1"/>
              </a:solidFill>
              <a:ln w="9525">
                <a:solidFill>
                  <a:schemeClr val="accent1"/>
                </a:solidFill>
              </a:ln>
              <a:effectLst/>
            </c:spPr>
          </c:marker>
          <c:xVal>
            <c:numRef>
              <c:f>'Plastics CCUS_ROCM'!$A$4:$A$38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CCUS_ROCM'!$AJ$4:$AJ$38</c:f>
              <c:numCache>
                <c:formatCode>0.00</c:formatCode>
                <c:ptCount val="35"/>
                <c:pt idx="0">
                  <c:v>0.88760679722465052</c:v>
                </c:pt>
                <c:pt idx="1">
                  <c:v>1.775213594449301</c:v>
                </c:pt>
                <c:pt idx="2">
                  <c:v>2.9375558289101531</c:v>
                </c:pt>
                <c:pt idx="3">
                  <c:v>2.9164223337381374</c:v>
                </c:pt>
                <c:pt idx="4">
                  <c:v>6.0653131143684451</c:v>
                </c:pt>
                <c:pt idx="5">
                  <c:v>14.391910212142548</c:v>
                </c:pt>
                <c:pt idx="6">
                  <c:v>16.694615846085355</c:v>
                </c:pt>
                <c:pt idx="7">
                  <c:v>19.365754381459013</c:v>
                </c:pt>
                <c:pt idx="8">
                  <c:v>22.464275082492453</c:v>
                </c:pt>
                <c:pt idx="9">
                  <c:v>26.058559095691244</c:v>
                </c:pt>
                <c:pt idx="10">
                  <c:v>30.227928551001842</c:v>
                </c:pt>
                <c:pt idx="11">
                  <c:v>35.064397119162145</c:v>
                </c:pt>
                <c:pt idx="12">
                  <c:v>40.674700658228083</c:v>
                </c:pt>
                <c:pt idx="13">
                  <c:v>47.182652763544574</c:v>
                </c:pt>
                <c:pt idx="14">
                  <c:v>54.731877205711704</c:v>
                </c:pt>
                <c:pt idx="15">
                  <c:v>59.657746154225769</c:v>
                </c:pt>
                <c:pt idx="16">
                  <c:v>65.026943308106084</c:v>
                </c:pt>
                <c:pt idx="17">
                  <c:v>70.879368205835632</c:v>
                </c:pt>
                <c:pt idx="18">
                  <c:v>77.258511344360826</c:v>
                </c:pt>
                <c:pt idx="19">
                  <c:v>84.211777365353299</c:v>
                </c:pt>
                <c:pt idx="20">
                  <c:v>91.790837328235099</c:v>
                </c:pt>
                <c:pt idx="21">
                  <c:v>100.05201268777627</c:v>
                </c:pt>
                <c:pt idx="22">
                  <c:v>109.05669382967612</c:v>
                </c:pt>
                <c:pt idx="23">
                  <c:v>118.87179627434696</c:v>
                </c:pt>
                <c:pt idx="24">
                  <c:v>129.57025793903821</c:v>
                </c:pt>
                <c:pt idx="25">
                  <c:v>134.75306825659976</c:v>
                </c:pt>
                <c:pt idx="26">
                  <c:v>140.14319098686374</c:v>
                </c:pt>
                <c:pt idx="27">
                  <c:v>145.74891862633828</c:v>
                </c:pt>
                <c:pt idx="28">
                  <c:v>151.5788753713918</c:v>
                </c:pt>
                <c:pt idx="29">
                  <c:v>157.64203038624746</c:v>
                </c:pt>
                <c:pt idx="30">
                  <c:v>163.94771160169734</c:v>
                </c:pt>
                <c:pt idx="31">
                  <c:v>170.50562006576524</c:v>
                </c:pt>
                <c:pt idx="32">
                  <c:v>177.32584486839585</c:v>
                </c:pt>
                <c:pt idx="33">
                  <c:v>184.41887866313166</c:v>
                </c:pt>
                <c:pt idx="34">
                  <c:v>191.79563380965692</c:v>
                </c:pt>
              </c:numCache>
            </c:numRef>
          </c:yVal>
          <c:smooth val="0"/>
          <c:extLst>
            <c:ext xmlns:c16="http://schemas.microsoft.com/office/drawing/2014/chart" uri="{C3380CC4-5D6E-409C-BE32-E72D297353CC}">
              <c16:uniqueId val="{00000000-CD53-4A88-B500-FC38C0972C34}"/>
            </c:ext>
          </c:extLst>
        </c:ser>
        <c:dLbls>
          <c:showLegendKey val="0"/>
          <c:showVal val="0"/>
          <c:showCatName val="0"/>
          <c:showSerName val="0"/>
          <c:showPercent val="0"/>
          <c:showBubbleSize val="0"/>
        </c:dLbls>
        <c:axId val="1687079248"/>
        <c:axId val="573401408"/>
      </c:scatterChart>
      <c:valAx>
        <c:axId val="1687079248"/>
        <c:scaling>
          <c:orientation val="minMax"/>
          <c:max val="2050"/>
          <c:min val="2015"/>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a:t>Year</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73401408"/>
        <c:crosses val="autoZero"/>
        <c:crossBetween val="midCat"/>
      </c:valAx>
      <c:valAx>
        <c:axId val="573401408"/>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a:t>Million</a:t>
                </a:r>
                <a:r>
                  <a:rPr lang="es-MX" sz="1400" baseline="0"/>
                  <a:t> cubic meters (m</a:t>
                </a:r>
                <a:r>
                  <a:rPr lang="es-MX" sz="1400" baseline="30000"/>
                  <a:t>3</a:t>
                </a:r>
                <a:r>
                  <a:rPr lang="es-MX" sz="1400" baseline="0"/>
                  <a:t>)</a:t>
                </a:r>
                <a:endParaRPr lang="es-MX" sz="1400"/>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87079248"/>
        <c:crosses val="autoZero"/>
        <c:crossBetween val="midCat"/>
      </c:valAx>
      <c:spPr>
        <a:noFill/>
        <a:ln>
          <a:noFill/>
        </a:ln>
        <a:effectLst/>
      </c:spPr>
    </c:plotArea>
    <c:legend>
      <c:legendPos val="r"/>
      <c:layout>
        <c:manualLayout>
          <c:xMode val="edge"/>
          <c:yMode val="edge"/>
          <c:x val="0.17989815956277458"/>
          <c:y val="0.14687592582653092"/>
          <c:w val="0.10898052710616733"/>
          <c:h val="0.1204091988290852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2000"/>
              <a:t>Annual</a:t>
            </a:r>
            <a:r>
              <a:rPr lang="es-MX" sz="2000" baseline="0"/>
              <a:t> requirements of resources</a:t>
            </a:r>
            <a:endParaRPr lang="es-MX" sz="2000"/>
          </a:p>
        </c:rich>
      </c:tx>
      <c:layout>
        <c:manualLayout>
          <c:xMode val="edge"/>
          <c:yMode val="edge"/>
          <c:x val="0.19619909800006749"/>
          <c:y val="4.19555151093386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965182460122664"/>
          <c:y val="0.17171298762109449"/>
          <c:w val="0.76258047450254651"/>
          <c:h val="0.67081946400898085"/>
        </c:manualLayout>
      </c:layout>
      <c:scatterChart>
        <c:scatterStyle val="lineMarker"/>
        <c:varyColors val="0"/>
        <c:ser>
          <c:idx val="0"/>
          <c:order val="0"/>
          <c:tx>
            <c:strRef>
              <c:f>'Plastics CCUS_ROCM'!$AK$3</c:f>
              <c:strCache>
                <c:ptCount val="1"/>
                <c:pt idx="0">
                  <c:v>Crude oil</c:v>
                </c:pt>
              </c:strCache>
            </c:strRef>
          </c:tx>
          <c:spPr>
            <a:ln w="25400" cap="rnd">
              <a:noFill/>
              <a:round/>
            </a:ln>
            <a:effectLst/>
          </c:spPr>
          <c:marker>
            <c:symbol val="circle"/>
            <c:size val="5"/>
            <c:spPr>
              <a:solidFill>
                <a:schemeClr val="accent2"/>
              </a:solidFill>
              <a:ln w="9525">
                <a:solidFill>
                  <a:schemeClr val="accent2"/>
                </a:solidFill>
              </a:ln>
              <a:effectLst/>
            </c:spPr>
          </c:marker>
          <c:xVal>
            <c:numRef>
              <c:f>'Plastics CCUS_ROCM'!$A$4:$A$38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CCUS_ROCM'!$AL$4:$AL$38</c:f>
              <c:numCache>
                <c:formatCode>0.00</c:formatCode>
                <c:ptCount val="35"/>
                <c:pt idx="0">
                  <c:v>0.3572904305116798</c:v>
                </c:pt>
                <c:pt idx="1">
                  <c:v>0.7145808610233596</c:v>
                </c:pt>
                <c:pt idx="2">
                  <c:v>1.1824611866934165</c:v>
                </c:pt>
                <c:pt idx="3">
                  <c:v>1.1739542716812337</c:v>
                </c:pt>
                <c:pt idx="4">
                  <c:v>2.441484608496479</c:v>
                </c:pt>
                <c:pt idx="5">
                  <c:v>5.7932091232965233</c:v>
                </c:pt>
                <c:pt idx="6">
                  <c:v>6.7201225830239668</c:v>
                </c:pt>
                <c:pt idx="7">
                  <c:v>7.7953421963078009</c:v>
                </c:pt>
                <c:pt idx="8">
                  <c:v>9.0425969477170494</c:v>
                </c:pt>
                <c:pt idx="9">
                  <c:v>10.489412459351776</c:v>
                </c:pt>
                <c:pt idx="10">
                  <c:v>12.16771845284806</c:v>
                </c:pt>
                <c:pt idx="11">
                  <c:v>14.11455340530375</c:v>
                </c:pt>
                <c:pt idx="12">
                  <c:v>16.372881950152351</c:v>
                </c:pt>
                <c:pt idx="13">
                  <c:v>18.992543062176725</c:v>
                </c:pt>
                <c:pt idx="14">
                  <c:v>22.031349952125005</c:v>
                </c:pt>
                <c:pt idx="15">
                  <c:v>24.014171447816253</c:v>
                </c:pt>
                <c:pt idx="16">
                  <c:v>26.175446878119718</c:v>
                </c:pt>
                <c:pt idx="17">
                  <c:v>28.531237097150491</c:v>
                </c:pt>
                <c:pt idx="18">
                  <c:v>31.099048435894034</c:v>
                </c:pt>
                <c:pt idx="19">
                  <c:v>33.897962795124499</c:v>
                </c:pt>
                <c:pt idx="20">
                  <c:v>36.948779446685698</c:v>
                </c:pt>
                <c:pt idx="21">
                  <c:v>40.274169596887411</c:v>
                </c:pt>
                <c:pt idx="22">
                  <c:v>43.898844860607277</c:v>
                </c:pt>
                <c:pt idx="23">
                  <c:v>47.849740898061931</c:v>
                </c:pt>
                <c:pt idx="24">
                  <c:v>52.156217578887507</c:v>
                </c:pt>
                <c:pt idx="25">
                  <c:v>54.242466282043019</c:v>
                </c:pt>
                <c:pt idx="26">
                  <c:v>56.412164933324739</c:v>
                </c:pt>
                <c:pt idx="27">
                  <c:v>58.668651530657719</c:v>
                </c:pt>
                <c:pt idx="28">
                  <c:v>61.015397591884032</c:v>
                </c:pt>
                <c:pt idx="29">
                  <c:v>63.456013495559382</c:v>
                </c:pt>
                <c:pt idx="30">
                  <c:v>65.994254035381744</c:v>
                </c:pt>
                <c:pt idx="31">
                  <c:v>68.634024196797014</c:v>
                </c:pt>
                <c:pt idx="32">
                  <c:v>71.379385164668903</c:v>
                </c:pt>
                <c:pt idx="33">
                  <c:v>74.234560571255642</c:v>
                </c:pt>
                <c:pt idx="34">
                  <c:v>77.203942994105873</c:v>
                </c:pt>
              </c:numCache>
            </c:numRef>
          </c:yVal>
          <c:smooth val="0"/>
          <c:extLst>
            <c:ext xmlns:c16="http://schemas.microsoft.com/office/drawing/2014/chart" uri="{C3380CC4-5D6E-409C-BE32-E72D297353CC}">
              <c16:uniqueId val="{00000000-BA6B-40E9-BB3D-736B5293A30D}"/>
            </c:ext>
          </c:extLst>
        </c:ser>
        <c:dLbls>
          <c:showLegendKey val="0"/>
          <c:showVal val="0"/>
          <c:showCatName val="0"/>
          <c:showSerName val="0"/>
          <c:showPercent val="0"/>
          <c:showBubbleSize val="0"/>
        </c:dLbls>
        <c:axId val="1687079248"/>
        <c:axId val="573401408"/>
      </c:scatterChart>
      <c:valAx>
        <c:axId val="1687079248"/>
        <c:scaling>
          <c:orientation val="minMax"/>
          <c:max val="2050"/>
          <c:min val="2015"/>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a:t>Year</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73401408"/>
        <c:crosses val="autoZero"/>
        <c:crossBetween val="midCat"/>
      </c:valAx>
      <c:valAx>
        <c:axId val="573401408"/>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a:t>Thousands</a:t>
                </a:r>
                <a:r>
                  <a:rPr lang="es-MX" sz="1400" baseline="0"/>
                  <a:t> of </a:t>
                </a:r>
                <a:r>
                  <a:rPr lang="es-MX" sz="1400" b="0" i="0" u="none" strike="noStrike" kern="1200" baseline="0">
                    <a:solidFill>
                      <a:sysClr val="windowText" lastClr="000000">
                        <a:lumMod val="65000"/>
                        <a:lumOff val="35000"/>
                      </a:sysClr>
                    </a:solidFill>
                  </a:rPr>
                  <a:t>cubic meters (m</a:t>
                </a:r>
                <a:r>
                  <a:rPr lang="es-MX" sz="1400" b="0" i="0" u="none" strike="noStrike" kern="1200" baseline="30000">
                    <a:solidFill>
                      <a:sysClr val="windowText" lastClr="000000">
                        <a:lumMod val="65000"/>
                        <a:lumOff val="35000"/>
                      </a:sysClr>
                    </a:solidFill>
                  </a:rPr>
                  <a:t>3</a:t>
                </a:r>
                <a:r>
                  <a:rPr lang="es-MX" sz="1400" b="0" i="0" u="none" strike="noStrike" kern="1200" baseline="0">
                    <a:solidFill>
                      <a:sysClr val="windowText" lastClr="000000">
                        <a:lumMod val="65000"/>
                        <a:lumOff val="35000"/>
                      </a:sysClr>
                    </a:solidFill>
                  </a:rPr>
                  <a:t>)</a:t>
                </a:r>
                <a:endParaRPr lang="es-MX" sz="1400"/>
              </a:p>
            </c:rich>
          </c:tx>
          <c:layout>
            <c:manualLayout>
              <c:xMode val="edge"/>
              <c:yMode val="edge"/>
              <c:x val="4.1184390392539461E-2"/>
              <c:y val="0.17171284215597082"/>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87079248"/>
        <c:crosses val="autoZero"/>
        <c:crossBetween val="midCat"/>
      </c:valAx>
      <c:spPr>
        <a:noFill/>
        <a:ln>
          <a:noFill/>
        </a:ln>
        <a:effectLst/>
      </c:spPr>
    </c:plotArea>
    <c:legend>
      <c:legendPos val="r"/>
      <c:layout>
        <c:manualLayout>
          <c:xMode val="edge"/>
          <c:yMode val="edge"/>
          <c:x val="0.15371453754105016"/>
          <c:y val="0.12404920298512546"/>
          <c:w val="0.22333667247047376"/>
          <c:h val="0.1204091988290852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2000"/>
              <a:t>Annual</a:t>
            </a:r>
            <a:r>
              <a:rPr lang="es-MX" sz="2000" baseline="0"/>
              <a:t> requirements of resources</a:t>
            </a:r>
            <a:endParaRPr lang="es-MX" sz="2000"/>
          </a:p>
        </c:rich>
      </c:tx>
      <c:layout>
        <c:manualLayout>
          <c:xMode val="edge"/>
          <c:yMode val="edge"/>
          <c:x val="0.20722916840470271"/>
          <c:y val="4.58183180808378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524387675390414"/>
          <c:y val="0.17171298762109449"/>
          <c:w val="0.78698840769903766"/>
          <c:h val="0.67081946400898085"/>
        </c:manualLayout>
      </c:layout>
      <c:scatterChart>
        <c:scatterStyle val="lineMarker"/>
        <c:varyColors val="0"/>
        <c:ser>
          <c:idx val="0"/>
          <c:order val="0"/>
          <c:tx>
            <c:strRef>
              <c:f>'Plastics CCUS_ROCM'!$AM$3</c:f>
              <c:strCache>
                <c:ptCount val="1"/>
                <c:pt idx="0">
                  <c:v>Electricity</c:v>
                </c:pt>
              </c:strCache>
            </c:strRef>
          </c:tx>
          <c:spPr>
            <a:ln w="25400" cap="rnd">
              <a:noFill/>
              <a:round/>
            </a:ln>
            <a:effectLst/>
          </c:spPr>
          <c:marker>
            <c:symbol val="circle"/>
            <c:size val="5"/>
            <c:spPr>
              <a:solidFill>
                <a:schemeClr val="accent6"/>
              </a:solidFill>
              <a:ln w="9525">
                <a:solidFill>
                  <a:schemeClr val="accent6"/>
                </a:solidFill>
              </a:ln>
              <a:effectLst/>
            </c:spPr>
          </c:marker>
          <c:xVal>
            <c:numRef>
              <c:f>'Plastics CCUS_ROCM'!$A$4:$A$38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CCUS_ROCM'!$AM$4:$AM$38</c:f>
              <c:numCache>
                <c:formatCode>0.00</c:formatCode>
                <c:ptCount val="35"/>
                <c:pt idx="0">
                  <c:v>1.49634330415372</c:v>
                </c:pt>
                <c:pt idx="1">
                  <c:v>2.9926866083074399</c:v>
                </c:pt>
                <c:pt idx="2">
                  <c:v>4.9521837923182632</c:v>
                </c:pt>
                <c:pt idx="3">
                  <c:v>4.9165565707907941</c:v>
                </c:pt>
                <c:pt idx="4">
                  <c:v>10.225012578383753</c:v>
                </c:pt>
                <c:pt idx="5">
                  <c:v>24.262137860206746</c:v>
                </c:pt>
                <c:pt idx="6">
                  <c:v>28.144079917839822</c:v>
                </c:pt>
                <c:pt idx="7">
                  <c:v>32.647132704694194</c:v>
                </c:pt>
                <c:pt idx="8">
                  <c:v>37.870673937445261</c:v>
                </c:pt>
                <c:pt idx="9">
                  <c:v>43.929981767436502</c:v>
                </c:pt>
                <c:pt idx="10">
                  <c:v>50.958778850226345</c:v>
                </c:pt>
                <c:pt idx="11">
                  <c:v>59.112183466262564</c:v>
                </c:pt>
                <c:pt idx="12">
                  <c:v>68.570132820864572</c:v>
                </c:pt>
                <c:pt idx="13">
                  <c:v>79.541354072202907</c:v>
                </c:pt>
                <c:pt idx="14">
                  <c:v>92.267970723755369</c:v>
                </c:pt>
                <c:pt idx="15">
                  <c:v>100.57208808889335</c:v>
                </c:pt>
                <c:pt idx="16">
                  <c:v>109.62357601689376</c:v>
                </c:pt>
                <c:pt idx="17">
                  <c:v>119.48969785841419</c:v>
                </c:pt>
                <c:pt idx="18">
                  <c:v>130.24377066567146</c:v>
                </c:pt>
                <c:pt idx="19">
                  <c:v>141.9657100255819</c:v>
                </c:pt>
                <c:pt idx="20">
                  <c:v>154.74262392788427</c:v>
                </c:pt>
                <c:pt idx="21">
                  <c:v>168.66946008139385</c:v>
                </c:pt>
                <c:pt idx="22">
                  <c:v>183.84971148871929</c:v>
                </c:pt>
                <c:pt idx="23">
                  <c:v>200.396185522704</c:v>
                </c:pt>
                <c:pt idx="24">
                  <c:v>218.43184221974738</c:v>
                </c:pt>
                <c:pt idx="25">
                  <c:v>227.16911590853729</c:v>
                </c:pt>
                <c:pt idx="26">
                  <c:v>236.25588054487881</c:v>
                </c:pt>
                <c:pt idx="27">
                  <c:v>245.70611576667392</c:v>
                </c:pt>
                <c:pt idx="28">
                  <c:v>255.53436039734086</c:v>
                </c:pt>
                <c:pt idx="29">
                  <c:v>265.75573481323448</c:v>
                </c:pt>
                <c:pt idx="30">
                  <c:v>276.3859642057638</c:v>
                </c:pt>
                <c:pt idx="31">
                  <c:v>287.44140277399441</c:v>
                </c:pt>
                <c:pt idx="32">
                  <c:v>298.93905888495414</c:v>
                </c:pt>
                <c:pt idx="33">
                  <c:v>310.89662124035226</c:v>
                </c:pt>
                <c:pt idx="34">
                  <c:v>323.33248608996644</c:v>
                </c:pt>
              </c:numCache>
            </c:numRef>
          </c:yVal>
          <c:smooth val="0"/>
          <c:extLst>
            <c:ext xmlns:c16="http://schemas.microsoft.com/office/drawing/2014/chart" uri="{C3380CC4-5D6E-409C-BE32-E72D297353CC}">
              <c16:uniqueId val="{00000000-4377-4150-86CF-517BE2BA4374}"/>
            </c:ext>
          </c:extLst>
        </c:ser>
        <c:dLbls>
          <c:showLegendKey val="0"/>
          <c:showVal val="0"/>
          <c:showCatName val="0"/>
          <c:showSerName val="0"/>
          <c:showPercent val="0"/>
          <c:showBubbleSize val="0"/>
        </c:dLbls>
        <c:axId val="1687079248"/>
        <c:axId val="573401408"/>
      </c:scatterChart>
      <c:valAx>
        <c:axId val="1687079248"/>
        <c:scaling>
          <c:orientation val="minMax"/>
          <c:max val="2050"/>
          <c:min val="2015"/>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a:t>Year</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73401408"/>
        <c:crosses val="autoZero"/>
        <c:crossBetween val="midCat"/>
      </c:valAx>
      <c:valAx>
        <c:axId val="573401408"/>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baseline="0"/>
                  <a:t>GWh</a:t>
                </a:r>
                <a:endParaRPr lang="es-MX" sz="1400"/>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87079248"/>
        <c:crosses val="autoZero"/>
        <c:crossBetween val="midCat"/>
      </c:valAx>
      <c:spPr>
        <a:noFill/>
        <a:ln>
          <a:noFill/>
        </a:ln>
        <a:effectLst/>
      </c:spPr>
    </c:plotArea>
    <c:legend>
      <c:legendPos val="r"/>
      <c:layout>
        <c:manualLayout>
          <c:xMode val="edge"/>
          <c:yMode val="edge"/>
          <c:x val="0.19574151454740499"/>
          <c:y val="0.13950041487112227"/>
          <c:w val="0.17272674403912772"/>
          <c:h val="0.1204091988290852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Price</a:t>
            </a:r>
            <a:r>
              <a:rPr lang="es-MX" baseline="0"/>
              <a:t> per ton of plastic</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876585800085523"/>
          <c:y val="0.13327477236980709"/>
          <c:w val="0.73313985072842913"/>
          <c:h val="0.66329309822369076"/>
        </c:manualLayout>
      </c:layout>
      <c:scatterChart>
        <c:scatterStyle val="smoothMarker"/>
        <c:varyColors val="0"/>
        <c:ser>
          <c:idx val="0"/>
          <c:order val="0"/>
          <c:tx>
            <c:v>Net-zero</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'Plastics CCUS_ROCM'!$A$4:$A$38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CCUS_ROCM'!$M$4:$M$38</c:f>
              <c:numCache>
                <c:formatCode>0.00</c:formatCode>
                <c:ptCount val="35"/>
                <c:pt idx="0">
                  <c:v>453.7037037037037</c:v>
                </c:pt>
                <c:pt idx="1">
                  <c:v>711.11111111111097</c:v>
                </c:pt>
                <c:pt idx="2">
                  <c:v>620.37037037037032</c:v>
                </c:pt>
                <c:pt idx="3">
                  <c:v>725.92592592592587</c:v>
                </c:pt>
                <c:pt idx="4">
                  <c:v>429.62962962962956</c:v>
                </c:pt>
                <c:pt idx="5">
                  <c:v>511.11111111111103</c:v>
                </c:pt>
                <c:pt idx="6">
                  <c:v>901.85185185185173</c:v>
                </c:pt>
                <c:pt idx="7">
                  <c:v>831.48148148148141</c:v>
                </c:pt>
                <c:pt idx="8">
                  <c:v>833.33333333333326</c:v>
                </c:pt>
                <c:pt idx="9">
                  <c:v>1248.9626851334885</c:v>
                </c:pt>
                <c:pt idx="10">
                  <c:v>1247.4409634436927</c:v>
                </c:pt>
                <c:pt idx="11">
                  <c:v>1269.103195401025</c:v>
                </c:pt>
                <c:pt idx="12">
                  <c:v>1275.419774265607</c:v>
                </c:pt>
                <c:pt idx="13">
                  <c:v>1294.6445974272042</c:v>
                </c:pt>
                <c:pt idx="14">
                  <c:v>1301.0910516800095</c:v>
                </c:pt>
                <c:pt idx="15">
                  <c:v>1328.5449567709261</c:v>
                </c:pt>
                <c:pt idx="16">
                  <c:v>1334.3516063524264</c:v>
                </c:pt>
                <c:pt idx="17">
                  <c:v>1325.2507789887263</c:v>
                </c:pt>
                <c:pt idx="18">
                  <c:v>1311.2246044359299</c:v>
                </c:pt>
                <c:pt idx="19">
                  <c:v>1310.9901664451547</c:v>
                </c:pt>
                <c:pt idx="20">
                  <c:v>1283.3677737280691</c:v>
                </c:pt>
                <c:pt idx="21">
                  <c:v>1301.9799063541918</c:v>
                </c:pt>
                <c:pt idx="22">
                  <c:v>1301.9377433136415</c:v>
                </c:pt>
                <c:pt idx="23">
                  <c:v>1301.958394384377</c:v>
                </c:pt>
                <c:pt idx="24">
                  <c:v>1308.2804795132615</c:v>
                </c:pt>
                <c:pt idx="25">
                  <c:v>1308.8391059651719</c:v>
                </c:pt>
                <c:pt idx="26">
                  <c:v>1297.6398720309135</c:v>
                </c:pt>
                <c:pt idx="27">
                  <c:v>1338.9127530856031</c:v>
                </c:pt>
                <c:pt idx="28">
                  <c:v>1320.5265002553201</c:v>
                </c:pt>
                <c:pt idx="29">
                  <c:v>1304.6398509457576</c:v>
                </c:pt>
                <c:pt idx="30">
                  <c:v>1292.470996391321</c:v>
                </c:pt>
                <c:pt idx="31">
                  <c:v>1253.5490467599011</c:v>
                </c:pt>
                <c:pt idx="32">
                  <c:v>1250.0327580522435</c:v>
                </c:pt>
                <c:pt idx="33">
                  <c:v>1230.7314648203057</c:v>
                </c:pt>
                <c:pt idx="34">
                  <c:v>1235.8653362781517</c:v>
                </c:pt>
              </c:numCache>
            </c:numRef>
          </c:yVal>
          <c:smooth val="1"/>
          <c:extLst>
            <c:ext xmlns:c16="http://schemas.microsoft.com/office/drawing/2014/chart" uri="{C3380CC4-5D6E-409C-BE32-E72D297353CC}">
              <c16:uniqueId val="{00000000-8F16-4844-AF3D-6D85D5B1858E}"/>
            </c:ext>
          </c:extLst>
        </c:ser>
        <c:ser>
          <c:idx val="1"/>
          <c:order val="1"/>
          <c:tx>
            <c:v>BAU</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'Plastics CCUS_ROCM'!$A$4:$A$38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CCUS_ROCM'!$L$4:$L$38</c:f>
              <c:numCache>
                <c:formatCode>0.00</c:formatCode>
                <c:ptCount val="35"/>
                <c:pt idx="0">
                  <c:v>453.7037037037037</c:v>
                </c:pt>
                <c:pt idx="1">
                  <c:v>711.11111111111097</c:v>
                </c:pt>
                <c:pt idx="2">
                  <c:v>620.37037037037032</c:v>
                </c:pt>
                <c:pt idx="3">
                  <c:v>725.92592592592587</c:v>
                </c:pt>
                <c:pt idx="4">
                  <c:v>429.62962962962956</c:v>
                </c:pt>
                <c:pt idx="5">
                  <c:v>511.11111111111103</c:v>
                </c:pt>
                <c:pt idx="6">
                  <c:v>901.85185185185173</c:v>
                </c:pt>
                <c:pt idx="7">
                  <c:v>831.48148148148141</c:v>
                </c:pt>
                <c:pt idx="8">
                  <c:v>833.33333333333326</c:v>
                </c:pt>
                <c:pt idx="9">
                  <c:v>840.74074074074065</c:v>
                </c:pt>
                <c:pt idx="10">
                  <c:v>848.14814814814804</c:v>
                </c:pt>
                <c:pt idx="11">
                  <c:v>888.8888888888888</c:v>
                </c:pt>
                <c:pt idx="12">
                  <c:v>907.40740740740739</c:v>
                </c:pt>
                <c:pt idx="13">
                  <c:v>944.44444444444423</c:v>
                </c:pt>
                <c:pt idx="14">
                  <c:v>962.96296296296282</c:v>
                </c:pt>
                <c:pt idx="15">
                  <c:v>981.4814814814813</c:v>
                </c:pt>
                <c:pt idx="16">
                  <c:v>999.99999999999989</c:v>
                </c:pt>
                <c:pt idx="17">
                  <c:v>996.29629629629619</c:v>
                </c:pt>
                <c:pt idx="18">
                  <c:v>985.18518518518511</c:v>
                </c:pt>
                <c:pt idx="19">
                  <c:v>994.44444444444434</c:v>
                </c:pt>
                <c:pt idx="20">
                  <c:v>962.96296296296282</c:v>
                </c:pt>
                <c:pt idx="21">
                  <c:v>999.99999999999989</c:v>
                </c:pt>
                <c:pt idx="22">
                  <c:v>1009.2592592592591</c:v>
                </c:pt>
                <c:pt idx="23">
                  <c:v>1018.5185185185184</c:v>
                </c:pt>
                <c:pt idx="24">
                  <c:v>1037.037037037037</c:v>
                </c:pt>
                <c:pt idx="25">
                  <c:v>1027.7777777777776</c:v>
                </c:pt>
                <c:pt idx="26">
                  <c:v>1020.3703703703702</c:v>
                </c:pt>
                <c:pt idx="27">
                  <c:v>1092.5925925925926</c:v>
                </c:pt>
                <c:pt idx="28">
                  <c:v>1074.0740740740739</c:v>
                </c:pt>
                <c:pt idx="29">
                  <c:v>1059.2592592592591</c:v>
                </c:pt>
                <c:pt idx="30">
                  <c:v>1049.9999999999998</c:v>
                </c:pt>
                <c:pt idx="31">
                  <c:v>999.99999999999989</c:v>
                </c:pt>
                <c:pt idx="32">
                  <c:v>1003.7037037037036</c:v>
                </c:pt>
                <c:pt idx="33">
                  <c:v>983.33333333333314</c:v>
                </c:pt>
                <c:pt idx="34">
                  <c:v>999.99999999999989</c:v>
                </c:pt>
              </c:numCache>
            </c:numRef>
          </c:yVal>
          <c:smooth val="1"/>
          <c:extLst>
            <c:ext xmlns:c16="http://schemas.microsoft.com/office/drawing/2014/chart" uri="{C3380CC4-5D6E-409C-BE32-E72D297353CC}">
              <c16:uniqueId val="{00000001-8F16-4844-AF3D-6D85D5B1858E}"/>
            </c:ext>
          </c:extLst>
        </c:ser>
        <c:dLbls>
          <c:showLegendKey val="0"/>
          <c:showVal val="0"/>
          <c:showCatName val="0"/>
          <c:showSerName val="0"/>
          <c:showPercent val="0"/>
          <c:showBubbleSize val="0"/>
        </c:dLbls>
        <c:axId val="905011071"/>
        <c:axId val="878589279"/>
      </c:scatterChart>
      <c:valAx>
        <c:axId val="905011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589279"/>
        <c:crosses val="autoZero"/>
        <c:crossBetween val="midCat"/>
      </c:valAx>
      <c:valAx>
        <c:axId val="878589279"/>
        <c:scaling>
          <c:orientation val="minMax"/>
          <c:min val="3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USD/</a:t>
                </a:r>
                <a:r>
                  <a:rPr lang="es-MX" baseline="0"/>
                  <a:t> ton</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011071"/>
        <c:crosses val="autoZero"/>
        <c:crossBetween val="midCat"/>
      </c:valAx>
      <c:spPr>
        <a:noFill/>
        <a:ln>
          <a:noFill/>
        </a:ln>
        <a:effectLst/>
      </c:spPr>
    </c:plotArea>
    <c:legend>
      <c:legendPos val="r"/>
      <c:layout>
        <c:manualLayout>
          <c:xMode val="edge"/>
          <c:yMode val="edge"/>
          <c:x val="0.16161536400317411"/>
          <c:y val="0.1250981226822124"/>
          <c:w val="0.17485917819198504"/>
          <c:h val="0.1603159131762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Tons</a:t>
            </a:r>
            <a:r>
              <a:rPr lang="es-MX" baseline="0"/>
              <a:t> of CO</a:t>
            </a:r>
            <a:r>
              <a:rPr lang="es-MX" baseline="-25000"/>
              <a:t>2</a:t>
            </a:r>
            <a:r>
              <a:rPr lang="es-MX" baseline="0"/>
              <a:t> captured</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685333804530806"/>
          <c:y val="0.10687613846600599"/>
          <c:w val="0.76751431436415329"/>
          <c:h val="0.72028536834392032"/>
        </c:manualLayout>
      </c:layout>
      <c:scatterChart>
        <c:scatterStyle val="smoothMarker"/>
        <c:varyColors val="0"/>
        <c:ser>
          <c:idx val="0"/>
          <c:order val="0"/>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'Plastics CCUS_ROCM'!$A$4:$A$38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CCUS_ROCM'!$H$4:$H$38</c:f>
              <c:numCache>
                <c:formatCode>General</c:formatCode>
                <c:ptCount val="35"/>
                <c:pt idx="0">
                  <c:v>0</c:v>
                </c:pt>
                <c:pt idx="1">
                  <c:v>0</c:v>
                </c:pt>
                <c:pt idx="2">
                  <c:v>0</c:v>
                </c:pt>
                <c:pt idx="3">
                  <c:v>0</c:v>
                </c:pt>
                <c:pt idx="4">
                  <c:v>0</c:v>
                </c:pt>
                <c:pt idx="5">
                  <c:v>0</c:v>
                </c:pt>
                <c:pt idx="6">
                  <c:v>0</c:v>
                </c:pt>
                <c:pt idx="7">
                  <c:v>0</c:v>
                </c:pt>
                <c:pt idx="8">
                  <c:v>55142.593016518069</c:v>
                </c:pt>
                <c:pt idx="9">
                  <c:v>63965.407899160964</c:v>
                </c:pt>
                <c:pt idx="10">
                  <c:v>74199.873163026714</c:v>
                </c:pt>
                <c:pt idx="11">
                  <c:v>86071.852869110997</c:v>
                </c:pt>
                <c:pt idx="12">
                  <c:v>99843.34932816877</c:v>
                </c:pt>
                <c:pt idx="13">
                  <c:v>115818.28522067577</c:v>
                </c:pt>
                <c:pt idx="14">
                  <c:v>134349.2108559839</c:v>
                </c:pt>
                <c:pt idx="15">
                  <c:v>146440.63983302243</c:v>
                </c:pt>
                <c:pt idx="16">
                  <c:v>159620.29741799444</c:v>
                </c:pt>
                <c:pt idx="17">
                  <c:v>173986.12418561394</c:v>
                </c:pt>
                <c:pt idx="18">
                  <c:v>189644.8753623192</c:v>
                </c:pt>
                <c:pt idx="19">
                  <c:v>206712.91414492793</c:v>
                </c:pt>
                <c:pt idx="20">
                  <c:v>225317.07641797143</c:v>
                </c:pt>
                <c:pt idx="21">
                  <c:v>245595.61329558888</c:v>
                </c:pt>
                <c:pt idx="22">
                  <c:v>267699.21849219187</c:v>
                </c:pt>
                <c:pt idx="23">
                  <c:v>291792.14815648907</c:v>
                </c:pt>
                <c:pt idx="24">
                  <c:v>318053.44149057317</c:v>
                </c:pt>
                <c:pt idx="25">
                  <c:v>330775.57915019605</c:v>
                </c:pt>
                <c:pt idx="26">
                  <c:v>344006.60231620393</c:v>
                </c:pt>
                <c:pt idx="27">
                  <c:v>357766.86640885205</c:v>
                </c:pt>
                <c:pt idx="28">
                  <c:v>372077.54106520617</c:v>
                </c:pt>
                <c:pt idx="29">
                  <c:v>386960.64270781435</c:v>
                </c:pt>
                <c:pt idx="30">
                  <c:v>402439.06841612689</c:v>
                </c:pt>
                <c:pt idx="31">
                  <c:v>418536.63115277194</c:v>
                </c:pt>
                <c:pt idx="32">
                  <c:v>435278.0963988828</c:v>
                </c:pt>
                <c:pt idx="33">
                  <c:v>452689.22025483812</c:v>
                </c:pt>
                <c:pt idx="34">
                  <c:v>470796.78906503163</c:v>
                </c:pt>
              </c:numCache>
            </c:numRef>
          </c:yVal>
          <c:smooth val="1"/>
          <c:extLst>
            <c:ext xmlns:c16="http://schemas.microsoft.com/office/drawing/2014/chart" uri="{C3380CC4-5D6E-409C-BE32-E72D297353CC}">
              <c16:uniqueId val="{00000000-A5B7-4AE7-A69E-C6D01CD653B7}"/>
            </c:ext>
          </c:extLst>
        </c:ser>
        <c:dLbls>
          <c:showLegendKey val="0"/>
          <c:showVal val="0"/>
          <c:showCatName val="0"/>
          <c:showSerName val="0"/>
          <c:showPercent val="0"/>
          <c:showBubbleSize val="0"/>
        </c:dLbls>
        <c:axId val="905039871"/>
        <c:axId val="878617055"/>
      </c:scatterChart>
      <c:valAx>
        <c:axId val="905039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617055"/>
        <c:crosses val="autoZero"/>
        <c:crossBetween val="midCat"/>
      </c:valAx>
      <c:valAx>
        <c:axId val="878617055"/>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Tons</a:t>
                </a:r>
                <a:r>
                  <a:rPr lang="es-MX" baseline="0"/>
                  <a:t> of CO</a:t>
                </a:r>
                <a:r>
                  <a:rPr lang="es-MX" baseline="30000"/>
                  <a:t>2</a:t>
                </a:r>
                <a:r>
                  <a:rPr lang="es-MX" baseline="0"/>
                  <a:t> captured</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0398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b="1"/>
              <a:t>Thousand tons</a:t>
            </a:r>
            <a:r>
              <a:rPr lang="es-MX" b="1" baseline="0"/>
              <a:t> of CO</a:t>
            </a:r>
            <a:r>
              <a:rPr lang="es-MX" b="1" baseline="-25000"/>
              <a:t>2</a:t>
            </a:r>
            <a:r>
              <a:rPr lang="es-MX" b="1" baseline="0"/>
              <a:t> emitted</a:t>
            </a:r>
            <a:endParaRPr lang="es-MX"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645326701751149"/>
          <c:y val="0.10687613846600599"/>
          <c:w val="0.79791438539194981"/>
          <c:h val="0.72028536834392032"/>
        </c:manualLayout>
      </c:layout>
      <c:scatterChart>
        <c:scatterStyle val="smoothMarker"/>
        <c:varyColors val="0"/>
        <c:ser>
          <c:idx val="0"/>
          <c:order val="0"/>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'Plastics CCUS_ROCM'!$A$4:$A$38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CCUS_ROCM'!$G$4:$G$38</c:f>
              <c:numCache>
                <c:formatCode>0.0</c:formatCode>
                <c:ptCount val="35"/>
                <c:pt idx="0">
                  <c:v>2.4208778999999998</c:v>
                </c:pt>
                <c:pt idx="1">
                  <c:v>4.8417557999999996</c:v>
                </c:pt>
                <c:pt idx="2">
                  <c:v>8.0119530500000007</c:v>
                </c:pt>
                <c:pt idx="3">
                  <c:v>7.9543131000000002</c:v>
                </c:pt>
                <c:pt idx="4">
                  <c:v>16.54266565</c:v>
                </c:pt>
                <c:pt idx="5">
                  <c:v>39.252805949999996</c:v>
                </c:pt>
                <c:pt idx="6">
                  <c:v>45.533254901999996</c:v>
                </c:pt>
                <c:pt idx="7">
                  <c:v>52.818575686320003</c:v>
                </c:pt>
                <c:pt idx="8">
                  <c:v>61.269547796131192</c:v>
                </c:pt>
                <c:pt idx="9">
                  <c:v>71.072675443512182</c:v>
                </c:pt>
                <c:pt idx="10">
                  <c:v>82.444303514474129</c:v>
                </c:pt>
                <c:pt idx="11">
                  <c:v>95.635392076789998</c:v>
                </c:pt>
                <c:pt idx="12">
                  <c:v>110.93705480907639</c:v>
                </c:pt>
                <c:pt idx="13">
                  <c:v>128.68698357852864</c:v>
                </c:pt>
                <c:pt idx="14">
                  <c:v>149.27690095109318</c:v>
                </c:pt>
                <c:pt idx="15">
                  <c:v>162.71182203669161</c:v>
                </c:pt>
                <c:pt idx="16">
                  <c:v>177.35588601999385</c:v>
                </c:pt>
                <c:pt idx="17">
                  <c:v>193.31791576179327</c:v>
                </c:pt>
                <c:pt idx="18">
                  <c:v>210.71652818035466</c:v>
                </c:pt>
                <c:pt idx="19">
                  <c:v>229.68101571658659</c:v>
                </c:pt>
                <c:pt idx="20">
                  <c:v>250.35230713107941</c:v>
                </c:pt>
                <c:pt idx="21">
                  <c:v>272.88401477287653</c:v>
                </c:pt>
                <c:pt idx="22">
                  <c:v>297.44357610243543</c:v>
                </c:pt>
                <c:pt idx="23">
                  <c:v>324.21349795165452</c:v>
                </c:pt>
                <c:pt idx="24">
                  <c:v>353.39271276730352</c:v>
                </c:pt>
                <c:pt idx="25">
                  <c:v>367.52842127799568</c:v>
                </c:pt>
                <c:pt idx="26">
                  <c:v>382.22955812911556</c:v>
                </c:pt>
                <c:pt idx="27">
                  <c:v>397.51874045428008</c:v>
                </c:pt>
                <c:pt idx="28">
                  <c:v>413.41949007245131</c:v>
                </c:pt>
                <c:pt idx="29">
                  <c:v>429.95626967534923</c:v>
                </c:pt>
                <c:pt idx="30">
                  <c:v>447.15452046236322</c:v>
                </c:pt>
                <c:pt idx="31">
                  <c:v>465.04070128085766</c:v>
                </c:pt>
                <c:pt idx="32">
                  <c:v>483.64232933209195</c:v>
                </c:pt>
                <c:pt idx="33">
                  <c:v>502.98802250537562</c:v>
                </c:pt>
                <c:pt idx="34">
                  <c:v>523.10754340559072</c:v>
                </c:pt>
              </c:numCache>
            </c:numRef>
          </c:yVal>
          <c:smooth val="1"/>
          <c:extLst>
            <c:ext xmlns:c16="http://schemas.microsoft.com/office/drawing/2014/chart" uri="{C3380CC4-5D6E-409C-BE32-E72D297353CC}">
              <c16:uniqueId val="{00000000-46F8-4D19-9DE5-429653492152}"/>
            </c:ext>
          </c:extLst>
        </c:ser>
        <c:dLbls>
          <c:showLegendKey val="0"/>
          <c:showVal val="0"/>
          <c:showCatName val="0"/>
          <c:showSerName val="0"/>
          <c:showPercent val="0"/>
          <c:showBubbleSize val="0"/>
        </c:dLbls>
        <c:axId val="905039871"/>
        <c:axId val="878617055"/>
      </c:scatterChart>
      <c:valAx>
        <c:axId val="905039871"/>
        <c:scaling>
          <c:orientation val="minMax"/>
          <c:max val="2055"/>
          <c:min val="2015"/>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Year</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78617055"/>
        <c:crosses val="autoZero"/>
        <c:crossBetween val="midCat"/>
      </c:valAx>
      <c:valAx>
        <c:axId val="878617055"/>
        <c:scaling>
          <c:orientation val="minMax"/>
          <c:min val="0"/>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Thousand tons</a:t>
                </a:r>
                <a:r>
                  <a:rPr lang="es-MX" sz="1200" baseline="0"/>
                  <a:t> of CO</a:t>
                </a:r>
                <a:r>
                  <a:rPr lang="es-MX" sz="1200" baseline="-25000"/>
                  <a:t>2</a:t>
                </a:r>
                <a:r>
                  <a:rPr lang="es-MX" sz="1200" baseline="0"/>
                  <a:t> emitted</a:t>
                </a:r>
                <a:endParaRPr lang="es-MX"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050398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b="1"/>
              <a:t>Energy</a:t>
            </a:r>
            <a:r>
              <a:rPr lang="es-MX" b="1" baseline="0"/>
              <a:t> required</a:t>
            </a:r>
            <a:endParaRPr lang="es-MX"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370937546923798"/>
          <c:y val="0.10687613846600599"/>
          <c:w val="0.80065831049483471"/>
          <c:h val="0.72028536834392032"/>
        </c:manualLayout>
      </c:layout>
      <c:scatterChart>
        <c:scatterStyle val="smoothMarker"/>
        <c:varyColors val="0"/>
        <c:ser>
          <c:idx val="0"/>
          <c:order val="0"/>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'Plastics CCUS_ROCM'!$A$4:$A$38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 CCUS_ROCM'!$F$4:$F$38</c:f>
              <c:numCache>
                <c:formatCode>0.0</c:formatCode>
                <c:ptCount val="35"/>
                <c:pt idx="0">
                  <c:v>5.8361976597494619E-2</c:v>
                </c:pt>
                <c:pt idx="1">
                  <c:v>0.11672395319498924</c:v>
                </c:pt>
                <c:pt idx="2">
                  <c:v>0.19315035112027978</c:v>
                </c:pt>
                <c:pt idx="3">
                  <c:v>0.19176078024891088</c:v>
                </c:pt>
                <c:pt idx="4">
                  <c:v>0.39880684008287987</c:v>
                </c:pt>
                <c:pt idx="5">
                  <c:v>0.94629776340223404</c:v>
                </c:pt>
                <c:pt idx="6">
                  <c:v>1.0977054055465916</c:v>
                </c:pt>
                <c:pt idx="7">
                  <c:v>1.2733382704340463</c:v>
                </c:pt>
                <c:pt idx="8">
                  <c:v>1.4770723937034933</c:v>
                </c:pt>
                <c:pt idx="9">
                  <c:v>1.7134039766960523</c:v>
                </c:pt>
                <c:pt idx="10">
                  <c:v>1.9875486129674209</c:v>
                </c:pt>
                <c:pt idx="11">
                  <c:v>2.3055563910422081</c:v>
                </c:pt>
                <c:pt idx="12">
                  <c:v>2.6744454136089617</c:v>
                </c:pt>
                <c:pt idx="13">
                  <c:v>3.1023566797863955</c:v>
                </c:pt>
                <c:pt idx="14">
                  <c:v>3.5987337485522191</c:v>
                </c:pt>
                <c:pt idx="15">
                  <c:v>3.9226197859219183</c:v>
                </c:pt>
                <c:pt idx="16">
                  <c:v>4.2756555666548914</c:v>
                </c:pt>
                <c:pt idx="17">
                  <c:v>4.6604645676538308</c:v>
                </c:pt>
                <c:pt idx="18">
                  <c:v>5.0799063787426748</c:v>
                </c:pt>
                <c:pt idx="19">
                  <c:v>5.5370979528295168</c:v>
                </c:pt>
                <c:pt idx="20">
                  <c:v>6.035436768584173</c:v>
                </c:pt>
                <c:pt idx="21">
                  <c:v>6.5786260777567485</c:v>
                </c:pt>
                <c:pt idx="22">
                  <c:v>7.1707024247548565</c:v>
                </c:pt>
                <c:pt idx="23">
                  <c:v>7.8160656429827915</c:v>
                </c:pt>
                <c:pt idx="24">
                  <c:v>8.5195115508512451</c:v>
                </c:pt>
                <c:pt idx="25">
                  <c:v>8.8602920128852958</c:v>
                </c:pt>
                <c:pt idx="26">
                  <c:v>9.2147036934007076</c:v>
                </c:pt>
                <c:pt idx="27">
                  <c:v>9.5832918411367345</c:v>
                </c:pt>
                <c:pt idx="28">
                  <c:v>9.9666235147822029</c:v>
                </c:pt>
                <c:pt idx="29">
                  <c:v>10.36528845537349</c:v>
                </c:pt>
                <c:pt idx="30">
                  <c:v>10.779899993588428</c:v>
                </c:pt>
                <c:pt idx="31">
                  <c:v>11.211095993331966</c:v>
                </c:pt>
                <c:pt idx="32">
                  <c:v>11.659539833065244</c:v>
                </c:pt>
                <c:pt idx="33">
                  <c:v>12.125921426387851</c:v>
                </c:pt>
                <c:pt idx="34">
                  <c:v>12.610958283443367</c:v>
                </c:pt>
              </c:numCache>
            </c:numRef>
          </c:yVal>
          <c:smooth val="1"/>
          <c:extLst>
            <c:ext xmlns:c16="http://schemas.microsoft.com/office/drawing/2014/chart" uri="{C3380CC4-5D6E-409C-BE32-E72D297353CC}">
              <c16:uniqueId val="{00000000-B0BC-4EB7-AB2E-C73B5EFE7A1B}"/>
            </c:ext>
          </c:extLst>
        </c:ser>
        <c:dLbls>
          <c:showLegendKey val="0"/>
          <c:showVal val="0"/>
          <c:showCatName val="0"/>
          <c:showSerName val="0"/>
          <c:showPercent val="0"/>
          <c:showBubbleSize val="0"/>
        </c:dLbls>
        <c:axId val="905039871"/>
        <c:axId val="878617055"/>
      </c:scatterChart>
      <c:valAx>
        <c:axId val="905039871"/>
        <c:scaling>
          <c:orientation val="minMax"/>
          <c:min val="2015"/>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Year</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78617055"/>
        <c:crosses val="autoZero"/>
        <c:crossBetween val="midCat"/>
      </c:valAx>
      <c:valAx>
        <c:axId val="878617055"/>
        <c:scaling>
          <c:orientation val="minMax"/>
          <c:min val="0"/>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Energy</a:t>
                </a:r>
                <a:r>
                  <a:rPr lang="es-MX" sz="1200" baseline="0"/>
                  <a:t> required (PJ)</a:t>
                </a:r>
                <a:endParaRPr lang="es-MX"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050398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Required</a:t>
            </a:r>
            <a:r>
              <a:rPr lang="es-MX" baseline="0"/>
              <a:t> minerals for 100% EVs</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2050</c:v>
          </c:tx>
          <c:spPr>
            <a:solidFill>
              <a:schemeClr val="accent1"/>
            </a:solidFill>
            <a:ln>
              <a:noFill/>
            </a:ln>
            <a:effectLst/>
          </c:spPr>
          <c:invertIfNegative val="0"/>
          <c:cat>
            <c:strRef>
              <c:f>'EVs materials req (2)'!$A$5:$A$10</c:f>
              <c:strCache>
                <c:ptCount val="6"/>
                <c:pt idx="0">
                  <c:v>Copper</c:v>
                </c:pt>
                <c:pt idx="1">
                  <c:v>Lithium</c:v>
                </c:pt>
                <c:pt idx="2">
                  <c:v>Nickel</c:v>
                </c:pt>
                <c:pt idx="3">
                  <c:v>Manganese</c:v>
                </c:pt>
                <c:pt idx="4">
                  <c:v>Cobalt</c:v>
                </c:pt>
                <c:pt idx="5">
                  <c:v>Graphite</c:v>
                </c:pt>
              </c:strCache>
            </c:strRef>
          </c:cat>
          <c:val>
            <c:numRef>
              <c:f>'EVs materials req (2)'!$I$5:$I$10</c:f>
              <c:numCache>
                <c:formatCode>General</c:formatCode>
                <c:ptCount val="6"/>
                <c:pt idx="0">
                  <c:v>407268.83652549848</c:v>
                </c:pt>
                <c:pt idx="1">
                  <c:v>68133.32039618303</c:v>
                </c:pt>
                <c:pt idx="2">
                  <c:v>305451.62739412388</c:v>
                </c:pt>
                <c:pt idx="3">
                  <c:v>187558.01682095326</c:v>
                </c:pt>
                <c:pt idx="4">
                  <c:v>101817.20913137462</c:v>
                </c:pt>
                <c:pt idx="5">
                  <c:v>507554.95980527345</c:v>
                </c:pt>
              </c:numCache>
            </c:numRef>
          </c:val>
          <c:extLst>
            <c:ext xmlns:c16="http://schemas.microsoft.com/office/drawing/2014/chart" uri="{C3380CC4-5D6E-409C-BE32-E72D297353CC}">
              <c16:uniqueId val="{00000000-6C33-4976-B3E7-F948881A46E1}"/>
            </c:ext>
          </c:extLst>
        </c:ser>
        <c:ser>
          <c:idx val="1"/>
          <c:order val="1"/>
          <c:tx>
            <c:v>Current worldwide production</c:v>
          </c:tx>
          <c:spPr>
            <a:solidFill>
              <a:schemeClr val="accent2"/>
            </a:solidFill>
            <a:ln>
              <a:noFill/>
            </a:ln>
            <a:effectLst/>
          </c:spPr>
          <c:invertIfNegative val="0"/>
          <c:val>
            <c:numRef>
              <c:f>'EVs materials req (2)'!$P$5:$P$10</c:f>
              <c:numCache>
                <c:formatCode>General</c:formatCode>
                <c:ptCount val="6"/>
                <c:pt idx="0">
                  <c:v>22000000</c:v>
                </c:pt>
                <c:pt idx="1">
                  <c:v>130000</c:v>
                </c:pt>
                <c:pt idx="2">
                  <c:v>2800000</c:v>
                </c:pt>
                <c:pt idx="3">
                  <c:v>50000000</c:v>
                </c:pt>
                <c:pt idx="4" formatCode="#,##0">
                  <c:v>197791</c:v>
                </c:pt>
                <c:pt idx="5">
                  <c:v>1300000</c:v>
                </c:pt>
              </c:numCache>
            </c:numRef>
          </c:val>
          <c:extLst>
            <c:ext xmlns:c16="http://schemas.microsoft.com/office/drawing/2014/chart" uri="{C3380CC4-5D6E-409C-BE32-E72D297353CC}">
              <c16:uniqueId val="{00000001-6C33-4976-B3E7-F948881A46E1}"/>
            </c:ext>
          </c:extLst>
        </c:ser>
        <c:dLbls>
          <c:showLegendKey val="0"/>
          <c:showVal val="0"/>
          <c:showCatName val="0"/>
          <c:showSerName val="0"/>
          <c:showPercent val="0"/>
          <c:showBubbleSize val="0"/>
        </c:dLbls>
        <c:gapWidth val="219"/>
        <c:overlap val="-27"/>
        <c:axId val="952263247"/>
        <c:axId val="304637247"/>
      </c:barChart>
      <c:catAx>
        <c:axId val="952263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Material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637247"/>
        <c:crosses val="autoZero"/>
        <c:auto val="1"/>
        <c:lblAlgn val="ctr"/>
        <c:lblOffset val="100"/>
        <c:noMultiLvlLbl val="0"/>
      </c:catAx>
      <c:valAx>
        <c:axId val="304637247"/>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Tonnes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26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s-MX" sz="1200"/>
              <a:t>Comparison</a:t>
            </a:r>
            <a:r>
              <a:rPr lang="es-MX" sz="1200" baseline="0"/>
              <a:t> of material requirements for Texas to current global production (33% EVs)</a:t>
            </a:r>
            <a:endParaRPr lang="es-MX"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497295474809788"/>
          <c:y val="0.20362934542292521"/>
          <c:w val="0.71171969695971948"/>
          <c:h val="0.56638143642089178"/>
        </c:manualLayout>
      </c:layout>
      <c:barChart>
        <c:barDir val="col"/>
        <c:grouping val="clustered"/>
        <c:varyColors val="0"/>
        <c:ser>
          <c:idx val="0"/>
          <c:order val="0"/>
          <c:tx>
            <c:v>2030</c:v>
          </c:tx>
          <c:spPr>
            <a:solidFill>
              <a:schemeClr val="accent1"/>
            </a:solidFill>
            <a:ln>
              <a:noFill/>
            </a:ln>
            <a:effectLst/>
          </c:spPr>
          <c:invertIfNegative val="0"/>
          <c:cat>
            <c:strRef>
              <c:f>'EVs materials req (2)'!$A$5:$A$10</c:f>
              <c:strCache>
                <c:ptCount val="6"/>
                <c:pt idx="0">
                  <c:v>Copper</c:v>
                </c:pt>
                <c:pt idx="1">
                  <c:v>Lithium</c:v>
                </c:pt>
                <c:pt idx="2">
                  <c:v>Nickel</c:v>
                </c:pt>
                <c:pt idx="3">
                  <c:v>Manganese</c:v>
                </c:pt>
                <c:pt idx="4">
                  <c:v>Cobalt</c:v>
                </c:pt>
                <c:pt idx="5">
                  <c:v>Graphite</c:v>
                </c:pt>
              </c:strCache>
            </c:strRef>
          </c:cat>
          <c:val>
            <c:numRef>
              <c:f>'EVs materials req (2)'!$R$5:$R$10</c:f>
              <c:numCache>
                <c:formatCode>0.00</c:formatCode>
                <c:ptCount val="6"/>
                <c:pt idx="0">
                  <c:v>2.9338849542108955E-3</c:v>
                </c:pt>
                <c:pt idx="1">
                  <c:v>8.3061693758602284E-2</c:v>
                </c:pt>
                <c:pt idx="2">
                  <c:v>1.7288964908742776E-2</c:v>
                </c:pt>
                <c:pt idx="3">
                  <c:v>5.9449774072168151E-4</c:v>
                </c:pt>
                <c:pt idx="4">
                  <c:v>8.1582919587645172E-2</c:v>
                </c:pt>
                <c:pt idx="5">
                  <c:v>6.1876295462868887E-2</c:v>
                </c:pt>
              </c:numCache>
            </c:numRef>
          </c:val>
          <c:extLst>
            <c:ext xmlns:c16="http://schemas.microsoft.com/office/drawing/2014/chart" uri="{C3380CC4-5D6E-409C-BE32-E72D297353CC}">
              <c16:uniqueId val="{00000000-6D5B-45F4-8947-5E9713048ACC}"/>
            </c:ext>
          </c:extLst>
        </c:ser>
        <c:ser>
          <c:idx val="1"/>
          <c:order val="1"/>
          <c:tx>
            <c:v>2040</c:v>
          </c:tx>
          <c:spPr>
            <a:solidFill>
              <a:schemeClr val="accent2"/>
            </a:solidFill>
            <a:ln>
              <a:noFill/>
            </a:ln>
            <a:effectLst/>
          </c:spPr>
          <c:invertIfNegative val="0"/>
          <c:cat>
            <c:strRef>
              <c:f>'EVs materials req (2)'!$A$5:$A$10</c:f>
              <c:strCache>
                <c:ptCount val="6"/>
                <c:pt idx="0">
                  <c:v>Copper</c:v>
                </c:pt>
                <c:pt idx="1">
                  <c:v>Lithium</c:v>
                </c:pt>
                <c:pt idx="2">
                  <c:v>Nickel</c:v>
                </c:pt>
                <c:pt idx="3">
                  <c:v>Manganese</c:v>
                </c:pt>
                <c:pt idx="4">
                  <c:v>Cobalt</c:v>
                </c:pt>
                <c:pt idx="5">
                  <c:v>Graphite</c:v>
                </c:pt>
              </c:strCache>
            </c:strRef>
          </c:cat>
          <c:val>
            <c:numRef>
              <c:f>'EVs materials req (2)'!$S$5:$S$10</c:f>
              <c:numCache>
                <c:formatCode>0.00</c:formatCode>
                <c:ptCount val="6"/>
                <c:pt idx="0">
                  <c:v>1.037112797213556E-2</c:v>
                </c:pt>
                <c:pt idx="1">
                  <c:v>0.29361868955236303</c:v>
                </c:pt>
                <c:pt idx="2">
                  <c:v>6.1115575550084553E-2</c:v>
                </c:pt>
                <c:pt idx="3">
                  <c:v>2.1015180364590477E-3</c:v>
                </c:pt>
                <c:pt idx="4">
                  <c:v>0.28839130115498474</c:v>
                </c:pt>
                <c:pt idx="5">
                  <c:v>0.21872942828451314</c:v>
                </c:pt>
              </c:numCache>
            </c:numRef>
          </c:val>
          <c:extLst>
            <c:ext xmlns:c16="http://schemas.microsoft.com/office/drawing/2014/chart" uri="{C3380CC4-5D6E-409C-BE32-E72D297353CC}">
              <c16:uniqueId val="{00000001-6D5B-45F4-8947-5E9713048ACC}"/>
            </c:ext>
          </c:extLst>
        </c:ser>
        <c:ser>
          <c:idx val="2"/>
          <c:order val="2"/>
          <c:tx>
            <c:v>2050</c:v>
          </c:tx>
          <c:spPr>
            <a:solidFill>
              <a:schemeClr val="accent3"/>
            </a:solidFill>
            <a:ln>
              <a:noFill/>
            </a:ln>
            <a:effectLst/>
          </c:spPr>
          <c:invertIfNegative val="0"/>
          <c:cat>
            <c:strRef>
              <c:f>'EVs materials req (2)'!$A$5:$A$10</c:f>
              <c:strCache>
                <c:ptCount val="6"/>
                <c:pt idx="0">
                  <c:v>Copper</c:v>
                </c:pt>
                <c:pt idx="1">
                  <c:v>Lithium</c:v>
                </c:pt>
                <c:pt idx="2">
                  <c:v>Nickel</c:v>
                </c:pt>
                <c:pt idx="3">
                  <c:v>Manganese</c:v>
                </c:pt>
                <c:pt idx="4">
                  <c:v>Cobalt</c:v>
                </c:pt>
                <c:pt idx="5">
                  <c:v>Graphite</c:v>
                </c:pt>
              </c:strCache>
            </c:strRef>
          </c:cat>
          <c:val>
            <c:numRef>
              <c:f>'EVs materials req (2)'!$T$5:$T$10</c:f>
              <c:numCache>
                <c:formatCode>0.00</c:formatCode>
                <c:ptCount val="6"/>
                <c:pt idx="0">
                  <c:v>1.8512219842068113E-2</c:v>
                </c:pt>
                <c:pt idx="1">
                  <c:v>0.52410246458602328</c:v>
                </c:pt>
                <c:pt idx="2">
                  <c:v>0.10908986692647281</c:v>
                </c:pt>
                <c:pt idx="3">
                  <c:v>3.7511603364190653E-3</c:v>
                </c:pt>
                <c:pt idx="4">
                  <c:v>0.51477169907313591</c:v>
                </c:pt>
                <c:pt idx="5">
                  <c:v>0.39042689215790266</c:v>
                </c:pt>
              </c:numCache>
            </c:numRef>
          </c:val>
          <c:extLst>
            <c:ext xmlns:c16="http://schemas.microsoft.com/office/drawing/2014/chart" uri="{C3380CC4-5D6E-409C-BE32-E72D297353CC}">
              <c16:uniqueId val="{00000002-6D5B-45F4-8947-5E9713048ACC}"/>
            </c:ext>
          </c:extLst>
        </c:ser>
        <c:ser>
          <c:idx val="3"/>
          <c:order val="3"/>
          <c:tx>
            <c:v>Total</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'EVs materials req (2)'!$A$5:$A$10</c:f>
              <c:strCache>
                <c:ptCount val="6"/>
                <c:pt idx="0">
                  <c:v>Copper</c:v>
                </c:pt>
                <c:pt idx="1">
                  <c:v>Lithium</c:v>
                </c:pt>
                <c:pt idx="2">
                  <c:v>Nickel</c:v>
                </c:pt>
                <c:pt idx="3">
                  <c:v>Manganese</c:v>
                </c:pt>
                <c:pt idx="4">
                  <c:v>Cobalt</c:v>
                </c:pt>
                <c:pt idx="5">
                  <c:v>Graphite</c:v>
                </c:pt>
              </c:strCache>
            </c:strRef>
          </c:cat>
          <c:val>
            <c:numRef>
              <c:f>'EVs materials req (2)'!$U$5:$U$10</c:f>
              <c:numCache>
                <c:formatCode>0.00</c:formatCode>
                <c:ptCount val="6"/>
                <c:pt idx="0">
                  <c:v>3.1817232768414569E-2</c:v>
                </c:pt>
                <c:pt idx="1">
                  <c:v>0.90078284789698859</c:v>
                </c:pt>
                <c:pt idx="2">
                  <c:v>0.18749440738530015</c:v>
                </c:pt>
                <c:pt idx="3">
                  <c:v>6.4471761135997943E-3</c:v>
                </c:pt>
                <c:pt idx="4">
                  <c:v>0.88474591981576589</c:v>
                </c:pt>
                <c:pt idx="5">
                  <c:v>0.67103261590528462</c:v>
                </c:pt>
              </c:numCache>
            </c:numRef>
          </c:val>
          <c:extLst>
            <c:ext xmlns:c16="http://schemas.microsoft.com/office/drawing/2014/chart" uri="{C3380CC4-5D6E-409C-BE32-E72D297353CC}">
              <c16:uniqueId val="{00000003-6D5B-45F4-8947-5E9713048ACC}"/>
            </c:ext>
          </c:extLst>
        </c:ser>
        <c:dLbls>
          <c:showLegendKey val="0"/>
          <c:showVal val="0"/>
          <c:showCatName val="0"/>
          <c:showSerName val="0"/>
          <c:showPercent val="0"/>
          <c:showBubbleSize val="0"/>
        </c:dLbls>
        <c:gapWidth val="150"/>
        <c:axId val="316331183"/>
        <c:axId val="92023792"/>
      </c:barChart>
      <c:catAx>
        <c:axId val="316331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Material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23792"/>
        <c:crosses val="autoZero"/>
        <c:auto val="1"/>
        <c:lblAlgn val="ctr"/>
        <c:lblOffset val="100"/>
        <c:noMultiLvlLbl val="0"/>
      </c:catAx>
      <c:valAx>
        <c:axId val="920237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x</a:t>
                </a:r>
                <a:r>
                  <a:rPr lang="es-MX" baseline="0"/>
                  <a:t> times current production</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33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1200" baseline="0"/>
              <a:t>Material requirement for Texas mobility transition</a:t>
            </a:r>
            <a:endParaRPr lang="es-MX"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2030</c:v>
          </c:tx>
          <c:spPr>
            <a:solidFill>
              <a:schemeClr val="accent1"/>
            </a:solidFill>
            <a:ln>
              <a:noFill/>
            </a:ln>
            <a:effectLst/>
          </c:spPr>
          <c:invertIfNegative val="0"/>
          <c:cat>
            <c:strRef>
              <c:f>'EVs materials req (2)'!$A$5:$A$10</c:f>
              <c:strCache>
                <c:ptCount val="6"/>
                <c:pt idx="0">
                  <c:v>Copper</c:v>
                </c:pt>
                <c:pt idx="1">
                  <c:v>Lithium</c:v>
                </c:pt>
                <c:pt idx="2">
                  <c:v>Nickel</c:v>
                </c:pt>
                <c:pt idx="3">
                  <c:v>Manganese</c:v>
                </c:pt>
                <c:pt idx="4">
                  <c:v>Cobalt</c:v>
                </c:pt>
                <c:pt idx="5">
                  <c:v>Graphite</c:v>
                </c:pt>
              </c:strCache>
            </c:strRef>
          </c:cat>
          <c:val>
            <c:numRef>
              <c:f>'EVs materials req (2)'!$J$5:$J$10</c:f>
              <c:numCache>
                <c:formatCode>0.00</c:formatCode>
                <c:ptCount val="6"/>
                <c:pt idx="0">
                  <c:v>6.4545468992639701E-2</c:v>
                </c:pt>
                <c:pt idx="1">
                  <c:v>1.0798020188618297E-2</c:v>
                </c:pt>
                <c:pt idx="2">
                  <c:v>4.8409101744479779E-2</c:v>
                </c:pt>
                <c:pt idx="3">
                  <c:v>2.9724887036084075E-2</c:v>
                </c:pt>
                <c:pt idx="4">
                  <c:v>1.6136367248159925E-2</c:v>
                </c:pt>
                <c:pt idx="5">
                  <c:v>8.0439184101729552E-2</c:v>
                </c:pt>
              </c:numCache>
            </c:numRef>
          </c:val>
          <c:extLst>
            <c:ext xmlns:c16="http://schemas.microsoft.com/office/drawing/2014/chart" uri="{C3380CC4-5D6E-409C-BE32-E72D297353CC}">
              <c16:uniqueId val="{00000000-032D-4788-A789-113C3BC5B24C}"/>
            </c:ext>
          </c:extLst>
        </c:ser>
        <c:ser>
          <c:idx val="1"/>
          <c:order val="1"/>
          <c:tx>
            <c:v>2040</c:v>
          </c:tx>
          <c:spPr>
            <a:solidFill>
              <a:schemeClr val="accent2"/>
            </a:solidFill>
            <a:ln>
              <a:noFill/>
            </a:ln>
            <a:effectLst/>
          </c:spPr>
          <c:invertIfNegative val="0"/>
          <c:cat>
            <c:strRef>
              <c:f>'EVs materials req (2)'!$A$5:$A$10</c:f>
              <c:strCache>
                <c:ptCount val="6"/>
                <c:pt idx="0">
                  <c:v>Copper</c:v>
                </c:pt>
                <c:pt idx="1">
                  <c:v>Lithium</c:v>
                </c:pt>
                <c:pt idx="2">
                  <c:v>Nickel</c:v>
                </c:pt>
                <c:pt idx="3">
                  <c:v>Manganese</c:v>
                </c:pt>
                <c:pt idx="4">
                  <c:v>Cobalt</c:v>
                </c:pt>
                <c:pt idx="5">
                  <c:v>Graphite</c:v>
                </c:pt>
              </c:strCache>
            </c:strRef>
          </c:cat>
          <c:val>
            <c:numRef>
              <c:f>'EVs materials req (2)'!$K$5:$K$10</c:f>
              <c:numCache>
                <c:formatCode>0.00</c:formatCode>
                <c:ptCount val="6"/>
                <c:pt idx="0">
                  <c:v>0.22816481538698236</c:v>
                </c:pt>
                <c:pt idx="1">
                  <c:v>3.8170429641807196E-2</c:v>
                </c:pt>
                <c:pt idx="2">
                  <c:v>0.17112361154023675</c:v>
                </c:pt>
                <c:pt idx="3">
                  <c:v>0.1050759018229524</c:v>
                </c:pt>
                <c:pt idx="4">
                  <c:v>5.7041203846745589E-2</c:v>
                </c:pt>
                <c:pt idx="5">
                  <c:v>0.28434825676986708</c:v>
                </c:pt>
              </c:numCache>
            </c:numRef>
          </c:val>
          <c:extLst>
            <c:ext xmlns:c16="http://schemas.microsoft.com/office/drawing/2014/chart" uri="{C3380CC4-5D6E-409C-BE32-E72D297353CC}">
              <c16:uniqueId val="{00000001-032D-4788-A789-113C3BC5B24C}"/>
            </c:ext>
          </c:extLst>
        </c:ser>
        <c:ser>
          <c:idx val="2"/>
          <c:order val="2"/>
          <c:tx>
            <c:v>2050</c:v>
          </c:tx>
          <c:spPr>
            <a:solidFill>
              <a:schemeClr val="accent3"/>
            </a:solidFill>
            <a:ln>
              <a:noFill/>
            </a:ln>
            <a:effectLst/>
          </c:spPr>
          <c:invertIfNegative val="0"/>
          <c:cat>
            <c:strRef>
              <c:f>'EVs materials req (2)'!$A$5:$A$10</c:f>
              <c:strCache>
                <c:ptCount val="6"/>
                <c:pt idx="0">
                  <c:v>Copper</c:v>
                </c:pt>
                <c:pt idx="1">
                  <c:v>Lithium</c:v>
                </c:pt>
                <c:pt idx="2">
                  <c:v>Nickel</c:v>
                </c:pt>
                <c:pt idx="3">
                  <c:v>Manganese</c:v>
                </c:pt>
                <c:pt idx="4">
                  <c:v>Cobalt</c:v>
                </c:pt>
                <c:pt idx="5">
                  <c:v>Graphite</c:v>
                </c:pt>
              </c:strCache>
            </c:strRef>
          </c:cat>
          <c:val>
            <c:numRef>
              <c:f>'EVs materials req (2)'!$L$5:$L$10</c:f>
              <c:numCache>
                <c:formatCode>0.00</c:formatCode>
                <c:ptCount val="6"/>
                <c:pt idx="0">
                  <c:v>0.4072688365254985</c:v>
                </c:pt>
                <c:pt idx="1">
                  <c:v>6.8133320396183028E-2</c:v>
                </c:pt>
                <c:pt idx="2">
                  <c:v>0.3054516273941239</c:v>
                </c:pt>
                <c:pt idx="3">
                  <c:v>0.18755801682095324</c:v>
                </c:pt>
                <c:pt idx="4">
                  <c:v>0.10181720913137463</c:v>
                </c:pt>
                <c:pt idx="5">
                  <c:v>0.50755495980527343</c:v>
                </c:pt>
              </c:numCache>
            </c:numRef>
          </c:val>
          <c:extLst>
            <c:ext xmlns:c16="http://schemas.microsoft.com/office/drawing/2014/chart" uri="{C3380CC4-5D6E-409C-BE32-E72D297353CC}">
              <c16:uniqueId val="{00000002-032D-4788-A789-113C3BC5B24C}"/>
            </c:ext>
          </c:extLst>
        </c:ser>
        <c:dLbls>
          <c:showLegendKey val="0"/>
          <c:showVal val="0"/>
          <c:showCatName val="0"/>
          <c:showSerName val="0"/>
          <c:showPercent val="0"/>
          <c:showBubbleSize val="0"/>
        </c:dLbls>
        <c:gapWidth val="150"/>
        <c:axId val="316331183"/>
        <c:axId val="92023792"/>
      </c:barChart>
      <c:catAx>
        <c:axId val="316331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Material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23792"/>
        <c:crosses val="autoZero"/>
        <c:auto val="1"/>
        <c:lblAlgn val="ctr"/>
        <c:lblOffset val="100"/>
        <c:noMultiLvlLbl val="0"/>
      </c:catAx>
      <c:valAx>
        <c:axId val="920237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Million</a:t>
                </a:r>
                <a:r>
                  <a:rPr lang="es-MX" baseline="0"/>
                  <a:t> tonnes</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33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s-MX" sz="1200"/>
              <a:t>Comparison</a:t>
            </a:r>
            <a:r>
              <a:rPr lang="es-MX" sz="1200" baseline="0"/>
              <a:t> of material requirements for Texas to current global production for different EV% scenarios</a:t>
            </a:r>
            <a:endParaRPr lang="es-MX"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497295474809788"/>
          <c:y val="0.20362934542292521"/>
          <c:w val="0.71171969695971948"/>
          <c:h val="0.54529851490082715"/>
        </c:manualLayout>
      </c:layout>
      <c:barChart>
        <c:barDir val="col"/>
        <c:grouping val="clustered"/>
        <c:varyColors val="0"/>
        <c:ser>
          <c:idx val="0"/>
          <c:order val="0"/>
          <c:tx>
            <c:v>33.17%</c:v>
          </c:tx>
          <c:spPr>
            <a:solidFill>
              <a:schemeClr val="accent1"/>
            </a:solidFill>
            <a:ln>
              <a:noFill/>
            </a:ln>
            <a:effectLst/>
          </c:spPr>
          <c:invertIfNegative val="0"/>
          <c:cat>
            <c:strRef>
              <c:f>'EVs materials req (2)'!$A$5:$A$10</c:f>
              <c:strCache>
                <c:ptCount val="6"/>
                <c:pt idx="0">
                  <c:v>Copper</c:v>
                </c:pt>
                <c:pt idx="1">
                  <c:v>Lithium</c:v>
                </c:pt>
                <c:pt idx="2">
                  <c:v>Nickel</c:v>
                </c:pt>
                <c:pt idx="3">
                  <c:v>Manganese</c:v>
                </c:pt>
                <c:pt idx="4">
                  <c:v>Cobalt</c:v>
                </c:pt>
                <c:pt idx="5">
                  <c:v>Graphite</c:v>
                </c:pt>
              </c:strCache>
            </c:strRef>
          </c:cat>
          <c:val>
            <c:numRef>
              <c:f>'EVs materials req (2)'!$AB$5:$AB$10</c:f>
              <c:numCache>
                <c:formatCode>0.000</c:formatCode>
                <c:ptCount val="6"/>
                <c:pt idx="0">
                  <c:v>2.6709055670345955E-2</c:v>
                </c:pt>
                <c:pt idx="1">
                  <c:v>0.75616441588399907</c:v>
                </c:pt>
                <c:pt idx="2">
                  <c:v>0.15739264948596723</c:v>
                </c:pt>
                <c:pt idx="3">
                  <c:v>5.4120981226753644E-3</c:v>
                </c:pt>
                <c:pt idx="4">
                  <c:v>0.74270217647366532</c:v>
                </c:pt>
                <c:pt idx="5">
                  <c:v>0.56330000868661956</c:v>
                </c:pt>
              </c:numCache>
            </c:numRef>
          </c:val>
          <c:extLst>
            <c:ext xmlns:c16="http://schemas.microsoft.com/office/drawing/2014/chart" uri="{C3380CC4-5D6E-409C-BE32-E72D297353CC}">
              <c16:uniqueId val="{00000000-49F7-4DD4-B7C2-72B3452DFBA6}"/>
            </c:ext>
          </c:extLst>
        </c:ser>
        <c:ser>
          <c:idx val="1"/>
          <c:order val="1"/>
          <c:tx>
            <c:v>40%</c:v>
          </c:tx>
          <c:spPr>
            <a:solidFill>
              <a:schemeClr val="accent2"/>
            </a:solidFill>
            <a:ln>
              <a:noFill/>
            </a:ln>
            <a:effectLst/>
          </c:spPr>
          <c:invertIfNegative val="0"/>
          <c:cat>
            <c:strRef>
              <c:f>'EVs materials req (2)'!$A$5:$A$10</c:f>
              <c:strCache>
                <c:ptCount val="6"/>
                <c:pt idx="0">
                  <c:v>Copper</c:v>
                </c:pt>
                <c:pt idx="1">
                  <c:v>Lithium</c:v>
                </c:pt>
                <c:pt idx="2">
                  <c:v>Nickel</c:v>
                </c:pt>
                <c:pt idx="3">
                  <c:v>Manganese</c:v>
                </c:pt>
                <c:pt idx="4">
                  <c:v>Cobalt</c:v>
                </c:pt>
                <c:pt idx="5">
                  <c:v>Graphite</c:v>
                </c:pt>
              </c:strCache>
            </c:strRef>
          </c:cat>
          <c:val>
            <c:numRef>
              <c:f>'EVs materials req (2)'!$AC$5:$AC$10</c:f>
              <c:numCache>
                <c:formatCode>0.000</c:formatCode>
                <c:ptCount val="6"/>
                <c:pt idx="0">
                  <c:v>3.221173777196043E-2</c:v>
                </c:pt>
                <c:pt idx="1">
                  <c:v>0.91195174316799499</c:v>
                </c:pt>
                <c:pt idx="2">
                  <c:v>0.18981916901333823</c:v>
                </c:pt>
                <c:pt idx="3">
                  <c:v>6.52711528537093E-3</c:v>
                </c:pt>
                <c:pt idx="4">
                  <c:v>0.89571597163562733</c:v>
                </c:pt>
                <c:pt idx="5">
                  <c:v>0.679352815416158</c:v>
                </c:pt>
              </c:numCache>
            </c:numRef>
          </c:val>
          <c:extLst>
            <c:ext xmlns:c16="http://schemas.microsoft.com/office/drawing/2014/chart" uri="{C3380CC4-5D6E-409C-BE32-E72D297353CC}">
              <c16:uniqueId val="{00000004-49F7-4DD4-B7C2-72B3452DFBA6}"/>
            </c:ext>
          </c:extLst>
        </c:ser>
        <c:ser>
          <c:idx val="2"/>
          <c:order val="2"/>
          <c:tx>
            <c:v>45%</c:v>
          </c:tx>
          <c:spPr>
            <a:solidFill>
              <a:schemeClr val="accent3"/>
            </a:solidFill>
            <a:ln>
              <a:noFill/>
            </a:ln>
            <a:effectLst/>
          </c:spPr>
          <c:invertIfNegative val="0"/>
          <c:cat>
            <c:strRef>
              <c:f>'EVs materials req (2)'!$A$5:$A$10</c:f>
              <c:strCache>
                <c:ptCount val="6"/>
                <c:pt idx="0">
                  <c:v>Copper</c:v>
                </c:pt>
                <c:pt idx="1">
                  <c:v>Lithium</c:v>
                </c:pt>
                <c:pt idx="2">
                  <c:v>Nickel</c:v>
                </c:pt>
                <c:pt idx="3">
                  <c:v>Manganese</c:v>
                </c:pt>
                <c:pt idx="4">
                  <c:v>Cobalt</c:v>
                </c:pt>
                <c:pt idx="5">
                  <c:v>Graphite</c:v>
                </c:pt>
              </c:strCache>
            </c:strRef>
          </c:cat>
          <c:val>
            <c:numRef>
              <c:f>'EVs materials req (2)'!$AD$5:$AD$10</c:f>
              <c:numCache>
                <c:formatCode>0.000</c:formatCode>
                <c:ptCount val="6"/>
                <c:pt idx="0">
                  <c:v>3.6238204993455488E-2</c:v>
                </c:pt>
                <c:pt idx="1">
                  <c:v>1.0259457110639942</c:v>
                </c:pt>
                <c:pt idx="2">
                  <c:v>0.2135465651400055</c:v>
                </c:pt>
                <c:pt idx="3">
                  <c:v>7.3430046960422952E-3</c:v>
                </c:pt>
                <c:pt idx="4">
                  <c:v>1.0076804680900808</c:v>
                </c:pt>
                <c:pt idx="5">
                  <c:v>0.76427191734317756</c:v>
                </c:pt>
              </c:numCache>
            </c:numRef>
          </c:val>
          <c:extLst>
            <c:ext xmlns:c16="http://schemas.microsoft.com/office/drawing/2014/chart" uri="{C3380CC4-5D6E-409C-BE32-E72D297353CC}">
              <c16:uniqueId val="{00000005-49F7-4DD4-B7C2-72B3452DFBA6}"/>
            </c:ext>
          </c:extLst>
        </c:ser>
        <c:ser>
          <c:idx val="3"/>
          <c:order val="3"/>
          <c:tx>
            <c:v>50%</c:v>
          </c:tx>
          <c:spPr>
            <a:solidFill>
              <a:schemeClr val="accent4"/>
            </a:solidFill>
            <a:ln>
              <a:noFill/>
            </a:ln>
            <a:effectLst/>
          </c:spPr>
          <c:invertIfNegative val="0"/>
          <c:cat>
            <c:strRef>
              <c:f>'EVs materials req (2)'!$A$5:$A$10</c:f>
              <c:strCache>
                <c:ptCount val="6"/>
                <c:pt idx="0">
                  <c:v>Copper</c:v>
                </c:pt>
                <c:pt idx="1">
                  <c:v>Lithium</c:v>
                </c:pt>
                <c:pt idx="2">
                  <c:v>Nickel</c:v>
                </c:pt>
                <c:pt idx="3">
                  <c:v>Manganese</c:v>
                </c:pt>
                <c:pt idx="4">
                  <c:v>Cobalt</c:v>
                </c:pt>
                <c:pt idx="5">
                  <c:v>Graphite</c:v>
                </c:pt>
              </c:strCache>
            </c:strRef>
          </c:cat>
          <c:val>
            <c:numRef>
              <c:f>'EVs materials req (2)'!$AE$5:$AE$10</c:f>
              <c:numCache>
                <c:formatCode>0.000</c:formatCode>
                <c:ptCount val="6"/>
                <c:pt idx="0">
                  <c:v>4.0264672214950538E-2</c:v>
                </c:pt>
                <c:pt idx="1">
                  <c:v>1.1399396789599938</c:v>
                </c:pt>
                <c:pt idx="2">
                  <c:v>0.23727396126667283</c:v>
                </c:pt>
                <c:pt idx="3">
                  <c:v>8.1588941067136621E-3</c:v>
                </c:pt>
                <c:pt idx="4">
                  <c:v>1.1196449645445343</c:v>
                </c:pt>
                <c:pt idx="5">
                  <c:v>0.84919101927019747</c:v>
                </c:pt>
              </c:numCache>
            </c:numRef>
          </c:val>
          <c:extLst>
            <c:ext xmlns:c16="http://schemas.microsoft.com/office/drawing/2014/chart" uri="{C3380CC4-5D6E-409C-BE32-E72D297353CC}">
              <c16:uniqueId val="{00000006-49F7-4DD4-B7C2-72B3452DFBA6}"/>
            </c:ext>
          </c:extLst>
        </c:ser>
        <c:ser>
          <c:idx val="4"/>
          <c:order val="4"/>
          <c:tx>
            <c:v>70%</c:v>
          </c:tx>
          <c:spPr>
            <a:solidFill>
              <a:schemeClr val="accent5"/>
            </a:solidFill>
            <a:ln>
              <a:noFill/>
            </a:ln>
            <a:effectLst/>
          </c:spPr>
          <c:invertIfNegative val="0"/>
          <c:cat>
            <c:strRef>
              <c:f>'EVs materials req (2)'!$A$5:$A$10</c:f>
              <c:strCache>
                <c:ptCount val="6"/>
                <c:pt idx="0">
                  <c:v>Copper</c:v>
                </c:pt>
                <c:pt idx="1">
                  <c:v>Lithium</c:v>
                </c:pt>
                <c:pt idx="2">
                  <c:v>Nickel</c:v>
                </c:pt>
                <c:pt idx="3">
                  <c:v>Manganese</c:v>
                </c:pt>
                <c:pt idx="4">
                  <c:v>Cobalt</c:v>
                </c:pt>
                <c:pt idx="5">
                  <c:v>Graphite</c:v>
                </c:pt>
              </c:strCache>
            </c:strRef>
          </c:cat>
          <c:val>
            <c:numRef>
              <c:f>'EVs materials req (2)'!$AF$5:$AF$10</c:f>
              <c:numCache>
                <c:formatCode>0.000</c:formatCode>
                <c:ptCount val="6"/>
                <c:pt idx="0">
                  <c:v>5.6370541100930753E-2</c:v>
                </c:pt>
                <c:pt idx="1">
                  <c:v>1.595915550543991</c:v>
                </c:pt>
                <c:pt idx="2">
                  <c:v>0.33218354577334197</c:v>
                </c:pt>
                <c:pt idx="3">
                  <c:v>1.1422451749399128E-2</c:v>
                </c:pt>
                <c:pt idx="4">
                  <c:v>1.5675029503623479</c:v>
                </c:pt>
                <c:pt idx="5">
                  <c:v>1.1888674269782764</c:v>
                </c:pt>
              </c:numCache>
            </c:numRef>
          </c:val>
          <c:extLst>
            <c:ext xmlns:c16="http://schemas.microsoft.com/office/drawing/2014/chart" uri="{C3380CC4-5D6E-409C-BE32-E72D297353CC}">
              <c16:uniqueId val="{00000007-49F7-4DD4-B7C2-72B3452DFBA6}"/>
            </c:ext>
          </c:extLst>
        </c:ser>
        <c:ser>
          <c:idx val="5"/>
          <c:order val="5"/>
          <c:tx>
            <c:v>100%</c:v>
          </c:tx>
          <c:spPr>
            <a:solidFill>
              <a:schemeClr val="accent6"/>
            </a:solidFill>
            <a:ln>
              <a:noFill/>
            </a:ln>
            <a:effectLst/>
          </c:spPr>
          <c:invertIfNegative val="0"/>
          <c:cat>
            <c:strRef>
              <c:f>'EVs materials req (2)'!$A$5:$A$10</c:f>
              <c:strCache>
                <c:ptCount val="6"/>
                <c:pt idx="0">
                  <c:v>Copper</c:v>
                </c:pt>
                <c:pt idx="1">
                  <c:v>Lithium</c:v>
                </c:pt>
                <c:pt idx="2">
                  <c:v>Nickel</c:v>
                </c:pt>
                <c:pt idx="3">
                  <c:v>Manganese</c:v>
                </c:pt>
                <c:pt idx="4">
                  <c:v>Cobalt</c:v>
                </c:pt>
                <c:pt idx="5">
                  <c:v>Graphite</c:v>
                </c:pt>
              </c:strCache>
            </c:strRef>
          </c:cat>
          <c:val>
            <c:numRef>
              <c:f>'EVs materials req (2)'!$AG$5:$AG$10</c:f>
              <c:numCache>
                <c:formatCode>0.000</c:formatCode>
                <c:ptCount val="6"/>
                <c:pt idx="0">
                  <c:v>8.0529344429901076E-2</c:v>
                </c:pt>
                <c:pt idx="1">
                  <c:v>2.2798793579199876</c:v>
                </c:pt>
                <c:pt idx="2">
                  <c:v>0.47454792253334566</c:v>
                </c:pt>
                <c:pt idx="3">
                  <c:v>1.6317788213427324E-2</c:v>
                </c:pt>
                <c:pt idx="4">
                  <c:v>2.2392899290890687</c:v>
                </c:pt>
                <c:pt idx="5">
                  <c:v>1.6983820385403949</c:v>
                </c:pt>
              </c:numCache>
            </c:numRef>
          </c:val>
          <c:extLst>
            <c:ext xmlns:c16="http://schemas.microsoft.com/office/drawing/2014/chart" uri="{C3380CC4-5D6E-409C-BE32-E72D297353CC}">
              <c16:uniqueId val="{00000008-49F7-4DD4-B7C2-72B3452DFBA6}"/>
            </c:ext>
          </c:extLst>
        </c:ser>
        <c:dLbls>
          <c:showLegendKey val="0"/>
          <c:showVal val="0"/>
          <c:showCatName val="0"/>
          <c:showSerName val="0"/>
          <c:showPercent val="0"/>
          <c:showBubbleSize val="0"/>
        </c:dLbls>
        <c:gapWidth val="150"/>
        <c:axId val="316331183"/>
        <c:axId val="92023792"/>
      </c:barChart>
      <c:catAx>
        <c:axId val="316331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Material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23792"/>
        <c:crosses val="autoZero"/>
        <c:auto val="1"/>
        <c:lblAlgn val="ctr"/>
        <c:lblOffset val="100"/>
        <c:noMultiLvlLbl val="0"/>
      </c:catAx>
      <c:valAx>
        <c:axId val="920237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x</a:t>
                </a:r>
                <a:r>
                  <a:rPr lang="es-MX" baseline="0"/>
                  <a:t> times current production</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33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Lithium</a:t>
            </a:r>
            <a:r>
              <a:rPr lang="es-MX" baseline="0"/>
              <a:t> requirements for d</a:t>
            </a:r>
            <a:r>
              <a:rPr lang="es-MX"/>
              <a:t>ifferent</a:t>
            </a:r>
            <a:r>
              <a:rPr lang="es-MX" baseline="0"/>
              <a:t> transition scenarios for Texas </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'EVs materials req (2)'!$I$20:$L$20</c:f>
              <c:strCache>
                <c:ptCount val="4"/>
                <c:pt idx="0">
                  <c:v>33.17</c:v>
                </c:pt>
                <c:pt idx="1">
                  <c:v>50</c:v>
                </c:pt>
                <c:pt idx="2">
                  <c:v>70</c:v>
                </c:pt>
                <c:pt idx="3">
                  <c:v>100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'EVs materials req (2)'!$I$20:$L$20</c:f>
              <c:numCache>
                <c:formatCode>General</c:formatCode>
                <c:ptCount val="4"/>
                <c:pt idx="0">
                  <c:v>33.17</c:v>
                </c:pt>
                <c:pt idx="1">
                  <c:v>50</c:v>
                </c:pt>
                <c:pt idx="2">
                  <c:v>70</c:v>
                </c:pt>
                <c:pt idx="3">
                  <c:v>100</c:v>
                </c:pt>
              </c:numCache>
            </c:numRef>
          </c:cat>
          <c:val>
            <c:numRef>
              <c:f>'EVs materials req (2)'!$I$19:$L$19</c:f>
              <c:numCache>
                <c:formatCode>0.00</c:formatCode>
                <c:ptCount val="4"/>
                <c:pt idx="0">
                  <c:v>15.613569363547802</c:v>
                </c:pt>
                <c:pt idx="1">
                  <c:v>23.53790640477942</c:v>
                </c:pt>
                <c:pt idx="2">
                  <c:v>32.953068966691191</c:v>
                </c:pt>
                <c:pt idx="3">
                  <c:v>47.07581280955884</c:v>
                </c:pt>
              </c:numCache>
            </c:numRef>
          </c:val>
          <c:extLst>
            <c:ext xmlns:c16="http://schemas.microsoft.com/office/drawing/2014/chart" uri="{C3380CC4-5D6E-409C-BE32-E72D297353CC}">
              <c16:uniqueId val="{00000000-ADC2-4545-B73F-126DF67003CE}"/>
            </c:ext>
          </c:extLst>
        </c:ser>
        <c:dLbls>
          <c:dLblPos val="outEnd"/>
          <c:showLegendKey val="0"/>
          <c:showVal val="1"/>
          <c:showCatName val="0"/>
          <c:showSerName val="0"/>
          <c:showPercent val="0"/>
          <c:showBubbleSize val="0"/>
        </c:dLbls>
        <c:gapWidth val="219"/>
        <c:overlap val="-27"/>
        <c:axId val="1584656480"/>
        <c:axId val="1017367984"/>
      </c:barChart>
      <c:catAx>
        <c:axId val="1584656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%EVs</a:t>
                </a:r>
                <a:r>
                  <a:rPr lang="es-MX" baseline="0"/>
                  <a:t> in the fleet by 2050</a:t>
                </a:r>
                <a:endParaRPr lang="es-MX"/>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367984"/>
        <c:crosses val="autoZero"/>
        <c:auto val="1"/>
        <c:lblAlgn val="ctr"/>
        <c:lblOffset val="100"/>
        <c:noMultiLvlLbl val="0"/>
      </c:catAx>
      <c:valAx>
        <c:axId val="10173679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a:t>
                </a:r>
                <a:r>
                  <a:rPr lang="es-MX" baseline="0"/>
                  <a:t> US Lithium reserves</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656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Texas</a:t>
            </a:r>
            <a:r>
              <a:rPr lang="es-MX" baseline="0"/>
              <a:t> registered vehicles</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v>EV</c:v>
          </c:tx>
          <c:spPr>
            <a:solidFill>
              <a:schemeClr val="accent1"/>
            </a:solidFill>
            <a:ln>
              <a:noFill/>
            </a:ln>
            <a:effectLst/>
          </c:spPr>
          <c:cat>
            <c:numRef>
              <c:f>'Texas pop'!$C$5:$I$5</c:f>
              <c:numCache>
                <c:formatCode>General</c:formatCode>
                <c:ptCount val="7"/>
                <c:pt idx="0">
                  <c:v>2016</c:v>
                </c:pt>
                <c:pt idx="1">
                  <c:v>2017</c:v>
                </c:pt>
                <c:pt idx="2">
                  <c:v>2018</c:v>
                </c:pt>
                <c:pt idx="3">
                  <c:v>2019</c:v>
                </c:pt>
                <c:pt idx="4">
                  <c:v>2020</c:v>
                </c:pt>
                <c:pt idx="5">
                  <c:v>2021</c:v>
                </c:pt>
                <c:pt idx="6">
                  <c:v>2022</c:v>
                </c:pt>
              </c:numCache>
            </c:numRef>
          </c:cat>
          <c:val>
            <c:numRef>
              <c:f>'Texas pop'!$C$6:$I$6</c:f>
              <c:numCache>
                <c:formatCode>General</c:formatCode>
                <c:ptCount val="7"/>
                <c:pt idx="0">
                  <c:v>11900</c:v>
                </c:pt>
                <c:pt idx="1">
                  <c:v>16100</c:v>
                </c:pt>
                <c:pt idx="2">
                  <c:v>24500</c:v>
                </c:pt>
                <c:pt idx="3">
                  <c:v>38400</c:v>
                </c:pt>
                <c:pt idx="4">
                  <c:v>52200</c:v>
                </c:pt>
                <c:pt idx="5">
                  <c:v>80900</c:v>
                </c:pt>
                <c:pt idx="6">
                  <c:v>149000</c:v>
                </c:pt>
              </c:numCache>
            </c:numRef>
          </c:val>
          <c:extLst>
            <c:ext xmlns:c16="http://schemas.microsoft.com/office/drawing/2014/chart" uri="{C3380CC4-5D6E-409C-BE32-E72D297353CC}">
              <c16:uniqueId val="{00000000-3A92-4102-A93C-3E38B44B5B8C}"/>
            </c:ext>
          </c:extLst>
        </c:ser>
        <c:ser>
          <c:idx val="1"/>
          <c:order val="1"/>
          <c:tx>
            <c:v>PHEV</c:v>
          </c:tx>
          <c:spPr>
            <a:solidFill>
              <a:schemeClr val="accent2"/>
            </a:solidFill>
            <a:ln w="25400">
              <a:noFill/>
            </a:ln>
            <a:effectLst/>
          </c:spPr>
          <c:cat>
            <c:numRef>
              <c:f>'Texas pop'!$C$5:$I$5</c:f>
              <c:numCache>
                <c:formatCode>General</c:formatCode>
                <c:ptCount val="7"/>
                <c:pt idx="0">
                  <c:v>2016</c:v>
                </c:pt>
                <c:pt idx="1">
                  <c:v>2017</c:v>
                </c:pt>
                <c:pt idx="2">
                  <c:v>2018</c:v>
                </c:pt>
                <c:pt idx="3">
                  <c:v>2019</c:v>
                </c:pt>
                <c:pt idx="4">
                  <c:v>2020</c:v>
                </c:pt>
                <c:pt idx="5">
                  <c:v>2021</c:v>
                </c:pt>
                <c:pt idx="6">
                  <c:v>2022</c:v>
                </c:pt>
              </c:numCache>
            </c:numRef>
          </c:cat>
          <c:val>
            <c:numRef>
              <c:f>'Texas pop'!$C$7:$I$7</c:f>
              <c:numCache>
                <c:formatCode>General</c:formatCode>
                <c:ptCount val="7"/>
                <c:pt idx="0">
                  <c:v>8000</c:v>
                </c:pt>
                <c:pt idx="1">
                  <c:v>10900</c:v>
                </c:pt>
                <c:pt idx="2">
                  <c:v>14700</c:v>
                </c:pt>
                <c:pt idx="3">
                  <c:v>18100</c:v>
                </c:pt>
                <c:pt idx="4">
                  <c:v>20400</c:v>
                </c:pt>
                <c:pt idx="5">
                  <c:v>30600</c:v>
                </c:pt>
                <c:pt idx="6">
                  <c:v>42800</c:v>
                </c:pt>
              </c:numCache>
            </c:numRef>
          </c:val>
          <c:extLst>
            <c:ext xmlns:c16="http://schemas.microsoft.com/office/drawing/2014/chart" uri="{C3380CC4-5D6E-409C-BE32-E72D297353CC}">
              <c16:uniqueId val="{00000001-3A92-4102-A93C-3E38B44B5B8C}"/>
            </c:ext>
          </c:extLst>
        </c:ser>
        <c:ser>
          <c:idx val="2"/>
          <c:order val="2"/>
          <c:tx>
            <c:v>HEV</c:v>
          </c:tx>
          <c:spPr>
            <a:solidFill>
              <a:schemeClr val="accent3"/>
            </a:solidFill>
            <a:ln w="25400">
              <a:noFill/>
            </a:ln>
            <a:effectLst/>
          </c:spPr>
          <c:cat>
            <c:numRef>
              <c:f>'Texas pop'!$C$5:$I$5</c:f>
              <c:numCache>
                <c:formatCode>General</c:formatCode>
                <c:ptCount val="7"/>
                <c:pt idx="0">
                  <c:v>2016</c:v>
                </c:pt>
                <c:pt idx="1">
                  <c:v>2017</c:v>
                </c:pt>
                <c:pt idx="2">
                  <c:v>2018</c:v>
                </c:pt>
                <c:pt idx="3">
                  <c:v>2019</c:v>
                </c:pt>
                <c:pt idx="4">
                  <c:v>2020</c:v>
                </c:pt>
                <c:pt idx="5">
                  <c:v>2021</c:v>
                </c:pt>
                <c:pt idx="6">
                  <c:v>2022</c:v>
                </c:pt>
              </c:numCache>
            </c:numRef>
          </c:cat>
          <c:val>
            <c:numRef>
              <c:f>'Texas pop'!$C$8:$I$8</c:f>
              <c:numCache>
                <c:formatCode>General</c:formatCode>
                <c:ptCount val="7"/>
                <c:pt idx="0">
                  <c:v>205800</c:v>
                </c:pt>
                <c:pt idx="1">
                  <c:v>217100</c:v>
                </c:pt>
                <c:pt idx="2">
                  <c:v>227100</c:v>
                </c:pt>
                <c:pt idx="3">
                  <c:v>244600</c:v>
                </c:pt>
                <c:pt idx="4">
                  <c:v>262300</c:v>
                </c:pt>
                <c:pt idx="5">
                  <c:v>304700</c:v>
                </c:pt>
                <c:pt idx="6">
                  <c:v>361800</c:v>
                </c:pt>
              </c:numCache>
            </c:numRef>
          </c:val>
          <c:extLst>
            <c:ext xmlns:c16="http://schemas.microsoft.com/office/drawing/2014/chart" uri="{C3380CC4-5D6E-409C-BE32-E72D297353CC}">
              <c16:uniqueId val="{00000002-3A92-4102-A93C-3E38B44B5B8C}"/>
            </c:ext>
          </c:extLst>
        </c:ser>
        <c:ser>
          <c:idx val="3"/>
          <c:order val="3"/>
          <c:tx>
            <c:strRef>
              <c:f>'Texas pop'!$A$9</c:f>
              <c:strCache>
                <c:ptCount val="1"/>
                <c:pt idx="0">
                  <c:v>Biodiesel vehicle</c:v>
                </c:pt>
              </c:strCache>
            </c:strRef>
          </c:tx>
          <c:spPr>
            <a:solidFill>
              <a:schemeClr val="accent4"/>
            </a:solidFill>
            <a:ln w="25400">
              <a:noFill/>
            </a:ln>
            <a:effectLst/>
          </c:spPr>
          <c:cat>
            <c:numRef>
              <c:f>'Texas pop'!$C$5:$I$5</c:f>
              <c:numCache>
                <c:formatCode>General</c:formatCode>
                <c:ptCount val="7"/>
                <c:pt idx="0">
                  <c:v>2016</c:v>
                </c:pt>
                <c:pt idx="1">
                  <c:v>2017</c:v>
                </c:pt>
                <c:pt idx="2">
                  <c:v>2018</c:v>
                </c:pt>
                <c:pt idx="3">
                  <c:v>2019</c:v>
                </c:pt>
                <c:pt idx="4">
                  <c:v>2020</c:v>
                </c:pt>
                <c:pt idx="5">
                  <c:v>2021</c:v>
                </c:pt>
                <c:pt idx="6">
                  <c:v>2022</c:v>
                </c:pt>
              </c:numCache>
            </c:numRef>
          </c:cat>
          <c:val>
            <c:numRef>
              <c:f>'Texas pop'!$C$9:$I$9</c:f>
              <c:numCache>
                <c:formatCode>General</c:formatCode>
                <c:ptCount val="7"/>
                <c:pt idx="5">
                  <c:v>376300</c:v>
                </c:pt>
                <c:pt idx="6">
                  <c:v>420800</c:v>
                </c:pt>
              </c:numCache>
            </c:numRef>
          </c:val>
          <c:extLst>
            <c:ext xmlns:c16="http://schemas.microsoft.com/office/drawing/2014/chart" uri="{C3380CC4-5D6E-409C-BE32-E72D297353CC}">
              <c16:uniqueId val="{00000003-3A92-4102-A93C-3E38B44B5B8C}"/>
            </c:ext>
          </c:extLst>
        </c:ser>
        <c:ser>
          <c:idx val="4"/>
          <c:order val="4"/>
          <c:tx>
            <c:v>Ethanol</c:v>
          </c:tx>
          <c:spPr>
            <a:solidFill>
              <a:schemeClr val="accent5"/>
            </a:solidFill>
            <a:ln>
              <a:noFill/>
            </a:ln>
            <a:effectLst/>
          </c:spPr>
          <c:cat>
            <c:numRef>
              <c:f>'Texas pop'!$C$5:$I$5</c:f>
              <c:numCache>
                <c:formatCode>General</c:formatCode>
                <c:ptCount val="7"/>
                <c:pt idx="0">
                  <c:v>2016</c:v>
                </c:pt>
                <c:pt idx="1">
                  <c:v>2017</c:v>
                </c:pt>
                <c:pt idx="2">
                  <c:v>2018</c:v>
                </c:pt>
                <c:pt idx="3">
                  <c:v>2019</c:v>
                </c:pt>
                <c:pt idx="4">
                  <c:v>2020</c:v>
                </c:pt>
                <c:pt idx="5">
                  <c:v>2021</c:v>
                </c:pt>
                <c:pt idx="6">
                  <c:v>2022</c:v>
                </c:pt>
              </c:numCache>
            </c:numRef>
          </c:cat>
          <c:val>
            <c:numRef>
              <c:f>'Texas pop'!$C$10:$I$10</c:f>
              <c:numCache>
                <c:formatCode>General</c:formatCode>
                <c:ptCount val="7"/>
                <c:pt idx="0">
                  <c:v>2596600</c:v>
                </c:pt>
                <c:pt idx="1">
                  <c:v>2813400</c:v>
                </c:pt>
                <c:pt idx="2">
                  <c:v>3005900</c:v>
                </c:pt>
                <c:pt idx="3">
                  <c:v>3200700</c:v>
                </c:pt>
                <c:pt idx="4">
                  <c:v>3250000</c:v>
                </c:pt>
                <c:pt idx="5">
                  <c:v>2422300</c:v>
                </c:pt>
                <c:pt idx="6">
                  <c:v>2398800</c:v>
                </c:pt>
              </c:numCache>
            </c:numRef>
          </c:val>
          <c:extLst>
            <c:ext xmlns:c16="http://schemas.microsoft.com/office/drawing/2014/chart" uri="{C3380CC4-5D6E-409C-BE32-E72D297353CC}">
              <c16:uniqueId val="{00000004-3A92-4102-A93C-3E38B44B5B8C}"/>
            </c:ext>
          </c:extLst>
        </c:ser>
        <c:ser>
          <c:idx val="5"/>
          <c:order val="5"/>
          <c:tx>
            <c:v>CNG</c:v>
          </c:tx>
          <c:spPr>
            <a:solidFill>
              <a:schemeClr val="accent6"/>
            </a:solidFill>
            <a:ln w="25400">
              <a:noFill/>
            </a:ln>
            <a:effectLst/>
          </c:spPr>
          <c:cat>
            <c:numRef>
              <c:f>'Texas pop'!$C$5:$I$5</c:f>
              <c:numCache>
                <c:formatCode>General</c:formatCode>
                <c:ptCount val="7"/>
                <c:pt idx="0">
                  <c:v>2016</c:v>
                </c:pt>
                <c:pt idx="1">
                  <c:v>2017</c:v>
                </c:pt>
                <c:pt idx="2">
                  <c:v>2018</c:v>
                </c:pt>
                <c:pt idx="3">
                  <c:v>2019</c:v>
                </c:pt>
                <c:pt idx="4">
                  <c:v>2020</c:v>
                </c:pt>
                <c:pt idx="5">
                  <c:v>2021</c:v>
                </c:pt>
                <c:pt idx="6">
                  <c:v>2022</c:v>
                </c:pt>
              </c:numCache>
            </c:numRef>
          </c:cat>
          <c:val>
            <c:numRef>
              <c:f>'Texas pop'!$C$11:$I$11</c:f>
              <c:numCache>
                <c:formatCode>General</c:formatCode>
                <c:ptCount val="7"/>
                <c:pt idx="0">
                  <c:v>64700</c:v>
                </c:pt>
                <c:pt idx="1">
                  <c:v>56900</c:v>
                </c:pt>
                <c:pt idx="2">
                  <c:v>51300</c:v>
                </c:pt>
                <c:pt idx="3">
                  <c:v>47300</c:v>
                </c:pt>
                <c:pt idx="4">
                  <c:v>43600</c:v>
                </c:pt>
                <c:pt idx="5">
                  <c:v>2200</c:v>
                </c:pt>
                <c:pt idx="6">
                  <c:v>1400</c:v>
                </c:pt>
              </c:numCache>
            </c:numRef>
          </c:val>
          <c:extLst>
            <c:ext xmlns:c16="http://schemas.microsoft.com/office/drawing/2014/chart" uri="{C3380CC4-5D6E-409C-BE32-E72D297353CC}">
              <c16:uniqueId val="{00000005-3A92-4102-A93C-3E38B44B5B8C}"/>
            </c:ext>
          </c:extLst>
        </c:ser>
        <c:ser>
          <c:idx val="6"/>
          <c:order val="6"/>
          <c:tx>
            <c:v>Hydrogen</c:v>
          </c:tx>
          <c:spPr>
            <a:solidFill>
              <a:schemeClr val="accent1">
                <a:lumMod val="60000"/>
              </a:schemeClr>
            </a:solidFill>
            <a:ln w="25400">
              <a:noFill/>
            </a:ln>
            <a:effectLst/>
          </c:spPr>
          <c:cat>
            <c:numRef>
              <c:f>'Texas pop'!$C$5:$I$5</c:f>
              <c:numCache>
                <c:formatCode>General</c:formatCode>
                <c:ptCount val="7"/>
                <c:pt idx="0">
                  <c:v>2016</c:v>
                </c:pt>
                <c:pt idx="1">
                  <c:v>2017</c:v>
                </c:pt>
                <c:pt idx="2">
                  <c:v>2018</c:v>
                </c:pt>
                <c:pt idx="3">
                  <c:v>2019</c:v>
                </c:pt>
                <c:pt idx="4">
                  <c:v>2020</c:v>
                </c:pt>
                <c:pt idx="5">
                  <c:v>2021</c:v>
                </c:pt>
                <c:pt idx="6">
                  <c:v>2022</c:v>
                </c:pt>
              </c:numCache>
            </c:numRef>
          </c:cat>
          <c:val>
            <c:numRef>
              <c:f>'Texas pop'!$C$13:$I$13</c:f>
              <c:numCache>
                <c:formatCode>General</c:formatCode>
                <c:ptCount val="7"/>
                <c:pt idx="3">
                  <c:v>100</c:v>
                </c:pt>
                <c:pt idx="4">
                  <c:v>100</c:v>
                </c:pt>
              </c:numCache>
            </c:numRef>
          </c:val>
          <c:extLst>
            <c:ext xmlns:c16="http://schemas.microsoft.com/office/drawing/2014/chart" uri="{C3380CC4-5D6E-409C-BE32-E72D297353CC}">
              <c16:uniqueId val="{00000006-3A92-4102-A93C-3E38B44B5B8C}"/>
            </c:ext>
          </c:extLst>
        </c:ser>
        <c:ser>
          <c:idx val="7"/>
          <c:order val="7"/>
          <c:tx>
            <c:v>Gasoline</c:v>
          </c:tx>
          <c:spPr>
            <a:solidFill>
              <a:schemeClr val="accent2">
                <a:lumMod val="60000"/>
              </a:schemeClr>
            </a:solidFill>
            <a:ln>
              <a:noFill/>
            </a:ln>
            <a:effectLst/>
          </c:spPr>
          <c:cat>
            <c:numRef>
              <c:f>'Texas pop'!$C$5:$I$5</c:f>
              <c:numCache>
                <c:formatCode>General</c:formatCode>
                <c:ptCount val="7"/>
                <c:pt idx="0">
                  <c:v>2016</c:v>
                </c:pt>
                <c:pt idx="1">
                  <c:v>2017</c:v>
                </c:pt>
                <c:pt idx="2">
                  <c:v>2018</c:v>
                </c:pt>
                <c:pt idx="3">
                  <c:v>2019</c:v>
                </c:pt>
                <c:pt idx="4">
                  <c:v>2020</c:v>
                </c:pt>
                <c:pt idx="5">
                  <c:v>2021</c:v>
                </c:pt>
                <c:pt idx="6">
                  <c:v>2022</c:v>
                </c:pt>
              </c:numCache>
            </c:numRef>
          </c:cat>
          <c:val>
            <c:numRef>
              <c:f>'Texas pop'!$C$14:$I$14</c:f>
              <c:numCache>
                <c:formatCode>General</c:formatCode>
                <c:ptCount val="7"/>
                <c:pt idx="0">
                  <c:v>18245400</c:v>
                </c:pt>
                <c:pt idx="1">
                  <c:v>18252800</c:v>
                </c:pt>
                <c:pt idx="2">
                  <c:v>18453800</c:v>
                </c:pt>
                <c:pt idx="3">
                  <c:v>19293900</c:v>
                </c:pt>
                <c:pt idx="4">
                  <c:v>19609700</c:v>
                </c:pt>
                <c:pt idx="5">
                  <c:v>20599100</c:v>
                </c:pt>
                <c:pt idx="6">
                  <c:v>21065800</c:v>
                </c:pt>
              </c:numCache>
            </c:numRef>
          </c:val>
          <c:extLst>
            <c:ext xmlns:c16="http://schemas.microsoft.com/office/drawing/2014/chart" uri="{C3380CC4-5D6E-409C-BE32-E72D297353CC}">
              <c16:uniqueId val="{00000007-3A92-4102-A93C-3E38B44B5B8C}"/>
            </c:ext>
          </c:extLst>
        </c:ser>
        <c:ser>
          <c:idx val="8"/>
          <c:order val="8"/>
          <c:tx>
            <c:v>Diesel</c:v>
          </c:tx>
          <c:spPr>
            <a:solidFill>
              <a:schemeClr val="accent3">
                <a:lumMod val="60000"/>
              </a:schemeClr>
            </a:solidFill>
            <a:ln>
              <a:noFill/>
            </a:ln>
            <a:effectLst/>
          </c:spPr>
          <c:cat>
            <c:numRef>
              <c:f>'Texas pop'!$C$5:$I$5</c:f>
              <c:numCache>
                <c:formatCode>General</c:formatCode>
                <c:ptCount val="7"/>
                <c:pt idx="0">
                  <c:v>2016</c:v>
                </c:pt>
                <c:pt idx="1">
                  <c:v>2017</c:v>
                </c:pt>
                <c:pt idx="2">
                  <c:v>2018</c:v>
                </c:pt>
                <c:pt idx="3">
                  <c:v>2019</c:v>
                </c:pt>
                <c:pt idx="4">
                  <c:v>2020</c:v>
                </c:pt>
                <c:pt idx="5">
                  <c:v>2021</c:v>
                </c:pt>
                <c:pt idx="6">
                  <c:v>2022</c:v>
                </c:pt>
              </c:numCache>
            </c:numRef>
          </c:cat>
          <c:val>
            <c:numRef>
              <c:f>'Texas pop'!$C$15:$I$15</c:f>
              <c:numCache>
                <c:formatCode>General</c:formatCode>
                <c:ptCount val="7"/>
                <c:pt idx="0">
                  <c:v>961200</c:v>
                </c:pt>
                <c:pt idx="1">
                  <c:v>982900</c:v>
                </c:pt>
                <c:pt idx="2">
                  <c:v>1019300</c:v>
                </c:pt>
                <c:pt idx="3">
                  <c:v>1070200</c:v>
                </c:pt>
                <c:pt idx="4">
                  <c:v>1107000</c:v>
                </c:pt>
                <c:pt idx="5">
                  <c:v>765100</c:v>
                </c:pt>
                <c:pt idx="6">
                  <c:v>771100</c:v>
                </c:pt>
              </c:numCache>
            </c:numRef>
          </c:val>
          <c:extLst>
            <c:ext xmlns:c16="http://schemas.microsoft.com/office/drawing/2014/chart" uri="{C3380CC4-5D6E-409C-BE32-E72D297353CC}">
              <c16:uniqueId val="{00000008-3A92-4102-A93C-3E38B44B5B8C}"/>
            </c:ext>
          </c:extLst>
        </c:ser>
        <c:ser>
          <c:idx val="9"/>
          <c:order val="9"/>
          <c:tx>
            <c:v>Unknown fuel</c:v>
          </c:tx>
          <c:spPr>
            <a:solidFill>
              <a:schemeClr val="accent4">
                <a:lumMod val="60000"/>
              </a:schemeClr>
            </a:solidFill>
            <a:ln>
              <a:noFill/>
            </a:ln>
            <a:effectLst/>
          </c:spPr>
          <c:cat>
            <c:numRef>
              <c:f>'Texas pop'!$C$5:$I$5</c:f>
              <c:numCache>
                <c:formatCode>General</c:formatCode>
                <c:ptCount val="7"/>
                <c:pt idx="0">
                  <c:v>2016</c:v>
                </c:pt>
                <c:pt idx="1">
                  <c:v>2017</c:v>
                </c:pt>
                <c:pt idx="2">
                  <c:v>2018</c:v>
                </c:pt>
                <c:pt idx="3">
                  <c:v>2019</c:v>
                </c:pt>
                <c:pt idx="4">
                  <c:v>2020</c:v>
                </c:pt>
                <c:pt idx="5">
                  <c:v>2021</c:v>
                </c:pt>
                <c:pt idx="6">
                  <c:v>2022</c:v>
                </c:pt>
              </c:numCache>
            </c:numRef>
          </c:cat>
          <c:val>
            <c:numRef>
              <c:f>'Texas pop'!$C$6:$I$6</c:f>
              <c:numCache>
                <c:formatCode>General</c:formatCode>
                <c:ptCount val="7"/>
                <c:pt idx="0">
                  <c:v>11900</c:v>
                </c:pt>
                <c:pt idx="1">
                  <c:v>16100</c:v>
                </c:pt>
                <c:pt idx="2">
                  <c:v>24500</c:v>
                </c:pt>
                <c:pt idx="3">
                  <c:v>38400</c:v>
                </c:pt>
                <c:pt idx="4">
                  <c:v>52200</c:v>
                </c:pt>
                <c:pt idx="5">
                  <c:v>80900</c:v>
                </c:pt>
                <c:pt idx="6">
                  <c:v>149000</c:v>
                </c:pt>
              </c:numCache>
            </c:numRef>
          </c:val>
          <c:extLst>
            <c:ext xmlns:c16="http://schemas.microsoft.com/office/drawing/2014/chart" uri="{C3380CC4-5D6E-409C-BE32-E72D297353CC}">
              <c16:uniqueId val="{00000009-3A92-4102-A93C-3E38B44B5B8C}"/>
            </c:ext>
          </c:extLst>
        </c:ser>
        <c:dLbls>
          <c:showLegendKey val="0"/>
          <c:showVal val="0"/>
          <c:showCatName val="0"/>
          <c:showSerName val="0"/>
          <c:showPercent val="0"/>
          <c:showBubbleSize val="0"/>
        </c:dLbls>
        <c:axId val="488389887"/>
        <c:axId val="1810065919"/>
      </c:areaChart>
      <c:catAx>
        <c:axId val="4883898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065919"/>
        <c:crosses val="autoZero"/>
        <c:auto val="1"/>
        <c:lblAlgn val="ctr"/>
        <c:lblOffset val="100"/>
        <c:noMultiLvlLbl val="0"/>
      </c:catAx>
      <c:valAx>
        <c:axId val="1810065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Total</a:t>
                </a:r>
                <a:r>
                  <a:rPr lang="es-MX" baseline="0"/>
                  <a:t> number of cars registered </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3898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EV</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forward val="27"/>
            <c:dispRSqr val="1"/>
            <c:dispEq val="1"/>
            <c:trendlineLbl>
              <c:layout>
                <c:manualLayout>
                  <c:x val="-8.5009282852654439E-2"/>
                  <c:y val="0.2264062595112449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'Texas pop'!$C$5:$I$5</c:f>
              <c:numCache>
                <c:formatCode>General</c:formatCode>
                <c:ptCount val="7"/>
                <c:pt idx="0">
                  <c:v>2016</c:v>
                </c:pt>
                <c:pt idx="1">
                  <c:v>2017</c:v>
                </c:pt>
                <c:pt idx="2">
                  <c:v>2018</c:v>
                </c:pt>
                <c:pt idx="3">
                  <c:v>2019</c:v>
                </c:pt>
                <c:pt idx="4">
                  <c:v>2020</c:v>
                </c:pt>
                <c:pt idx="5">
                  <c:v>2021</c:v>
                </c:pt>
                <c:pt idx="6">
                  <c:v>2022</c:v>
                </c:pt>
              </c:numCache>
            </c:numRef>
          </c:cat>
          <c:val>
            <c:numRef>
              <c:f>'Texas pop'!$C$6:$I$6</c:f>
              <c:numCache>
                <c:formatCode>General</c:formatCode>
                <c:ptCount val="7"/>
                <c:pt idx="0">
                  <c:v>11900</c:v>
                </c:pt>
                <c:pt idx="1">
                  <c:v>16100</c:v>
                </c:pt>
                <c:pt idx="2">
                  <c:v>24500</c:v>
                </c:pt>
                <c:pt idx="3">
                  <c:v>38400</c:v>
                </c:pt>
                <c:pt idx="4">
                  <c:v>52200</c:v>
                </c:pt>
                <c:pt idx="5">
                  <c:v>80900</c:v>
                </c:pt>
                <c:pt idx="6">
                  <c:v>149000</c:v>
                </c:pt>
              </c:numCache>
            </c:numRef>
          </c:val>
          <c:smooth val="0"/>
          <c:extLst>
            <c:ext xmlns:c16="http://schemas.microsoft.com/office/drawing/2014/chart" uri="{C3380CC4-5D6E-409C-BE32-E72D297353CC}">
              <c16:uniqueId val="{00000000-1634-45EA-ACFC-200E4A72EF3B}"/>
            </c:ext>
          </c:extLst>
        </c:ser>
        <c:ser>
          <c:idx val="1"/>
          <c:order val="1"/>
          <c:tx>
            <c:v>PHEV</c:v>
          </c:tx>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3"/>
            <c:forward val="2"/>
            <c:dispRSqr val="1"/>
            <c:dispEq val="1"/>
            <c:trendlineLbl>
              <c:layout>
                <c:manualLayout>
                  <c:x val="0.18770377750828265"/>
                  <c:y val="8.35266438951631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'Texas pop'!$C$5:$I$5</c:f>
              <c:numCache>
                <c:formatCode>General</c:formatCode>
                <c:ptCount val="7"/>
                <c:pt idx="0">
                  <c:v>2016</c:v>
                </c:pt>
                <c:pt idx="1">
                  <c:v>2017</c:v>
                </c:pt>
                <c:pt idx="2">
                  <c:v>2018</c:v>
                </c:pt>
                <c:pt idx="3">
                  <c:v>2019</c:v>
                </c:pt>
                <c:pt idx="4">
                  <c:v>2020</c:v>
                </c:pt>
                <c:pt idx="5">
                  <c:v>2021</c:v>
                </c:pt>
                <c:pt idx="6">
                  <c:v>2022</c:v>
                </c:pt>
              </c:numCache>
            </c:numRef>
          </c:cat>
          <c:val>
            <c:numRef>
              <c:f>'Texas pop'!$C$7:$I$7</c:f>
              <c:numCache>
                <c:formatCode>General</c:formatCode>
                <c:ptCount val="7"/>
                <c:pt idx="0">
                  <c:v>8000</c:v>
                </c:pt>
                <c:pt idx="1">
                  <c:v>10900</c:v>
                </c:pt>
                <c:pt idx="2">
                  <c:v>14700</c:v>
                </c:pt>
                <c:pt idx="3">
                  <c:v>18100</c:v>
                </c:pt>
                <c:pt idx="4">
                  <c:v>20400</c:v>
                </c:pt>
                <c:pt idx="5">
                  <c:v>30600</c:v>
                </c:pt>
                <c:pt idx="6">
                  <c:v>42800</c:v>
                </c:pt>
              </c:numCache>
            </c:numRef>
          </c:val>
          <c:smooth val="0"/>
          <c:extLst>
            <c:ext xmlns:c16="http://schemas.microsoft.com/office/drawing/2014/chart" uri="{C3380CC4-5D6E-409C-BE32-E72D297353CC}">
              <c16:uniqueId val="{00000001-1634-45EA-ACFC-200E4A72EF3B}"/>
            </c:ext>
          </c:extLst>
        </c:ser>
        <c:ser>
          <c:idx val="2"/>
          <c:order val="2"/>
          <c:tx>
            <c:v>HEV</c:v>
          </c:tx>
          <c:spPr>
            <a:ln w="19050" cap="rnd">
              <a:solidFill>
                <a:schemeClr val="accent3"/>
              </a:solid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3"/>
            <c:forward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'Texas pop'!$C$5:$I$5</c:f>
              <c:numCache>
                <c:formatCode>General</c:formatCode>
                <c:ptCount val="7"/>
                <c:pt idx="0">
                  <c:v>2016</c:v>
                </c:pt>
                <c:pt idx="1">
                  <c:v>2017</c:v>
                </c:pt>
                <c:pt idx="2">
                  <c:v>2018</c:v>
                </c:pt>
                <c:pt idx="3">
                  <c:v>2019</c:v>
                </c:pt>
                <c:pt idx="4">
                  <c:v>2020</c:v>
                </c:pt>
                <c:pt idx="5">
                  <c:v>2021</c:v>
                </c:pt>
                <c:pt idx="6">
                  <c:v>2022</c:v>
                </c:pt>
              </c:numCache>
            </c:numRef>
          </c:cat>
          <c:val>
            <c:numRef>
              <c:f>'Texas pop'!$C$8:$I$8</c:f>
              <c:numCache>
                <c:formatCode>General</c:formatCode>
                <c:ptCount val="7"/>
                <c:pt idx="0">
                  <c:v>205800</c:v>
                </c:pt>
                <c:pt idx="1">
                  <c:v>217100</c:v>
                </c:pt>
                <c:pt idx="2">
                  <c:v>227100</c:v>
                </c:pt>
                <c:pt idx="3">
                  <c:v>244600</c:v>
                </c:pt>
                <c:pt idx="4">
                  <c:v>262300</c:v>
                </c:pt>
                <c:pt idx="5">
                  <c:v>304700</c:v>
                </c:pt>
                <c:pt idx="6">
                  <c:v>361800</c:v>
                </c:pt>
              </c:numCache>
            </c:numRef>
          </c:val>
          <c:smooth val="0"/>
          <c:extLst>
            <c:ext xmlns:c16="http://schemas.microsoft.com/office/drawing/2014/chart" uri="{C3380CC4-5D6E-409C-BE32-E72D297353CC}">
              <c16:uniqueId val="{00000002-1634-45EA-ACFC-200E4A72EF3B}"/>
            </c:ext>
          </c:extLst>
        </c:ser>
        <c:dLbls>
          <c:showLegendKey val="0"/>
          <c:showVal val="0"/>
          <c:showCatName val="0"/>
          <c:showSerName val="0"/>
          <c:showPercent val="0"/>
          <c:showBubbleSize val="0"/>
        </c:dLbls>
        <c:marker val="1"/>
        <c:smooth val="0"/>
        <c:axId val="488389887"/>
        <c:axId val="1810065919"/>
      </c:lineChart>
      <c:catAx>
        <c:axId val="4883898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065919"/>
        <c:crosses val="autoZero"/>
        <c:auto val="1"/>
        <c:lblAlgn val="ctr"/>
        <c:lblOffset val="100"/>
        <c:noMultiLvlLbl val="0"/>
      </c:catAx>
      <c:valAx>
        <c:axId val="1810065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Total</a:t>
                </a:r>
                <a:r>
                  <a:rPr lang="es-MX" baseline="0"/>
                  <a:t> number of cars registered </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389887"/>
        <c:crossesAt val="1"/>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Registered</a:t>
            </a:r>
            <a:r>
              <a:rPr lang="es-MX" baseline="0"/>
              <a:t> vehicles in Texas</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0"/>
            <c:dispEq val="0"/>
          </c:trendline>
          <c:trendline>
            <c:spPr>
              <a:ln w="19050" cap="rnd">
                <a:solidFill>
                  <a:schemeClr val="accent1"/>
                </a:solidFill>
                <a:prstDash val="sysDot"/>
              </a:ln>
              <a:effectLst/>
            </c:spPr>
            <c:trendlineType val="linear"/>
            <c:forward val="28"/>
            <c:dispRSqr val="0"/>
            <c:dispEq val="0"/>
          </c:trendline>
          <c:xVal>
            <c:numRef>
              <c:f>'Texas pop'!$C$5:$I$5</c:f>
              <c:numCache>
                <c:formatCode>General</c:formatCode>
                <c:ptCount val="7"/>
                <c:pt idx="0">
                  <c:v>2016</c:v>
                </c:pt>
                <c:pt idx="1">
                  <c:v>2017</c:v>
                </c:pt>
                <c:pt idx="2">
                  <c:v>2018</c:v>
                </c:pt>
                <c:pt idx="3">
                  <c:v>2019</c:v>
                </c:pt>
                <c:pt idx="4">
                  <c:v>2020</c:v>
                </c:pt>
                <c:pt idx="5">
                  <c:v>2021</c:v>
                </c:pt>
                <c:pt idx="6">
                  <c:v>2022</c:v>
                </c:pt>
              </c:numCache>
            </c:numRef>
          </c:xVal>
          <c:yVal>
            <c:numRef>
              <c:f>'Texas pop'!$C$17:$I$17</c:f>
              <c:numCache>
                <c:formatCode>General</c:formatCode>
                <c:ptCount val="7"/>
                <c:pt idx="0">
                  <c:v>22306700</c:v>
                </c:pt>
                <c:pt idx="1">
                  <c:v>22544400</c:v>
                </c:pt>
                <c:pt idx="2">
                  <c:v>22971900</c:v>
                </c:pt>
                <c:pt idx="3">
                  <c:v>24091300</c:v>
                </c:pt>
                <c:pt idx="4">
                  <c:v>24508900</c:v>
                </c:pt>
                <c:pt idx="5">
                  <c:v>24713900</c:v>
                </c:pt>
                <c:pt idx="6">
                  <c:v>25346100</c:v>
                </c:pt>
              </c:numCache>
            </c:numRef>
          </c:yVal>
          <c:smooth val="1"/>
          <c:extLst>
            <c:ext xmlns:c16="http://schemas.microsoft.com/office/drawing/2014/chart" uri="{C3380CC4-5D6E-409C-BE32-E72D297353CC}">
              <c16:uniqueId val="{00000000-354C-4437-B726-C85EE496E6E9}"/>
            </c:ext>
          </c:extLst>
        </c:ser>
        <c:dLbls>
          <c:showLegendKey val="0"/>
          <c:showVal val="0"/>
          <c:showCatName val="0"/>
          <c:showSerName val="0"/>
          <c:showPercent val="0"/>
          <c:showBubbleSize val="0"/>
        </c:dLbls>
        <c:axId val="952649455"/>
        <c:axId val="572326927"/>
      </c:scatterChart>
      <c:valAx>
        <c:axId val="952649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326927"/>
        <c:crosses val="autoZero"/>
        <c:crossBetween val="midCat"/>
      </c:valAx>
      <c:valAx>
        <c:axId val="57232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6494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EV</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movingAvg"/>
            <c:period val="2"/>
            <c:forward val="28"/>
            <c:dispRSqr val="1"/>
            <c:dispEq val="1"/>
            <c:trendlineLbl>
              <c:layout>
                <c:manualLayout>
                  <c:x val="-8.6389111863280271E-2"/>
                  <c:y val="0.2247475975239766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'Texas pop'!$C$5:$I$5</c:f>
              <c:numCache>
                <c:formatCode>General</c:formatCode>
                <c:ptCount val="7"/>
                <c:pt idx="0">
                  <c:v>2016</c:v>
                </c:pt>
                <c:pt idx="1">
                  <c:v>2017</c:v>
                </c:pt>
                <c:pt idx="2">
                  <c:v>2018</c:v>
                </c:pt>
                <c:pt idx="3">
                  <c:v>2019</c:v>
                </c:pt>
                <c:pt idx="4">
                  <c:v>2020</c:v>
                </c:pt>
                <c:pt idx="5">
                  <c:v>2021</c:v>
                </c:pt>
                <c:pt idx="6">
                  <c:v>2022</c:v>
                </c:pt>
              </c:numCache>
            </c:numRef>
          </c:cat>
          <c:val>
            <c:numRef>
              <c:f>'Texas pop'!$C$6:$I$6</c:f>
              <c:numCache>
                <c:formatCode>General</c:formatCode>
                <c:ptCount val="7"/>
                <c:pt idx="0">
                  <c:v>11900</c:v>
                </c:pt>
                <c:pt idx="1">
                  <c:v>16100</c:v>
                </c:pt>
                <c:pt idx="2">
                  <c:v>24500</c:v>
                </c:pt>
                <c:pt idx="3">
                  <c:v>38400</c:v>
                </c:pt>
                <c:pt idx="4">
                  <c:v>52200</c:v>
                </c:pt>
                <c:pt idx="5">
                  <c:v>80900</c:v>
                </c:pt>
                <c:pt idx="6">
                  <c:v>149000</c:v>
                </c:pt>
              </c:numCache>
            </c:numRef>
          </c:val>
          <c:smooth val="0"/>
          <c:extLst>
            <c:ext xmlns:c16="http://schemas.microsoft.com/office/drawing/2014/chart" uri="{C3380CC4-5D6E-409C-BE32-E72D297353CC}">
              <c16:uniqueId val="{00000001-CC6A-4622-9FE4-2CEBB00792D3}"/>
            </c:ext>
          </c:extLst>
        </c:ser>
        <c:ser>
          <c:idx val="1"/>
          <c:order val="1"/>
          <c:tx>
            <c:v>PHEV</c:v>
          </c:tx>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3"/>
            <c:forward val="2"/>
            <c:dispRSqr val="1"/>
            <c:dispEq val="1"/>
            <c:trendlineLbl>
              <c:layout>
                <c:manualLayout>
                  <c:x val="0.18770377750828265"/>
                  <c:y val="8.35266438951631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'Texas pop'!$C$5:$I$5</c:f>
              <c:numCache>
                <c:formatCode>General</c:formatCode>
                <c:ptCount val="7"/>
                <c:pt idx="0">
                  <c:v>2016</c:v>
                </c:pt>
                <c:pt idx="1">
                  <c:v>2017</c:v>
                </c:pt>
                <c:pt idx="2">
                  <c:v>2018</c:v>
                </c:pt>
                <c:pt idx="3">
                  <c:v>2019</c:v>
                </c:pt>
                <c:pt idx="4">
                  <c:v>2020</c:v>
                </c:pt>
                <c:pt idx="5">
                  <c:v>2021</c:v>
                </c:pt>
                <c:pt idx="6">
                  <c:v>2022</c:v>
                </c:pt>
              </c:numCache>
            </c:numRef>
          </c:cat>
          <c:val>
            <c:numRef>
              <c:f>'Texas pop'!$C$7:$I$7</c:f>
              <c:numCache>
                <c:formatCode>General</c:formatCode>
                <c:ptCount val="7"/>
                <c:pt idx="0">
                  <c:v>8000</c:v>
                </c:pt>
                <c:pt idx="1">
                  <c:v>10900</c:v>
                </c:pt>
                <c:pt idx="2">
                  <c:v>14700</c:v>
                </c:pt>
                <c:pt idx="3">
                  <c:v>18100</c:v>
                </c:pt>
                <c:pt idx="4">
                  <c:v>20400</c:v>
                </c:pt>
                <c:pt idx="5">
                  <c:v>30600</c:v>
                </c:pt>
                <c:pt idx="6">
                  <c:v>42800</c:v>
                </c:pt>
              </c:numCache>
            </c:numRef>
          </c:val>
          <c:smooth val="0"/>
          <c:extLst>
            <c:ext xmlns:c16="http://schemas.microsoft.com/office/drawing/2014/chart" uri="{C3380CC4-5D6E-409C-BE32-E72D297353CC}">
              <c16:uniqueId val="{00000003-CC6A-4622-9FE4-2CEBB00792D3}"/>
            </c:ext>
          </c:extLst>
        </c:ser>
        <c:ser>
          <c:idx val="2"/>
          <c:order val="2"/>
          <c:tx>
            <c:v>HEV</c:v>
          </c:tx>
          <c:spPr>
            <a:ln w="19050" cap="rnd">
              <a:solidFill>
                <a:schemeClr val="accent3"/>
              </a:solid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3"/>
            <c:forward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'Texas pop'!$C$5:$I$5</c:f>
              <c:numCache>
                <c:formatCode>General</c:formatCode>
                <c:ptCount val="7"/>
                <c:pt idx="0">
                  <c:v>2016</c:v>
                </c:pt>
                <c:pt idx="1">
                  <c:v>2017</c:v>
                </c:pt>
                <c:pt idx="2">
                  <c:v>2018</c:v>
                </c:pt>
                <c:pt idx="3">
                  <c:v>2019</c:v>
                </c:pt>
                <c:pt idx="4">
                  <c:v>2020</c:v>
                </c:pt>
                <c:pt idx="5">
                  <c:v>2021</c:v>
                </c:pt>
                <c:pt idx="6">
                  <c:v>2022</c:v>
                </c:pt>
              </c:numCache>
            </c:numRef>
          </c:cat>
          <c:val>
            <c:numRef>
              <c:f>'Texas pop'!$C$8:$I$8</c:f>
              <c:numCache>
                <c:formatCode>General</c:formatCode>
                <c:ptCount val="7"/>
                <c:pt idx="0">
                  <c:v>205800</c:v>
                </c:pt>
                <c:pt idx="1">
                  <c:v>217100</c:v>
                </c:pt>
                <c:pt idx="2">
                  <c:v>227100</c:v>
                </c:pt>
                <c:pt idx="3">
                  <c:v>244600</c:v>
                </c:pt>
                <c:pt idx="4">
                  <c:v>262300</c:v>
                </c:pt>
                <c:pt idx="5">
                  <c:v>304700</c:v>
                </c:pt>
                <c:pt idx="6">
                  <c:v>361800</c:v>
                </c:pt>
              </c:numCache>
            </c:numRef>
          </c:val>
          <c:smooth val="0"/>
          <c:extLst>
            <c:ext xmlns:c16="http://schemas.microsoft.com/office/drawing/2014/chart" uri="{C3380CC4-5D6E-409C-BE32-E72D297353CC}">
              <c16:uniqueId val="{00000005-CC6A-4622-9FE4-2CEBB00792D3}"/>
            </c:ext>
          </c:extLst>
        </c:ser>
        <c:dLbls>
          <c:showLegendKey val="0"/>
          <c:showVal val="0"/>
          <c:showCatName val="0"/>
          <c:showSerName val="0"/>
          <c:showPercent val="0"/>
          <c:showBubbleSize val="0"/>
        </c:dLbls>
        <c:marker val="1"/>
        <c:smooth val="0"/>
        <c:axId val="488389887"/>
        <c:axId val="1810065919"/>
      </c:lineChart>
      <c:catAx>
        <c:axId val="4883898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065919"/>
        <c:crosses val="autoZero"/>
        <c:auto val="1"/>
        <c:lblAlgn val="ctr"/>
        <c:lblOffset val="100"/>
        <c:noMultiLvlLbl val="0"/>
      </c:catAx>
      <c:valAx>
        <c:axId val="1810065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Total</a:t>
                </a:r>
                <a:r>
                  <a:rPr lang="es-MX" baseline="0"/>
                  <a:t> number of cars registered </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389887"/>
        <c:crossesAt val="1"/>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Population</a:t>
            </a:r>
            <a:r>
              <a:rPr lang="es-MX" baseline="0"/>
              <a:t> in Texas</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28"/>
            <c:dispRSqr val="1"/>
            <c:dispEq val="1"/>
            <c:trendlineLbl>
              <c:layout>
                <c:manualLayout>
                  <c:x val="-0.3695909886264217"/>
                  <c:y val="0.2880008748906386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'Texas pop'!$A$69:$A$75</c:f>
              <c:numCache>
                <c:formatCode>General</c:formatCode>
                <c:ptCount val="7"/>
                <c:pt idx="0">
                  <c:v>2016</c:v>
                </c:pt>
                <c:pt idx="1">
                  <c:v>2017</c:v>
                </c:pt>
                <c:pt idx="2">
                  <c:v>2018</c:v>
                </c:pt>
                <c:pt idx="3">
                  <c:v>2019</c:v>
                </c:pt>
                <c:pt idx="4">
                  <c:v>2020</c:v>
                </c:pt>
                <c:pt idx="5">
                  <c:v>2021</c:v>
                </c:pt>
                <c:pt idx="6">
                  <c:v>2022</c:v>
                </c:pt>
              </c:numCache>
            </c:numRef>
          </c:xVal>
          <c:yVal>
            <c:numRef>
              <c:f>'Texas pop'!$C$69:$C$75</c:f>
              <c:numCache>
                <c:formatCode>#,##0</c:formatCode>
                <c:ptCount val="7"/>
                <c:pt idx="0">
                  <c:v>27914064</c:v>
                </c:pt>
                <c:pt idx="1">
                  <c:v>28291024</c:v>
                </c:pt>
                <c:pt idx="2">
                  <c:v>28624564</c:v>
                </c:pt>
                <c:pt idx="3">
                  <c:v>28986794</c:v>
                </c:pt>
                <c:pt idx="4">
                  <c:v>29232474</c:v>
                </c:pt>
                <c:pt idx="5">
                  <c:v>29558864</c:v>
                </c:pt>
                <c:pt idx="6">
                  <c:v>30029572</c:v>
                </c:pt>
              </c:numCache>
            </c:numRef>
          </c:yVal>
          <c:smooth val="0"/>
          <c:extLst>
            <c:ext xmlns:c16="http://schemas.microsoft.com/office/drawing/2014/chart" uri="{C3380CC4-5D6E-409C-BE32-E72D297353CC}">
              <c16:uniqueId val="{00000000-0B21-40DD-82BD-3058A81869B9}"/>
            </c:ext>
          </c:extLst>
        </c:ser>
        <c:dLbls>
          <c:showLegendKey val="0"/>
          <c:showVal val="0"/>
          <c:showCatName val="0"/>
          <c:showSerName val="0"/>
          <c:showPercent val="0"/>
          <c:showBubbleSize val="0"/>
        </c:dLbls>
        <c:axId val="581756831"/>
        <c:axId val="73506560"/>
      </c:scatterChart>
      <c:valAx>
        <c:axId val="581756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06560"/>
        <c:crosses val="autoZero"/>
        <c:crossBetween val="midCat"/>
      </c:valAx>
      <c:valAx>
        <c:axId val="735065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75683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28"/>
            <c:dispRSqr val="0"/>
            <c:dispEq val="0"/>
          </c:trendline>
          <c:xVal>
            <c:numRef>
              <c:f>'Texas pop'!$A$69:$A$75</c:f>
              <c:numCache>
                <c:formatCode>General</c:formatCode>
                <c:ptCount val="7"/>
                <c:pt idx="0">
                  <c:v>2016</c:v>
                </c:pt>
                <c:pt idx="1">
                  <c:v>2017</c:v>
                </c:pt>
                <c:pt idx="2">
                  <c:v>2018</c:v>
                </c:pt>
                <c:pt idx="3">
                  <c:v>2019</c:v>
                </c:pt>
                <c:pt idx="4">
                  <c:v>2020</c:v>
                </c:pt>
                <c:pt idx="5">
                  <c:v>2021</c:v>
                </c:pt>
                <c:pt idx="6">
                  <c:v>2022</c:v>
                </c:pt>
              </c:numCache>
            </c:numRef>
          </c:xVal>
          <c:yVal>
            <c:numRef>
              <c:f>'Texas pop'!$D$69:$D$75</c:f>
              <c:numCache>
                <c:formatCode>General</c:formatCode>
                <c:ptCount val="7"/>
                <c:pt idx="0">
                  <c:v>1.2513757749913703</c:v>
                </c:pt>
                <c:pt idx="1">
                  <c:v>1.2549025035041961</c:v>
                </c:pt>
                <c:pt idx="2">
                  <c:v>1.2460686316760912</c:v>
                </c:pt>
                <c:pt idx="3">
                  <c:v>1.2032058876025786</c:v>
                </c:pt>
                <c:pt idx="4">
                  <c:v>1.1927289270428294</c:v>
                </c:pt>
                <c:pt idx="5">
                  <c:v>1.1960420653963963</c:v>
                </c:pt>
                <c:pt idx="6">
                  <c:v>1.1847807749515704</c:v>
                </c:pt>
              </c:numCache>
            </c:numRef>
          </c:yVal>
          <c:smooth val="0"/>
          <c:extLst>
            <c:ext xmlns:c16="http://schemas.microsoft.com/office/drawing/2014/chart" uri="{C3380CC4-5D6E-409C-BE32-E72D297353CC}">
              <c16:uniqueId val="{00000000-A5E3-4EB5-9CB5-954CFA6EEC0A}"/>
            </c:ext>
          </c:extLst>
        </c:ser>
        <c:dLbls>
          <c:showLegendKey val="0"/>
          <c:showVal val="0"/>
          <c:showCatName val="0"/>
          <c:showSerName val="0"/>
          <c:showPercent val="0"/>
          <c:showBubbleSize val="0"/>
        </c:dLbls>
        <c:axId val="610435439"/>
        <c:axId val="558336447"/>
      </c:scatterChart>
      <c:valAx>
        <c:axId val="610435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336447"/>
        <c:crosses val="autoZero"/>
        <c:crossBetween val="midCat"/>
      </c:valAx>
      <c:valAx>
        <c:axId val="558336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4354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linear"/>
            <c:forward val="28"/>
            <c:dispRSqr val="1"/>
            <c:dispEq val="1"/>
            <c:trendlineLbl>
              <c:layout>
                <c:manualLayout>
                  <c:x val="-0.14316951006124234"/>
                  <c:y val="-1.893518518518520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'Texas pop'!$A$69:$A$75</c:f>
              <c:numCache>
                <c:formatCode>General</c:formatCode>
                <c:ptCount val="7"/>
                <c:pt idx="0">
                  <c:v>2016</c:v>
                </c:pt>
                <c:pt idx="1">
                  <c:v>2017</c:v>
                </c:pt>
                <c:pt idx="2">
                  <c:v>2018</c:v>
                </c:pt>
                <c:pt idx="3">
                  <c:v>2019</c:v>
                </c:pt>
                <c:pt idx="4">
                  <c:v>2020</c:v>
                </c:pt>
                <c:pt idx="5">
                  <c:v>2021</c:v>
                </c:pt>
                <c:pt idx="6">
                  <c:v>2022</c:v>
                </c:pt>
              </c:numCache>
            </c:numRef>
          </c:xVal>
          <c:yVal>
            <c:numRef>
              <c:f>'Texas pop'!$E$69:$E$75</c:f>
              <c:numCache>
                <c:formatCode>General</c:formatCode>
                <c:ptCount val="7"/>
                <c:pt idx="0">
                  <c:v>0.79912047203158953</c:v>
                </c:pt>
                <c:pt idx="1">
                  <c:v>0.79687465536772373</c:v>
                </c:pt>
                <c:pt idx="2">
                  <c:v>0.80252401399022188</c:v>
                </c:pt>
                <c:pt idx="3">
                  <c:v>0.83111295440261512</c:v>
                </c:pt>
                <c:pt idx="4">
                  <c:v>0.83841347126486787</c:v>
                </c:pt>
                <c:pt idx="5">
                  <c:v>0.8360909945659617</c:v>
                </c:pt>
                <c:pt idx="6">
                  <c:v>0.84403800360524617</c:v>
                </c:pt>
              </c:numCache>
            </c:numRef>
          </c:yVal>
          <c:smooth val="0"/>
          <c:extLst>
            <c:ext xmlns:c16="http://schemas.microsoft.com/office/drawing/2014/chart" uri="{C3380CC4-5D6E-409C-BE32-E72D297353CC}">
              <c16:uniqueId val="{00000000-0AE7-472E-B2C4-277930747CDE}"/>
            </c:ext>
          </c:extLst>
        </c:ser>
        <c:dLbls>
          <c:showLegendKey val="0"/>
          <c:showVal val="0"/>
          <c:showCatName val="0"/>
          <c:showSerName val="0"/>
          <c:showPercent val="0"/>
          <c:showBubbleSize val="0"/>
        </c:dLbls>
        <c:axId val="491061663"/>
        <c:axId val="74323824"/>
      </c:scatterChart>
      <c:valAx>
        <c:axId val="491061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23824"/>
        <c:crosses val="autoZero"/>
        <c:crossBetween val="midCat"/>
      </c:valAx>
      <c:valAx>
        <c:axId val="74323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0616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Expected</a:t>
            </a:r>
            <a:r>
              <a:rPr lang="es-MX" baseline="0"/>
              <a:t> cars in Texas</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717004171681255"/>
          <c:y val="0.13965683408220547"/>
          <c:w val="0.49724442730085877"/>
          <c:h val="0.70590079344613121"/>
        </c:manualLayout>
      </c:layout>
      <c:scatterChart>
        <c:scatterStyle val="smoothMarker"/>
        <c:varyColors val="0"/>
        <c:ser>
          <c:idx val="0"/>
          <c:order val="0"/>
          <c:tx>
            <c:v>Accumulated Evs produced</c:v>
          </c:tx>
          <c:spPr>
            <a:ln w="19050" cap="rnd">
              <a:solidFill>
                <a:schemeClr val="accent1"/>
              </a:solidFill>
              <a:round/>
            </a:ln>
            <a:effectLst/>
          </c:spPr>
          <c:marker>
            <c:symbol val="none"/>
          </c:marker>
          <c:trendline>
            <c:spPr>
              <a:ln w="19050" cap="rnd">
                <a:solidFill>
                  <a:schemeClr val="accent1"/>
                </a:solidFill>
                <a:prstDash val="sysDot"/>
              </a:ln>
              <a:effectLst/>
            </c:spPr>
            <c:trendlineType val="poly"/>
            <c:order val="2"/>
            <c:dispRSqr val="0"/>
            <c:dispEq val="0"/>
          </c:trendline>
          <c:trendline>
            <c:spPr>
              <a:ln w="19050" cap="rnd">
                <a:solidFill>
                  <a:schemeClr val="accent1"/>
                </a:solidFill>
                <a:prstDash val="sysDot"/>
              </a:ln>
              <a:effectLst/>
            </c:spPr>
            <c:trendlineType val="poly"/>
            <c:order val="2"/>
            <c:dispRSqr val="1"/>
            <c:dispEq val="1"/>
            <c:trendlineLbl>
              <c:layout>
                <c:manualLayout>
                  <c:x val="0.31769632985692947"/>
                  <c:y val="-1.445216358881383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'Texas pop'!$A$100:$A$134</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'Texas pop'!$C$100:$C$134</c:f>
              <c:numCache>
                <c:formatCode>General</c:formatCode>
                <c:ptCount val="35"/>
                <c:pt idx="0">
                  <c:v>11900</c:v>
                </c:pt>
                <c:pt idx="1">
                  <c:v>16100</c:v>
                </c:pt>
                <c:pt idx="2">
                  <c:v>24500</c:v>
                </c:pt>
                <c:pt idx="3">
                  <c:v>38400</c:v>
                </c:pt>
                <c:pt idx="4">
                  <c:v>52200</c:v>
                </c:pt>
                <c:pt idx="5">
                  <c:v>80900</c:v>
                </c:pt>
                <c:pt idx="6">
                  <c:v>149000</c:v>
                </c:pt>
                <c:pt idx="7" formatCode="0.00">
                  <c:v>227996</c:v>
                </c:pt>
                <c:pt idx="8" formatCode="0.00">
                  <c:v>319631.35999999999</c:v>
                </c:pt>
                <c:pt idx="9" formatCode="0.00">
                  <c:v>425928.37760000001</c:v>
                </c:pt>
                <c:pt idx="10" formatCode="0.00">
                  <c:v>549232.91801599995</c:v>
                </c:pt>
                <c:pt idx="11" formatCode="0.00">
                  <c:v>692266.18489855994</c:v>
                </c:pt>
                <c:pt idx="12" formatCode="0.00">
                  <c:v>858184.77448232949</c:v>
                </c:pt>
                <c:pt idx="13" formatCode="0.00">
                  <c:v>1050650.3383995022</c:v>
                </c:pt>
                <c:pt idx="14" formatCode="0">
                  <c:v>1273910.3925434225</c:v>
                </c:pt>
                <c:pt idx="15" formatCode="0.00">
                  <c:v>1532892.0553503702</c:v>
                </c:pt>
                <c:pt idx="16" formatCode="0.00">
                  <c:v>1815182.0678099431</c:v>
                </c:pt>
                <c:pt idx="17" formatCode="0.00">
                  <c:v>2122878.1813908778</c:v>
                </c:pt>
                <c:pt idx="18" formatCode="0.00">
                  <c:v>2458266.9451940963</c:v>
                </c:pt>
                <c:pt idx="19" formatCode="0.00">
                  <c:v>2823840.6977396044</c:v>
                </c:pt>
                <c:pt idx="20" formatCode="0.00">
                  <c:v>3222316.0880142082</c:v>
                </c:pt>
                <c:pt idx="21" formatCode="0.00">
                  <c:v>3656654.2634135266</c:v>
                </c:pt>
                <c:pt idx="22" formatCode="0.00">
                  <c:v>4130082.8745987834</c:v>
                </c:pt>
                <c:pt idx="23" formatCode="0.00">
                  <c:v>4646120.0607907139</c:v>
                </c:pt>
                <c:pt idx="24" formatCode="0">
                  <c:v>5208600.5937399175</c:v>
                </c:pt>
                <c:pt idx="25" formatCode="0.00">
                  <c:v>5821704.3746545501</c:v>
                </c:pt>
                <c:pt idx="26" formatCode="0.00">
                  <c:v>6459332.3068057671</c:v>
                </c:pt>
                <c:pt idx="27" formatCode="0.00">
                  <c:v>7122465.356243033</c:v>
                </c:pt>
                <c:pt idx="28" formatCode="0.00">
                  <c:v>7812123.7276577894</c:v>
                </c:pt>
                <c:pt idx="29" formatCode="0.00">
                  <c:v>8529368.433929136</c:v>
                </c:pt>
                <c:pt idx="30" formatCode="0.00">
                  <c:v>9275302.9284513369</c:v>
                </c:pt>
                <c:pt idx="31" formatCode="0.00">
                  <c:v>10051074.802754426</c:v>
                </c:pt>
                <c:pt idx="32" formatCode="0.00">
                  <c:v>10857877.552029639</c:v>
                </c:pt>
                <c:pt idx="33" formatCode="0.00">
                  <c:v>11696952.41127586</c:v>
                </c:pt>
                <c:pt idx="34" formatCode="0.00">
                  <c:v>12569590.26489193</c:v>
                </c:pt>
              </c:numCache>
            </c:numRef>
          </c:yVal>
          <c:smooth val="1"/>
          <c:extLst>
            <c:ext xmlns:c16="http://schemas.microsoft.com/office/drawing/2014/chart" uri="{C3380CC4-5D6E-409C-BE32-E72D297353CC}">
              <c16:uniqueId val="{00000000-6550-4F71-834B-3A974DB7E928}"/>
            </c:ext>
          </c:extLst>
        </c:ser>
        <c:ser>
          <c:idx val="1"/>
          <c:order val="1"/>
          <c:tx>
            <c:v>Total cars</c:v>
          </c:tx>
          <c:spPr>
            <a:ln w="19050" cap="rnd">
              <a:solidFill>
                <a:schemeClr val="accent2"/>
              </a:solidFill>
              <a:round/>
            </a:ln>
            <a:effectLst/>
          </c:spPr>
          <c:marker>
            <c:symbol val="none"/>
          </c:marker>
          <c:xVal>
            <c:numRef>
              <c:f>'Texas pop'!$A$100:$A$134</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'Texas pop'!$H$100:$H$134</c:f>
              <c:numCache>
                <c:formatCode>General</c:formatCode>
                <c:ptCount val="35"/>
                <c:pt idx="0">
                  <c:v>22306700</c:v>
                </c:pt>
                <c:pt idx="1">
                  <c:v>22544400</c:v>
                </c:pt>
                <c:pt idx="2">
                  <c:v>22971900</c:v>
                </c:pt>
                <c:pt idx="3">
                  <c:v>24091300</c:v>
                </c:pt>
                <c:pt idx="4">
                  <c:v>24508900</c:v>
                </c:pt>
                <c:pt idx="5">
                  <c:v>24713900</c:v>
                </c:pt>
                <c:pt idx="6">
                  <c:v>25346100</c:v>
                </c:pt>
                <c:pt idx="7" formatCode="0.0">
                  <c:v>25577663.755518906</c:v>
                </c:pt>
                <c:pt idx="8" formatCode="0.0">
                  <c:v>25863735.786752641</c:v>
                </c:pt>
                <c:pt idx="9" formatCode="0.0">
                  <c:v>26149807.817986477</c:v>
                </c:pt>
                <c:pt idx="10" formatCode="0.0">
                  <c:v>26435879.849220213</c:v>
                </c:pt>
                <c:pt idx="11" formatCode="0.0">
                  <c:v>26721951.880454049</c:v>
                </c:pt>
                <c:pt idx="12" formatCode="0.0">
                  <c:v>27008023.911687884</c:v>
                </c:pt>
                <c:pt idx="13" formatCode="0.0">
                  <c:v>27294095.94292162</c:v>
                </c:pt>
                <c:pt idx="14" formatCode="0.0">
                  <c:v>27580167.974155456</c:v>
                </c:pt>
                <c:pt idx="15" formatCode="0.0">
                  <c:v>27866240.005389191</c:v>
                </c:pt>
                <c:pt idx="16" formatCode="0.0">
                  <c:v>28152312.036623027</c:v>
                </c:pt>
                <c:pt idx="17" formatCode="0.0">
                  <c:v>28438384.067856763</c:v>
                </c:pt>
                <c:pt idx="18" formatCode="0.0">
                  <c:v>28724456.099090599</c:v>
                </c:pt>
                <c:pt idx="19" formatCode="0.0">
                  <c:v>29010528.130324434</c:v>
                </c:pt>
                <c:pt idx="20" formatCode="0.0">
                  <c:v>29296600.16155817</c:v>
                </c:pt>
                <c:pt idx="21" formatCode="0.0">
                  <c:v>29582672.192792006</c:v>
                </c:pt>
                <c:pt idx="22" formatCode="0.0">
                  <c:v>29868744.224025741</c:v>
                </c:pt>
                <c:pt idx="23" formatCode="0.0">
                  <c:v>30154816.255259577</c:v>
                </c:pt>
                <c:pt idx="24" formatCode="0.0">
                  <c:v>30440888.286493313</c:v>
                </c:pt>
                <c:pt idx="25" formatCode="0.0">
                  <c:v>30726960.317727149</c:v>
                </c:pt>
                <c:pt idx="26" formatCode="0.0">
                  <c:v>31013032.348960984</c:v>
                </c:pt>
                <c:pt idx="27" formatCode="0.0">
                  <c:v>31299104.38019472</c:v>
                </c:pt>
                <c:pt idx="28" formatCode="0.0">
                  <c:v>31585176.411428556</c:v>
                </c:pt>
                <c:pt idx="29" formatCode="0.0">
                  <c:v>31871248.442662291</c:v>
                </c:pt>
                <c:pt idx="30" formatCode="0.0">
                  <c:v>32157320.473896127</c:v>
                </c:pt>
                <c:pt idx="31" formatCode="0.0">
                  <c:v>32443392.505129863</c:v>
                </c:pt>
                <c:pt idx="32" formatCode="0.0">
                  <c:v>32729464.536363699</c:v>
                </c:pt>
                <c:pt idx="33" formatCode="0.0">
                  <c:v>33015536.567597535</c:v>
                </c:pt>
                <c:pt idx="34" formatCode="0.0">
                  <c:v>33301608.59883127</c:v>
                </c:pt>
              </c:numCache>
            </c:numRef>
          </c:yVal>
          <c:smooth val="1"/>
          <c:extLst>
            <c:ext xmlns:c16="http://schemas.microsoft.com/office/drawing/2014/chart" uri="{C3380CC4-5D6E-409C-BE32-E72D297353CC}">
              <c16:uniqueId val="{00000001-6550-4F71-834B-3A974DB7E928}"/>
            </c:ext>
          </c:extLst>
        </c:ser>
        <c:ser>
          <c:idx val="2"/>
          <c:order val="2"/>
          <c:tx>
            <c:v>EVs</c:v>
          </c:tx>
          <c:spPr>
            <a:ln w="19050" cap="rnd">
              <a:solidFill>
                <a:schemeClr val="accent3"/>
              </a:solidFill>
              <a:round/>
            </a:ln>
            <a:effectLst/>
          </c:spPr>
          <c:marker>
            <c:symbol val="none"/>
          </c:marker>
          <c:trendline>
            <c:spPr>
              <a:ln w="19050" cap="rnd">
                <a:solidFill>
                  <a:schemeClr val="accent3"/>
                </a:solidFill>
                <a:prstDash val="sysDot"/>
              </a:ln>
              <a:effectLst/>
            </c:spPr>
            <c:trendlineType val="poly"/>
            <c:order val="2"/>
            <c:dispRSqr val="1"/>
            <c:dispEq val="1"/>
            <c:trendlineLbl>
              <c:layout>
                <c:manualLayout>
                  <c:x val="0.31536801255018027"/>
                  <c:y val="8.842395751439985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'Texas pop'!$A$100:$A$134</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'Texas pop'!$D$100:$D$134</c:f>
              <c:numCache>
                <c:formatCode>General</c:formatCode>
                <c:ptCount val="35"/>
                <c:pt idx="0">
                  <c:v>11900</c:v>
                </c:pt>
                <c:pt idx="1">
                  <c:v>16100</c:v>
                </c:pt>
                <c:pt idx="2">
                  <c:v>24500</c:v>
                </c:pt>
                <c:pt idx="3">
                  <c:v>38400</c:v>
                </c:pt>
                <c:pt idx="4">
                  <c:v>52200</c:v>
                </c:pt>
                <c:pt idx="5">
                  <c:v>80900</c:v>
                </c:pt>
                <c:pt idx="6">
                  <c:v>149000</c:v>
                </c:pt>
                <c:pt idx="7" formatCode="0.00">
                  <c:v>227996</c:v>
                </c:pt>
                <c:pt idx="8" formatCode="0.00">
                  <c:v>319631.35999999999</c:v>
                </c:pt>
                <c:pt idx="9" formatCode="0.00">
                  <c:v>425928.37760000001</c:v>
                </c:pt>
                <c:pt idx="10" formatCode="0.00">
                  <c:v>549232.91801599995</c:v>
                </c:pt>
                <c:pt idx="11" formatCode="0.00">
                  <c:v>692266.18489855994</c:v>
                </c:pt>
                <c:pt idx="12" formatCode="0.00">
                  <c:v>858184.77448232949</c:v>
                </c:pt>
                <c:pt idx="13" formatCode="0.00">
                  <c:v>1050650.3383995022</c:v>
                </c:pt>
                <c:pt idx="14" formatCode="0.00">
                  <c:v>1273910.3925434225</c:v>
                </c:pt>
                <c:pt idx="15" formatCode="0.00">
                  <c:v>1532892.0553503702</c:v>
                </c:pt>
                <c:pt idx="16" formatCode="0.00">
                  <c:v>1815182.0678099431</c:v>
                </c:pt>
                <c:pt idx="17" formatCode="0.00">
                  <c:v>2122878.1813908778</c:v>
                </c:pt>
                <c:pt idx="18" formatCode="0.00">
                  <c:v>2458266.9451940963</c:v>
                </c:pt>
                <c:pt idx="19" formatCode="0.00">
                  <c:v>2823840.6977396044</c:v>
                </c:pt>
                <c:pt idx="20" formatCode="0.00">
                  <c:v>3210416.0880142082</c:v>
                </c:pt>
                <c:pt idx="21" formatCode="0.00">
                  <c:v>3640554.2634135266</c:v>
                </c:pt>
                <c:pt idx="22" formatCode="0.00">
                  <c:v>4100082.8745987834</c:v>
                </c:pt>
                <c:pt idx="23" formatCode="0.00">
                  <c:v>4602320.0607907139</c:v>
                </c:pt>
                <c:pt idx="24" formatCode="0.00">
                  <c:v>5136100.5937399175</c:v>
                </c:pt>
                <c:pt idx="25" formatCode="0.00">
                  <c:v>5681104.3746545501</c:v>
                </c:pt>
                <c:pt idx="26" formatCode="0.00">
                  <c:v>6239736.3068057671</c:v>
                </c:pt>
                <c:pt idx="27" formatCode="0.00">
                  <c:v>6811233.9962430326</c:v>
                </c:pt>
                <c:pt idx="28" formatCode="0.00">
                  <c:v>7394595.3500577891</c:v>
                </c:pt>
                <c:pt idx="29" formatCode="0.00">
                  <c:v>7988535.5159131354</c:v>
                </c:pt>
                <c:pt idx="30" formatCode="0.00">
                  <c:v>8591436.7435527761</c:v>
                </c:pt>
                <c:pt idx="31" formatCode="0.00">
                  <c:v>9201290.0282720961</c:v>
                </c:pt>
                <c:pt idx="32" formatCode="0.00">
                  <c:v>9815627.2136301361</c:v>
                </c:pt>
                <c:pt idx="33" formatCode="0.00">
                  <c:v>10431442.018732436</c:v>
                </c:pt>
                <c:pt idx="34" formatCode="0.00">
                  <c:v>11045098.209541559</c:v>
                </c:pt>
              </c:numCache>
            </c:numRef>
          </c:yVal>
          <c:smooth val="1"/>
          <c:extLst>
            <c:ext xmlns:c16="http://schemas.microsoft.com/office/drawing/2014/chart" uri="{C3380CC4-5D6E-409C-BE32-E72D297353CC}">
              <c16:uniqueId val="{00000004-6550-4F71-834B-3A974DB7E928}"/>
            </c:ext>
          </c:extLst>
        </c:ser>
        <c:ser>
          <c:idx val="3"/>
          <c:order val="3"/>
          <c:tx>
            <c:v>Sales</c:v>
          </c:tx>
          <c:spPr>
            <a:ln w="19050" cap="rnd">
              <a:solidFill>
                <a:schemeClr val="accent4"/>
              </a:solidFill>
              <a:round/>
            </a:ln>
            <a:effectLst/>
          </c:spPr>
          <c:marker>
            <c:symbol val="none"/>
          </c:marker>
          <c:xVal>
            <c:numRef>
              <c:f>'Texas pop'!$A$100:$A$134</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'Texas pop'!$E$100:$E$134</c:f>
              <c:numCache>
                <c:formatCode>General</c:formatCode>
                <c:ptCount val="35"/>
                <c:pt idx="0">
                  <c:v>4200</c:v>
                </c:pt>
                <c:pt idx="1">
                  <c:v>8400</c:v>
                </c:pt>
                <c:pt idx="2">
                  <c:v>13900</c:v>
                </c:pt>
                <c:pt idx="3">
                  <c:v>13800</c:v>
                </c:pt>
                <c:pt idx="4">
                  <c:v>28700</c:v>
                </c:pt>
                <c:pt idx="5">
                  <c:v>68100</c:v>
                </c:pt>
                <c:pt idx="6" formatCode="0.00">
                  <c:v>78996</c:v>
                </c:pt>
                <c:pt idx="7" formatCode="0.00">
                  <c:v>91635.36</c:v>
                </c:pt>
                <c:pt idx="8" formatCode="0.00">
                  <c:v>106297.01759999999</c:v>
                </c:pt>
                <c:pt idx="9" formatCode="0.00">
                  <c:v>123304.54041599999</c:v>
                </c:pt>
                <c:pt idx="10" formatCode="0.00">
                  <c:v>143033.26688255998</c:v>
                </c:pt>
                <c:pt idx="11" formatCode="0.00">
                  <c:v>165918.58958376959</c:v>
                </c:pt>
                <c:pt idx="12" formatCode="0.00">
                  <c:v>192465.56391717272</c:v>
                </c:pt>
                <c:pt idx="13" formatCode="0.00">
                  <c:v>223260.05414392037</c:v>
                </c:pt>
                <c:pt idx="14" formatCode="0.00">
                  <c:v>258981.66280694763</c:v>
                </c:pt>
                <c:pt idx="15" formatCode="0.00">
                  <c:v>282290.01245957293</c:v>
                </c:pt>
                <c:pt idx="16" formatCode="0.00">
                  <c:v>307696.11358093447</c:v>
                </c:pt>
                <c:pt idx="17" formatCode="0.00">
                  <c:v>335388.76380321855</c:v>
                </c:pt>
                <c:pt idx="18" formatCode="0.00">
                  <c:v>365573.75254550821</c:v>
                </c:pt>
                <c:pt idx="19" formatCode="0.00">
                  <c:v>398475.39027460397</c:v>
                </c:pt>
                <c:pt idx="20" formatCode="0.00">
                  <c:v>434338.17539931834</c:v>
                </c:pt>
                <c:pt idx="21" formatCode="0.00">
                  <c:v>473428.61118525697</c:v>
                </c:pt>
                <c:pt idx="22" formatCode="0.00">
                  <c:v>516037.18619193009</c:v>
                </c:pt>
                <c:pt idx="23" formatCode="0.00">
                  <c:v>562480.53294920374</c:v>
                </c:pt>
                <c:pt idx="24" formatCode="0.00">
                  <c:v>613103.78091463214</c:v>
                </c:pt>
                <c:pt idx="25" formatCode="0.00">
                  <c:v>637627.93215121748</c:v>
                </c:pt>
                <c:pt idx="26" formatCode="0.00">
                  <c:v>663133.04943726619</c:v>
                </c:pt>
                <c:pt idx="27" formatCode="0.00">
                  <c:v>689658.37141475675</c:v>
                </c:pt>
                <c:pt idx="28" formatCode="0.00">
                  <c:v>717244.70627134701</c:v>
                </c:pt>
                <c:pt idx="29" formatCode="0.00">
                  <c:v>745934.49452220078</c:v>
                </c:pt>
                <c:pt idx="30" formatCode="0.00">
                  <c:v>775771.87430308876</c:v>
                </c:pt>
                <c:pt idx="31" formatCode="0.00">
                  <c:v>806802.74927521229</c:v>
                </c:pt>
                <c:pt idx="32" formatCode="0.00">
                  <c:v>839074.85924622079</c:v>
                </c:pt>
                <c:pt idx="33" formatCode="0.00">
                  <c:v>872637.85361606954</c:v>
                </c:pt>
                <c:pt idx="34" formatCode="0.00">
                  <c:v>907543.3677607124</c:v>
                </c:pt>
              </c:numCache>
            </c:numRef>
          </c:yVal>
          <c:smooth val="1"/>
          <c:extLst>
            <c:ext xmlns:c16="http://schemas.microsoft.com/office/drawing/2014/chart" uri="{C3380CC4-5D6E-409C-BE32-E72D297353CC}">
              <c16:uniqueId val="{00000003-FE46-4E82-AFD0-A9D421461D52}"/>
            </c:ext>
          </c:extLst>
        </c:ser>
        <c:dLbls>
          <c:showLegendKey val="0"/>
          <c:showVal val="0"/>
          <c:showCatName val="0"/>
          <c:showSerName val="0"/>
          <c:showPercent val="0"/>
          <c:showBubbleSize val="0"/>
        </c:dLbls>
        <c:axId val="464319024"/>
        <c:axId val="1017540864"/>
      </c:scatterChart>
      <c:valAx>
        <c:axId val="464319024"/>
        <c:scaling>
          <c:orientation val="minMax"/>
          <c:max val="2055"/>
          <c:min val="2015"/>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Year</a:t>
                </a:r>
              </a:p>
            </c:rich>
          </c:tx>
          <c:layout>
            <c:manualLayout>
              <c:xMode val="edge"/>
              <c:yMode val="edge"/>
              <c:x val="0.54057554000698549"/>
              <c:y val="0.9134930923438505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540864"/>
        <c:crosses val="autoZero"/>
        <c:crossBetween val="midCat"/>
      </c:valAx>
      <c:valAx>
        <c:axId val="1017540864"/>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Cars</a:t>
                </a:r>
                <a:r>
                  <a:rPr lang="es-MX" baseline="0"/>
                  <a:t> in Texas</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319024"/>
        <c:crosses val="autoZero"/>
        <c:crossBetween val="midCat"/>
      </c:valAx>
      <c:spPr>
        <a:noFill/>
        <a:ln>
          <a:noFill/>
        </a:ln>
        <a:effectLst/>
      </c:spPr>
    </c:plotArea>
    <c:legend>
      <c:legendPos val="r"/>
      <c:legendEntry>
        <c:idx val="4"/>
        <c:delete val="1"/>
      </c:legendEntry>
      <c:layout>
        <c:manualLayout>
          <c:xMode val="edge"/>
          <c:yMode val="edge"/>
          <c:x val="0.660716318736006"/>
          <c:y val="1.8278434707269742E-2"/>
          <c:w val="0.33695536395724479"/>
          <c:h val="0.348442248142859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2000"/>
              <a:t>%</a:t>
            </a:r>
            <a:r>
              <a:rPr lang="es-MX" sz="2000" baseline="0"/>
              <a:t> Percentage of EVs in the fleet</a:t>
            </a:r>
            <a:endParaRPr lang="es-MX" sz="2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470332896654538E-2"/>
          <c:y val="0.14697251451044646"/>
          <c:w val="0.85924413620517648"/>
          <c:h val="0.74449641861993465"/>
        </c:manualLayout>
      </c:layout>
      <c:scatterChart>
        <c:scatterStyle val="smoothMarker"/>
        <c:varyColors val="0"/>
        <c:ser>
          <c:idx val="0"/>
          <c:order val="0"/>
          <c:spPr>
            <a:ln w="19050" cap="rnd">
              <a:solidFill>
                <a:schemeClr val="accent1"/>
              </a:solidFill>
              <a:round/>
            </a:ln>
            <a:effectLst/>
          </c:spPr>
          <c:marker>
            <c:symbol val="none"/>
          </c:marker>
          <c:xVal>
            <c:numRef>
              <c:f>'Texas pop'!$A$100:$A$134</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'Texas pop'!$J$100:$J$134</c:f>
              <c:numCache>
                <c:formatCode>0.00%</c:formatCode>
                <c:ptCount val="35"/>
                <c:pt idx="0">
                  <c:v>5.3347200616855027E-4</c:v>
                </c:pt>
                <c:pt idx="1">
                  <c:v>7.1414630684338461E-4</c:v>
                </c:pt>
                <c:pt idx="2">
                  <c:v>1.0665204010116708E-3</c:v>
                </c:pt>
                <c:pt idx="3">
                  <c:v>1.5939364002772786E-3</c:v>
                </c:pt>
                <c:pt idx="4">
                  <c:v>2.1298385484456667E-3</c:v>
                </c:pt>
                <c:pt idx="5">
                  <c:v>3.2734614933296645E-3</c:v>
                </c:pt>
                <c:pt idx="6">
                  <c:v>5.878616434086506E-3</c:v>
                </c:pt>
                <c:pt idx="7">
                  <c:v>8.9138711877391526E-3</c:v>
                </c:pt>
                <c:pt idx="8">
                  <c:v>1.2358282756805557E-2</c:v>
                </c:pt>
                <c:pt idx="9">
                  <c:v>1.6288011772959802E-2</c:v>
                </c:pt>
                <c:pt idx="10">
                  <c:v>2.0776040788073141E-2</c:v>
                </c:pt>
                <c:pt idx="11">
                  <c:v>2.5906273164308879E-2</c:v>
                </c:pt>
                <c:pt idx="12">
                  <c:v>3.1775178268816061E-2</c:v>
                </c:pt>
                <c:pt idx="13">
                  <c:v>3.8493685249610735E-2</c:v>
                </c:pt>
                <c:pt idx="14">
                  <c:v>4.6189363086445508E-2</c:v>
                </c:pt>
                <c:pt idx="15">
                  <c:v>5.50089303420166E-2</c:v>
                </c:pt>
                <c:pt idx="16">
                  <c:v>6.4477193398843877E-2</c:v>
                </c:pt>
                <c:pt idx="17">
                  <c:v>7.4648340648522188E-2</c:v>
                </c:pt>
                <c:pt idx="18">
                  <c:v>8.5580974508754015E-2</c:v>
                </c:pt>
                <c:pt idx="19">
                  <c:v>9.7338479501442449E-2</c:v>
                </c:pt>
                <c:pt idx="20">
                  <c:v>0.10958323048784303</c:v>
                </c:pt>
                <c:pt idx="21">
                  <c:v>0.12306373946504297</c:v>
                </c:pt>
                <c:pt idx="22">
                  <c:v>0.13727001188422142</c:v>
                </c:pt>
                <c:pt idx="23">
                  <c:v>0.15262305105201832</c:v>
                </c:pt>
                <c:pt idx="24">
                  <c:v>0.16872374240205126</c:v>
                </c:pt>
                <c:pt idx="25">
                  <c:v>0.18488989200070596</c:v>
                </c:pt>
                <c:pt idx="26">
                  <c:v>0.20119723336292247</c:v>
                </c:pt>
                <c:pt idx="27">
                  <c:v>0.21761753670347861</c:v>
                </c:pt>
                <c:pt idx="28">
                  <c:v>0.23411600599394408</c:v>
                </c:pt>
                <c:pt idx="29">
                  <c:v>0.25065022257552427</c:v>
                </c:pt>
                <c:pt idx="30">
                  <c:v>0.26716892505166651</c:v>
                </c:pt>
                <c:pt idx="31">
                  <c:v>0.28361060042710429</c:v>
                </c:pt>
                <c:pt idx="32">
                  <c:v>0.29990185762815019</c:v>
                </c:pt>
                <c:pt idx="33">
                  <c:v>0.31595555012030835</c:v>
                </c:pt>
                <c:pt idx="34">
                  <c:v>0.33166860924337421</c:v>
                </c:pt>
              </c:numCache>
            </c:numRef>
          </c:yVal>
          <c:smooth val="1"/>
          <c:extLst>
            <c:ext xmlns:c16="http://schemas.microsoft.com/office/drawing/2014/chart" uri="{C3380CC4-5D6E-409C-BE32-E72D297353CC}">
              <c16:uniqueId val="{00000000-F9E0-4D68-AE25-C196AFA317B8}"/>
            </c:ext>
          </c:extLst>
        </c:ser>
        <c:dLbls>
          <c:showLegendKey val="0"/>
          <c:showVal val="0"/>
          <c:showCatName val="0"/>
          <c:showSerName val="0"/>
          <c:showPercent val="0"/>
          <c:showBubbleSize val="0"/>
        </c:dLbls>
        <c:axId val="1006590368"/>
        <c:axId val="1017530304"/>
      </c:scatterChart>
      <c:valAx>
        <c:axId val="1006590368"/>
        <c:scaling>
          <c:orientation val="minMax"/>
          <c:min val="2015"/>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530304"/>
        <c:crosses val="autoZero"/>
        <c:crossBetween val="midCat"/>
      </c:valAx>
      <c:valAx>
        <c:axId val="1017530304"/>
        <c:scaling>
          <c:orientation val="minMax"/>
        </c:scaling>
        <c:delete val="0"/>
        <c:axPos val="l"/>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5903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Electricity</a:t>
            </a:r>
            <a:r>
              <a:rPr lang="es-MX" baseline="0"/>
              <a:t> requiremnets for EVs</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815048118985127"/>
          <c:y val="0.1115277777777778"/>
          <c:w val="0.82360629921259843"/>
          <c:h val="0.64281155194547268"/>
        </c:manualLayout>
      </c:layout>
      <c:scatterChart>
        <c:scatterStyle val="smoothMarker"/>
        <c:varyColors val="0"/>
        <c:ser>
          <c:idx val="0"/>
          <c:order val="0"/>
          <c:tx>
            <c:v>LB</c:v>
          </c:tx>
          <c:spPr>
            <a:ln w="28575" cap="rnd">
              <a:solidFill>
                <a:schemeClr val="accent1"/>
              </a:solidFill>
              <a:round/>
            </a:ln>
            <a:effectLst/>
          </c:spPr>
          <c:marker>
            <c:symbol val="none"/>
          </c:marker>
          <c:xVal>
            <c:numRef>
              <c:f>'Texas pop'!$A$100:$A$134</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'Texas pop'!$L$100:$L$134</c:f>
              <c:numCache>
                <c:formatCode>0.00</c:formatCode>
                <c:ptCount val="35"/>
                <c:pt idx="0">
                  <c:v>3.8675000000000001E-2</c:v>
                </c:pt>
                <c:pt idx="1">
                  <c:v>5.2325000000000003E-2</c:v>
                </c:pt>
                <c:pt idx="2">
                  <c:v>7.9625000000000001E-2</c:v>
                </c:pt>
                <c:pt idx="3">
                  <c:v>0.12479999999999999</c:v>
                </c:pt>
                <c:pt idx="4">
                  <c:v>0.16965</c:v>
                </c:pt>
                <c:pt idx="5">
                  <c:v>0.26292500000000002</c:v>
                </c:pt>
                <c:pt idx="6">
                  <c:v>0.48425000000000001</c:v>
                </c:pt>
                <c:pt idx="7">
                  <c:v>0.74098699999999995</c:v>
                </c:pt>
                <c:pt idx="8">
                  <c:v>1.03880192</c:v>
                </c:pt>
                <c:pt idx="9">
                  <c:v>1.3842672272000001</c:v>
                </c:pt>
                <c:pt idx="10">
                  <c:v>1.7850069835519997</c:v>
                </c:pt>
                <c:pt idx="11">
                  <c:v>2.2498651009203194</c:v>
                </c:pt>
                <c:pt idx="12">
                  <c:v>2.7891005170675709</c:v>
                </c:pt>
                <c:pt idx="13">
                  <c:v>3.4146135997983822</c:v>
                </c:pt>
                <c:pt idx="14">
                  <c:v>4.1402087757661237</c:v>
                </c:pt>
                <c:pt idx="15">
                  <c:v>4.9818991798887033</c:v>
                </c:pt>
                <c:pt idx="16">
                  <c:v>5.8993417203823144</c:v>
                </c:pt>
                <c:pt idx="17">
                  <c:v>6.8993540895203536</c:v>
                </c:pt>
                <c:pt idx="18">
                  <c:v>7.9893675718808126</c:v>
                </c:pt>
                <c:pt idx="19">
                  <c:v>9.1774822676537156</c:v>
                </c:pt>
                <c:pt idx="20">
                  <c:v>10.433852286046177</c:v>
                </c:pt>
                <c:pt idx="21">
                  <c:v>11.831801356093962</c:v>
                </c:pt>
                <c:pt idx="22">
                  <c:v>13.325269342446047</c:v>
                </c:pt>
                <c:pt idx="23">
                  <c:v>14.95754019756982</c:v>
                </c:pt>
                <c:pt idx="24">
                  <c:v>16.692326929654733</c:v>
                </c:pt>
                <c:pt idx="25">
                  <c:v>18.463589217627288</c:v>
                </c:pt>
                <c:pt idx="26">
                  <c:v>20.279142997118743</c:v>
                </c:pt>
                <c:pt idx="27">
                  <c:v>22.136510487789856</c:v>
                </c:pt>
                <c:pt idx="28">
                  <c:v>24.032434887687813</c:v>
                </c:pt>
                <c:pt idx="29">
                  <c:v>25.962740426717691</c:v>
                </c:pt>
                <c:pt idx="30">
                  <c:v>27.922169416546524</c:v>
                </c:pt>
                <c:pt idx="31">
                  <c:v>29.904192591884311</c:v>
                </c:pt>
                <c:pt idx="32">
                  <c:v>31.900788444297945</c:v>
                </c:pt>
                <c:pt idx="33">
                  <c:v>33.902186560880416</c:v>
                </c:pt>
                <c:pt idx="34">
                  <c:v>35.896569181010072</c:v>
                </c:pt>
              </c:numCache>
            </c:numRef>
          </c:yVal>
          <c:smooth val="1"/>
          <c:extLst>
            <c:ext xmlns:c16="http://schemas.microsoft.com/office/drawing/2014/chart" uri="{C3380CC4-5D6E-409C-BE32-E72D297353CC}">
              <c16:uniqueId val="{00000000-99D6-4DCA-A7F0-91A48CF4113B}"/>
            </c:ext>
          </c:extLst>
        </c:ser>
        <c:ser>
          <c:idx val="1"/>
          <c:order val="1"/>
          <c:tx>
            <c:v>UB</c:v>
          </c:tx>
          <c:spPr>
            <a:ln w="28575" cap="rnd">
              <a:solidFill>
                <a:schemeClr val="accent2"/>
              </a:solidFill>
              <a:round/>
            </a:ln>
            <a:effectLst/>
          </c:spPr>
          <c:marker>
            <c:symbol val="none"/>
          </c:marker>
          <c:xVal>
            <c:numRef>
              <c:f>'Texas pop'!$A$100:$A$134</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'Texas pop'!$M$100:$M$134</c:f>
              <c:numCache>
                <c:formatCode>0.00</c:formatCode>
                <c:ptCount val="35"/>
                <c:pt idx="0">
                  <c:v>6.1879999999999998E-2</c:v>
                </c:pt>
                <c:pt idx="1">
                  <c:v>8.3720000000000003E-2</c:v>
                </c:pt>
                <c:pt idx="2">
                  <c:v>0.12740000000000001</c:v>
                </c:pt>
                <c:pt idx="3">
                  <c:v>0.19968</c:v>
                </c:pt>
                <c:pt idx="4">
                  <c:v>0.27144000000000001</c:v>
                </c:pt>
                <c:pt idx="5">
                  <c:v>0.42068</c:v>
                </c:pt>
                <c:pt idx="6">
                  <c:v>0.77480000000000004</c:v>
                </c:pt>
                <c:pt idx="7">
                  <c:v>1.1855792000000001</c:v>
                </c:pt>
                <c:pt idx="8">
                  <c:v>1.6620830719999999</c:v>
                </c:pt>
                <c:pt idx="9">
                  <c:v>2.2148275635200001</c:v>
                </c:pt>
                <c:pt idx="10">
                  <c:v>2.8560111736831999</c:v>
                </c:pt>
                <c:pt idx="11">
                  <c:v>3.5997841614725115</c:v>
                </c:pt>
                <c:pt idx="12">
                  <c:v>4.4625608273081134</c:v>
                </c:pt>
                <c:pt idx="13">
                  <c:v>5.4633817596774117</c:v>
                </c:pt>
                <c:pt idx="14">
                  <c:v>6.6243340412257981</c:v>
                </c:pt>
                <c:pt idx="15">
                  <c:v>7.9710386878219257</c:v>
                </c:pt>
                <c:pt idx="16">
                  <c:v>9.4389467526117041</c:v>
                </c:pt>
                <c:pt idx="17">
                  <c:v>11.038966543232567</c:v>
                </c:pt>
                <c:pt idx="18">
                  <c:v>12.782988115009299</c:v>
                </c:pt>
                <c:pt idx="19">
                  <c:v>14.683971628245946</c:v>
                </c:pt>
                <c:pt idx="20">
                  <c:v>16.694163657673883</c:v>
                </c:pt>
                <c:pt idx="21">
                  <c:v>18.93088216975034</c:v>
                </c:pt>
                <c:pt idx="22">
                  <c:v>21.320430947913678</c:v>
                </c:pt>
                <c:pt idx="23">
                  <c:v>23.932064316111713</c:v>
                </c:pt>
                <c:pt idx="24">
                  <c:v>26.707723087447572</c:v>
                </c:pt>
                <c:pt idx="25">
                  <c:v>29.541742748203664</c:v>
                </c:pt>
                <c:pt idx="26">
                  <c:v>32.446628795389991</c:v>
                </c:pt>
                <c:pt idx="27">
                  <c:v>35.418416780463765</c:v>
                </c:pt>
                <c:pt idx="28">
                  <c:v>38.4518958203005</c:v>
                </c:pt>
                <c:pt idx="29">
                  <c:v>41.540384682748304</c:v>
                </c:pt>
                <c:pt idx="30">
                  <c:v>44.675471066474444</c:v>
                </c:pt>
                <c:pt idx="31">
                  <c:v>47.846708147014901</c:v>
                </c:pt>
                <c:pt idx="32">
                  <c:v>51.041261510876708</c:v>
                </c:pt>
                <c:pt idx="33">
                  <c:v>54.243498497408666</c:v>
                </c:pt>
                <c:pt idx="34">
                  <c:v>57.434510689616118</c:v>
                </c:pt>
              </c:numCache>
            </c:numRef>
          </c:yVal>
          <c:smooth val="1"/>
          <c:extLst>
            <c:ext xmlns:c16="http://schemas.microsoft.com/office/drawing/2014/chart" uri="{C3380CC4-5D6E-409C-BE32-E72D297353CC}">
              <c16:uniqueId val="{00000001-99D6-4DCA-A7F0-91A48CF4113B}"/>
            </c:ext>
          </c:extLst>
        </c:ser>
        <c:dLbls>
          <c:showLegendKey val="0"/>
          <c:showVal val="0"/>
          <c:showCatName val="0"/>
          <c:showSerName val="0"/>
          <c:showPercent val="0"/>
          <c:showBubbleSize val="0"/>
        </c:dLbls>
        <c:axId val="1897891968"/>
        <c:axId val="1584183456"/>
      </c:scatterChart>
      <c:valAx>
        <c:axId val="1897891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183456"/>
        <c:crosses val="autoZero"/>
        <c:crossBetween val="midCat"/>
      </c:valAx>
      <c:valAx>
        <c:axId val="15841834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Million</a:t>
                </a:r>
                <a:r>
                  <a:rPr lang="es-MX" baseline="0"/>
                  <a:t> </a:t>
                </a:r>
                <a:r>
                  <a:rPr lang="es-MX"/>
                  <a:t>MWh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8919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2000"/>
              <a:t>Sales</a:t>
            </a:r>
            <a:r>
              <a:rPr lang="es-MX" sz="2000" baseline="0"/>
              <a:t> per year</a:t>
            </a:r>
            <a:endParaRPr lang="es-MX" sz="2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none"/>
          </c:marker>
          <c:trendline>
            <c:spPr>
              <a:ln w="19050" cap="rnd">
                <a:solidFill>
                  <a:schemeClr val="accent1"/>
                </a:solidFill>
                <a:prstDash val="sysDot"/>
              </a:ln>
              <a:effectLst/>
            </c:spPr>
            <c:trendlineType val="poly"/>
            <c:order val="2"/>
            <c:dispRSqr val="1"/>
            <c:dispEq val="1"/>
            <c:trendlineLbl>
              <c:layout>
                <c:manualLayout>
                  <c:x val="0.12863074538542349"/>
                  <c:y val="0.4951501272058556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'Texas pop'!$A$100:$A$134</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'Texas pop'!$E$100:$E$134</c:f>
              <c:numCache>
                <c:formatCode>General</c:formatCode>
                <c:ptCount val="35"/>
                <c:pt idx="0">
                  <c:v>4200</c:v>
                </c:pt>
                <c:pt idx="1">
                  <c:v>8400</c:v>
                </c:pt>
                <c:pt idx="2">
                  <c:v>13900</c:v>
                </c:pt>
                <c:pt idx="3">
                  <c:v>13800</c:v>
                </c:pt>
                <c:pt idx="4">
                  <c:v>28700</c:v>
                </c:pt>
                <c:pt idx="5">
                  <c:v>68100</c:v>
                </c:pt>
                <c:pt idx="6" formatCode="0.00">
                  <c:v>78996</c:v>
                </c:pt>
                <c:pt idx="7" formatCode="0.00">
                  <c:v>91635.36</c:v>
                </c:pt>
                <c:pt idx="8" formatCode="0.00">
                  <c:v>106297.01759999999</c:v>
                </c:pt>
                <c:pt idx="9" formatCode="0.00">
                  <c:v>123304.54041599999</c:v>
                </c:pt>
                <c:pt idx="10" formatCode="0.00">
                  <c:v>143033.26688255998</c:v>
                </c:pt>
                <c:pt idx="11" formatCode="0.00">
                  <c:v>165918.58958376959</c:v>
                </c:pt>
                <c:pt idx="12" formatCode="0.00">
                  <c:v>192465.56391717272</c:v>
                </c:pt>
                <c:pt idx="13" formatCode="0.00">
                  <c:v>223260.05414392037</c:v>
                </c:pt>
                <c:pt idx="14" formatCode="0.00">
                  <c:v>258981.66280694763</c:v>
                </c:pt>
                <c:pt idx="15" formatCode="0.00">
                  <c:v>282290.01245957293</c:v>
                </c:pt>
                <c:pt idx="16" formatCode="0.00">
                  <c:v>307696.11358093447</c:v>
                </c:pt>
                <c:pt idx="17" formatCode="0.00">
                  <c:v>335388.76380321855</c:v>
                </c:pt>
                <c:pt idx="18" formatCode="0.00">
                  <c:v>365573.75254550821</c:v>
                </c:pt>
                <c:pt idx="19" formatCode="0.00">
                  <c:v>398475.39027460397</c:v>
                </c:pt>
                <c:pt idx="20" formatCode="0.00">
                  <c:v>434338.17539931834</c:v>
                </c:pt>
                <c:pt idx="21" formatCode="0.00">
                  <c:v>473428.61118525697</c:v>
                </c:pt>
                <c:pt idx="22" formatCode="0.00">
                  <c:v>516037.18619193009</c:v>
                </c:pt>
                <c:pt idx="23" formatCode="0.00">
                  <c:v>562480.53294920374</c:v>
                </c:pt>
                <c:pt idx="24" formatCode="0.00">
                  <c:v>613103.78091463214</c:v>
                </c:pt>
                <c:pt idx="25" formatCode="0.00">
                  <c:v>637627.93215121748</c:v>
                </c:pt>
                <c:pt idx="26" formatCode="0.00">
                  <c:v>663133.04943726619</c:v>
                </c:pt>
                <c:pt idx="27" formatCode="0.00">
                  <c:v>689658.37141475675</c:v>
                </c:pt>
                <c:pt idx="28" formatCode="0.00">
                  <c:v>717244.70627134701</c:v>
                </c:pt>
                <c:pt idx="29" formatCode="0.00">
                  <c:v>745934.49452220078</c:v>
                </c:pt>
                <c:pt idx="30" formatCode="0.00">
                  <c:v>775771.87430308876</c:v>
                </c:pt>
                <c:pt idx="31" formatCode="0.00">
                  <c:v>806802.74927521229</c:v>
                </c:pt>
                <c:pt idx="32" formatCode="0.00">
                  <c:v>839074.85924622079</c:v>
                </c:pt>
                <c:pt idx="33" formatCode="0.00">
                  <c:v>872637.85361606954</c:v>
                </c:pt>
                <c:pt idx="34" formatCode="0.00">
                  <c:v>907543.3677607124</c:v>
                </c:pt>
              </c:numCache>
            </c:numRef>
          </c:yVal>
          <c:smooth val="1"/>
          <c:extLst>
            <c:ext xmlns:c16="http://schemas.microsoft.com/office/drawing/2014/chart" uri="{C3380CC4-5D6E-409C-BE32-E72D297353CC}">
              <c16:uniqueId val="{00000000-6421-495E-A1C1-668DF2506008}"/>
            </c:ext>
          </c:extLst>
        </c:ser>
        <c:dLbls>
          <c:showLegendKey val="0"/>
          <c:showVal val="0"/>
          <c:showCatName val="0"/>
          <c:showSerName val="0"/>
          <c:showPercent val="0"/>
          <c:showBubbleSize val="0"/>
        </c:dLbls>
        <c:axId val="1537574560"/>
        <c:axId val="259182768"/>
      </c:scatterChart>
      <c:valAx>
        <c:axId val="1537574560"/>
        <c:scaling>
          <c:orientation val="minMax"/>
          <c:min val="2015"/>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182768"/>
        <c:crosses val="autoZero"/>
        <c:crossBetween val="midCat"/>
      </c:valAx>
      <c:valAx>
        <c:axId val="259182768"/>
        <c:scaling>
          <c:orientation val="minMax"/>
          <c:min val="0"/>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5745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1200"/>
              <a:t>Expected</a:t>
            </a:r>
            <a:r>
              <a:rPr lang="es-MX" sz="1200" baseline="0"/>
              <a:t> cars in Texas</a:t>
            </a:r>
            <a:endParaRPr lang="es-MX" sz="1200"/>
          </a:p>
        </c:rich>
      </c:tx>
      <c:layout>
        <c:manualLayout>
          <c:xMode val="edge"/>
          <c:yMode val="edge"/>
          <c:x val="0.35322413831133448"/>
          <c:y val="4.98596633687531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717004171681255"/>
          <c:y val="0.13965683408220547"/>
          <c:w val="0.74646632284354197"/>
          <c:h val="0.61864653261047731"/>
        </c:manualLayout>
      </c:layout>
      <c:scatterChart>
        <c:scatterStyle val="smoothMarker"/>
        <c:varyColors val="0"/>
        <c:ser>
          <c:idx val="0"/>
          <c:order val="0"/>
          <c:tx>
            <c:v>Accumulated EVs produced</c:v>
          </c:tx>
          <c:spPr>
            <a:ln w="19050" cap="rnd">
              <a:solidFill>
                <a:schemeClr val="accent1"/>
              </a:solidFill>
              <a:round/>
            </a:ln>
            <a:effectLst/>
          </c:spPr>
          <c:marker>
            <c:symbol val="none"/>
          </c:marker>
          <c:trendline>
            <c:spPr>
              <a:ln w="19050" cap="rnd">
                <a:solidFill>
                  <a:schemeClr val="accent1"/>
                </a:solidFill>
                <a:prstDash val="sysDot"/>
              </a:ln>
              <a:effectLst/>
            </c:spPr>
            <c:trendlineType val="poly"/>
            <c:order val="2"/>
            <c:dispRSqr val="0"/>
            <c:dispEq val="0"/>
          </c:trendline>
          <c:trendline>
            <c:spPr>
              <a:ln w="19050" cap="rnd">
                <a:solidFill>
                  <a:schemeClr val="accent1"/>
                </a:solidFill>
                <a:prstDash val="sysDot"/>
              </a:ln>
              <a:effectLst/>
            </c:spPr>
            <c:trendlineType val="poly"/>
            <c:order val="2"/>
            <c:dispRSqr val="0"/>
            <c:dispEq val="0"/>
          </c:trendline>
          <c:xVal>
            <c:numRef>
              <c:f>'Texas pop'!$A$100:$A$134</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'Texas pop'!$C$100:$C$134</c:f>
              <c:numCache>
                <c:formatCode>General</c:formatCode>
                <c:ptCount val="35"/>
                <c:pt idx="0">
                  <c:v>11900</c:v>
                </c:pt>
                <c:pt idx="1">
                  <c:v>16100</c:v>
                </c:pt>
                <c:pt idx="2">
                  <c:v>24500</c:v>
                </c:pt>
                <c:pt idx="3">
                  <c:v>38400</c:v>
                </c:pt>
                <c:pt idx="4">
                  <c:v>52200</c:v>
                </c:pt>
                <c:pt idx="5">
                  <c:v>80900</c:v>
                </c:pt>
                <c:pt idx="6">
                  <c:v>149000</c:v>
                </c:pt>
                <c:pt idx="7" formatCode="0.00">
                  <c:v>227996</c:v>
                </c:pt>
                <c:pt idx="8" formatCode="0.00">
                  <c:v>319631.35999999999</c:v>
                </c:pt>
                <c:pt idx="9" formatCode="0.00">
                  <c:v>425928.37760000001</c:v>
                </c:pt>
                <c:pt idx="10" formatCode="0.00">
                  <c:v>549232.91801599995</c:v>
                </c:pt>
                <c:pt idx="11" formatCode="0.00">
                  <c:v>692266.18489855994</c:v>
                </c:pt>
                <c:pt idx="12" formatCode="0.00">
                  <c:v>858184.77448232949</c:v>
                </c:pt>
                <c:pt idx="13" formatCode="0.00">
                  <c:v>1050650.3383995022</c:v>
                </c:pt>
                <c:pt idx="14" formatCode="0">
                  <c:v>1273910.3925434225</c:v>
                </c:pt>
                <c:pt idx="15" formatCode="0.00">
                  <c:v>1532892.0553503702</c:v>
                </c:pt>
                <c:pt idx="16" formatCode="0.00">
                  <c:v>1815182.0678099431</c:v>
                </c:pt>
                <c:pt idx="17" formatCode="0.00">
                  <c:v>2122878.1813908778</c:v>
                </c:pt>
                <c:pt idx="18" formatCode="0.00">
                  <c:v>2458266.9451940963</c:v>
                </c:pt>
                <c:pt idx="19" formatCode="0.00">
                  <c:v>2823840.6977396044</c:v>
                </c:pt>
                <c:pt idx="20" formatCode="0.00">
                  <c:v>3222316.0880142082</c:v>
                </c:pt>
                <c:pt idx="21" formatCode="0.00">
                  <c:v>3656654.2634135266</c:v>
                </c:pt>
                <c:pt idx="22" formatCode="0.00">
                  <c:v>4130082.8745987834</c:v>
                </c:pt>
                <c:pt idx="23" formatCode="0.00">
                  <c:v>4646120.0607907139</c:v>
                </c:pt>
                <c:pt idx="24" formatCode="0">
                  <c:v>5208600.5937399175</c:v>
                </c:pt>
                <c:pt idx="25" formatCode="0.00">
                  <c:v>5821704.3746545501</c:v>
                </c:pt>
                <c:pt idx="26" formatCode="0.00">
                  <c:v>6459332.3068057671</c:v>
                </c:pt>
                <c:pt idx="27" formatCode="0.00">
                  <c:v>7122465.356243033</c:v>
                </c:pt>
                <c:pt idx="28" formatCode="0.00">
                  <c:v>7812123.7276577894</c:v>
                </c:pt>
                <c:pt idx="29" formatCode="0.00">
                  <c:v>8529368.433929136</c:v>
                </c:pt>
                <c:pt idx="30" formatCode="0.00">
                  <c:v>9275302.9284513369</c:v>
                </c:pt>
                <c:pt idx="31" formatCode="0.00">
                  <c:v>10051074.802754426</c:v>
                </c:pt>
                <c:pt idx="32" formatCode="0.00">
                  <c:v>10857877.552029639</c:v>
                </c:pt>
                <c:pt idx="33" formatCode="0.00">
                  <c:v>11696952.41127586</c:v>
                </c:pt>
                <c:pt idx="34" formatCode="0.00">
                  <c:v>12569590.26489193</c:v>
                </c:pt>
              </c:numCache>
            </c:numRef>
          </c:yVal>
          <c:smooth val="1"/>
          <c:extLst>
            <c:ext xmlns:c16="http://schemas.microsoft.com/office/drawing/2014/chart" uri="{C3380CC4-5D6E-409C-BE32-E72D297353CC}">
              <c16:uniqueId val="{00000002-F363-47AA-A264-C11AB092C7B9}"/>
            </c:ext>
          </c:extLst>
        </c:ser>
        <c:ser>
          <c:idx val="1"/>
          <c:order val="1"/>
          <c:tx>
            <c:v>Total cars</c:v>
          </c:tx>
          <c:spPr>
            <a:ln w="19050" cap="rnd">
              <a:solidFill>
                <a:schemeClr val="accent2"/>
              </a:solidFill>
              <a:round/>
            </a:ln>
            <a:effectLst/>
          </c:spPr>
          <c:marker>
            <c:symbol val="none"/>
          </c:marker>
          <c:xVal>
            <c:numRef>
              <c:f>'Texas pop'!$A$100:$A$134</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'Texas pop'!$H$100:$H$134</c:f>
              <c:numCache>
                <c:formatCode>General</c:formatCode>
                <c:ptCount val="35"/>
                <c:pt idx="0">
                  <c:v>22306700</c:v>
                </c:pt>
                <c:pt idx="1">
                  <c:v>22544400</c:v>
                </c:pt>
                <c:pt idx="2">
                  <c:v>22971900</c:v>
                </c:pt>
                <c:pt idx="3">
                  <c:v>24091300</c:v>
                </c:pt>
                <c:pt idx="4">
                  <c:v>24508900</c:v>
                </c:pt>
                <c:pt idx="5">
                  <c:v>24713900</c:v>
                </c:pt>
                <c:pt idx="6">
                  <c:v>25346100</c:v>
                </c:pt>
                <c:pt idx="7" formatCode="0.0">
                  <c:v>25577663.755518906</c:v>
                </c:pt>
                <c:pt idx="8" formatCode="0.0">
                  <c:v>25863735.786752641</c:v>
                </c:pt>
                <c:pt idx="9" formatCode="0.0">
                  <c:v>26149807.817986477</c:v>
                </c:pt>
                <c:pt idx="10" formatCode="0.0">
                  <c:v>26435879.849220213</c:v>
                </c:pt>
                <c:pt idx="11" formatCode="0.0">
                  <c:v>26721951.880454049</c:v>
                </c:pt>
                <c:pt idx="12" formatCode="0.0">
                  <c:v>27008023.911687884</c:v>
                </c:pt>
                <c:pt idx="13" formatCode="0.0">
                  <c:v>27294095.94292162</c:v>
                </c:pt>
                <c:pt idx="14" formatCode="0.0">
                  <c:v>27580167.974155456</c:v>
                </c:pt>
                <c:pt idx="15" formatCode="0.0">
                  <c:v>27866240.005389191</c:v>
                </c:pt>
                <c:pt idx="16" formatCode="0.0">
                  <c:v>28152312.036623027</c:v>
                </c:pt>
                <c:pt idx="17" formatCode="0.0">
                  <c:v>28438384.067856763</c:v>
                </c:pt>
                <c:pt idx="18" formatCode="0.0">
                  <c:v>28724456.099090599</c:v>
                </c:pt>
                <c:pt idx="19" formatCode="0.0">
                  <c:v>29010528.130324434</c:v>
                </c:pt>
                <c:pt idx="20" formatCode="0.0">
                  <c:v>29296600.16155817</c:v>
                </c:pt>
                <c:pt idx="21" formatCode="0.0">
                  <c:v>29582672.192792006</c:v>
                </c:pt>
                <c:pt idx="22" formatCode="0.0">
                  <c:v>29868744.224025741</c:v>
                </c:pt>
                <c:pt idx="23" formatCode="0.0">
                  <c:v>30154816.255259577</c:v>
                </c:pt>
                <c:pt idx="24" formatCode="0.0">
                  <c:v>30440888.286493313</c:v>
                </c:pt>
                <c:pt idx="25" formatCode="0.0">
                  <c:v>30726960.317727149</c:v>
                </c:pt>
                <c:pt idx="26" formatCode="0.0">
                  <c:v>31013032.348960984</c:v>
                </c:pt>
                <c:pt idx="27" formatCode="0.0">
                  <c:v>31299104.38019472</c:v>
                </c:pt>
                <c:pt idx="28" formatCode="0.0">
                  <c:v>31585176.411428556</c:v>
                </c:pt>
                <c:pt idx="29" formatCode="0.0">
                  <c:v>31871248.442662291</c:v>
                </c:pt>
                <c:pt idx="30" formatCode="0.0">
                  <c:v>32157320.473896127</c:v>
                </c:pt>
                <c:pt idx="31" formatCode="0.0">
                  <c:v>32443392.505129863</c:v>
                </c:pt>
                <c:pt idx="32" formatCode="0.0">
                  <c:v>32729464.536363699</c:v>
                </c:pt>
                <c:pt idx="33" formatCode="0.0">
                  <c:v>33015536.567597535</c:v>
                </c:pt>
                <c:pt idx="34" formatCode="0.0">
                  <c:v>33301608.59883127</c:v>
                </c:pt>
              </c:numCache>
            </c:numRef>
          </c:yVal>
          <c:smooth val="1"/>
          <c:extLst>
            <c:ext xmlns:c16="http://schemas.microsoft.com/office/drawing/2014/chart" uri="{C3380CC4-5D6E-409C-BE32-E72D297353CC}">
              <c16:uniqueId val="{00000003-F363-47AA-A264-C11AB092C7B9}"/>
            </c:ext>
          </c:extLst>
        </c:ser>
        <c:ser>
          <c:idx val="2"/>
          <c:order val="2"/>
          <c:tx>
            <c:v>EVs</c:v>
          </c:tx>
          <c:spPr>
            <a:ln w="19050" cap="rnd">
              <a:solidFill>
                <a:schemeClr val="accent3"/>
              </a:solidFill>
              <a:round/>
            </a:ln>
            <a:effectLst/>
          </c:spPr>
          <c:marker>
            <c:symbol val="none"/>
          </c:marker>
          <c:trendline>
            <c:spPr>
              <a:ln w="19050" cap="rnd">
                <a:solidFill>
                  <a:schemeClr val="accent3"/>
                </a:solidFill>
                <a:prstDash val="sysDot"/>
              </a:ln>
              <a:effectLst/>
            </c:spPr>
            <c:trendlineType val="poly"/>
            <c:order val="2"/>
            <c:dispRSqr val="0"/>
            <c:dispEq val="0"/>
          </c:trendline>
          <c:xVal>
            <c:numRef>
              <c:f>'Texas pop'!$A$100:$A$134</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'Texas pop'!$D$100:$D$134</c:f>
              <c:numCache>
                <c:formatCode>General</c:formatCode>
                <c:ptCount val="35"/>
                <c:pt idx="0">
                  <c:v>11900</c:v>
                </c:pt>
                <c:pt idx="1">
                  <c:v>16100</c:v>
                </c:pt>
                <c:pt idx="2">
                  <c:v>24500</c:v>
                </c:pt>
                <c:pt idx="3">
                  <c:v>38400</c:v>
                </c:pt>
                <c:pt idx="4">
                  <c:v>52200</c:v>
                </c:pt>
                <c:pt idx="5">
                  <c:v>80900</c:v>
                </c:pt>
                <c:pt idx="6">
                  <c:v>149000</c:v>
                </c:pt>
                <c:pt idx="7" formatCode="0.00">
                  <c:v>227996</c:v>
                </c:pt>
                <c:pt idx="8" formatCode="0.00">
                  <c:v>319631.35999999999</c:v>
                </c:pt>
                <c:pt idx="9" formatCode="0.00">
                  <c:v>425928.37760000001</c:v>
                </c:pt>
                <c:pt idx="10" formatCode="0.00">
                  <c:v>549232.91801599995</c:v>
                </c:pt>
                <c:pt idx="11" formatCode="0.00">
                  <c:v>692266.18489855994</c:v>
                </c:pt>
                <c:pt idx="12" formatCode="0.00">
                  <c:v>858184.77448232949</c:v>
                </c:pt>
                <c:pt idx="13" formatCode="0.00">
                  <c:v>1050650.3383995022</c:v>
                </c:pt>
                <c:pt idx="14" formatCode="0.00">
                  <c:v>1273910.3925434225</c:v>
                </c:pt>
                <c:pt idx="15" formatCode="0.00">
                  <c:v>1532892.0553503702</c:v>
                </c:pt>
                <c:pt idx="16" formatCode="0.00">
                  <c:v>1815182.0678099431</c:v>
                </c:pt>
                <c:pt idx="17" formatCode="0.00">
                  <c:v>2122878.1813908778</c:v>
                </c:pt>
                <c:pt idx="18" formatCode="0.00">
                  <c:v>2458266.9451940963</c:v>
                </c:pt>
                <c:pt idx="19" formatCode="0.00">
                  <c:v>2823840.6977396044</c:v>
                </c:pt>
                <c:pt idx="20" formatCode="0.00">
                  <c:v>3210416.0880142082</c:v>
                </c:pt>
                <c:pt idx="21" formatCode="0.00">
                  <c:v>3640554.2634135266</c:v>
                </c:pt>
                <c:pt idx="22" formatCode="0.00">
                  <c:v>4100082.8745987834</c:v>
                </c:pt>
                <c:pt idx="23" formatCode="0.00">
                  <c:v>4602320.0607907139</c:v>
                </c:pt>
                <c:pt idx="24" formatCode="0.00">
                  <c:v>5136100.5937399175</c:v>
                </c:pt>
                <c:pt idx="25" formatCode="0.00">
                  <c:v>5681104.3746545501</c:v>
                </c:pt>
                <c:pt idx="26" formatCode="0.00">
                  <c:v>6239736.3068057671</c:v>
                </c:pt>
                <c:pt idx="27" formatCode="0.00">
                  <c:v>6811233.9962430326</c:v>
                </c:pt>
                <c:pt idx="28" formatCode="0.00">
                  <c:v>7394595.3500577891</c:v>
                </c:pt>
                <c:pt idx="29" formatCode="0.00">
                  <c:v>7988535.5159131354</c:v>
                </c:pt>
                <c:pt idx="30" formatCode="0.00">
                  <c:v>8591436.7435527761</c:v>
                </c:pt>
                <c:pt idx="31" formatCode="0.00">
                  <c:v>9201290.0282720961</c:v>
                </c:pt>
                <c:pt idx="32" formatCode="0.00">
                  <c:v>9815627.2136301361</c:v>
                </c:pt>
                <c:pt idx="33" formatCode="0.00">
                  <c:v>10431442.018732436</c:v>
                </c:pt>
                <c:pt idx="34" formatCode="0.00">
                  <c:v>11045098.209541559</c:v>
                </c:pt>
              </c:numCache>
            </c:numRef>
          </c:yVal>
          <c:smooth val="1"/>
          <c:extLst>
            <c:ext xmlns:c16="http://schemas.microsoft.com/office/drawing/2014/chart" uri="{C3380CC4-5D6E-409C-BE32-E72D297353CC}">
              <c16:uniqueId val="{00000005-F363-47AA-A264-C11AB092C7B9}"/>
            </c:ext>
          </c:extLst>
        </c:ser>
        <c:ser>
          <c:idx val="3"/>
          <c:order val="3"/>
          <c:tx>
            <c:v>EVs sales</c:v>
          </c:tx>
          <c:spPr>
            <a:ln w="19050" cap="rnd">
              <a:solidFill>
                <a:schemeClr val="accent4"/>
              </a:solidFill>
              <a:round/>
            </a:ln>
            <a:effectLst/>
          </c:spPr>
          <c:marker>
            <c:symbol val="none"/>
          </c:marker>
          <c:xVal>
            <c:numRef>
              <c:f>'Texas pop'!$A$100:$A$134</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'Texas pop'!$E$100:$E$134</c:f>
              <c:numCache>
                <c:formatCode>General</c:formatCode>
                <c:ptCount val="35"/>
                <c:pt idx="0">
                  <c:v>4200</c:v>
                </c:pt>
                <c:pt idx="1">
                  <c:v>8400</c:v>
                </c:pt>
                <c:pt idx="2">
                  <c:v>13900</c:v>
                </c:pt>
                <c:pt idx="3">
                  <c:v>13800</c:v>
                </c:pt>
                <c:pt idx="4">
                  <c:v>28700</c:v>
                </c:pt>
                <c:pt idx="5">
                  <c:v>68100</c:v>
                </c:pt>
                <c:pt idx="6" formatCode="0.00">
                  <c:v>78996</c:v>
                </c:pt>
                <c:pt idx="7" formatCode="0.00">
                  <c:v>91635.36</c:v>
                </c:pt>
                <c:pt idx="8" formatCode="0.00">
                  <c:v>106297.01759999999</c:v>
                </c:pt>
                <c:pt idx="9" formatCode="0.00">
                  <c:v>123304.54041599999</c:v>
                </c:pt>
                <c:pt idx="10" formatCode="0.00">
                  <c:v>143033.26688255998</c:v>
                </c:pt>
                <c:pt idx="11" formatCode="0.00">
                  <c:v>165918.58958376959</c:v>
                </c:pt>
                <c:pt idx="12" formatCode="0.00">
                  <c:v>192465.56391717272</c:v>
                </c:pt>
                <c:pt idx="13" formatCode="0.00">
                  <c:v>223260.05414392037</c:v>
                </c:pt>
                <c:pt idx="14" formatCode="0.00">
                  <c:v>258981.66280694763</c:v>
                </c:pt>
                <c:pt idx="15" formatCode="0.00">
                  <c:v>282290.01245957293</c:v>
                </c:pt>
                <c:pt idx="16" formatCode="0.00">
                  <c:v>307696.11358093447</c:v>
                </c:pt>
                <c:pt idx="17" formatCode="0.00">
                  <c:v>335388.76380321855</c:v>
                </c:pt>
                <c:pt idx="18" formatCode="0.00">
                  <c:v>365573.75254550821</c:v>
                </c:pt>
                <c:pt idx="19" formatCode="0.00">
                  <c:v>398475.39027460397</c:v>
                </c:pt>
                <c:pt idx="20" formatCode="0.00">
                  <c:v>434338.17539931834</c:v>
                </c:pt>
                <c:pt idx="21" formatCode="0.00">
                  <c:v>473428.61118525697</c:v>
                </c:pt>
                <c:pt idx="22" formatCode="0.00">
                  <c:v>516037.18619193009</c:v>
                </c:pt>
                <c:pt idx="23" formatCode="0.00">
                  <c:v>562480.53294920374</c:v>
                </c:pt>
                <c:pt idx="24" formatCode="0.00">
                  <c:v>613103.78091463214</c:v>
                </c:pt>
                <c:pt idx="25" formatCode="0.00">
                  <c:v>637627.93215121748</c:v>
                </c:pt>
                <c:pt idx="26" formatCode="0.00">
                  <c:v>663133.04943726619</c:v>
                </c:pt>
                <c:pt idx="27" formatCode="0.00">
                  <c:v>689658.37141475675</c:v>
                </c:pt>
                <c:pt idx="28" formatCode="0.00">
                  <c:v>717244.70627134701</c:v>
                </c:pt>
                <c:pt idx="29" formatCode="0.00">
                  <c:v>745934.49452220078</c:v>
                </c:pt>
                <c:pt idx="30" formatCode="0.00">
                  <c:v>775771.87430308876</c:v>
                </c:pt>
                <c:pt idx="31" formatCode="0.00">
                  <c:v>806802.74927521229</c:v>
                </c:pt>
                <c:pt idx="32" formatCode="0.00">
                  <c:v>839074.85924622079</c:v>
                </c:pt>
                <c:pt idx="33" formatCode="0.00">
                  <c:v>872637.85361606954</c:v>
                </c:pt>
                <c:pt idx="34" formatCode="0.00">
                  <c:v>907543.3677607124</c:v>
                </c:pt>
              </c:numCache>
            </c:numRef>
          </c:yVal>
          <c:smooth val="1"/>
          <c:extLst>
            <c:ext xmlns:c16="http://schemas.microsoft.com/office/drawing/2014/chart" uri="{C3380CC4-5D6E-409C-BE32-E72D297353CC}">
              <c16:uniqueId val="{00000006-F363-47AA-A264-C11AB092C7B9}"/>
            </c:ext>
          </c:extLst>
        </c:ser>
        <c:dLbls>
          <c:showLegendKey val="0"/>
          <c:showVal val="0"/>
          <c:showCatName val="0"/>
          <c:showSerName val="0"/>
          <c:showPercent val="0"/>
          <c:showBubbleSize val="0"/>
        </c:dLbls>
        <c:axId val="464319024"/>
        <c:axId val="1017540864"/>
      </c:scatterChart>
      <c:valAx>
        <c:axId val="464319024"/>
        <c:scaling>
          <c:orientation val="minMax"/>
          <c:max val="2055"/>
          <c:min val="2015"/>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Year</a:t>
                </a:r>
              </a:p>
            </c:rich>
          </c:tx>
          <c:layout>
            <c:manualLayout>
              <c:xMode val="edge"/>
              <c:yMode val="edge"/>
              <c:x val="0.49154364219956392"/>
              <c:y val="0.8346049619525619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540864"/>
        <c:crosses val="autoZero"/>
        <c:crossBetween val="midCat"/>
      </c:valAx>
      <c:valAx>
        <c:axId val="1017540864"/>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sz="1000"/>
                  <a:t>Cars</a:t>
                </a:r>
                <a:r>
                  <a:rPr lang="es-MX" sz="1000" baseline="0"/>
                  <a:t> in Texas</a:t>
                </a:r>
                <a:endParaRPr lang="es-MX" sz="1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319024"/>
        <c:crosses val="autoZero"/>
        <c:crossBetween val="midCat"/>
      </c:valAx>
      <c:spPr>
        <a:noFill/>
        <a:ln>
          <a:noFill/>
        </a:ln>
        <a:effectLst/>
      </c:spPr>
    </c:plotArea>
    <c:legend>
      <c:legendPos val="r"/>
      <c:legendEntry>
        <c:idx val="4"/>
        <c:delete val="1"/>
      </c:legendEntry>
      <c:legendEntry>
        <c:idx val="5"/>
        <c:delete val="1"/>
      </c:legendEntry>
      <c:legendEntry>
        <c:idx val="6"/>
        <c:delete val="1"/>
      </c:legendEntry>
      <c:layout>
        <c:manualLayout>
          <c:xMode val="edge"/>
          <c:yMode val="edge"/>
          <c:x val="3.3182888494297395E-2"/>
          <c:y val="0.87923873678110964"/>
          <c:w val="0.9349142428163647"/>
          <c:h val="0.117830424144116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2000"/>
              <a:t>Sales</a:t>
            </a:r>
            <a:r>
              <a:rPr lang="es-MX" sz="2000" baseline="0"/>
              <a:t> per year</a:t>
            </a:r>
            <a:endParaRPr lang="es-MX" sz="2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951452766843191"/>
          <c:y val="8.1888889752808988E-2"/>
          <c:w val="0.81476854790474984"/>
          <c:h val="0.80902836015249913"/>
        </c:manualLayout>
      </c:layout>
      <c:scatterChart>
        <c:scatterStyle val="smoothMarker"/>
        <c:varyColors val="0"/>
        <c:ser>
          <c:idx val="0"/>
          <c:order val="0"/>
          <c:spPr>
            <a:ln w="19050" cap="rnd">
              <a:solidFill>
                <a:schemeClr val="accent1"/>
              </a:solidFill>
              <a:round/>
            </a:ln>
            <a:effectLst/>
          </c:spPr>
          <c:marker>
            <c:symbol val="none"/>
          </c:marker>
          <c:trendline>
            <c:spPr>
              <a:ln w="19050" cap="rnd">
                <a:solidFill>
                  <a:schemeClr val="accent1"/>
                </a:solidFill>
                <a:prstDash val="sysDot"/>
              </a:ln>
              <a:effectLst/>
            </c:spPr>
            <c:trendlineType val="poly"/>
            <c:order val="2"/>
            <c:dispRSqr val="0"/>
            <c:dispEq val="0"/>
          </c:trendline>
          <c:xVal>
            <c:numRef>
              <c:f>'Texas pop'!$A$100:$A$134</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'Texas pop'!$E$100:$E$134</c:f>
              <c:numCache>
                <c:formatCode>General</c:formatCode>
                <c:ptCount val="35"/>
                <c:pt idx="0">
                  <c:v>4200</c:v>
                </c:pt>
                <c:pt idx="1">
                  <c:v>8400</c:v>
                </c:pt>
                <c:pt idx="2">
                  <c:v>13900</c:v>
                </c:pt>
                <c:pt idx="3">
                  <c:v>13800</c:v>
                </c:pt>
                <c:pt idx="4">
                  <c:v>28700</c:v>
                </c:pt>
                <c:pt idx="5">
                  <c:v>68100</c:v>
                </c:pt>
                <c:pt idx="6" formatCode="0.00">
                  <c:v>78996</c:v>
                </c:pt>
                <c:pt idx="7" formatCode="0.00">
                  <c:v>91635.36</c:v>
                </c:pt>
                <c:pt idx="8" formatCode="0.00">
                  <c:v>106297.01759999999</c:v>
                </c:pt>
                <c:pt idx="9" formatCode="0.00">
                  <c:v>123304.54041599999</c:v>
                </c:pt>
                <c:pt idx="10" formatCode="0.00">
                  <c:v>143033.26688255998</c:v>
                </c:pt>
                <c:pt idx="11" formatCode="0.00">
                  <c:v>165918.58958376959</c:v>
                </c:pt>
                <c:pt idx="12" formatCode="0.00">
                  <c:v>192465.56391717272</c:v>
                </c:pt>
                <c:pt idx="13" formatCode="0.00">
                  <c:v>223260.05414392037</c:v>
                </c:pt>
                <c:pt idx="14" formatCode="0.00">
                  <c:v>258981.66280694763</c:v>
                </c:pt>
                <c:pt idx="15" formatCode="0.00">
                  <c:v>282290.01245957293</c:v>
                </c:pt>
                <c:pt idx="16" formatCode="0.00">
                  <c:v>307696.11358093447</c:v>
                </c:pt>
                <c:pt idx="17" formatCode="0.00">
                  <c:v>335388.76380321855</c:v>
                </c:pt>
                <c:pt idx="18" formatCode="0.00">
                  <c:v>365573.75254550821</c:v>
                </c:pt>
                <c:pt idx="19" formatCode="0.00">
                  <c:v>398475.39027460397</c:v>
                </c:pt>
                <c:pt idx="20" formatCode="0.00">
                  <c:v>434338.17539931834</c:v>
                </c:pt>
                <c:pt idx="21" formatCode="0.00">
                  <c:v>473428.61118525697</c:v>
                </c:pt>
                <c:pt idx="22" formatCode="0.00">
                  <c:v>516037.18619193009</c:v>
                </c:pt>
                <c:pt idx="23" formatCode="0.00">
                  <c:v>562480.53294920374</c:v>
                </c:pt>
                <c:pt idx="24" formatCode="0.00">
                  <c:v>613103.78091463214</c:v>
                </c:pt>
                <c:pt idx="25" formatCode="0.00">
                  <c:v>637627.93215121748</c:v>
                </c:pt>
                <c:pt idx="26" formatCode="0.00">
                  <c:v>663133.04943726619</c:v>
                </c:pt>
                <c:pt idx="27" formatCode="0.00">
                  <c:v>689658.37141475675</c:v>
                </c:pt>
                <c:pt idx="28" formatCode="0.00">
                  <c:v>717244.70627134701</c:v>
                </c:pt>
                <c:pt idx="29" formatCode="0.00">
                  <c:v>745934.49452220078</c:v>
                </c:pt>
                <c:pt idx="30" formatCode="0.00">
                  <c:v>775771.87430308876</c:v>
                </c:pt>
                <c:pt idx="31" formatCode="0.00">
                  <c:v>806802.74927521229</c:v>
                </c:pt>
                <c:pt idx="32" formatCode="0.00">
                  <c:v>839074.85924622079</c:v>
                </c:pt>
                <c:pt idx="33" formatCode="0.00">
                  <c:v>872637.85361606954</c:v>
                </c:pt>
                <c:pt idx="34" formatCode="0.00">
                  <c:v>907543.3677607124</c:v>
                </c:pt>
              </c:numCache>
            </c:numRef>
          </c:yVal>
          <c:smooth val="1"/>
          <c:extLst>
            <c:ext xmlns:c16="http://schemas.microsoft.com/office/drawing/2014/chart" uri="{C3380CC4-5D6E-409C-BE32-E72D297353CC}">
              <c16:uniqueId val="{00000001-4FF2-45AB-BCC6-3CC2B6D7C205}"/>
            </c:ext>
          </c:extLst>
        </c:ser>
        <c:dLbls>
          <c:showLegendKey val="0"/>
          <c:showVal val="0"/>
          <c:showCatName val="0"/>
          <c:showSerName val="0"/>
          <c:showPercent val="0"/>
          <c:showBubbleSize val="0"/>
        </c:dLbls>
        <c:axId val="1537574560"/>
        <c:axId val="259182768"/>
      </c:scatterChart>
      <c:valAx>
        <c:axId val="1537574560"/>
        <c:scaling>
          <c:orientation val="minMax"/>
          <c:min val="2015"/>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182768"/>
        <c:crosses val="autoZero"/>
        <c:crossBetween val="midCat"/>
      </c:valAx>
      <c:valAx>
        <c:axId val="259182768"/>
        <c:scaling>
          <c:orientation val="minMax"/>
          <c:min val="0"/>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5745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2000"/>
              <a:t>Annual</a:t>
            </a:r>
            <a:r>
              <a:rPr lang="es-MX" sz="2000" baseline="0"/>
              <a:t> requirements of plastics</a:t>
            </a:r>
            <a:endParaRPr lang="es-MX" sz="2000"/>
          </a:p>
        </c:rich>
      </c:tx>
      <c:layout>
        <c:manualLayout>
          <c:xMode val="edge"/>
          <c:yMode val="edge"/>
          <c:x val="0.28762597559280706"/>
          <c:y val="3.1275769121552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Plastics!$F$3</c:f>
              <c:strCache>
                <c:ptCount val="1"/>
                <c:pt idx="0">
                  <c:v>ABS</c:v>
                </c:pt>
              </c:strCache>
            </c:strRef>
          </c:tx>
          <c:spPr>
            <a:solidFill>
              <a:schemeClr val="accent1"/>
            </a:solidFill>
            <a:ln>
              <a:noFill/>
            </a:ln>
            <a:effectLst/>
          </c:spPr>
          <c:cat>
            <c:numRef>
              <c:extLst>
                <c:ext xmlns:c15="http://schemas.microsoft.com/office/drawing/2012/chart" uri="{02D57815-91ED-43cb-92C2-25804820EDAC}">
                  <c15:fullRef>
                    <c15:sqref>Plastics!$A$4:$A$38</c15:sqref>
                  </c15:fullRef>
                </c:ext>
              </c:extLst>
              <c:f>(Plastics!$A$5,Plastics!$A$7,Plastics!$A$9,Plastics!$A$11,Plastics!$A$13,Plastics!$A$15,Plastics!$A$17,Plastics!$A$19,Plastics!$A$21,Plastics!$A$23,Plastics!$A$25,Plastics!$A$27,Plastics!$A$29,Plastics!$A$31,Plastics!$A$33,Plastics!$A$35,Plastics!$A$37:$A$38)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Plastics!$F$4:$F$38</c15:sqref>
                  </c15:fullRef>
                </c:ext>
              </c:extLst>
              <c:f>(Plastics!$F$5,Plastics!$F$7,Plastics!$F$9,Plastics!$F$11,Plastics!$F$13,Plastics!$F$15,Plastics!$F$17,Plastics!$F$19,Plastics!$F$21,Plastics!$F$23,Plastics!$F$25,Plastics!$F$27,Plastics!$F$29,Plastics!$F$31,Plastics!$F$33,Plastics!$F$35,Plastics!$F$37:$F$38)</c:f>
              <c:numCache>
                <c:formatCode>General</c:formatCode>
                <c:ptCount val="18"/>
                <c:pt idx="0">
                  <c:v>0.11901465526270119</c:v>
                </c:pt>
                <c:pt idx="1">
                  <c:v>0.1955240765030091</c:v>
                </c:pt>
                <c:pt idx="2">
                  <c:v>0.96486881230832755</c:v>
                </c:pt>
                <c:pt idx="3">
                  <c:v>1.2983274738420856</c:v>
                </c:pt>
                <c:pt idx="4">
                  <c:v>1.74702944880191</c:v>
                </c:pt>
                <c:pt idx="5">
                  <c:v>2.35080282630785</c:v>
                </c:pt>
                <c:pt idx="6">
                  <c:v>3.1632402830798436</c:v>
                </c:pt>
                <c:pt idx="7">
                  <c:v>3.9996010139261542</c:v>
                </c:pt>
                <c:pt idx="8">
                  <c:v>4.7519259646456629</c:v>
                </c:pt>
                <c:pt idx="9">
                  <c:v>5.6457632385955128</c:v>
                </c:pt>
                <c:pt idx="10">
                  <c:v>6.7077313037753283</c:v>
                </c:pt>
                <c:pt idx="11">
                  <c:v>7.9694555620154661</c:v>
                </c:pt>
                <c:pt idx="12">
                  <c:v>9.0341748251007346</c:v>
                </c:pt>
                <c:pt idx="13">
                  <c:v>9.7713634908289535</c:v>
                </c:pt>
                <c:pt idx="14">
                  <c:v>10.568706751680594</c:v>
                </c:pt>
                <c:pt idx="15">
                  <c:v>11.43111322261773</c:v>
                </c:pt>
                <c:pt idx="16">
                  <c:v>12.363892061583336</c:v>
                </c:pt>
                <c:pt idx="17">
                  <c:v>12.85844774404667</c:v>
                </c:pt>
              </c:numCache>
            </c:numRef>
          </c:val>
          <c:extLst>
            <c:ext xmlns:c16="http://schemas.microsoft.com/office/drawing/2014/chart" uri="{C3380CC4-5D6E-409C-BE32-E72D297353CC}">
              <c16:uniqueId val="{00000000-C66C-4FC8-A3C4-CB628E6DA631}"/>
            </c:ext>
          </c:extLst>
        </c:ser>
        <c:ser>
          <c:idx val="1"/>
          <c:order val="1"/>
          <c:tx>
            <c:strRef>
              <c:f>Plastics!$G$3</c:f>
              <c:strCache>
                <c:ptCount val="1"/>
                <c:pt idx="0">
                  <c:v>EPDM</c:v>
                </c:pt>
              </c:strCache>
            </c:strRef>
          </c:tx>
          <c:spPr>
            <a:solidFill>
              <a:schemeClr val="accent2"/>
            </a:solidFill>
            <a:ln>
              <a:noFill/>
            </a:ln>
            <a:effectLst/>
          </c:spPr>
          <c:cat>
            <c:numRef>
              <c:extLst>
                <c:ext xmlns:c15="http://schemas.microsoft.com/office/drawing/2012/chart" uri="{02D57815-91ED-43cb-92C2-25804820EDAC}">
                  <c15:fullRef>
                    <c15:sqref>Plastics!$A$4:$A$38</c15:sqref>
                  </c15:fullRef>
                </c:ext>
              </c:extLst>
              <c:f>(Plastics!$A$5,Plastics!$A$7,Plastics!$A$9,Plastics!$A$11,Plastics!$A$13,Plastics!$A$15,Plastics!$A$17,Plastics!$A$19,Plastics!$A$21,Plastics!$A$23,Plastics!$A$25,Plastics!$A$27,Plastics!$A$29,Plastics!$A$31,Plastics!$A$33,Plastics!$A$35,Plastics!$A$37:$A$38)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Plastics!$G$4:$G$38</c15:sqref>
                  </c15:fullRef>
                </c:ext>
              </c:extLst>
              <c:f>(Plastics!$G$5,Plastics!$G$7,Plastics!$G$9,Plastics!$G$11,Plastics!$G$13,Plastics!$G$15,Plastics!$G$17,Plastics!$G$19,Plastics!$G$21,Plastics!$G$23,Plastics!$G$25,Plastics!$G$27,Plastics!$G$29,Plastics!$G$31,Plastics!$G$33,Plastics!$G$35,Plastics!$G$37:$G$38)</c:f>
              <c:numCache>
                <c:formatCode>General</c:formatCode>
                <c:ptCount val="18"/>
                <c:pt idx="0">
                  <c:v>0.11118474373226031</c:v>
                </c:pt>
                <c:pt idx="1">
                  <c:v>0.1826606504172848</c:v>
                </c:pt>
                <c:pt idx="2">
                  <c:v>0.90139060097225321</c:v>
                </c:pt>
                <c:pt idx="3">
                  <c:v>1.2129111926682641</c:v>
                </c:pt>
                <c:pt idx="4">
                  <c:v>1.6320933008544158</c:v>
                </c:pt>
                <c:pt idx="5">
                  <c:v>2.1961447456297019</c:v>
                </c:pt>
                <c:pt idx="6">
                  <c:v>2.955132369719327</c:v>
                </c:pt>
                <c:pt idx="7">
                  <c:v>3.7364693682731174</c:v>
                </c:pt>
                <c:pt idx="8">
                  <c:v>4.4392992564452909</c:v>
                </c:pt>
                <c:pt idx="9">
                  <c:v>5.2743314465826492</c:v>
                </c:pt>
                <c:pt idx="10">
                  <c:v>6.2664331916848459</c:v>
                </c:pt>
                <c:pt idx="11">
                  <c:v>7.4451492750407642</c:v>
                </c:pt>
                <c:pt idx="12">
                  <c:v>8.4398212181862124</c:v>
                </c:pt>
                <c:pt idx="13">
                  <c:v>9.1285106295902061</c:v>
                </c:pt>
                <c:pt idx="14">
                  <c:v>9.8733970969647658</c:v>
                </c:pt>
                <c:pt idx="15">
                  <c:v>10.679066300077087</c:v>
                </c:pt>
                <c:pt idx="16">
                  <c:v>11.550478110163377</c:v>
                </c:pt>
                <c:pt idx="17">
                  <c:v>12.012497234569915</c:v>
                </c:pt>
              </c:numCache>
            </c:numRef>
          </c:val>
          <c:extLst>
            <c:ext xmlns:c16="http://schemas.microsoft.com/office/drawing/2014/chart" uri="{C3380CC4-5D6E-409C-BE32-E72D297353CC}">
              <c16:uniqueId val="{00000001-C66C-4FC8-A3C4-CB628E6DA631}"/>
            </c:ext>
          </c:extLst>
        </c:ser>
        <c:ser>
          <c:idx val="2"/>
          <c:order val="2"/>
          <c:tx>
            <c:strRef>
              <c:f>Plastics!$H$3</c:f>
              <c:strCache>
                <c:ptCount val="1"/>
                <c:pt idx="0">
                  <c:v>LER</c:v>
                </c:pt>
              </c:strCache>
            </c:strRef>
          </c:tx>
          <c:spPr>
            <a:solidFill>
              <a:schemeClr val="accent3"/>
            </a:solidFill>
            <a:ln>
              <a:noFill/>
            </a:ln>
            <a:effectLst/>
          </c:spPr>
          <c:cat>
            <c:numRef>
              <c:extLst>
                <c:ext xmlns:c15="http://schemas.microsoft.com/office/drawing/2012/chart" uri="{02D57815-91ED-43cb-92C2-25804820EDAC}">
                  <c15:fullRef>
                    <c15:sqref>Plastics!$A$4:$A$38</c15:sqref>
                  </c15:fullRef>
                </c:ext>
              </c:extLst>
              <c:f>(Plastics!$A$5,Plastics!$A$7,Plastics!$A$9,Plastics!$A$11,Plastics!$A$13,Plastics!$A$15,Plastics!$A$17,Plastics!$A$19,Plastics!$A$21,Plastics!$A$23,Plastics!$A$25,Plastics!$A$27,Plastics!$A$29,Plastics!$A$31,Plastics!$A$33,Plastics!$A$35,Plastics!$A$37:$A$38)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Plastics!$H$4:$H$38</c15:sqref>
                  </c15:fullRef>
                </c:ext>
              </c:extLst>
              <c:f>(Plastics!$H$5,Plastics!$H$7,Plastics!$H$9,Plastics!$H$11,Plastics!$H$13,Plastics!$H$15,Plastics!$H$17,Plastics!$H$19,Plastics!$H$21,Plastics!$H$23,Plastics!$H$25,Plastics!$H$27,Plastics!$H$29,Plastics!$H$31,Plastics!$H$33,Plastics!$H$35,Plastics!$H$37:$H$38)</c:f>
              <c:numCache>
                <c:formatCode>General</c:formatCode>
                <c:ptCount val="18"/>
                <c:pt idx="0">
                  <c:v>0.16756010675143457</c:v>
                </c:pt>
                <c:pt idx="1">
                  <c:v>0.27527731823449963</c:v>
                </c:pt>
                <c:pt idx="2">
                  <c:v>1.3584337225919874</c:v>
                </c:pt>
                <c:pt idx="3">
                  <c:v>1.8279084171197781</c:v>
                </c:pt>
                <c:pt idx="4">
                  <c:v>2.4596335660763731</c:v>
                </c:pt>
                <c:pt idx="5">
                  <c:v>3.3096829265123682</c:v>
                </c:pt>
                <c:pt idx="6">
                  <c:v>4.4535093459150428</c:v>
                </c:pt>
                <c:pt idx="7">
                  <c:v>5.6310172169749801</c:v>
                </c:pt>
                <c:pt idx="8">
                  <c:v>6.6902115554879726</c:v>
                </c:pt>
                <c:pt idx="9">
                  <c:v>7.9486403490752604</c:v>
                </c:pt>
                <c:pt idx="10">
                  <c:v>9.4437795987363184</c:v>
                </c:pt>
                <c:pt idx="11">
                  <c:v>11.220154541258616</c:v>
                </c:pt>
                <c:pt idx="12">
                  <c:v>12.71916718797077</c:v>
                </c:pt>
                <c:pt idx="13">
                  <c:v>13.757051230509184</c:v>
                </c:pt>
                <c:pt idx="14">
                  <c:v>14.879626610918731</c:v>
                </c:pt>
                <c:pt idx="15">
                  <c:v>16.093804142369699</c:v>
                </c:pt>
                <c:pt idx="16">
                  <c:v>17.407058560387064</c:v>
                </c:pt>
                <c:pt idx="17">
                  <c:v>18.10334090280255</c:v>
                </c:pt>
              </c:numCache>
            </c:numRef>
          </c:val>
          <c:extLst>
            <c:ext xmlns:c16="http://schemas.microsoft.com/office/drawing/2014/chart" uri="{C3380CC4-5D6E-409C-BE32-E72D297353CC}">
              <c16:uniqueId val="{00000002-C66C-4FC8-A3C4-CB628E6DA631}"/>
            </c:ext>
          </c:extLst>
        </c:ser>
        <c:ser>
          <c:idx val="3"/>
          <c:order val="3"/>
          <c:tx>
            <c:strRef>
              <c:f>Plastics!$I$3</c:f>
              <c:strCache>
                <c:ptCount val="1"/>
                <c:pt idx="0">
                  <c:v>GPPS</c:v>
                </c:pt>
              </c:strCache>
            </c:strRef>
          </c:tx>
          <c:spPr>
            <a:solidFill>
              <a:schemeClr val="accent4"/>
            </a:solidFill>
            <a:ln>
              <a:noFill/>
            </a:ln>
            <a:effectLst/>
          </c:spPr>
          <c:cat>
            <c:numRef>
              <c:extLst>
                <c:ext xmlns:c15="http://schemas.microsoft.com/office/drawing/2012/chart" uri="{02D57815-91ED-43cb-92C2-25804820EDAC}">
                  <c15:fullRef>
                    <c15:sqref>Plastics!$A$4:$A$38</c15:sqref>
                  </c15:fullRef>
                </c:ext>
              </c:extLst>
              <c:f>(Plastics!$A$5,Plastics!$A$7,Plastics!$A$9,Plastics!$A$11,Plastics!$A$13,Plastics!$A$15,Plastics!$A$17,Plastics!$A$19,Plastics!$A$21,Plastics!$A$23,Plastics!$A$25,Plastics!$A$27,Plastics!$A$29,Plastics!$A$31,Plastics!$A$33,Plastics!$A$35,Plastics!$A$37:$A$38)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Plastics!$I$4:$I$38</c15:sqref>
                  </c15:fullRef>
                </c:ext>
              </c:extLst>
              <c:f>(Plastics!$I$5,Plastics!$I$7,Plastics!$I$9,Plastics!$I$11,Plastics!$I$13,Plastics!$I$15,Plastics!$I$17,Plastics!$I$19,Plastics!$I$21,Plastics!$I$23,Plastics!$I$25,Plastics!$I$27,Plastics!$I$29,Plastics!$I$31,Plastics!$I$33,Plastics!$I$35,Plastics!$I$37:$I$38)</c:f>
              <c:numCache>
                <c:formatCode>General</c:formatCode>
                <c:ptCount val="18"/>
                <c:pt idx="0">
                  <c:v>1.0961876142617216E-2</c:v>
                </c:pt>
                <c:pt idx="1">
                  <c:v>1.8008796520013994E-2</c:v>
                </c:pt>
                <c:pt idx="2">
                  <c:v>8.8869495870503842E-2</c:v>
                </c:pt>
                <c:pt idx="3">
                  <c:v>0.11958279364334999</c:v>
                </c:pt>
                <c:pt idx="4">
                  <c:v>0.16091060712649172</c:v>
                </c:pt>
                <c:pt idx="5">
                  <c:v>0.21652131294940727</c:v>
                </c:pt>
                <c:pt idx="6">
                  <c:v>0.29135107870472238</c:v>
                </c:pt>
                <c:pt idx="7">
                  <c:v>0.36838430391425103</c:v>
                </c:pt>
                <c:pt idx="8">
                  <c:v>0.43767739148052159</c:v>
                </c:pt>
                <c:pt idx="9">
                  <c:v>0.52000450881800775</c:v>
                </c:pt>
                <c:pt idx="10">
                  <c:v>0.61781735692667494</c:v>
                </c:pt>
                <c:pt idx="11">
                  <c:v>0.73402880176458252</c:v>
                </c:pt>
                <c:pt idx="12">
                  <c:v>0.83209504968033077</c:v>
                </c:pt>
                <c:pt idx="13">
                  <c:v>0.89999400573424571</c:v>
                </c:pt>
                <c:pt idx="14">
                  <c:v>0.97343351660216004</c:v>
                </c:pt>
                <c:pt idx="15">
                  <c:v>1.0528656915568961</c:v>
                </c:pt>
                <c:pt idx="16">
                  <c:v>1.1387795319879388</c:v>
                </c:pt>
                <c:pt idx="17">
                  <c:v>1.1843307132674565</c:v>
                </c:pt>
              </c:numCache>
            </c:numRef>
          </c:val>
          <c:extLst>
            <c:ext xmlns:c16="http://schemas.microsoft.com/office/drawing/2014/chart" uri="{C3380CC4-5D6E-409C-BE32-E72D297353CC}">
              <c16:uniqueId val="{00000003-C66C-4FC8-A3C4-CB628E6DA631}"/>
            </c:ext>
          </c:extLst>
        </c:ser>
        <c:ser>
          <c:idx val="4"/>
          <c:order val="4"/>
          <c:tx>
            <c:strRef>
              <c:f>Plastics!$J$3</c:f>
              <c:strCache>
                <c:ptCount val="1"/>
                <c:pt idx="0">
                  <c:v>HIPS</c:v>
                </c:pt>
              </c:strCache>
            </c:strRef>
          </c:tx>
          <c:spPr>
            <a:solidFill>
              <a:schemeClr val="accent5"/>
            </a:solidFill>
            <a:ln>
              <a:noFill/>
            </a:ln>
            <a:effectLst/>
          </c:spPr>
          <c:cat>
            <c:numRef>
              <c:extLst>
                <c:ext xmlns:c15="http://schemas.microsoft.com/office/drawing/2012/chart" uri="{02D57815-91ED-43cb-92C2-25804820EDAC}">
                  <c15:fullRef>
                    <c15:sqref>Plastics!$A$4:$A$38</c15:sqref>
                  </c15:fullRef>
                </c:ext>
              </c:extLst>
              <c:f>(Plastics!$A$5,Plastics!$A$7,Plastics!$A$9,Plastics!$A$11,Plastics!$A$13,Plastics!$A$15,Plastics!$A$17,Plastics!$A$19,Plastics!$A$21,Plastics!$A$23,Plastics!$A$25,Plastics!$A$27,Plastics!$A$29,Plastics!$A$31,Plastics!$A$33,Plastics!$A$35,Plastics!$A$37:$A$38)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Plastics!$J$4:$J$38</c15:sqref>
                  </c15:fullRef>
                </c:ext>
              </c:extLst>
              <c:f>(Plastics!$J$5,Plastics!$J$7,Plastics!$J$9,Plastics!$J$11,Plastics!$J$13,Plastics!$J$15,Plastics!$J$17,Plastics!$J$19,Plastics!$J$21,Plastics!$J$23,Plastics!$J$25,Plastics!$J$27,Plastics!$J$29,Plastics!$J$31,Plastics!$J$33,Plastics!$J$35,Plastics!$J$37:$J$38)</c:f>
              <c:numCache>
                <c:formatCode>General</c:formatCode>
                <c:ptCount val="18"/>
                <c:pt idx="0">
                  <c:v>1.0961876142617216E-2</c:v>
                </c:pt>
                <c:pt idx="1">
                  <c:v>1.8008796520013994E-2</c:v>
                </c:pt>
                <c:pt idx="2">
                  <c:v>8.8869495870503842E-2</c:v>
                </c:pt>
                <c:pt idx="3">
                  <c:v>0.11958279364334999</c:v>
                </c:pt>
                <c:pt idx="4">
                  <c:v>0.16091060712649172</c:v>
                </c:pt>
                <c:pt idx="5">
                  <c:v>0.21652131294940727</c:v>
                </c:pt>
                <c:pt idx="6">
                  <c:v>0.29135107870472238</c:v>
                </c:pt>
                <c:pt idx="7">
                  <c:v>0.36838430391425103</c:v>
                </c:pt>
                <c:pt idx="8">
                  <c:v>0.43767739148052159</c:v>
                </c:pt>
                <c:pt idx="9">
                  <c:v>0.52000450881800775</c:v>
                </c:pt>
                <c:pt idx="10">
                  <c:v>0.61781735692667494</c:v>
                </c:pt>
                <c:pt idx="11">
                  <c:v>0.73402880176458252</c:v>
                </c:pt>
                <c:pt idx="12">
                  <c:v>0.83209504968033077</c:v>
                </c:pt>
                <c:pt idx="13">
                  <c:v>0.89999400573424571</c:v>
                </c:pt>
                <c:pt idx="14">
                  <c:v>0.97343351660216004</c:v>
                </c:pt>
                <c:pt idx="15">
                  <c:v>1.0528656915568961</c:v>
                </c:pt>
                <c:pt idx="16">
                  <c:v>1.1387795319879388</c:v>
                </c:pt>
                <c:pt idx="17">
                  <c:v>1.1843307132674565</c:v>
                </c:pt>
              </c:numCache>
            </c:numRef>
          </c:val>
          <c:extLst>
            <c:ext xmlns:c16="http://schemas.microsoft.com/office/drawing/2014/chart" uri="{C3380CC4-5D6E-409C-BE32-E72D297353CC}">
              <c16:uniqueId val="{00000004-C66C-4FC8-A3C4-CB628E6DA631}"/>
            </c:ext>
          </c:extLst>
        </c:ser>
        <c:ser>
          <c:idx val="5"/>
          <c:order val="5"/>
          <c:tx>
            <c:strRef>
              <c:f>Plastics!$K$3</c:f>
              <c:strCache>
                <c:ptCount val="1"/>
                <c:pt idx="0">
                  <c:v>HDPE</c:v>
                </c:pt>
              </c:strCache>
            </c:strRef>
          </c:tx>
          <c:spPr>
            <a:solidFill>
              <a:schemeClr val="accent6"/>
            </a:solidFill>
            <a:ln>
              <a:noFill/>
            </a:ln>
            <a:effectLst/>
          </c:spPr>
          <c:cat>
            <c:numRef>
              <c:extLst>
                <c:ext xmlns:c15="http://schemas.microsoft.com/office/drawing/2012/chart" uri="{02D57815-91ED-43cb-92C2-25804820EDAC}">
                  <c15:fullRef>
                    <c15:sqref>Plastics!$A$4:$A$38</c15:sqref>
                  </c15:fullRef>
                </c:ext>
              </c:extLst>
              <c:f>(Plastics!$A$5,Plastics!$A$7,Plastics!$A$9,Plastics!$A$11,Plastics!$A$13,Plastics!$A$15,Plastics!$A$17,Plastics!$A$19,Plastics!$A$21,Plastics!$A$23,Plastics!$A$25,Plastics!$A$27,Plastics!$A$29,Plastics!$A$31,Plastics!$A$33,Plastics!$A$35,Plastics!$A$37:$A$38)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Plastics!$K$4:$K$38</c15:sqref>
                  </c15:fullRef>
                </c:ext>
              </c:extLst>
              <c:f>(Plastics!$K$5,Plastics!$K$7,Plastics!$K$9,Plastics!$K$11,Plastics!$K$13,Plastics!$K$15,Plastics!$K$17,Plastics!$K$19,Plastics!$K$21,Plastics!$K$23,Plastics!$K$25,Plastics!$K$27,Plastics!$K$29,Plastics!$K$31,Plastics!$K$33,Plastics!$K$35,Plastics!$K$37:$K$38)</c:f>
              <c:numCache>
                <c:formatCode>General</c:formatCode>
                <c:ptCount val="18"/>
                <c:pt idx="0">
                  <c:v>2.1923752285234428E-2</c:v>
                </c:pt>
                <c:pt idx="1">
                  <c:v>3.6017593040027981E-2</c:v>
                </c:pt>
                <c:pt idx="2">
                  <c:v>0.17773899174100766</c:v>
                </c:pt>
                <c:pt idx="3">
                  <c:v>0.2391655872866999</c:v>
                </c:pt>
                <c:pt idx="4">
                  <c:v>0.32182121425298338</c:v>
                </c:pt>
                <c:pt idx="5">
                  <c:v>0.43304262589881443</c:v>
                </c:pt>
                <c:pt idx="6">
                  <c:v>0.58270215740944464</c:v>
                </c:pt>
                <c:pt idx="7">
                  <c:v>0.73676860782850195</c:v>
                </c:pt>
                <c:pt idx="8">
                  <c:v>0.87535478296104308</c:v>
                </c:pt>
                <c:pt idx="9">
                  <c:v>1.0400090176360153</c:v>
                </c:pt>
                <c:pt idx="10">
                  <c:v>1.2356347138533497</c:v>
                </c:pt>
                <c:pt idx="11">
                  <c:v>1.4680576035291648</c:v>
                </c:pt>
                <c:pt idx="12">
                  <c:v>1.6641900993606613</c:v>
                </c:pt>
                <c:pt idx="13">
                  <c:v>1.7999880114684912</c:v>
                </c:pt>
                <c:pt idx="14">
                  <c:v>1.9468670332043196</c:v>
                </c:pt>
                <c:pt idx="15">
                  <c:v>2.1057313831137923</c:v>
                </c:pt>
                <c:pt idx="16">
                  <c:v>2.2775590639758772</c:v>
                </c:pt>
                <c:pt idx="17">
                  <c:v>2.3686614265349126</c:v>
                </c:pt>
              </c:numCache>
            </c:numRef>
          </c:val>
          <c:extLst>
            <c:ext xmlns:c16="http://schemas.microsoft.com/office/drawing/2014/chart" uri="{C3380CC4-5D6E-409C-BE32-E72D297353CC}">
              <c16:uniqueId val="{00000005-C66C-4FC8-A3C4-CB628E6DA631}"/>
            </c:ext>
          </c:extLst>
        </c:ser>
        <c:ser>
          <c:idx val="6"/>
          <c:order val="6"/>
          <c:tx>
            <c:strRef>
              <c:f>Plastics!$L$3</c:f>
              <c:strCache>
                <c:ptCount val="1"/>
                <c:pt idx="0">
                  <c:v>LDPE</c:v>
                </c:pt>
              </c:strCache>
            </c:strRef>
          </c:tx>
          <c:spPr>
            <a:solidFill>
              <a:schemeClr val="accent1">
                <a:lumMod val="60000"/>
              </a:schemeClr>
            </a:solidFill>
            <a:ln>
              <a:noFill/>
            </a:ln>
            <a:effectLst/>
          </c:spPr>
          <c:cat>
            <c:numRef>
              <c:extLst>
                <c:ext xmlns:c15="http://schemas.microsoft.com/office/drawing/2012/chart" uri="{02D57815-91ED-43cb-92C2-25804820EDAC}">
                  <c15:fullRef>
                    <c15:sqref>Plastics!$A$4:$A$38</c15:sqref>
                  </c15:fullRef>
                </c:ext>
              </c:extLst>
              <c:f>(Plastics!$A$5,Plastics!$A$7,Plastics!$A$9,Plastics!$A$11,Plastics!$A$13,Plastics!$A$15,Plastics!$A$17,Plastics!$A$19,Plastics!$A$21,Plastics!$A$23,Plastics!$A$25,Plastics!$A$27,Plastics!$A$29,Plastics!$A$31,Plastics!$A$33,Plastics!$A$35,Plastics!$A$37:$A$38)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Plastics!$L$4:$L$38</c15:sqref>
                  </c15:fullRef>
                </c:ext>
              </c:extLst>
              <c:f>(Plastics!$L$5,Plastics!$L$7,Plastics!$L$9,Plastics!$L$11,Plastics!$L$13,Plastics!$L$15,Plastics!$L$17,Plastics!$L$19,Plastics!$L$21,Plastics!$L$23,Plastics!$L$25,Plastics!$L$27,Plastics!$L$29,Plastics!$L$31,Plastics!$L$33,Plastics!$L$35,Plastics!$L$37:$L$38)</c:f>
              <c:numCache>
                <c:formatCode>General</c:formatCode>
                <c:ptCount val="18"/>
                <c:pt idx="0">
                  <c:v>2.1923752285234428E-2</c:v>
                </c:pt>
                <c:pt idx="1">
                  <c:v>3.6017593040027981E-2</c:v>
                </c:pt>
                <c:pt idx="2">
                  <c:v>0.17773899174100766</c:v>
                </c:pt>
                <c:pt idx="3">
                  <c:v>0.2391655872866999</c:v>
                </c:pt>
                <c:pt idx="4">
                  <c:v>0.32182121425298338</c:v>
                </c:pt>
                <c:pt idx="5">
                  <c:v>0.43304262589881443</c:v>
                </c:pt>
                <c:pt idx="6">
                  <c:v>0.58270215740944464</c:v>
                </c:pt>
                <c:pt idx="7">
                  <c:v>0.73676860782850195</c:v>
                </c:pt>
                <c:pt idx="8">
                  <c:v>0.87535478296104308</c:v>
                </c:pt>
                <c:pt idx="9">
                  <c:v>1.0400090176360153</c:v>
                </c:pt>
                <c:pt idx="10">
                  <c:v>1.2356347138533497</c:v>
                </c:pt>
                <c:pt idx="11">
                  <c:v>1.4680576035291648</c:v>
                </c:pt>
                <c:pt idx="12">
                  <c:v>1.6641900993606613</c:v>
                </c:pt>
                <c:pt idx="13">
                  <c:v>1.7999880114684912</c:v>
                </c:pt>
                <c:pt idx="14">
                  <c:v>1.9468670332043196</c:v>
                </c:pt>
                <c:pt idx="15">
                  <c:v>2.1057313831137923</c:v>
                </c:pt>
                <c:pt idx="16">
                  <c:v>2.2775590639758772</c:v>
                </c:pt>
                <c:pt idx="17">
                  <c:v>2.3686614265349126</c:v>
                </c:pt>
              </c:numCache>
            </c:numRef>
          </c:val>
          <c:extLst>
            <c:ext xmlns:c16="http://schemas.microsoft.com/office/drawing/2014/chart" uri="{C3380CC4-5D6E-409C-BE32-E72D297353CC}">
              <c16:uniqueId val="{00000006-C66C-4FC8-A3C4-CB628E6DA631}"/>
            </c:ext>
          </c:extLst>
        </c:ser>
        <c:ser>
          <c:idx val="7"/>
          <c:order val="7"/>
          <c:tx>
            <c:strRef>
              <c:f>Plastics!$M$3</c:f>
              <c:strCache>
                <c:ptCount val="1"/>
                <c:pt idx="0">
                  <c:v>LLDPE</c:v>
                </c:pt>
              </c:strCache>
            </c:strRef>
          </c:tx>
          <c:spPr>
            <a:solidFill>
              <a:schemeClr val="accent2">
                <a:lumMod val="60000"/>
              </a:schemeClr>
            </a:solidFill>
            <a:ln>
              <a:noFill/>
            </a:ln>
            <a:effectLst/>
          </c:spPr>
          <c:cat>
            <c:numRef>
              <c:extLst>
                <c:ext xmlns:c15="http://schemas.microsoft.com/office/drawing/2012/chart" uri="{02D57815-91ED-43cb-92C2-25804820EDAC}">
                  <c15:fullRef>
                    <c15:sqref>Plastics!$A$4:$A$38</c15:sqref>
                  </c15:fullRef>
                </c:ext>
              </c:extLst>
              <c:f>(Plastics!$A$5,Plastics!$A$7,Plastics!$A$9,Plastics!$A$11,Plastics!$A$13,Plastics!$A$15,Plastics!$A$17,Plastics!$A$19,Plastics!$A$21,Plastics!$A$23,Plastics!$A$25,Plastics!$A$27,Plastics!$A$29,Plastics!$A$31,Plastics!$A$33,Plastics!$A$35,Plastics!$A$37:$A$38)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Plastics!$M$4:$M$38</c15:sqref>
                  </c15:fullRef>
                </c:ext>
              </c:extLst>
              <c:f>(Plastics!$M$5,Plastics!$M$7,Plastics!$M$9,Plastics!$M$11,Plastics!$M$13,Plastics!$M$15,Plastics!$M$17,Plastics!$M$19,Plastics!$M$21,Plastics!$M$23,Plastics!$M$25,Plastics!$M$27,Plastics!$M$29,Plastics!$M$31,Plastics!$M$33,Plastics!$M$35,Plastics!$M$37:$M$38)</c:f>
              <c:numCache>
                <c:formatCode>General</c:formatCode>
                <c:ptCount val="18"/>
                <c:pt idx="0">
                  <c:v>2.1923752285234428E-2</c:v>
                </c:pt>
                <c:pt idx="1">
                  <c:v>3.6017593040027981E-2</c:v>
                </c:pt>
                <c:pt idx="2">
                  <c:v>0.17773899174100766</c:v>
                </c:pt>
                <c:pt idx="3">
                  <c:v>0.2391655872866999</c:v>
                </c:pt>
                <c:pt idx="4">
                  <c:v>0.32182121425298338</c:v>
                </c:pt>
                <c:pt idx="5">
                  <c:v>0.43304262589881443</c:v>
                </c:pt>
                <c:pt idx="6">
                  <c:v>0.58270215740944464</c:v>
                </c:pt>
                <c:pt idx="7">
                  <c:v>0.73676860782850195</c:v>
                </c:pt>
                <c:pt idx="8">
                  <c:v>0.87535478296104308</c:v>
                </c:pt>
                <c:pt idx="9">
                  <c:v>1.0400090176360153</c:v>
                </c:pt>
                <c:pt idx="10">
                  <c:v>1.2356347138533497</c:v>
                </c:pt>
                <c:pt idx="11">
                  <c:v>1.4680576035291648</c:v>
                </c:pt>
                <c:pt idx="12">
                  <c:v>1.6641900993606613</c:v>
                </c:pt>
                <c:pt idx="13">
                  <c:v>1.7999880114684912</c:v>
                </c:pt>
                <c:pt idx="14">
                  <c:v>1.9468670332043196</c:v>
                </c:pt>
                <c:pt idx="15">
                  <c:v>2.1057313831137923</c:v>
                </c:pt>
                <c:pt idx="16">
                  <c:v>2.2775590639758772</c:v>
                </c:pt>
                <c:pt idx="17">
                  <c:v>2.3686614265349126</c:v>
                </c:pt>
              </c:numCache>
            </c:numRef>
          </c:val>
          <c:extLst>
            <c:ext xmlns:c16="http://schemas.microsoft.com/office/drawing/2014/chart" uri="{C3380CC4-5D6E-409C-BE32-E72D297353CC}">
              <c16:uniqueId val="{00000007-C66C-4FC8-A3C4-CB628E6DA631}"/>
            </c:ext>
          </c:extLst>
        </c:ser>
        <c:ser>
          <c:idx val="8"/>
          <c:order val="8"/>
          <c:tx>
            <c:strRef>
              <c:f>Plastics!$N$3</c:f>
              <c:strCache>
                <c:ptCount val="1"/>
                <c:pt idx="0">
                  <c:v>Nylon 6</c:v>
                </c:pt>
              </c:strCache>
            </c:strRef>
          </c:tx>
          <c:spPr>
            <a:solidFill>
              <a:schemeClr val="accent3">
                <a:lumMod val="60000"/>
              </a:schemeClr>
            </a:solidFill>
            <a:ln>
              <a:noFill/>
            </a:ln>
            <a:effectLst/>
          </c:spPr>
          <c:cat>
            <c:numRef>
              <c:extLst>
                <c:ext xmlns:c15="http://schemas.microsoft.com/office/drawing/2012/chart" uri="{02D57815-91ED-43cb-92C2-25804820EDAC}">
                  <c15:fullRef>
                    <c15:sqref>Plastics!$A$4:$A$38</c15:sqref>
                  </c15:fullRef>
                </c:ext>
              </c:extLst>
              <c:f>(Plastics!$A$5,Plastics!$A$7,Plastics!$A$9,Plastics!$A$11,Plastics!$A$13,Plastics!$A$15,Plastics!$A$17,Plastics!$A$19,Plastics!$A$21,Plastics!$A$23,Plastics!$A$25,Plastics!$A$27,Plastics!$A$29,Plastics!$A$31,Plastics!$A$33,Plastics!$A$35,Plastics!$A$37:$A$38)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Plastics!$N$4:$N$38</c15:sqref>
                  </c15:fullRef>
                </c:ext>
              </c:extLst>
              <c:f>(Plastics!$N$5,Plastics!$N$7,Plastics!$N$9,Plastics!$N$11,Plastics!$N$13,Plastics!$N$15,Plastics!$N$17,Plastics!$N$19,Plastics!$N$21,Plastics!$N$23,Plastics!$N$25,Plastics!$N$27,Plastics!$N$29,Plastics!$N$31,Plastics!$N$33,Plastics!$N$35,Plastics!$N$37:$N$38)</c:f>
              <c:numCache>
                <c:formatCode>General</c:formatCode>
                <c:ptCount val="18"/>
                <c:pt idx="0">
                  <c:v>1.722580536696991E-2</c:v>
                </c:pt>
                <c:pt idx="1">
                  <c:v>2.8299537388593424E-2</c:v>
                </c:pt>
                <c:pt idx="2">
                  <c:v>0.13965206493936322</c:v>
                </c:pt>
                <c:pt idx="3">
                  <c:v>0.18791581858240713</c:v>
                </c:pt>
                <c:pt idx="4">
                  <c:v>0.25285952548448698</c:v>
                </c:pt>
                <c:pt idx="5">
                  <c:v>0.34024777749192575</c:v>
                </c:pt>
                <c:pt idx="6">
                  <c:v>0.45783740939313528</c:v>
                </c:pt>
                <c:pt idx="7">
                  <c:v>0.57888962043668024</c:v>
                </c:pt>
                <c:pt idx="8">
                  <c:v>0.68777875804081978</c:v>
                </c:pt>
                <c:pt idx="9">
                  <c:v>0.81714994242829797</c:v>
                </c:pt>
                <c:pt idx="10">
                  <c:v>0.97085584659906077</c:v>
                </c:pt>
                <c:pt idx="11">
                  <c:v>1.153473831344344</c:v>
                </c:pt>
                <c:pt idx="12">
                  <c:v>1.3075779352119485</c:v>
                </c:pt>
                <c:pt idx="13">
                  <c:v>1.4142762947252434</c:v>
                </c:pt>
                <c:pt idx="14">
                  <c:v>1.529681240374823</c:v>
                </c:pt>
                <c:pt idx="15">
                  <c:v>1.6545032295894084</c:v>
                </c:pt>
                <c:pt idx="16">
                  <c:v>1.789510693123904</c:v>
                </c:pt>
                <c:pt idx="17">
                  <c:v>1.8610911208488603</c:v>
                </c:pt>
              </c:numCache>
            </c:numRef>
          </c:val>
          <c:extLst>
            <c:ext xmlns:c16="http://schemas.microsoft.com/office/drawing/2014/chart" uri="{C3380CC4-5D6E-409C-BE32-E72D297353CC}">
              <c16:uniqueId val="{00000008-C66C-4FC8-A3C4-CB628E6DA631}"/>
            </c:ext>
          </c:extLst>
        </c:ser>
        <c:ser>
          <c:idx val="9"/>
          <c:order val="9"/>
          <c:tx>
            <c:strRef>
              <c:f>Plastics!$O$3</c:f>
              <c:strCache>
                <c:ptCount val="1"/>
                <c:pt idx="0">
                  <c:v>Nylon 66</c:v>
                </c:pt>
              </c:strCache>
            </c:strRef>
          </c:tx>
          <c:spPr>
            <a:solidFill>
              <a:schemeClr val="accent4">
                <a:lumMod val="60000"/>
              </a:schemeClr>
            </a:solidFill>
            <a:ln>
              <a:noFill/>
            </a:ln>
            <a:effectLst/>
          </c:spPr>
          <c:cat>
            <c:numRef>
              <c:extLst>
                <c:ext xmlns:c15="http://schemas.microsoft.com/office/drawing/2012/chart" uri="{02D57815-91ED-43cb-92C2-25804820EDAC}">
                  <c15:fullRef>
                    <c15:sqref>Plastics!$A$4:$A$38</c15:sqref>
                  </c15:fullRef>
                </c:ext>
              </c:extLst>
              <c:f>(Plastics!$A$5,Plastics!$A$7,Plastics!$A$9,Plastics!$A$11,Plastics!$A$13,Plastics!$A$15,Plastics!$A$17,Plastics!$A$19,Plastics!$A$21,Plastics!$A$23,Plastics!$A$25,Plastics!$A$27,Plastics!$A$29,Plastics!$A$31,Plastics!$A$33,Plastics!$A$35,Plastics!$A$37:$A$38)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Plastics!$O$4:$O$38</c15:sqref>
                  </c15:fullRef>
                </c:ext>
              </c:extLst>
              <c:f>(Plastics!$O$5,Plastics!$O$7,Plastics!$O$9,Plastics!$O$11,Plastics!$O$13,Plastics!$O$15,Plastics!$O$17,Plastics!$O$19,Plastics!$O$21,Plastics!$O$23,Plastics!$O$25,Plastics!$O$27,Plastics!$O$29,Plastics!$O$31,Plastics!$O$33,Plastics!$O$35,Plastics!$O$37:$O$38)</c:f>
              <c:numCache>
                <c:formatCode>General</c:formatCode>
                <c:ptCount val="18"/>
                <c:pt idx="0">
                  <c:v>0.10961876142617212</c:v>
                </c:pt>
                <c:pt idx="1">
                  <c:v>0.18008796520013992</c:v>
                </c:pt>
                <c:pt idx="2">
                  <c:v>0.88869495870503834</c:v>
                </c:pt>
                <c:pt idx="3">
                  <c:v>1.1958279364334994</c:v>
                </c:pt>
                <c:pt idx="4">
                  <c:v>1.6091060712649168</c:v>
                </c:pt>
                <c:pt idx="5">
                  <c:v>2.165213129494072</c:v>
                </c:pt>
                <c:pt idx="6">
                  <c:v>2.9135107870472234</c:v>
                </c:pt>
                <c:pt idx="7">
                  <c:v>3.6838430391425097</c:v>
                </c:pt>
                <c:pt idx="8">
                  <c:v>4.3767739148052147</c:v>
                </c:pt>
                <c:pt idx="9">
                  <c:v>5.2000450881800759</c:v>
                </c:pt>
                <c:pt idx="10">
                  <c:v>6.1781735692667485</c:v>
                </c:pt>
                <c:pt idx="11">
                  <c:v>7.3402880176458227</c:v>
                </c:pt>
                <c:pt idx="12">
                  <c:v>8.3209504968033059</c:v>
                </c:pt>
                <c:pt idx="13">
                  <c:v>8.9999400573424548</c:v>
                </c:pt>
                <c:pt idx="14">
                  <c:v>9.734335166021598</c:v>
                </c:pt>
                <c:pt idx="15">
                  <c:v>10.528656915568959</c:v>
                </c:pt>
                <c:pt idx="16">
                  <c:v>11.387795319879384</c:v>
                </c:pt>
                <c:pt idx="17">
                  <c:v>11.843307132674562</c:v>
                </c:pt>
              </c:numCache>
            </c:numRef>
          </c:val>
          <c:extLst>
            <c:ext xmlns:c16="http://schemas.microsoft.com/office/drawing/2014/chart" uri="{C3380CC4-5D6E-409C-BE32-E72D297353CC}">
              <c16:uniqueId val="{00000009-C66C-4FC8-A3C4-CB628E6DA631}"/>
            </c:ext>
          </c:extLst>
        </c:ser>
        <c:ser>
          <c:idx val="10"/>
          <c:order val="10"/>
          <c:tx>
            <c:strRef>
              <c:f>Plastics!$P$3</c:f>
              <c:strCache>
                <c:ptCount val="1"/>
                <c:pt idx="0">
                  <c:v>PC</c:v>
                </c:pt>
              </c:strCache>
            </c:strRef>
          </c:tx>
          <c:spPr>
            <a:solidFill>
              <a:schemeClr val="accent5">
                <a:lumMod val="60000"/>
              </a:schemeClr>
            </a:solidFill>
            <a:ln>
              <a:noFill/>
            </a:ln>
            <a:effectLst/>
          </c:spPr>
          <c:cat>
            <c:numRef>
              <c:extLst>
                <c:ext xmlns:c15="http://schemas.microsoft.com/office/drawing/2012/chart" uri="{02D57815-91ED-43cb-92C2-25804820EDAC}">
                  <c15:fullRef>
                    <c15:sqref>Plastics!$A$4:$A$38</c15:sqref>
                  </c15:fullRef>
                </c:ext>
              </c:extLst>
              <c:f>(Plastics!$A$5,Plastics!$A$7,Plastics!$A$9,Plastics!$A$11,Plastics!$A$13,Plastics!$A$15,Plastics!$A$17,Plastics!$A$19,Plastics!$A$21,Plastics!$A$23,Plastics!$A$25,Plastics!$A$27,Plastics!$A$29,Plastics!$A$31,Plastics!$A$33,Plastics!$A$35,Plastics!$A$37:$A$38)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Plastics!$P$4:$P$38</c15:sqref>
                  </c15:fullRef>
                </c:ext>
              </c:extLst>
              <c:f>(Plastics!$P$5,Plastics!$P$7,Plastics!$P$9,Plastics!$P$11,Plastics!$P$13,Plastics!$P$15,Plastics!$P$17,Plastics!$P$19,Plastics!$P$21,Plastics!$P$23,Plastics!$P$25,Plastics!$P$27,Plastics!$P$29,Plastics!$P$31,Plastics!$P$33,Plastics!$P$35,Plastics!$P$37:$P$38)</c:f>
              <c:numCache>
                <c:formatCode>General</c:formatCode>
                <c:ptCount val="18"/>
                <c:pt idx="0">
                  <c:v>5.4809380713086067E-2</c:v>
                </c:pt>
                <c:pt idx="1">
                  <c:v>9.0043982600069974E-2</c:v>
                </c:pt>
                <c:pt idx="2">
                  <c:v>0.44434747935251923</c:v>
                </c:pt>
                <c:pt idx="3">
                  <c:v>0.5979139682167498</c:v>
                </c:pt>
                <c:pt idx="4">
                  <c:v>0.8045530356324585</c:v>
                </c:pt>
                <c:pt idx="5">
                  <c:v>1.0826065647470362</c:v>
                </c:pt>
                <c:pt idx="6">
                  <c:v>1.4567553935236117</c:v>
                </c:pt>
                <c:pt idx="7">
                  <c:v>1.8419215195712551</c:v>
                </c:pt>
                <c:pt idx="8">
                  <c:v>2.1883869574026078</c:v>
                </c:pt>
                <c:pt idx="9">
                  <c:v>2.6000225440900384</c:v>
                </c:pt>
                <c:pt idx="10">
                  <c:v>3.0890867846333747</c:v>
                </c:pt>
                <c:pt idx="11">
                  <c:v>3.6701440088229118</c:v>
                </c:pt>
                <c:pt idx="12">
                  <c:v>4.1604752484016538</c:v>
                </c:pt>
                <c:pt idx="13">
                  <c:v>4.4999700286712283</c:v>
                </c:pt>
                <c:pt idx="14">
                  <c:v>4.867167583010799</c:v>
                </c:pt>
                <c:pt idx="15">
                  <c:v>5.2643284577844804</c:v>
                </c:pt>
                <c:pt idx="16">
                  <c:v>5.6938976599396929</c:v>
                </c:pt>
                <c:pt idx="17">
                  <c:v>5.921653566337282</c:v>
                </c:pt>
              </c:numCache>
            </c:numRef>
          </c:val>
          <c:extLst>
            <c:ext xmlns:c16="http://schemas.microsoft.com/office/drawing/2014/chart" uri="{C3380CC4-5D6E-409C-BE32-E72D297353CC}">
              <c16:uniqueId val="{0000000A-C66C-4FC8-A3C4-CB628E6DA631}"/>
            </c:ext>
          </c:extLst>
        </c:ser>
        <c:ser>
          <c:idx val="11"/>
          <c:order val="11"/>
          <c:tx>
            <c:strRef>
              <c:f>Plastics!$Q$3</c:f>
              <c:strCache>
                <c:ptCount val="1"/>
                <c:pt idx="0">
                  <c:v>PET</c:v>
                </c:pt>
              </c:strCache>
            </c:strRef>
          </c:tx>
          <c:spPr>
            <a:solidFill>
              <a:schemeClr val="accent6">
                <a:lumMod val="60000"/>
              </a:schemeClr>
            </a:solidFill>
            <a:ln>
              <a:noFill/>
            </a:ln>
            <a:effectLst/>
          </c:spPr>
          <c:cat>
            <c:numRef>
              <c:extLst>
                <c:ext xmlns:c15="http://schemas.microsoft.com/office/drawing/2012/chart" uri="{02D57815-91ED-43cb-92C2-25804820EDAC}">
                  <c15:fullRef>
                    <c15:sqref>Plastics!$A$4:$A$38</c15:sqref>
                  </c15:fullRef>
                </c:ext>
              </c:extLst>
              <c:f>(Plastics!$A$5,Plastics!$A$7,Plastics!$A$9,Plastics!$A$11,Plastics!$A$13,Plastics!$A$15,Plastics!$A$17,Plastics!$A$19,Plastics!$A$21,Plastics!$A$23,Plastics!$A$25,Plastics!$A$27,Plastics!$A$29,Plastics!$A$31,Plastics!$A$33,Plastics!$A$35,Plastics!$A$37:$A$38)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Plastics!$Q$4:$Q$38</c15:sqref>
                  </c15:fullRef>
                </c:ext>
              </c:extLst>
              <c:f>(Plastics!$Q$5,Plastics!$Q$7,Plastics!$Q$9,Plastics!$Q$11,Plastics!$Q$13,Plastics!$Q$15,Plastics!$Q$17,Plastics!$Q$19,Plastics!$Q$21,Plastics!$Q$23,Plastics!$Q$25,Plastics!$Q$27,Plastics!$Q$29,Plastics!$Q$31,Plastics!$Q$33,Plastics!$Q$35,Plastics!$Q$37:$Q$38)</c:f>
              <c:numCache>
                <c:formatCode>General</c:formatCode>
                <c:ptCount val="18"/>
                <c:pt idx="0">
                  <c:v>2.6621699203498952E-2</c:v>
                </c:pt>
                <c:pt idx="1">
                  <c:v>4.3735648691462563E-2</c:v>
                </c:pt>
                <c:pt idx="2">
                  <c:v>0.21582591854265221</c:v>
                </c:pt>
                <c:pt idx="3">
                  <c:v>0.29041535599099277</c:v>
                </c:pt>
                <c:pt idx="4">
                  <c:v>0.39078290302147989</c:v>
                </c:pt>
                <c:pt idx="5">
                  <c:v>0.52583747430570327</c:v>
                </c:pt>
                <c:pt idx="6">
                  <c:v>0.70756690542575451</c:v>
                </c:pt>
                <c:pt idx="7">
                  <c:v>0.894647595220324</c:v>
                </c:pt>
                <c:pt idx="8">
                  <c:v>1.0629308078812667</c:v>
                </c:pt>
                <c:pt idx="9">
                  <c:v>1.262868092843733</c:v>
                </c:pt>
                <c:pt idx="10">
                  <c:v>1.5004135811076393</c:v>
                </c:pt>
                <c:pt idx="11">
                  <c:v>1.7826413757139861</c:v>
                </c:pt>
                <c:pt idx="12">
                  <c:v>2.020802263509375</c:v>
                </c:pt>
                <c:pt idx="13">
                  <c:v>2.1856997282117394</c:v>
                </c:pt>
                <c:pt idx="14">
                  <c:v>2.3640528260338169</c:v>
                </c:pt>
                <c:pt idx="15">
                  <c:v>2.5569595366381765</c:v>
                </c:pt>
                <c:pt idx="16">
                  <c:v>2.7656074348278517</c:v>
                </c:pt>
                <c:pt idx="17">
                  <c:v>2.8762317322209658</c:v>
                </c:pt>
              </c:numCache>
            </c:numRef>
          </c:val>
          <c:extLst>
            <c:ext xmlns:c16="http://schemas.microsoft.com/office/drawing/2014/chart" uri="{C3380CC4-5D6E-409C-BE32-E72D297353CC}">
              <c16:uniqueId val="{0000000B-C66C-4FC8-A3C4-CB628E6DA631}"/>
            </c:ext>
          </c:extLst>
        </c:ser>
        <c:ser>
          <c:idx val="12"/>
          <c:order val="12"/>
          <c:tx>
            <c:strRef>
              <c:f>Plastics!$R$3</c:f>
              <c:strCache>
                <c:ptCount val="1"/>
                <c:pt idx="0">
                  <c:v>PP</c:v>
                </c:pt>
              </c:strCache>
            </c:strRef>
          </c:tx>
          <c:spPr>
            <a:solidFill>
              <a:schemeClr val="accent1">
                <a:lumMod val="80000"/>
                <a:lumOff val="20000"/>
              </a:schemeClr>
            </a:solidFill>
            <a:ln>
              <a:noFill/>
            </a:ln>
            <a:effectLst/>
          </c:spPr>
          <c:cat>
            <c:numRef>
              <c:extLst>
                <c:ext xmlns:c15="http://schemas.microsoft.com/office/drawing/2012/chart" uri="{02D57815-91ED-43cb-92C2-25804820EDAC}">
                  <c15:fullRef>
                    <c15:sqref>Plastics!$A$4:$A$38</c15:sqref>
                  </c15:fullRef>
                </c:ext>
              </c:extLst>
              <c:f>(Plastics!$A$5,Plastics!$A$7,Plastics!$A$9,Plastics!$A$11,Plastics!$A$13,Plastics!$A$15,Plastics!$A$17,Plastics!$A$19,Plastics!$A$21,Plastics!$A$23,Plastics!$A$25,Plastics!$A$27,Plastics!$A$29,Plastics!$A$31,Plastics!$A$33,Plastics!$A$35,Plastics!$A$37:$A$38)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Plastics!$R$4:$R$38</c15:sqref>
                  </c15:fullRef>
                </c:ext>
              </c:extLst>
              <c:f>(Plastics!$R$5,Plastics!$R$7,Plastics!$R$9,Plastics!$R$11,Plastics!$R$13,Plastics!$R$15,Plastics!$R$17,Plastics!$R$19,Plastics!$R$21,Plastics!$R$23,Plastics!$R$25,Plastics!$R$27,Plastics!$R$29,Plastics!$R$31,Plastics!$R$33,Plastics!$R$35,Plastics!$R$37:$R$38)</c:f>
              <c:numCache>
                <c:formatCode>General</c:formatCode>
                <c:ptCount val="18"/>
                <c:pt idx="0">
                  <c:v>0.28344279740195943</c:v>
                </c:pt>
                <c:pt idx="1">
                  <c:v>0.46565602430321901</c:v>
                </c:pt>
                <c:pt idx="2">
                  <c:v>2.2979112503658849</c:v>
                </c:pt>
                <c:pt idx="3">
                  <c:v>3.0920693784923348</c:v>
                </c:pt>
                <c:pt idx="4">
                  <c:v>4.1606885556992852</c:v>
                </c:pt>
                <c:pt idx="5">
                  <c:v>5.5986225205489593</c:v>
                </c:pt>
                <c:pt idx="6">
                  <c:v>7.5335064636506788</c:v>
                </c:pt>
                <c:pt idx="7">
                  <c:v>9.5253655726399202</c:v>
                </c:pt>
                <c:pt idx="8">
                  <c:v>11.317086836853488</c:v>
                </c:pt>
                <c:pt idx="9">
                  <c:v>13.445830870865628</c:v>
                </c:pt>
                <c:pt idx="10">
                  <c:v>15.974991657675453</c:v>
                </c:pt>
                <c:pt idx="11">
                  <c:v>18.979887588484203</c:v>
                </c:pt>
                <c:pt idx="12">
                  <c:v>21.515600570305697</c:v>
                </c:pt>
                <c:pt idx="13">
                  <c:v>23.271273576842638</c:v>
                </c:pt>
                <c:pt idx="14">
                  <c:v>25.170209500712996</c:v>
                </c:pt>
                <c:pt idx="15">
                  <c:v>27.224098595971171</c:v>
                </c:pt>
                <c:pt idx="16">
                  <c:v>29.445585041402417</c:v>
                </c:pt>
                <c:pt idx="17">
                  <c:v>30.623408443058516</c:v>
                </c:pt>
              </c:numCache>
            </c:numRef>
          </c:val>
          <c:extLst>
            <c:ext xmlns:c16="http://schemas.microsoft.com/office/drawing/2014/chart" uri="{C3380CC4-5D6E-409C-BE32-E72D297353CC}">
              <c16:uniqueId val="{0000000C-C66C-4FC8-A3C4-CB628E6DA631}"/>
            </c:ext>
          </c:extLst>
        </c:ser>
        <c:ser>
          <c:idx val="13"/>
          <c:order val="13"/>
          <c:tx>
            <c:strRef>
              <c:f>Plastics!$S$3</c:f>
              <c:strCache>
                <c:ptCount val="1"/>
                <c:pt idx="0">
                  <c:v>FPUR foam</c:v>
                </c:pt>
              </c:strCache>
            </c:strRef>
          </c:tx>
          <c:spPr>
            <a:solidFill>
              <a:schemeClr val="accent2">
                <a:lumMod val="80000"/>
                <a:lumOff val="20000"/>
              </a:schemeClr>
            </a:solidFill>
            <a:ln>
              <a:noFill/>
            </a:ln>
            <a:effectLst/>
          </c:spPr>
          <c:cat>
            <c:numRef>
              <c:extLst>
                <c:ext xmlns:c15="http://schemas.microsoft.com/office/drawing/2012/chart" uri="{02D57815-91ED-43cb-92C2-25804820EDAC}">
                  <c15:fullRef>
                    <c15:sqref>Plastics!$A$4:$A$38</c15:sqref>
                  </c15:fullRef>
                </c:ext>
              </c:extLst>
              <c:f>(Plastics!$A$5,Plastics!$A$7,Plastics!$A$9,Plastics!$A$11,Plastics!$A$13,Plastics!$A$15,Plastics!$A$17,Plastics!$A$19,Plastics!$A$21,Plastics!$A$23,Plastics!$A$25,Plastics!$A$27,Plastics!$A$29,Plastics!$A$31,Plastics!$A$33,Plastics!$A$35,Plastics!$A$37:$A$38)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Plastics!$S$4:$S$38</c15:sqref>
                  </c15:fullRef>
                </c:ext>
              </c:extLst>
              <c:f>(Plastics!$S$5,Plastics!$S$7,Plastics!$S$9,Plastics!$S$11,Plastics!$S$13,Plastics!$S$15,Plastics!$S$17,Plastics!$S$19,Plastics!$S$21,Plastics!$S$23,Plastics!$S$25,Plastics!$S$27,Plastics!$S$29,Plastics!$S$31,Plastics!$S$33,Plastics!$S$35,Plastics!$S$37:$S$38)</c:f>
              <c:numCache>
                <c:formatCode>General</c:formatCode>
                <c:ptCount val="18"/>
                <c:pt idx="0">
                  <c:v>0.19104984134275715</c:v>
                </c:pt>
                <c:pt idx="1">
                  <c:v>0.31386759649167251</c:v>
                </c:pt>
                <c:pt idx="2">
                  <c:v>1.5488683566002099</c:v>
                </c:pt>
                <c:pt idx="3">
                  <c:v>2.0841572606412422</c:v>
                </c:pt>
                <c:pt idx="4">
                  <c:v>2.8044420099188554</c:v>
                </c:pt>
                <c:pt idx="5">
                  <c:v>3.7736571685468121</c:v>
                </c:pt>
                <c:pt idx="6">
                  <c:v>5.0778330859965903</c:v>
                </c:pt>
                <c:pt idx="7">
                  <c:v>6.4204121539340893</c:v>
                </c:pt>
                <c:pt idx="8">
                  <c:v>7.6280916800890912</c:v>
                </c:pt>
                <c:pt idx="9">
                  <c:v>9.0629357251138476</c:v>
                </c:pt>
                <c:pt idx="10">
                  <c:v>10.767673935007764</c:v>
                </c:pt>
                <c:pt idx="11">
                  <c:v>12.793073402182722</c:v>
                </c:pt>
                <c:pt idx="12">
                  <c:v>14.502228008714336</c:v>
                </c:pt>
                <c:pt idx="13">
                  <c:v>15.685609814225426</c:v>
                </c:pt>
                <c:pt idx="14">
                  <c:v>16.965555575066215</c:v>
                </c:pt>
                <c:pt idx="15">
                  <c:v>18.349944909991617</c:v>
                </c:pt>
                <c:pt idx="16">
                  <c:v>19.847300414646934</c:v>
                </c:pt>
                <c:pt idx="17">
                  <c:v>20.641192431232813</c:v>
                </c:pt>
              </c:numCache>
            </c:numRef>
          </c:val>
          <c:extLst>
            <c:ext xmlns:c16="http://schemas.microsoft.com/office/drawing/2014/chart" uri="{C3380CC4-5D6E-409C-BE32-E72D297353CC}">
              <c16:uniqueId val="{0000000D-C66C-4FC8-A3C4-CB628E6DA631}"/>
            </c:ext>
          </c:extLst>
        </c:ser>
        <c:ser>
          <c:idx val="14"/>
          <c:order val="14"/>
          <c:tx>
            <c:strRef>
              <c:f>Plastics!$T$3</c:f>
              <c:strCache>
                <c:ptCount val="1"/>
                <c:pt idx="0">
                  <c:v>RPUR foam</c:v>
                </c:pt>
              </c:strCache>
            </c:strRef>
          </c:tx>
          <c:spPr>
            <a:solidFill>
              <a:schemeClr val="accent3">
                <a:lumMod val="80000"/>
                <a:lumOff val="20000"/>
              </a:schemeClr>
            </a:solidFill>
            <a:ln>
              <a:noFill/>
            </a:ln>
            <a:effectLst/>
          </c:spPr>
          <c:cat>
            <c:numRef>
              <c:extLst>
                <c:ext xmlns:c15="http://schemas.microsoft.com/office/drawing/2012/chart" uri="{02D57815-91ED-43cb-92C2-25804820EDAC}">
                  <c15:fullRef>
                    <c15:sqref>Plastics!$A$4:$A$38</c15:sqref>
                  </c15:fullRef>
                </c:ext>
              </c:extLst>
              <c:f>(Plastics!$A$5,Plastics!$A$7,Plastics!$A$9,Plastics!$A$11,Plastics!$A$13,Plastics!$A$15,Plastics!$A$17,Plastics!$A$19,Plastics!$A$21,Plastics!$A$23,Plastics!$A$25,Plastics!$A$27,Plastics!$A$29,Plastics!$A$31,Plastics!$A$33,Plastics!$A$35,Plastics!$A$37:$A$38)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Plastics!$T$4:$T$38</c15:sqref>
                  </c15:fullRef>
                </c:ext>
              </c:extLst>
              <c:f>(Plastics!$T$5,Plastics!$T$7,Plastics!$T$9,Plastics!$T$11,Plastics!$T$13,Plastics!$T$15,Plastics!$T$17,Plastics!$T$19,Plastics!$T$21,Plastics!$T$23,Plastics!$T$25,Plastics!$T$27,Plastics!$T$29,Plastics!$T$31,Plastics!$T$33,Plastics!$T$35,Plastics!$T$37:$T$38)</c:f>
              <c:numCache>
                <c:formatCode>General</c:formatCode>
                <c:ptCount val="18"/>
                <c:pt idx="0">
                  <c:v>0.18165394750622815</c:v>
                </c:pt>
                <c:pt idx="1">
                  <c:v>0.29843148518880336</c:v>
                </c:pt>
                <c:pt idx="2">
                  <c:v>1.472694502996921</c:v>
                </c:pt>
                <c:pt idx="3">
                  <c:v>1.9816577232326567</c:v>
                </c:pt>
                <c:pt idx="4">
                  <c:v>2.6665186323818624</c:v>
                </c:pt>
                <c:pt idx="5">
                  <c:v>3.5880674717330345</c:v>
                </c:pt>
                <c:pt idx="6">
                  <c:v>4.8281035899639715</c:v>
                </c:pt>
                <c:pt idx="7">
                  <c:v>6.1046541791504456</c:v>
                </c:pt>
                <c:pt idx="8">
                  <c:v>7.2529396302486431</c:v>
                </c:pt>
                <c:pt idx="9">
                  <c:v>8.6172175746984152</c:v>
                </c:pt>
                <c:pt idx="10">
                  <c:v>10.238116200499187</c:v>
                </c:pt>
                <c:pt idx="11">
                  <c:v>12.163905857813081</c:v>
                </c:pt>
                <c:pt idx="12">
                  <c:v>13.78900368041691</c:v>
                </c:pt>
                <c:pt idx="13">
                  <c:v>14.914186380738929</c:v>
                </c:pt>
                <c:pt idx="14">
                  <c:v>16.131183989407223</c:v>
                </c:pt>
                <c:pt idx="15">
                  <c:v>17.447488602942851</c:v>
                </c:pt>
                <c:pt idx="16">
                  <c:v>18.871203672942986</c:v>
                </c:pt>
                <c:pt idx="17">
                  <c:v>19.626051819860709</c:v>
                </c:pt>
              </c:numCache>
            </c:numRef>
          </c:val>
          <c:extLst>
            <c:ext xmlns:c16="http://schemas.microsoft.com/office/drawing/2014/chart" uri="{C3380CC4-5D6E-409C-BE32-E72D297353CC}">
              <c16:uniqueId val="{0000000E-C66C-4FC8-A3C4-CB628E6DA631}"/>
            </c:ext>
          </c:extLst>
        </c:ser>
        <c:ser>
          <c:idx val="15"/>
          <c:order val="15"/>
          <c:tx>
            <c:strRef>
              <c:f>Plastics!$U$3</c:f>
              <c:strCache>
                <c:ptCount val="1"/>
                <c:pt idx="0">
                  <c:v>PVC</c:v>
                </c:pt>
              </c:strCache>
            </c:strRef>
          </c:tx>
          <c:spPr>
            <a:solidFill>
              <a:schemeClr val="accent4">
                <a:lumMod val="80000"/>
                <a:lumOff val="20000"/>
              </a:schemeClr>
            </a:solidFill>
            <a:ln>
              <a:noFill/>
            </a:ln>
            <a:effectLst/>
          </c:spPr>
          <c:cat>
            <c:numRef>
              <c:extLst>
                <c:ext xmlns:c15="http://schemas.microsoft.com/office/drawing/2012/chart" uri="{02D57815-91ED-43cb-92C2-25804820EDAC}">
                  <c15:fullRef>
                    <c15:sqref>Plastics!$A$4:$A$38</c15:sqref>
                  </c15:fullRef>
                </c:ext>
              </c:extLst>
              <c:f>(Plastics!$A$5,Plastics!$A$7,Plastics!$A$9,Plastics!$A$11,Plastics!$A$13,Plastics!$A$15,Plastics!$A$17,Plastics!$A$19,Plastics!$A$21,Plastics!$A$23,Plastics!$A$25,Plastics!$A$27,Plastics!$A$29,Plastics!$A$31,Plastics!$A$33,Plastics!$A$35,Plastics!$A$37:$A$38)</c:f>
              <c:numCache>
                <c:formatCode>General</c:formatCode>
                <c:ptCount val="18"/>
                <c:pt idx="0">
                  <c:v>2017</c:v>
                </c:pt>
                <c:pt idx="1">
                  <c:v>2019</c:v>
                </c:pt>
                <c:pt idx="2">
                  <c:v>2021</c:v>
                </c:pt>
                <c:pt idx="3">
                  <c:v>2023</c:v>
                </c:pt>
                <c:pt idx="4">
                  <c:v>2025</c:v>
                </c:pt>
                <c:pt idx="5">
                  <c:v>2027</c:v>
                </c:pt>
                <c:pt idx="6">
                  <c:v>2029</c:v>
                </c:pt>
                <c:pt idx="7">
                  <c:v>2031</c:v>
                </c:pt>
                <c:pt idx="8">
                  <c:v>2033</c:v>
                </c:pt>
                <c:pt idx="9">
                  <c:v>2035</c:v>
                </c:pt>
                <c:pt idx="10">
                  <c:v>2037</c:v>
                </c:pt>
                <c:pt idx="11">
                  <c:v>2039</c:v>
                </c:pt>
                <c:pt idx="12">
                  <c:v>2041</c:v>
                </c:pt>
                <c:pt idx="13">
                  <c:v>2043</c:v>
                </c:pt>
                <c:pt idx="14">
                  <c:v>2045</c:v>
                </c:pt>
                <c:pt idx="15">
                  <c:v>2047</c:v>
                </c:pt>
                <c:pt idx="16">
                  <c:v>2049</c:v>
                </c:pt>
                <c:pt idx="17">
                  <c:v>2050</c:v>
                </c:pt>
              </c:numCache>
            </c:numRef>
          </c:cat>
          <c:val>
            <c:numRef>
              <c:extLst>
                <c:ext xmlns:c15="http://schemas.microsoft.com/office/drawing/2012/chart" uri="{02D57815-91ED-43cb-92C2-25804820EDAC}">
                  <c15:fullRef>
                    <c15:sqref>Plastics!$U$4:$U$38</c15:sqref>
                  </c15:fullRef>
                </c:ext>
              </c:extLst>
              <c:f>(Plastics!$U$5,Plastics!$U$7,Plastics!$U$9,Plastics!$U$11,Plastics!$U$13,Plastics!$U$15,Plastics!$U$17,Plastics!$U$19,Plastics!$U$21,Plastics!$U$23,Plastics!$U$25,Plastics!$U$27,Plastics!$U$29,Plastics!$U$31,Plastics!$U$33,Plastics!$U$35,Plastics!$U$37:$U$38)</c:f>
              <c:numCache>
                <c:formatCode>General</c:formatCode>
                <c:ptCount val="18"/>
                <c:pt idx="0">
                  <c:v>0.216105558240168</c:v>
                </c:pt>
                <c:pt idx="1">
                  <c:v>0.35503055996599026</c:v>
                </c:pt>
                <c:pt idx="2">
                  <c:v>1.7519986328756476</c:v>
                </c:pt>
                <c:pt idx="3">
                  <c:v>2.3574893603974716</c:v>
                </c:pt>
                <c:pt idx="4">
                  <c:v>3.1722376833508372</c:v>
                </c:pt>
                <c:pt idx="5">
                  <c:v>4.2685630267168868</c:v>
                </c:pt>
                <c:pt idx="6">
                  <c:v>5.7437784087502424</c:v>
                </c:pt>
                <c:pt idx="7">
                  <c:v>7.2624334200238074</c:v>
                </c:pt>
                <c:pt idx="8">
                  <c:v>8.6284971463302842</c:v>
                </c:pt>
                <c:pt idx="9">
                  <c:v>10.251517459555011</c:v>
                </c:pt>
                <c:pt idx="10">
                  <c:v>12.179827893697308</c:v>
                </c:pt>
                <c:pt idx="11">
                  <c:v>14.470853520501771</c:v>
                </c:pt>
                <c:pt idx="12">
                  <c:v>16.404159550840813</c:v>
                </c:pt>
                <c:pt idx="13">
                  <c:v>17.742738970189418</c:v>
                </c:pt>
                <c:pt idx="14">
                  <c:v>19.190546470156875</c:v>
                </c:pt>
                <c:pt idx="15">
                  <c:v>20.756495062121672</c:v>
                </c:pt>
                <c:pt idx="16">
                  <c:v>22.450225059190799</c:v>
                </c:pt>
                <c:pt idx="17">
                  <c:v>23.348234061558433</c:v>
                </c:pt>
              </c:numCache>
            </c:numRef>
          </c:val>
          <c:extLst>
            <c:ext xmlns:c16="http://schemas.microsoft.com/office/drawing/2014/chart" uri="{C3380CC4-5D6E-409C-BE32-E72D297353CC}">
              <c16:uniqueId val="{0000000F-C66C-4FC8-A3C4-CB628E6DA631}"/>
            </c:ext>
          </c:extLst>
        </c:ser>
        <c:dLbls>
          <c:showLegendKey val="0"/>
          <c:showVal val="0"/>
          <c:showCatName val="0"/>
          <c:showSerName val="0"/>
          <c:showPercent val="0"/>
          <c:showBubbleSize val="0"/>
        </c:dLbls>
        <c:axId val="1482849024"/>
        <c:axId val="259205328"/>
      </c:areaChart>
      <c:catAx>
        <c:axId val="1482849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sz="1600"/>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205328"/>
        <c:crosses val="autoZero"/>
        <c:auto val="1"/>
        <c:lblAlgn val="ctr"/>
        <c:lblOffset val="100"/>
        <c:tickLblSkip val="1"/>
        <c:noMultiLvlLbl val="0"/>
      </c:catAx>
      <c:valAx>
        <c:axId val="259205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sz="1600"/>
                  <a:t>Thousand</a:t>
                </a:r>
                <a:r>
                  <a:rPr lang="es-MX" sz="1600" baseline="0"/>
                  <a:t> tonnes</a:t>
                </a:r>
                <a:endParaRPr lang="es-MX" sz="16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82849024"/>
        <c:crosses val="autoZero"/>
        <c:crossBetween val="midCat"/>
      </c:valAx>
      <c:spPr>
        <a:noFill/>
        <a:ln>
          <a:noFill/>
        </a:ln>
        <a:effectLst/>
      </c:spPr>
    </c:plotArea>
    <c:legend>
      <c:legendPos val="b"/>
      <c:layout>
        <c:manualLayout>
          <c:xMode val="edge"/>
          <c:yMode val="edge"/>
          <c:x val="4.9999948817610017E-2"/>
          <c:y val="0.89508043516833469"/>
          <c:w val="0.89999998724793795"/>
          <c:h val="6.7332462041327742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2000"/>
              <a:t>Annual</a:t>
            </a:r>
            <a:r>
              <a:rPr lang="es-MX" sz="2000" baseline="0"/>
              <a:t> requirements of resources</a:t>
            </a:r>
            <a:endParaRPr lang="es-MX" sz="2000"/>
          </a:p>
        </c:rich>
      </c:tx>
      <c:layout>
        <c:manualLayout>
          <c:xMode val="edge"/>
          <c:yMode val="edge"/>
          <c:x val="0.20243644018044124"/>
          <c:y val="3.8115927658094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60319622091639"/>
          <c:y val="0.17171298762109449"/>
          <c:w val="0.75620027550045943"/>
          <c:h val="0.67081946400898085"/>
        </c:manualLayout>
      </c:layout>
      <c:scatterChart>
        <c:scatterStyle val="lineMarker"/>
        <c:varyColors val="0"/>
        <c:ser>
          <c:idx val="0"/>
          <c:order val="0"/>
          <c:tx>
            <c:strRef>
              <c:f>Plastics!$X$3</c:f>
              <c:strCache>
                <c:ptCount val="1"/>
                <c:pt idx="0">
                  <c:v>NG</c:v>
                </c:pt>
              </c:strCache>
            </c:strRef>
          </c:tx>
          <c:spPr>
            <a:ln w="25400" cap="rnd">
              <a:noFill/>
              <a:round/>
            </a:ln>
            <a:effectLst/>
          </c:spPr>
          <c:marker>
            <c:symbol val="circle"/>
            <c:size val="5"/>
            <c:spPr>
              <a:solidFill>
                <a:schemeClr val="accent1"/>
              </a:solidFill>
              <a:ln w="9525">
                <a:solidFill>
                  <a:schemeClr val="accent1"/>
                </a:solidFill>
              </a:ln>
              <a:effectLst/>
            </c:spPr>
          </c:marker>
          <c:xVal>
            <c:numRef>
              <c:f>Plastics!$A$4:$A$38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Plastics!$X$4:$X$38</c:f>
              <c:numCache>
                <c:formatCode>0.00</c:formatCode>
                <c:ptCount val="35"/>
                <c:pt idx="0">
                  <c:v>0.88760679722465052</c:v>
                </c:pt>
                <c:pt idx="1">
                  <c:v>1.775213594449301</c:v>
                </c:pt>
                <c:pt idx="2">
                  <c:v>2.9375558289101531</c:v>
                </c:pt>
                <c:pt idx="3">
                  <c:v>2.9164223337381374</c:v>
                </c:pt>
                <c:pt idx="4">
                  <c:v>6.0653131143684451</c:v>
                </c:pt>
                <c:pt idx="5">
                  <c:v>14.391910212142548</c:v>
                </c:pt>
                <c:pt idx="6">
                  <c:v>16.694615846085355</c:v>
                </c:pt>
                <c:pt idx="7">
                  <c:v>19.365754381459013</c:v>
                </c:pt>
                <c:pt idx="8">
                  <c:v>22.464275082492453</c:v>
                </c:pt>
                <c:pt idx="9">
                  <c:v>26.058559095691244</c:v>
                </c:pt>
                <c:pt idx="10">
                  <c:v>30.227928551001842</c:v>
                </c:pt>
                <c:pt idx="11">
                  <c:v>35.064397119162145</c:v>
                </c:pt>
                <c:pt idx="12">
                  <c:v>40.674700658228083</c:v>
                </c:pt>
                <c:pt idx="13">
                  <c:v>47.182652763544574</c:v>
                </c:pt>
                <c:pt idx="14">
                  <c:v>54.731877205711704</c:v>
                </c:pt>
                <c:pt idx="15">
                  <c:v>59.657746154225769</c:v>
                </c:pt>
                <c:pt idx="16">
                  <c:v>65.026943308106084</c:v>
                </c:pt>
                <c:pt idx="17">
                  <c:v>70.879368205835632</c:v>
                </c:pt>
                <c:pt idx="18">
                  <c:v>77.258511344360826</c:v>
                </c:pt>
                <c:pt idx="19">
                  <c:v>84.211777365353299</c:v>
                </c:pt>
                <c:pt idx="20">
                  <c:v>91.790837328235099</c:v>
                </c:pt>
                <c:pt idx="21">
                  <c:v>100.05201268777627</c:v>
                </c:pt>
                <c:pt idx="22">
                  <c:v>109.05669382967612</c:v>
                </c:pt>
                <c:pt idx="23">
                  <c:v>118.87179627434696</c:v>
                </c:pt>
                <c:pt idx="24">
                  <c:v>129.57025793903821</c:v>
                </c:pt>
                <c:pt idx="25">
                  <c:v>134.75306825659976</c:v>
                </c:pt>
                <c:pt idx="26">
                  <c:v>140.14319098686374</c:v>
                </c:pt>
                <c:pt idx="27">
                  <c:v>145.74891862633828</c:v>
                </c:pt>
                <c:pt idx="28">
                  <c:v>151.5788753713918</c:v>
                </c:pt>
                <c:pt idx="29">
                  <c:v>157.64203038624746</c:v>
                </c:pt>
                <c:pt idx="30">
                  <c:v>163.94771160169734</c:v>
                </c:pt>
                <c:pt idx="31">
                  <c:v>170.50562006576524</c:v>
                </c:pt>
                <c:pt idx="32">
                  <c:v>177.32584486839585</c:v>
                </c:pt>
                <c:pt idx="33">
                  <c:v>184.41887866313166</c:v>
                </c:pt>
                <c:pt idx="34">
                  <c:v>191.79563380965692</c:v>
                </c:pt>
              </c:numCache>
            </c:numRef>
          </c:yVal>
          <c:smooth val="0"/>
          <c:extLst>
            <c:ext xmlns:c16="http://schemas.microsoft.com/office/drawing/2014/chart" uri="{C3380CC4-5D6E-409C-BE32-E72D297353CC}">
              <c16:uniqueId val="{00000000-7A9E-4A25-898B-D5795B963C9E}"/>
            </c:ext>
          </c:extLst>
        </c:ser>
        <c:dLbls>
          <c:showLegendKey val="0"/>
          <c:showVal val="0"/>
          <c:showCatName val="0"/>
          <c:showSerName val="0"/>
          <c:showPercent val="0"/>
          <c:showBubbleSize val="0"/>
        </c:dLbls>
        <c:axId val="1687079248"/>
        <c:axId val="573401408"/>
      </c:scatterChart>
      <c:valAx>
        <c:axId val="1687079248"/>
        <c:scaling>
          <c:orientation val="minMax"/>
          <c:max val="2050"/>
          <c:min val="2015"/>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a:t>Year</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73401408"/>
        <c:crosses val="autoZero"/>
        <c:crossBetween val="midCat"/>
      </c:valAx>
      <c:valAx>
        <c:axId val="573401408"/>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a:t>Million</a:t>
                </a:r>
                <a:r>
                  <a:rPr lang="es-MX" sz="1400" baseline="0"/>
                  <a:t> cubic meters (m</a:t>
                </a:r>
                <a:r>
                  <a:rPr lang="es-MX" sz="1400" baseline="30000"/>
                  <a:t>3</a:t>
                </a:r>
                <a:r>
                  <a:rPr lang="es-MX" sz="1400" baseline="0"/>
                  <a:t>)</a:t>
                </a:r>
                <a:endParaRPr lang="es-MX" sz="1400"/>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87079248"/>
        <c:crosses val="autoZero"/>
        <c:crossBetween val="midCat"/>
      </c:valAx>
      <c:spPr>
        <a:noFill/>
        <a:ln>
          <a:noFill/>
        </a:ln>
        <a:effectLst/>
      </c:spPr>
    </c:plotArea>
    <c:legend>
      <c:legendPos val="r"/>
      <c:layout>
        <c:manualLayout>
          <c:xMode val="edge"/>
          <c:yMode val="edge"/>
          <c:x val="0.17989815956277458"/>
          <c:y val="0.14687592582653092"/>
          <c:w val="0.10898052710616733"/>
          <c:h val="0.1204091988290852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2000"/>
              <a:t>Annual</a:t>
            </a:r>
            <a:r>
              <a:rPr lang="es-MX" sz="2000" baseline="0"/>
              <a:t> requirements of resources</a:t>
            </a:r>
            <a:endParaRPr lang="es-MX" sz="2000"/>
          </a:p>
        </c:rich>
      </c:tx>
      <c:layout>
        <c:manualLayout>
          <c:xMode val="edge"/>
          <c:yMode val="edge"/>
          <c:x val="0.19619909800006749"/>
          <c:y val="4.19555151093386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965182460122664"/>
          <c:y val="0.17171298762109449"/>
          <c:w val="0.76258047450254651"/>
          <c:h val="0.67081946400898085"/>
        </c:manualLayout>
      </c:layout>
      <c:scatterChart>
        <c:scatterStyle val="lineMarker"/>
        <c:varyColors val="0"/>
        <c:ser>
          <c:idx val="0"/>
          <c:order val="0"/>
          <c:tx>
            <c:strRef>
              <c:f>Plastics!$Y$3</c:f>
              <c:strCache>
                <c:ptCount val="1"/>
                <c:pt idx="0">
                  <c:v>Crude oil</c:v>
                </c:pt>
              </c:strCache>
            </c:strRef>
          </c:tx>
          <c:spPr>
            <a:ln w="25400" cap="rnd">
              <a:noFill/>
              <a:round/>
            </a:ln>
            <a:effectLst/>
          </c:spPr>
          <c:marker>
            <c:symbol val="circle"/>
            <c:size val="5"/>
            <c:spPr>
              <a:solidFill>
                <a:schemeClr val="accent2"/>
              </a:solidFill>
              <a:ln w="9525">
                <a:solidFill>
                  <a:schemeClr val="accent2"/>
                </a:solidFill>
              </a:ln>
              <a:effectLst/>
            </c:spPr>
          </c:marker>
          <c:xVal>
            <c:numRef>
              <c:f>Plastics!$A$4:$A$38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Plastics!$Z$4:$Z$38</c:f>
              <c:numCache>
                <c:formatCode>0.00</c:formatCode>
                <c:ptCount val="35"/>
                <c:pt idx="0">
                  <c:v>0.3572904305116798</c:v>
                </c:pt>
                <c:pt idx="1">
                  <c:v>0.7145808610233596</c:v>
                </c:pt>
                <c:pt idx="2">
                  <c:v>1.1824611866934165</c:v>
                </c:pt>
                <c:pt idx="3">
                  <c:v>1.1739542716812337</c:v>
                </c:pt>
                <c:pt idx="4">
                  <c:v>2.441484608496479</c:v>
                </c:pt>
                <c:pt idx="5">
                  <c:v>5.7932091232965233</c:v>
                </c:pt>
                <c:pt idx="6">
                  <c:v>6.7201225830239668</c:v>
                </c:pt>
                <c:pt idx="7">
                  <c:v>7.7953421963078009</c:v>
                </c:pt>
                <c:pt idx="8">
                  <c:v>9.0425969477170494</c:v>
                </c:pt>
                <c:pt idx="9">
                  <c:v>10.489412459351776</c:v>
                </c:pt>
                <c:pt idx="10">
                  <c:v>12.16771845284806</c:v>
                </c:pt>
                <c:pt idx="11">
                  <c:v>14.11455340530375</c:v>
                </c:pt>
                <c:pt idx="12">
                  <c:v>16.372881950152351</c:v>
                </c:pt>
                <c:pt idx="13">
                  <c:v>18.992543062176725</c:v>
                </c:pt>
                <c:pt idx="14">
                  <c:v>22.031349952125005</c:v>
                </c:pt>
                <c:pt idx="15">
                  <c:v>24.014171447816253</c:v>
                </c:pt>
                <c:pt idx="16">
                  <c:v>26.175446878119718</c:v>
                </c:pt>
                <c:pt idx="17">
                  <c:v>28.531237097150491</c:v>
                </c:pt>
                <c:pt idx="18">
                  <c:v>31.099048435894034</c:v>
                </c:pt>
                <c:pt idx="19">
                  <c:v>33.897962795124499</c:v>
                </c:pt>
                <c:pt idx="20">
                  <c:v>36.948779446685698</c:v>
                </c:pt>
                <c:pt idx="21">
                  <c:v>40.274169596887411</c:v>
                </c:pt>
                <c:pt idx="22">
                  <c:v>43.898844860607277</c:v>
                </c:pt>
                <c:pt idx="23">
                  <c:v>47.849740898061931</c:v>
                </c:pt>
                <c:pt idx="24">
                  <c:v>52.156217578887507</c:v>
                </c:pt>
                <c:pt idx="25">
                  <c:v>54.242466282043019</c:v>
                </c:pt>
                <c:pt idx="26">
                  <c:v>56.412164933324739</c:v>
                </c:pt>
                <c:pt idx="27">
                  <c:v>58.668651530657719</c:v>
                </c:pt>
                <c:pt idx="28">
                  <c:v>61.015397591884032</c:v>
                </c:pt>
                <c:pt idx="29">
                  <c:v>63.456013495559382</c:v>
                </c:pt>
                <c:pt idx="30">
                  <c:v>65.994254035381744</c:v>
                </c:pt>
                <c:pt idx="31">
                  <c:v>68.634024196797014</c:v>
                </c:pt>
                <c:pt idx="32">
                  <c:v>71.379385164668903</c:v>
                </c:pt>
                <c:pt idx="33">
                  <c:v>74.234560571255642</c:v>
                </c:pt>
                <c:pt idx="34">
                  <c:v>77.203942994105873</c:v>
                </c:pt>
              </c:numCache>
            </c:numRef>
          </c:yVal>
          <c:smooth val="0"/>
          <c:extLst>
            <c:ext xmlns:c16="http://schemas.microsoft.com/office/drawing/2014/chart" uri="{C3380CC4-5D6E-409C-BE32-E72D297353CC}">
              <c16:uniqueId val="{00000000-7FDE-419E-871A-F4F36E1D8233}"/>
            </c:ext>
          </c:extLst>
        </c:ser>
        <c:dLbls>
          <c:showLegendKey val="0"/>
          <c:showVal val="0"/>
          <c:showCatName val="0"/>
          <c:showSerName val="0"/>
          <c:showPercent val="0"/>
          <c:showBubbleSize val="0"/>
        </c:dLbls>
        <c:axId val="1687079248"/>
        <c:axId val="573401408"/>
      </c:scatterChart>
      <c:valAx>
        <c:axId val="1687079248"/>
        <c:scaling>
          <c:orientation val="minMax"/>
          <c:max val="2050"/>
          <c:min val="2015"/>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a:t>Year</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73401408"/>
        <c:crosses val="autoZero"/>
        <c:crossBetween val="midCat"/>
      </c:valAx>
      <c:valAx>
        <c:axId val="573401408"/>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a:t>Thousands</a:t>
                </a:r>
                <a:r>
                  <a:rPr lang="es-MX" sz="1400" baseline="0"/>
                  <a:t> of </a:t>
                </a:r>
                <a:r>
                  <a:rPr lang="es-MX" sz="1400" b="0" i="0" u="none" strike="noStrike" kern="1200" baseline="0">
                    <a:solidFill>
                      <a:sysClr val="windowText" lastClr="000000">
                        <a:lumMod val="65000"/>
                        <a:lumOff val="35000"/>
                      </a:sysClr>
                    </a:solidFill>
                  </a:rPr>
                  <a:t>cubic meters (m</a:t>
                </a:r>
                <a:r>
                  <a:rPr lang="es-MX" sz="1400" b="0" i="0" u="none" strike="noStrike" kern="1200" baseline="30000">
                    <a:solidFill>
                      <a:sysClr val="windowText" lastClr="000000">
                        <a:lumMod val="65000"/>
                        <a:lumOff val="35000"/>
                      </a:sysClr>
                    </a:solidFill>
                  </a:rPr>
                  <a:t>3</a:t>
                </a:r>
                <a:r>
                  <a:rPr lang="es-MX" sz="1400" b="0" i="0" u="none" strike="noStrike" kern="1200" baseline="0">
                    <a:solidFill>
                      <a:sysClr val="windowText" lastClr="000000">
                        <a:lumMod val="65000"/>
                        <a:lumOff val="35000"/>
                      </a:sysClr>
                    </a:solidFill>
                  </a:rPr>
                  <a:t>)</a:t>
                </a:r>
                <a:endParaRPr lang="es-MX" sz="1400"/>
              </a:p>
            </c:rich>
          </c:tx>
          <c:layout>
            <c:manualLayout>
              <c:xMode val="edge"/>
              <c:yMode val="edge"/>
              <c:x val="4.1184390392539461E-2"/>
              <c:y val="0.17171284215597082"/>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87079248"/>
        <c:crosses val="autoZero"/>
        <c:crossBetween val="midCat"/>
      </c:valAx>
      <c:spPr>
        <a:noFill/>
        <a:ln>
          <a:noFill/>
        </a:ln>
        <a:effectLst/>
      </c:spPr>
    </c:plotArea>
    <c:legend>
      <c:legendPos val="r"/>
      <c:layout>
        <c:manualLayout>
          <c:xMode val="edge"/>
          <c:yMode val="edge"/>
          <c:x val="0.15371453754105016"/>
          <c:y val="0.12404920298512546"/>
          <c:w val="0.22333667247047376"/>
          <c:h val="0.1204091988290852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2000"/>
              <a:t>Annual</a:t>
            </a:r>
            <a:r>
              <a:rPr lang="es-MX" sz="2000" baseline="0"/>
              <a:t> requirements of resources</a:t>
            </a:r>
            <a:endParaRPr lang="es-MX" sz="2000"/>
          </a:p>
        </c:rich>
      </c:tx>
      <c:layout>
        <c:manualLayout>
          <c:xMode val="edge"/>
          <c:yMode val="edge"/>
          <c:x val="0.20722916840470271"/>
          <c:y val="4.58183180808378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524387675390414"/>
          <c:y val="0.17171298762109449"/>
          <c:w val="0.78698840769903766"/>
          <c:h val="0.67081946400898085"/>
        </c:manualLayout>
      </c:layout>
      <c:scatterChart>
        <c:scatterStyle val="lineMarker"/>
        <c:varyColors val="0"/>
        <c:ser>
          <c:idx val="0"/>
          <c:order val="0"/>
          <c:tx>
            <c:strRef>
              <c:f>Plastics!$AA$3</c:f>
              <c:strCache>
                <c:ptCount val="1"/>
                <c:pt idx="0">
                  <c:v>Electricity</c:v>
                </c:pt>
              </c:strCache>
            </c:strRef>
          </c:tx>
          <c:spPr>
            <a:ln w="25400" cap="rnd">
              <a:noFill/>
              <a:round/>
            </a:ln>
            <a:effectLst/>
          </c:spPr>
          <c:marker>
            <c:symbol val="circle"/>
            <c:size val="5"/>
            <c:spPr>
              <a:solidFill>
                <a:schemeClr val="accent6"/>
              </a:solidFill>
              <a:ln w="9525">
                <a:solidFill>
                  <a:schemeClr val="accent6"/>
                </a:solidFill>
              </a:ln>
              <a:effectLst/>
            </c:spPr>
          </c:marker>
          <c:xVal>
            <c:numRef>
              <c:f>Plastics!$A$4:$A$38</c:f>
              <c:numCache>
                <c:formatCode>General</c:formatCode>
                <c:ptCount val="3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numCache>
            </c:numRef>
          </c:xVal>
          <c:yVal>
            <c:numRef>
              <c:f>Plastics!$AA$4:$AA$38</c:f>
              <c:numCache>
                <c:formatCode>0.00</c:formatCode>
                <c:ptCount val="35"/>
                <c:pt idx="0">
                  <c:v>1.49634330415372</c:v>
                </c:pt>
                <c:pt idx="1">
                  <c:v>2.9926866083074399</c:v>
                </c:pt>
                <c:pt idx="2">
                  <c:v>4.9521837923182632</c:v>
                </c:pt>
                <c:pt idx="3">
                  <c:v>4.9165565707907941</c:v>
                </c:pt>
                <c:pt idx="4">
                  <c:v>10.225012578383753</c:v>
                </c:pt>
                <c:pt idx="5">
                  <c:v>24.262137860206746</c:v>
                </c:pt>
                <c:pt idx="6">
                  <c:v>28.144079917839822</c:v>
                </c:pt>
                <c:pt idx="7">
                  <c:v>32.647132704694194</c:v>
                </c:pt>
                <c:pt idx="8">
                  <c:v>37.870673937445261</c:v>
                </c:pt>
                <c:pt idx="9">
                  <c:v>43.929981767436502</c:v>
                </c:pt>
                <c:pt idx="10">
                  <c:v>50.958778850226345</c:v>
                </c:pt>
                <c:pt idx="11">
                  <c:v>59.112183466262564</c:v>
                </c:pt>
                <c:pt idx="12">
                  <c:v>68.570132820864572</c:v>
                </c:pt>
                <c:pt idx="13">
                  <c:v>79.541354072202907</c:v>
                </c:pt>
                <c:pt idx="14">
                  <c:v>92.267970723755369</c:v>
                </c:pt>
                <c:pt idx="15">
                  <c:v>100.57208808889335</c:v>
                </c:pt>
                <c:pt idx="16">
                  <c:v>109.62357601689376</c:v>
                </c:pt>
                <c:pt idx="17">
                  <c:v>119.48969785841419</c:v>
                </c:pt>
                <c:pt idx="18">
                  <c:v>130.24377066567146</c:v>
                </c:pt>
                <c:pt idx="19">
                  <c:v>141.9657100255819</c:v>
                </c:pt>
                <c:pt idx="20">
                  <c:v>154.74262392788427</c:v>
                </c:pt>
                <c:pt idx="21">
                  <c:v>168.66946008139385</c:v>
                </c:pt>
                <c:pt idx="22">
                  <c:v>183.84971148871929</c:v>
                </c:pt>
                <c:pt idx="23">
                  <c:v>200.396185522704</c:v>
                </c:pt>
                <c:pt idx="24">
                  <c:v>218.43184221974738</c:v>
                </c:pt>
                <c:pt idx="25">
                  <c:v>227.16911590853729</c:v>
                </c:pt>
                <c:pt idx="26">
                  <c:v>236.25588054487881</c:v>
                </c:pt>
                <c:pt idx="27">
                  <c:v>245.70611576667392</c:v>
                </c:pt>
                <c:pt idx="28">
                  <c:v>255.53436039734086</c:v>
                </c:pt>
                <c:pt idx="29">
                  <c:v>265.75573481323448</c:v>
                </c:pt>
                <c:pt idx="30">
                  <c:v>276.3859642057638</c:v>
                </c:pt>
                <c:pt idx="31">
                  <c:v>287.44140277399441</c:v>
                </c:pt>
                <c:pt idx="32">
                  <c:v>298.93905888495414</c:v>
                </c:pt>
                <c:pt idx="33">
                  <c:v>310.89662124035226</c:v>
                </c:pt>
                <c:pt idx="34">
                  <c:v>323.33248608996644</c:v>
                </c:pt>
              </c:numCache>
            </c:numRef>
          </c:yVal>
          <c:smooth val="0"/>
          <c:extLst>
            <c:ext xmlns:c16="http://schemas.microsoft.com/office/drawing/2014/chart" uri="{C3380CC4-5D6E-409C-BE32-E72D297353CC}">
              <c16:uniqueId val="{00000000-096D-4149-BA2F-3E901F2E63F5}"/>
            </c:ext>
          </c:extLst>
        </c:ser>
        <c:dLbls>
          <c:showLegendKey val="0"/>
          <c:showVal val="0"/>
          <c:showCatName val="0"/>
          <c:showSerName val="0"/>
          <c:showPercent val="0"/>
          <c:showBubbleSize val="0"/>
        </c:dLbls>
        <c:axId val="1687079248"/>
        <c:axId val="573401408"/>
      </c:scatterChart>
      <c:valAx>
        <c:axId val="1687079248"/>
        <c:scaling>
          <c:orientation val="minMax"/>
          <c:max val="2050"/>
          <c:min val="2015"/>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a:t>Year</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73401408"/>
        <c:crosses val="autoZero"/>
        <c:crossBetween val="midCat"/>
      </c:valAx>
      <c:valAx>
        <c:axId val="573401408"/>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s-MX" sz="1400" baseline="0"/>
                  <a:t>GWh</a:t>
                </a:r>
                <a:endParaRPr lang="es-MX" sz="1400"/>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87079248"/>
        <c:crosses val="autoZero"/>
        <c:crossBetween val="midCat"/>
      </c:valAx>
      <c:spPr>
        <a:noFill/>
        <a:ln>
          <a:noFill/>
        </a:ln>
        <a:effectLst/>
      </c:spPr>
    </c:plotArea>
    <c:legend>
      <c:legendPos val="r"/>
      <c:layout>
        <c:manualLayout>
          <c:xMode val="edge"/>
          <c:yMode val="edge"/>
          <c:x val="0.19574151454740499"/>
          <c:y val="0.13950041487112227"/>
          <c:w val="0.17272674403912772"/>
          <c:h val="0.1204091988290852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Required</a:t>
            </a:r>
            <a:r>
              <a:rPr lang="es-MX" baseline="0"/>
              <a:t> minerals for 100% EVs</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2050</c:v>
          </c:tx>
          <c:spPr>
            <a:solidFill>
              <a:schemeClr val="accent1"/>
            </a:solidFill>
            <a:ln>
              <a:noFill/>
            </a:ln>
            <a:effectLst/>
          </c:spPr>
          <c:invertIfNegative val="0"/>
          <c:cat>
            <c:strRef>
              <c:f>'EVs materials req'!$A$4:$A$9</c:f>
              <c:strCache>
                <c:ptCount val="6"/>
                <c:pt idx="0">
                  <c:v>Copper</c:v>
                </c:pt>
                <c:pt idx="1">
                  <c:v>Lithium</c:v>
                </c:pt>
                <c:pt idx="2">
                  <c:v>Nickel</c:v>
                </c:pt>
                <c:pt idx="3">
                  <c:v>Manganese</c:v>
                </c:pt>
                <c:pt idx="4">
                  <c:v>Cobalt</c:v>
                </c:pt>
                <c:pt idx="5">
                  <c:v>Graphite</c:v>
                </c:pt>
              </c:strCache>
            </c:strRef>
          </c:cat>
          <c:val>
            <c:numRef>
              <c:f>'EVs materials req'!$I$4:$I$9</c:f>
              <c:numCache>
                <c:formatCode>General</c:formatCode>
                <c:ptCount val="6"/>
                <c:pt idx="0">
                  <c:v>1900304</c:v>
                </c:pt>
                <c:pt idx="1">
                  <c:v>317908</c:v>
                </c:pt>
                <c:pt idx="2">
                  <c:v>1425228</c:v>
                </c:pt>
                <c:pt idx="3">
                  <c:v>875140</c:v>
                </c:pt>
                <c:pt idx="4">
                  <c:v>475076</c:v>
                </c:pt>
                <c:pt idx="5">
                  <c:v>2368236</c:v>
                </c:pt>
              </c:numCache>
            </c:numRef>
          </c:val>
          <c:extLst>
            <c:ext xmlns:c16="http://schemas.microsoft.com/office/drawing/2014/chart" uri="{C3380CC4-5D6E-409C-BE32-E72D297353CC}">
              <c16:uniqueId val="{00000000-0487-4E03-BA39-32119EFB78D6}"/>
            </c:ext>
          </c:extLst>
        </c:ser>
        <c:ser>
          <c:idx val="1"/>
          <c:order val="1"/>
          <c:tx>
            <c:v>Current worldwide production</c:v>
          </c:tx>
          <c:spPr>
            <a:solidFill>
              <a:schemeClr val="accent2"/>
            </a:solidFill>
            <a:ln>
              <a:noFill/>
            </a:ln>
            <a:effectLst/>
          </c:spPr>
          <c:invertIfNegative val="0"/>
          <c:val>
            <c:numRef>
              <c:f>'EVs materials req'!$P$4:$P$9</c:f>
              <c:numCache>
                <c:formatCode>General</c:formatCode>
                <c:ptCount val="6"/>
                <c:pt idx="0">
                  <c:v>22000000</c:v>
                </c:pt>
                <c:pt idx="1">
                  <c:v>130000</c:v>
                </c:pt>
                <c:pt idx="2">
                  <c:v>2800000</c:v>
                </c:pt>
                <c:pt idx="3">
                  <c:v>50000000</c:v>
                </c:pt>
                <c:pt idx="4" formatCode="#,##0">
                  <c:v>197791</c:v>
                </c:pt>
                <c:pt idx="5">
                  <c:v>1300000</c:v>
                </c:pt>
              </c:numCache>
            </c:numRef>
          </c:val>
          <c:extLst>
            <c:ext xmlns:c16="http://schemas.microsoft.com/office/drawing/2014/chart" uri="{C3380CC4-5D6E-409C-BE32-E72D297353CC}">
              <c16:uniqueId val="{00000001-0487-4E03-BA39-32119EFB78D6}"/>
            </c:ext>
          </c:extLst>
        </c:ser>
        <c:dLbls>
          <c:showLegendKey val="0"/>
          <c:showVal val="0"/>
          <c:showCatName val="0"/>
          <c:showSerName val="0"/>
          <c:showPercent val="0"/>
          <c:showBubbleSize val="0"/>
        </c:dLbls>
        <c:gapWidth val="219"/>
        <c:overlap val="-27"/>
        <c:axId val="952263247"/>
        <c:axId val="304637247"/>
      </c:barChart>
      <c:catAx>
        <c:axId val="952263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Material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637247"/>
        <c:crosses val="autoZero"/>
        <c:auto val="1"/>
        <c:lblAlgn val="ctr"/>
        <c:lblOffset val="100"/>
        <c:noMultiLvlLbl val="0"/>
      </c:catAx>
      <c:valAx>
        <c:axId val="304637247"/>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Tonnes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26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Comparison</a:t>
            </a:r>
            <a:r>
              <a:rPr lang="es-MX" baseline="0"/>
              <a:t> of material requirement for Texas to current global production</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'EVs materials req'!$A$4:$A$9</c:f>
              <c:strCache>
                <c:ptCount val="6"/>
                <c:pt idx="0">
                  <c:v>Copper</c:v>
                </c:pt>
                <c:pt idx="1">
                  <c:v>Lithium</c:v>
                </c:pt>
                <c:pt idx="2">
                  <c:v>Nickel</c:v>
                </c:pt>
                <c:pt idx="3">
                  <c:v>Manganese</c:v>
                </c:pt>
                <c:pt idx="4">
                  <c:v>Cobalt</c:v>
                </c:pt>
                <c:pt idx="5">
                  <c:v>Graphite</c:v>
                </c:pt>
              </c:strCache>
            </c:strRef>
          </c:cat>
          <c:val>
            <c:numRef>
              <c:f>'EVs materials req'!$W$4:$W$9</c:f>
              <c:numCache>
                <c:formatCode>0.00</c:formatCode>
                <c:ptCount val="6"/>
                <c:pt idx="0" formatCode="General">
                  <c:v>3.2598851345454552E-2</c:v>
                </c:pt>
                <c:pt idx="1">
                  <c:v>0.92291137846153859</c:v>
                </c:pt>
                <c:pt idx="2" formatCode="General">
                  <c:v>0.19210037400000002</c:v>
                </c:pt>
                <c:pt idx="3" formatCode="General">
                  <c:v>6.60555672E-3</c:v>
                </c:pt>
                <c:pt idx="4" formatCode="General">
                  <c:v>0.9064804890010163</c:v>
                </c:pt>
                <c:pt idx="5" formatCode="General">
                  <c:v>0.68751712800000009</c:v>
                </c:pt>
              </c:numCache>
            </c:numRef>
          </c:val>
          <c:extLst>
            <c:ext xmlns:c16="http://schemas.microsoft.com/office/drawing/2014/chart" uri="{C3380CC4-5D6E-409C-BE32-E72D297353CC}">
              <c16:uniqueId val="{00000000-ED0F-47FA-B58E-82040D7CB9FF}"/>
            </c:ext>
          </c:extLst>
        </c:ser>
        <c:dLbls>
          <c:showLegendKey val="0"/>
          <c:showVal val="0"/>
          <c:showCatName val="0"/>
          <c:showSerName val="0"/>
          <c:showPercent val="0"/>
          <c:showBubbleSize val="0"/>
        </c:dLbls>
        <c:gapWidth val="150"/>
        <c:axId val="316331183"/>
        <c:axId val="92023792"/>
      </c:barChart>
      <c:catAx>
        <c:axId val="316331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Material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23792"/>
        <c:crosses val="autoZero"/>
        <c:auto val="1"/>
        <c:lblAlgn val="ctr"/>
        <c:lblOffset val="100"/>
        <c:noMultiLvlLbl val="0"/>
      </c:catAx>
      <c:valAx>
        <c:axId val="92023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x</a:t>
                </a:r>
                <a:r>
                  <a:rPr lang="es-MX" baseline="0"/>
                  <a:t> times current production</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33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Materials</a:t>
            </a:r>
            <a:r>
              <a:rPr lang="es-MX" baseline="0"/>
              <a:t> requirements 2050 scenario-LB</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'Materials renewable energy'!$H$24</c:f>
              <c:strCache>
                <c:ptCount val="1"/>
                <c:pt idx="0">
                  <c:v>Offshore wind</c:v>
                </c:pt>
              </c:strCache>
            </c:strRef>
          </c:tx>
          <c:spPr>
            <a:ln w="28575" cap="rnd">
              <a:solidFill>
                <a:schemeClr val="accent1"/>
              </a:solidFill>
              <a:round/>
            </a:ln>
            <a:effectLst/>
          </c:spPr>
          <c:marker>
            <c:symbol val="none"/>
          </c:marker>
          <c:cat>
            <c:strRef>
              <c:f>'Materials renewable energy'!$A$51:$A$60</c:f>
              <c:strCache>
                <c:ptCount val="10"/>
                <c:pt idx="0">
                  <c:v>Copper</c:v>
                </c:pt>
                <c:pt idx="1">
                  <c:v>Nickel</c:v>
                </c:pt>
                <c:pt idx="2">
                  <c:v>Manganese</c:v>
                </c:pt>
                <c:pt idx="3">
                  <c:v>Cobalt</c:v>
                </c:pt>
                <c:pt idx="4">
                  <c:v>Chromium</c:v>
                </c:pt>
                <c:pt idx="5">
                  <c:v>Molybdenum</c:v>
                </c:pt>
                <c:pt idx="6">
                  <c:v>Zinc</c:v>
                </c:pt>
                <c:pt idx="7">
                  <c:v>Rare earths</c:v>
                </c:pt>
                <c:pt idx="8">
                  <c:v>Silicon</c:v>
                </c:pt>
                <c:pt idx="9">
                  <c:v>Others</c:v>
                </c:pt>
              </c:strCache>
            </c:strRef>
          </c:cat>
          <c:val>
            <c:numRef>
              <c:f>'Materials renewable energy'!$H$51:$H$60</c:f>
              <c:numCache>
                <c:formatCode>0.00</c:formatCode>
                <c:ptCount val="10"/>
                <c:pt idx="0">
                  <c:v>287.17255344808058</c:v>
                </c:pt>
                <c:pt idx="1">
                  <c:v>8.6151766034424178</c:v>
                </c:pt>
                <c:pt idx="2">
                  <c:v>28.358289652997954</c:v>
                </c:pt>
                <c:pt idx="3">
                  <c:v>0</c:v>
                </c:pt>
                <c:pt idx="4">
                  <c:v>18.845698820030286</c:v>
                </c:pt>
                <c:pt idx="5">
                  <c:v>3.9127260407300977</c:v>
                </c:pt>
                <c:pt idx="6">
                  <c:v>197.43113049555541</c:v>
                </c:pt>
                <c:pt idx="7">
                  <c:v>8.5792800342614068</c:v>
                </c:pt>
                <c:pt idx="8">
                  <c:v>0</c:v>
                </c:pt>
                <c:pt idx="9">
                  <c:v>0.21537941508606043</c:v>
                </c:pt>
              </c:numCache>
            </c:numRef>
          </c:val>
          <c:smooth val="0"/>
          <c:extLst>
            <c:ext xmlns:c16="http://schemas.microsoft.com/office/drawing/2014/chart" uri="{C3380CC4-5D6E-409C-BE32-E72D297353CC}">
              <c16:uniqueId val="{00000000-1005-4082-9455-D52559A8777D}"/>
            </c:ext>
          </c:extLst>
        </c:ser>
        <c:ser>
          <c:idx val="1"/>
          <c:order val="1"/>
          <c:tx>
            <c:strRef>
              <c:f>'Materials renewable energy'!$I$24</c:f>
              <c:strCache>
                <c:ptCount val="1"/>
                <c:pt idx="0">
                  <c:v>Onshore wind</c:v>
                </c:pt>
              </c:strCache>
            </c:strRef>
          </c:tx>
          <c:spPr>
            <a:ln w="28575" cap="rnd">
              <a:solidFill>
                <a:schemeClr val="accent2"/>
              </a:solidFill>
              <a:round/>
            </a:ln>
            <a:effectLst/>
          </c:spPr>
          <c:marker>
            <c:symbol val="none"/>
          </c:marker>
          <c:cat>
            <c:strRef>
              <c:f>'Materials renewable energy'!$A$51:$A$60</c:f>
              <c:strCache>
                <c:ptCount val="10"/>
                <c:pt idx="0">
                  <c:v>Copper</c:v>
                </c:pt>
                <c:pt idx="1">
                  <c:v>Nickel</c:v>
                </c:pt>
                <c:pt idx="2">
                  <c:v>Manganese</c:v>
                </c:pt>
                <c:pt idx="3">
                  <c:v>Cobalt</c:v>
                </c:pt>
                <c:pt idx="4">
                  <c:v>Chromium</c:v>
                </c:pt>
                <c:pt idx="5">
                  <c:v>Molybdenum</c:v>
                </c:pt>
                <c:pt idx="6">
                  <c:v>Zinc</c:v>
                </c:pt>
                <c:pt idx="7">
                  <c:v>Rare earths</c:v>
                </c:pt>
                <c:pt idx="8">
                  <c:v>Silicon</c:v>
                </c:pt>
                <c:pt idx="9">
                  <c:v>Others</c:v>
                </c:pt>
              </c:strCache>
            </c:strRef>
          </c:cat>
          <c:val>
            <c:numRef>
              <c:f>'Materials renewable energy'!$I$51:$I$60</c:f>
              <c:numCache>
                <c:formatCode>0.00</c:formatCode>
                <c:ptCount val="10"/>
                <c:pt idx="0">
                  <c:v>104.10005062492921</c:v>
                </c:pt>
                <c:pt idx="1">
                  <c:v>14.484265664537565</c:v>
                </c:pt>
                <c:pt idx="2">
                  <c:v>27.999323961187855</c:v>
                </c:pt>
                <c:pt idx="3">
                  <c:v>0</c:v>
                </c:pt>
                <c:pt idx="4">
                  <c:v>16.871387515074733</c:v>
                </c:pt>
                <c:pt idx="5">
                  <c:v>3.5537603489199974</c:v>
                </c:pt>
                <c:pt idx="6">
                  <c:v>197.43113049555541</c:v>
                </c:pt>
                <c:pt idx="7">
                  <c:v>0.50255196853414097</c:v>
                </c:pt>
                <c:pt idx="8">
                  <c:v>0</c:v>
                </c:pt>
                <c:pt idx="9">
                  <c:v>0</c:v>
                </c:pt>
              </c:numCache>
            </c:numRef>
          </c:val>
          <c:smooth val="0"/>
          <c:extLst>
            <c:ext xmlns:c16="http://schemas.microsoft.com/office/drawing/2014/chart" uri="{C3380CC4-5D6E-409C-BE32-E72D297353CC}">
              <c16:uniqueId val="{00000004-1005-4082-9455-D52559A8777D}"/>
            </c:ext>
          </c:extLst>
        </c:ser>
        <c:ser>
          <c:idx val="2"/>
          <c:order val="2"/>
          <c:tx>
            <c:strRef>
              <c:f>'Materials renewable energy'!$J$24</c:f>
              <c:strCache>
                <c:ptCount val="1"/>
                <c:pt idx="0">
                  <c:v>Solar PV</c:v>
                </c:pt>
              </c:strCache>
            </c:strRef>
          </c:tx>
          <c:spPr>
            <a:ln w="28575" cap="rnd">
              <a:solidFill>
                <a:schemeClr val="accent3"/>
              </a:solidFill>
              <a:round/>
            </a:ln>
            <a:effectLst/>
          </c:spPr>
          <c:marker>
            <c:symbol val="none"/>
          </c:marker>
          <c:cat>
            <c:strRef>
              <c:f>'Materials renewable energy'!$A$51:$A$60</c:f>
              <c:strCache>
                <c:ptCount val="10"/>
                <c:pt idx="0">
                  <c:v>Copper</c:v>
                </c:pt>
                <c:pt idx="1">
                  <c:v>Nickel</c:v>
                </c:pt>
                <c:pt idx="2">
                  <c:v>Manganese</c:v>
                </c:pt>
                <c:pt idx="3">
                  <c:v>Cobalt</c:v>
                </c:pt>
                <c:pt idx="4">
                  <c:v>Chromium</c:v>
                </c:pt>
                <c:pt idx="5">
                  <c:v>Molybdenum</c:v>
                </c:pt>
                <c:pt idx="6">
                  <c:v>Zinc</c:v>
                </c:pt>
                <c:pt idx="7">
                  <c:v>Rare earths</c:v>
                </c:pt>
                <c:pt idx="8">
                  <c:v>Silicon</c:v>
                </c:pt>
                <c:pt idx="9">
                  <c:v>Others</c:v>
                </c:pt>
              </c:strCache>
            </c:strRef>
          </c:cat>
          <c:val>
            <c:numRef>
              <c:f>'Materials renewable energy'!$J$51:$J$60</c:f>
              <c:numCache>
                <c:formatCode>0.00</c:formatCode>
                <c:ptCount val="10"/>
                <c:pt idx="0">
                  <c:v>101.30370788572853</c:v>
                </c:pt>
                <c:pt idx="1">
                  <c:v>4.6665539935313097E-2</c:v>
                </c:pt>
                <c:pt idx="2">
                  <c:v>0</c:v>
                </c:pt>
                <c:pt idx="3">
                  <c:v>0</c:v>
                </c:pt>
                <c:pt idx="4">
                  <c:v>0</c:v>
                </c:pt>
                <c:pt idx="5">
                  <c:v>0</c:v>
                </c:pt>
                <c:pt idx="6">
                  <c:v>1.0765381097384921</c:v>
                </c:pt>
                <c:pt idx="7">
                  <c:v>0</c:v>
                </c:pt>
                <c:pt idx="8">
                  <c:v>141.7304240973821</c:v>
                </c:pt>
                <c:pt idx="9">
                  <c:v>1.146895385333272</c:v>
                </c:pt>
              </c:numCache>
            </c:numRef>
          </c:val>
          <c:smooth val="0"/>
          <c:extLst>
            <c:ext xmlns:c16="http://schemas.microsoft.com/office/drawing/2014/chart" uri="{C3380CC4-5D6E-409C-BE32-E72D297353CC}">
              <c16:uniqueId val="{00000005-1005-4082-9455-D52559A8777D}"/>
            </c:ext>
          </c:extLst>
        </c:ser>
        <c:ser>
          <c:idx val="3"/>
          <c:order val="3"/>
          <c:tx>
            <c:strRef>
              <c:f>'Materials renewable energy'!$K$24</c:f>
              <c:strCache>
                <c:ptCount val="1"/>
                <c:pt idx="0">
                  <c:v>Nuclear</c:v>
                </c:pt>
              </c:strCache>
            </c:strRef>
          </c:tx>
          <c:spPr>
            <a:ln w="28575" cap="rnd">
              <a:solidFill>
                <a:schemeClr val="accent4"/>
              </a:solidFill>
              <a:round/>
            </a:ln>
            <a:effectLst/>
          </c:spPr>
          <c:marker>
            <c:symbol val="none"/>
          </c:marker>
          <c:cat>
            <c:strRef>
              <c:f>'Materials renewable energy'!$A$51:$A$60</c:f>
              <c:strCache>
                <c:ptCount val="10"/>
                <c:pt idx="0">
                  <c:v>Copper</c:v>
                </c:pt>
                <c:pt idx="1">
                  <c:v>Nickel</c:v>
                </c:pt>
                <c:pt idx="2">
                  <c:v>Manganese</c:v>
                </c:pt>
                <c:pt idx="3">
                  <c:v>Cobalt</c:v>
                </c:pt>
                <c:pt idx="4">
                  <c:v>Chromium</c:v>
                </c:pt>
                <c:pt idx="5">
                  <c:v>Molybdenum</c:v>
                </c:pt>
                <c:pt idx="6">
                  <c:v>Zinc</c:v>
                </c:pt>
                <c:pt idx="7">
                  <c:v>Rare earths</c:v>
                </c:pt>
                <c:pt idx="8">
                  <c:v>Silicon</c:v>
                </c:pt>
                <c:pt idx="9">
                  <c:v>Others</c:v>
                </c:pt>
              </c:strCache>
            </c:strRef>
          </c:cat>
          <c:val>
            <c:numRef>
              <c:f>'Materials renewable energy'!$K$51:$K$60</c:f>
              <c:numCache>
                <c:formatCode>0.00</c:formatCode>
                <c:ptCount val="10"/>
                <c:pt idx="0">
                  <c:v>52.875646403627833</c:v>
                </c:pt>
                <c:pt idx="1">
                  <c:v>46.572208855442469</c:v>
                </c:pt>
                <c:pt idx="2">
                  <c:v>5.3015643023433778</c:v>
                </c:pt>
                <c:pt idx="3">
                  <c:v>0</c:v>
                </c:pt>
                <c:pt idx="4">
                  <c:v>78.613486506412059</c:v>
                </c:pt>
                <c:pt idx="5">
                  <c:v>2.541477098015513</c:v>
                </c:pt>
                <c:pt idx="6">
                  <c:v>0</c:v>
                </c:pt>
                <c:pt idx="7">
                  <c:v>1.7948284590505036E-2</c:v>
                </c:pt>
                <c:pt idx="8">
                  <c:v>0</c:v>
                </c:pt>
                <c:pt idx="9">
                  <c:v>3.3843285423856297</c:v>
                </c:pt>
              </c:numCache>
            </c:numRef>
          </c:val>
          <c:smooth val="0"/>
          <c:extLst>
            <c:ext xmlns:c16="http://schemas.microsoft.com/office/drawing/2014/chart" uri="{C3380CC4-5D6E-409C-BE32-E72D297353CC}">
              <c16:uniqueId val="{00000006-1005-4082-9455-D52559A8777D}"/>
            </c:ext>
          </c:extLst>
        </c:ser>
        <c:ser>
          <c:idx val="4"/>
          <c:order val="4"/>
          <c:tx>
            <c:strRef>
              <c:f>'Materials renewable energy'!$L$24</c:f>
              <c:strCache>
                <c:ptCount val="1"/>
                <c:pt idx="0">
                  <c:v>Coal</c:v>
                </c:pt>
              </c:strCache>
            </c:strRef>
          </c:tx>
          <c:spPr>
            <a:ln w="28575" cap="rnd">
              <a:solidFill>
                <a:schemeClr val="accent5"/>
              </a:solidFill>
              <a:round/>
            </a:ln>
            <a:effectLst/>
          </c:spPr>
          <c:marker>
            <c:symbol val="none"/>
          </c:marker>
          <c:cat>
            <c:strRef>
              <c:f>'Materials renewable energy'!$A$51:$A$60</c:f>
              <c:strCache>
                <c:ptCount val="10"/>
                <c:pt idx="0">
                  <c:v>Copper</c:v>
                </c:pt>
                <c:pt idx="1">
                  <c:v>Nickel</c:v>
                </c:pt>
                <c:pt idx="2">
                  <c:v>Manganese</c:v>
                </c:pt>
                <c:pt idx="3">
                  <c:v>Cobalt</c:v>
                </c:pt>
                <c:pt idx="4">
                  <c:v>Chromium</c:v>
                </c:pt>
                <c:pt idx="5">
                  <c:v>Molybdenum</c:v>
                </c:pt>
                <c:pt idx="6">
                  <c:v>Zinc</c:v>
                </c:pt>
                <c:pt idx="7">
                  <c:v>Rare earths</c:v>
                </c:pt>
                <c:pt idx="8">
                  <c:v>Silicon</c:v>
                </c:pt>
                <c:pt idx="9">
                  <c:v>Others</c:v>
                </c:pt>
              </c:strCache>
            </c:strRef>
          </c:cat>
          <c:val>
            <c:numRef>
              <c:f>'Materials renewable energy'!$L$51:$L$60</c:f>
              <c:numCache>
                <c:formatCode>0.00</c:formatCode>
                <c:ptCount val="10"/>
                <c:pt idx="0">
                  <c:v>41.281054558161578</c:v>
                </c:pt>
                <c:pt idx="1">
                  <c:v>25.8828622422755</c:v>
                </c:pt>
                <c:pt idx="2">
                  <c:v>0.16620111530807663</c:v>
                </c:pt>
                <c:pt idx="3">
                  <c:v>7.2317228272062897</c:v>
                </c:pt>
                <c:pt idx="4">
                  <c:v>11.038195023160597</c:v>
                </c:pt>
                <c:pt idx="5">
                  <c:v>2.3781477082419173</c:v>
                </c:pt>
                <c:pt idx="6">
                  <c:v>0</c:v>
                </c:pt>
                <c:pt idx="7">
                  <c:v>0</c:v>
                </c:pt>
                <c:pt idx="8">
                  <c:v>0</c:v>
                </c:pt>
                <c:pt idx="9">
                  <c:v>1.2168936952362415</c:v>
                </c:pt>
              </c:numCache>
            </c:numRef>
          </c:val>
          <c:smooth val="0"/>
          <c:extLst>
            <c:ext xmlns:c16="http://schemas.microsoft.com/office/drawing/2014/chart" uri="{C3380CC4-5D6E-409C-BE32-E72D297353CC}">
              <c16:uniqueId val="{00000007-1005-4082-9455-D52559A8777D}"/>
            </c:ext>
          </c:extLst>
        </c:ser>
        <c:ser>
          <c:idx val="5"/>
          <c:order val="5"/>
          <c:tx>
            <c:strRef>
              <c:f>'Materials renewable energy'!$M$24</c:f>
              <c:strCache>
                <c:ptCount val="1"/>
                <c:pt idx="0">
                  <c:v>Natural gas</c:v>
                </c:pt>
              </c:strCache>
            </c:strRef>
          </c:tx>
          <c:spPr>
            <a:ln w="28575" cap="rnd">
              <a:solidFill>
                <a:schemeClr val="accent6"/>
              </a:solidFill>
              <a:round/>
            </a:ln>
            <a:effectLst/>
          </c:spPr>
          <c:marker>
            <c:symbol val="none"/>
          </c:marker>
          <c:cat>
            <c:strRef>
              <c:f>'Materials renewable energy'!$A$51:$A$60</c:f>
              <c:strCache>
                <c:ptCount val="10"/>
                <c:pt idx="0">
                  <c:v>Copper</c:v>
                </c:pt>
                <c:pt idx="1">
                  <c:v>Nickel</c:v>
                </c:pt>
                <c:pt idx="2">
                  <c:v>Manganese</c:v>
                </c:pt>
                <c:pt idx="3">
                  <c:v>Cobalt</c:v>
                </c:pt>
                <c:pt idx="4">
                  <c:v>Chromium</c:v>
                </c:pt>
                <c:pt idx="5">
                  <c:v>Molybdenum</c:v>
                </c:pt>
                <c:pt idx="6">
                  <c:v>Zinc</c:v>
                </c:pt>
                <c:pt idx="7">
                  <c:v>Rare earths</c:v>
                </c:pt>
                <c:pt idx="8">
                  <c:v>Silicon</c:v>
                </c:pt>
                <c:pt idx="9">
                  <c:v>Others</c:v>
                </c:pt>
              </c:strCache>
            </c:strRef>
          </c:cat>
          <c:val>
            <c:numRef>
              <c:f>'Materials renewable energy'!$M$51:$M$60</c:f>
              <c:numCache>
                <c:formatCode>0.00</c:formatCode>
                <c:ptCount val="10"/>
                <c:pt idx="0">
                  <c:v>39.486226099111079</c:v>
                </c:pt>
                <c:pt idx="1">
                  <c:v>0.56537096460090863</c:v>
                </c:pt>
                <c:pt idx="2">
                  <c:v>0</c:v>
                </c:pt>
                <c:pt idx="3">
                  <c:v>6.4613824525818125E-2</c:v>
                </c:pt>
                <c:pt idx="4">
                  <c:v>1.7352401542100269</c:v>
                </c:pt>
                <c:pt idx="5">
                  <c:v>0</c:v>
                </c:pt>
                <c:pt idx="6">
                  <c:v>0</c:v>
                </c:pt>
                <c:pt idx="7">
                  <c:v>0</c:v>
                </c:pt>
                <c:pt idx="8">
                  <c:v>0</c:v>
                </c:pt>
                <c:pt idx="9">
                  <c:v>0</c:v>
                </c:pt>
              </c:numCache>
            </c:numRef>
          </c:val>
          <c:smooth val="0"/>
          <c:extLst>
            <c:ext xmlns:c16="http://schemas.microsoft.com/office/drawing/2014/chart" uri="{C3380CC4-5D6E-409C-BE32-E72D297353CC}">
              <c16:uniqueId val="{00000008-1005-4082-9455-D52559A8777D}"/>
            </c:ext>
          </c:extLst>
        </c:ser>
        <c:dLbls>
          <c:showLegendKey val="0"/>
          <c:showVal val="0"/>
          <c:showCatName val="0"/>
          <c:showSerName val="0"/>
          <c:showPercent val="0"/>
          <c:showBubbleSize val="0"/>
        </c:dLbls>
        <c:smooth val="0"/>
        <c:axId val="613540063"/>
        <c:axId val="572337487"/>
      </c:lineChart>
      <c:catAx>
        <c:axId val="613540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Material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337487"/>
        <c:crosses val="autoZero"/>
        <c:auto val="1"/>
        <c:lblAlgn val="ctr"/>
        <c:lblOffset val="100"/>
        <c:noMultiLvlLbl val="0"/>
      </c:catAx>
      <c:valAx>
        <c:axId val="5723374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Material</a:t>
                </a:r>
                <a:r>
                  <a:rPr lang="es-MX" baseline="0"/>
                  <a:t> requirements (tonnes)</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540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Materials</a:t>
            </a:r>
            <a:r>
              <a:rPr lang="es-MX" baseline="0"/>
              <a:t> requirements 2050 scenario-UB</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'Materials renewable energy'!$N$24</c:f>
              <c:strCache>
                <c:ptCount val="1"/>
                <c:pt idx="0">
                  <c:v>Offshore wind</c:v>
                </c:pt>
              </c:strCache>
            </c:strRef>
          </c:tx>
          <c:spPr>
            <a:ln w="28575" cap="rnd">
              <a:solidFill>
                <a:schemeClr val="accent1"/>
              </a:solidFill>
              <a:round/>
            </a:ln>
            <a:effectLst/>
          </c:spPr>
          <c:marker>
            <c:symbol val="none"/>
          </c:marker>
          <c:cat>
            <c:strRef>
              <c:f>'Materials renewable energy'!$A$51:$A$60</c:f>
              <c:strCache>
                <c:ptCount val="10"/>
                <c:pt idx="0">
                  <c:v>Copper</c:v>
                </c:pt>
                <c:pt idx="1">
                  <c:v>Nickel</c:v>
                </c:pt>
                <c:pt idx="2">
                  <c:v>Manganese</c:v>
                </c:pt>
                <c:pt idx="3">
                  <c:v>Cobalt</c:v>
                </c:pt>
                <c:pt idx="4">
                  <c:v>Chromium</c:v>
                </c:pt>
                <c:pt idx="5">
                  <c:v>Molybdenum</c:v>
                </c:pt>
                <c:pt idx="6">
                  <c:v>Zinc</c:v>
                </c:pt>
                <c:pt idx="7">
                  <c:v>Rare earths</c:v>
                </c:pt>
                <c:pt idx="8">
                  <c:v>Silicon</c:v>
                </c:pt>
                <c:pt idx="9">
                  <c:v>Others</c:v>
                </c:pt>
              </c:strCache>
            </c:strRef>
          </c:cat>
          <c:val>
            <c:numRef>
              <c:f>'Materials renewable energy'!$N$51:$N$60</c:f>
              <c:numCache>
                <c:formatCode>0.00</c:formatCode>
                <c:ptCount val="10"/>
                <c:pt idx="0">
                  <c:v>459.47608551692895</c:v>
                </c:pt>
                <c:pt idx="1">
                  <c:v>13.784282565507869</c:v>
                </c:pt>
                <c:pt idx="2">
                  <c:v>45.373263444796734</c:v>
                </c:pt>
                <c:pt idx="3">
                  <c:v>0</c:v>
                </c:pt>
                <c:pt idx="4">
                  <c:v>30.15311811204846</c:v>
                </c:pt>
                <c:pt idx="5">
                  <c:v>6.2603616651681566</c:v>
                </c:pt>
                <c:pt idx="6">
                  <c:v>315.88980879288863</c:v>
                </c:pt>
                <c:pt idx="7">
                  <c:v>13.726848054818252</c:v>
                </c:pt>
                <c:pt idx="8">
                  <c:v>0</c:v>
                </c:pt>
                <c:pt idx="9">
                  <c:v>0.34460706413769676</c:v>
                </c:pt>
              </c:numCache>
            </c:numRef>
          </c:val>
          <c:smooth val="0"/>
          <c:extLst>
            <c:ext xmlns:c16="http://schemas.microsoft.com/office/drawing/2014/chart" uri="{C3380CC4-5D6E-409C-BE32-E72D297353CC}">
              <c16:uniqueId val="{00000000-6B6F-4B91-9F76-BF7543CA1A77}"/>
            </c:ext>
          </c:extLst>
        </c:ser>
        <c:ser>
          <c:idx val="1"/>
          <c:order val="1"/>
          <c:tx>
            <c:strRef>
              <c:f>'Materials renewable energy'!$O$24</c:f>
              <c:strCache>
                <c:ptCount val="1"/>
                <c:pt idx="0">
                  <c:v>Onshore wind</c:v>
                </c:pt>
              </c:strCache>
            </c:strRef>
          </c:tx>
          <c:spPr>
            <a:ln w="28575" cap="rnd">
              <a:solidFill>
                <a:schemeClr val="accent2"/>
              </a:solidFill>
              <a:round/>
            </a:ln>
            <a:effectLst/>
          </c:spPr>
          <c:marker>
            <c:symbol val="none"/>
          </c:marker>
          <c:cat>
            <c:strRef>
              <c:f>'Materials renewable energy'!$A$51:$A$60</c:f>
              <c:strCache>
                <c:ptCount val="10"/>
                <c:pt idx="0">
                  <c:v>Copper</c:v>
                </c:pt>
                <c:pt idx="1">
                  <c:v>Nickel</c:v>
                </c:pt>
                <c:pt idx="2">
                  <c:v>Manganese</c:v>
                </c:pt>
                <c:pt idx="3">
                  <c:v>Cobalt</c:v>
                </c:pt>
                <c:pt idx="4">
                  <c:v>Chromium</c:v>
                </c:pt>
                <c:pt idx="5">
                  <c:v>Molybdenum</c:v>
                </c:pt>
                <c:pt idx="6">
                  <c:v>Zinc</c:v>
                </c:pt>
                <c:pt idx="7">
                  <c:v>Rare earths</c:v>
                </c:pt>
                <c:pt idx="8">
                  <c:v>Silicon</c:v>
                </c:pt>
                <c:pt idx="9">
                  <c:v>Others</c:v>
                </c:pt>
              </c:strCache>
            </c:strRef>
          </c:cat>
          <c:val>
            <c:numRef>
              <c:f>'Materials renewable energy'!$O$51:$O$60</c:f>
              <c:numCache>
                <c:formatCode>0.00</c:formatCode>
                <c:ptCount val="10"/>
                <c:pt idx="0">
                  <c:v>166.56008099988674</c:v>
                </c:pt>
                <c:pt idx="1">
                  <c:v>23.174825063260105</c:v>
                </c:pt>
                <c:pt idx="2">
                  <c:v>44.798918337900567</c:v>
                </c:pt>
                <c:pt idx="3">
                  <c:v>0</c:v>
                </c:pt>
                <c:pt idx="4">
                  <c:v>26.994220024119574</c:v>
                </c:pt>
                <c:pt idx="5">
                  <c:v>5.6860165582719953</c:v>
                </c:pt>
                <c:pt idx="6">
                  <c:v>315.88980879288863</c:v>
                </c:pt>
                <c:pt idx="7">
                  <c:v>0.80408314965462568</c:v>
                </c:pt>
                <c:pt idx="8">
                  <c:v>0</c:v>
                </c:pt>
                <c:pt idx="9">
                  <c:v>0</c:v>
                </c:pt>
              </c:numCache>
            </c:numRef>
          </c:val>
          <c:smooth val="0"/>
          <c:extLst>
            <c:ext xmlns:c16="http://schemas.microsoft.com/office/drawing/2014/chart" uri="{C3380CC4-5D6E-409C-BE32-E72D297353CC}">
              <c16:uniqueId val="{00000001-6B6F-4B91-9F76-BF7543CA1A77}"/>
            </c:ext>
          </c:extLst>
        </c:ser>
        <c:ser>
          <c:idx val="2"/>
          <c:order val="2"/>
          <c:tx>
            <c:strRef>
              <c:f>'Materials renewable energy'!$P$24</c:f>
              <c:strCache>
                <c:ptCount val="1"/>
                <c:pt idx="0">
                  <c:v>Solar PV</c:v>
                </c:pt>
              </c:strCache>
            </c:strRef>
          </c:tx>
          <c:spPr>
            <a:ln w="28575" cap="rnd">
              <a:solidFill>
                <a:schemeClr val="accent3"/>
              </a:solidFill>
              <a:round/>
            </a:ln>
            <a:effectLst/>
          </c:spPr>
          <c:marker>
            <c:symbol val="none"/>
          </c:marker>
          <c:cat>
            <c:strRef>
              <c:f>'Materials renewable energy'!$A$51:$A$60</c:f>
              <c:strCache>
                <c:ptCount val="10"/>
                <c:pt idx="0">
                  <c:v>Copper</c:v>
                </c:pt>
                <c:pt idx="1">
                  <c:v>Nickel</c:v>
                </c:pt>
                <c:pt idx="2">
                  <c:v>Manganese</c:v>
                </c:pt>
                <c:pt idx="3">
                  <c:v>Cobalt</c:v>
                </c:pt>
                <c:pt idx="4">
                  <c:v>Chromium</c:v>
                </c:pt>
                <c:pt idx="5">
                  <c:v>Molybdenum</c:v>
                </c:pt>
                <c:pt idx="6">
                  <c:v>Zinc</c:v>
                </c:pt>
                <c:pt idx="7">
                  <c:v>Rare earths</c:v>
                </c:pt>
                <c:pt idx="8">
                  <c:v>Silicon</c:v>
                </c:pt>
                <c:pt idx="9">
                  <c:v>Others</c:v>
                </c:pt>
              </c:strCache>
            </c:strRef>
          </c:cat>
          <c:val>
            <c:numRef>
              <c:f>'Materials renewable energy'!$P$51:$P$60</c:f>
              <c:numCache>
                <c:formatCode>0.00</c:formatCode>
                <c:ptCount val="10"/>
                <c:pt idx="0">
                  <c:v>162.08593261716564</c:v>
                </c:pt>
                <c:pt idx="1">
                  <c:v>7.4664863896500955E-2</c:v>
                </c:pt>
                <c:pt idx="2">
                  <c:v>0</c:v>
                </c:pt>
                <c:pt idx="3">
                  <c:v>0</c:v>
                </c:pt>
                <c:pt idx="4">
                  <c:v>0</c:v>
                </c:pt>
                <c:pt idx="5">
                  <c:v>0</c:v>
                </c:pt>
                <c:pt idx="6">
                  <c:v>1.7224609755815872</c:v>
                </c:pt>
                <c:pt idx="7">
                  <c:v>0</c:v>
                </c:pt>
                <c:pt idx="8">
                  <c:v>226.76867855581131</c:v>
                </c:pt>
                <c:pt idx="9">
                  <c:v>1.8350326165332349</c:v>
                </c:pt>
              </c:numCache>
            </c:numRef>
          </c:val>
          <c:smooth val="0"/>
          <c:extLst>
            <c:ext xmlns:c16="http://schemas.microsoft.com/office/drawing/2014/chart" uri="{C3380CC4-5D6E-409C-BE32-E72D297353CC}">
              <c16:uniqueId val="{00000002-6B6F-4B91-9F76-BF7543CA1A77}"/>
            </c:ext>
          </c:extLst>
        </c:ser>
        <c:ser>
          <c:idx val="3"/>
          <c:order val="3"/>
          <c:tx>
            <c:strRef>
              <c:f>'Materials renewable energy'!$Q$24</c:f>
              <c:strCache>
                <c:ptCount val="1"/>
                <c:pt idx="0">
                  <c:v>Nuclear</c:v>
                </c:pt>
              </c:strCache>
            </c:strRef>
          </c:tx>
          <c:spPr>
            <a:ln w="28575" cap="rnd">
              <a:solidFill>
                <a:schemeClr val="accent4"/>
              </a:solidFill>
              <a:round/>
            </a:ln>
            <a:effectLst/>
          </c:spPr>
          <c:marker>
            <c:symbol val="none"/>
          </c:marker>
          <c:cat>
            <c:strRef>
              <c:f>'Materials renewable energy'!$A$51:$A$60</c:f>
              <c:strCache>
                <c:ptCount val="10"/>
                <c:pt idx="0">
                  <c:v>Copper</c:v>
                </c:pt>
                <c:pt idx="1">
                  <c:v>Nickel</c:v>
                </c:pt>
                <c:pt idx="2">
                  <c:v>Manganese</c:v>
                </c:pt>
                <c:pt idx="3">
                  <c:v>Cobalt</c:v>
                </c:pt>
                <c:pt idx="4">
                  <c:v>Chromium</c:v>
                </c:pt>
                <c:pt idx="5">
                  <c:v>Molybdenum</c:v>
                </c:pt>
                <c:pt idx="6">
                  <c:v>Zinc</c:v>
                </c:pt>
                <c:pt idx="7">
                  <c:v>Rare earths</c:v>
                </c:pt>
                <c:pt idx="8">
                  <c:v>Silicon</c:v>
                </c:pt>
                <c:pt idx="9">
                  <c:v>Others</c:v>
                </c:pt>
              </c:strCache>
            </c:strRef>
          </c:cat>
          <c:val>
            <c:numRef>
              <c:f>'Materials renewable energy'!$Q$51:$Q$60</c:f>
              <c:numCache>
                <c:formatCode>0.00</c:formatCode>
                <c:ptCount val="10"/>
                <c:pt idx="0">
                  <c:v>84.601034245804556</c:v>
                </c:pt>
                <c:pt idx="1">
                  <c:v>74.515534168707958</c:v>
                </c:pt>
                <c:pt idx="2">
                  <c:v>8.4825028837494045</c:v>
                </c:pt>
                <c:pt idx="3">
                  <c:v>0</c:v>
                </c:pt>
                <c:pt idx="4">
                  <c:v>125.7815784102593</c:v>
                </c:pt>
                <c:pt idx="5">
                  <c:v>4.0663633568248212</c:v>
                </c:pt>
                <c:pt idx="6">
                  <c:v>0</c:v>
                </c:pt>
                <c:pt idx="7">
                  <c:v>2.8717255344808058E-2</c:v>
                </c:pt>
                <c:pt idx="8">
                  <c:v>0</c:v>
                </c:pt>
                <c:pt idx="9">
                  <c:v>5.4149256678170081</c:v>
                </c:pt>
              </c:numCache>
            </c:numRef>
          </c:val>
          <c:smooth val="0"/>
          <c:extLst>
            <c:ext xmlns:c16="http://schemas.microsoft.com/office/drawing/2014/chart" uri="{C3380CC4-5D6E-409C-BE32-E72D297353CC}">
              <c16:uniqueId val="{00000003-6B6F-4B91-9F76-BF7543CA1A77}"/>
            </c:ext>
          </c:extLst>
        </c:ser>
        <c:ser>
          <c:idx val="4"/>
          <c:order val="4"/>
          <c:tx>
            <c:strRef>
              <c:f>'Materials renewable energy'!$R$24</c:f>
              <c:strCache>
                <c:ptCount val="1"/>
                <c:pt idx="0">
                  <c:v>Coal</c:v>
                </c:pt>
              </c:strCache>
            </c:strRef>
          </c:tx>
          <c:spPr>
            <a:ln w="28575" cap="rnd">
              <a:solidFill>
                <a:schemeClr val="accent5"/>
              </a:solidFill>
              <a:round/>
            </a:ln>
            <a:effectLst/>
          </c:spPr>
          <c:marker>
            <c:symbol val="none"/>
          </c:marker>
          <c:cat>
            <c:strRef>
              <c:f>'Materials renewable energy'!$A$51:$A$60</c:f>
              <c:strCache>
                <c:ptCount val="10"/>
                <c:pt idx="0">
                  <c:v>Copper</c:v>
                </c:pt>
                <c:pt idx="1">
                  <c:v>Nickel</c:v>
                </c:pt>
                <c:pt idx="2">
                  <c:v>Manganese</c:v>
                </c:pt>
                <c:pt idx="3">
                  <c:v>Cobalt</c:v>
                </c:pt>
                <c:pt idx="4">
                  <c:v>Chromium</c:v>
                </c:pt>
                <c:pt idx="5">
                  <c:v>Molybdenum</c:v>
                </c:pt>
                <c:pt idx="6">
                  <c:v>Zinc</c:v>
                </c:pt>
                <c:pt idx="7">
                  <c:v>Rare earths</c:v>
                </c:pt>
                <c:pt idx="8">
                  <c:v>Silicon</c:v>
                </c:pt>
                <c:pt idx="9">
                  <c:v>Others</c:v>
                </c:pt>
              </c:strCache>
            </c:strRef>
          </c:cat>
          <c:val>
            <c:numRef>
              <c:f>'Materials renewable energy'!$R$51:$R$60</c:f>
              <c:numCache>
                <c:formatCode>0.00</c:formatCode>
                <c:ptCount val="10"/>
                <c:pt idx="0">
                  <c:v>66.04968729305854</c:v>
                </c:pt>
                <c:pt idx="1">
                  <c:v>41.412579587640799</c:v>
                </c:pt>
                <c:pt idx="2">
                  <c:v>0.26592178449292259</c:v>
                </c:pt>
                <c:pt idx="3">
                  <c:v>11.570756523530065</c:v>
                </c:pt>
                <c:pt idx="4">
                  <c:v>17.661112037056956</c:v>
                </c:pt>
                <c:pt idx="5">
                  <c:v>3.805036333187068</c:v>
                </c:pt>
                <c:pt idx="6">
                  <c:v>0</c:v>
                </c:pt>
                <c:pt idx="7">
                  <c:v>0</c:v>
                </c:pt>
                <c:pt idx="8">
                  <c:v>0</c:v>
                </c:pt>
                <c:pt idx="9">
                  <c:v>1.9470299123779864</c:v>
                </c:pt>
              </c:numCache>
            </c:numRef>
          </c:val>
          <c:smooth val="0"/>
          <c:extLst>
            <c:ext xmlns:c16="http://schemas.microsoft.com/office/drawing/2014/chart" uri="{C3380CC4-5D6E-409C-BE32-E72D297353CC}">
              <c16:uniqueId val="{00000004-6B6F-4B91-9F76-BF7543CA1A77}"/>
            </c:ext>
          </c:extLst>
        </c:ser>
        <c:ser>
          <c:idx val="5"/>
          <c:order val="5"/>
          <c:tx>
            <c:strRef>
              <c:f>'Materials renewable energy'!$S$24</c:f>
              <c:strCache>
                <c:ptCount val="1"/>
                <c:pt idx="0">
                  <c:v>Natural gas</c:v>
                </c:pt>
              </c:strCache>
            </c:strRef>
          </c:tx>
          <c:spPr>
            <a:ln w="28575" cap="rnd">
              <a:solidFill>
                <a:schemeClr val="accent6"/>
              </a:solidFill>
              <a:round/>
            </a:ln>
            <a:effectLst/>
          </c:spPr>
          <c:marker>
            <c:symbol val="none"/>
          </c:marker>
          <c:cat>
            <c:strRef>
              <c:f>'Materials renewable energy'!$A$51:$A$60</c:f>
              <c:strCache>
                <c:ptCount val="10"/>
                <c:pt idx="0">
                  <c:v>Copper</c:v>
                </c:pt>
                <c:pt idx="1">
                  <c:v>Nickel</c:v>
                </c:pt>
                <c:pt idx="2">
                  <c:v>Manganese</c:v>
                </c:pt>
                <c:pt idx="3">
                  <c:v>Cobalt</c:v>
                </c:pt>
                <c:pt idx="4">
                  <c:v>Chromium</c:v>
                </c:pt>
                <c:pt idx="5">
                  <c:v>Molybdenum</c:v>
                </c:pt>
                <c:pt idx="6">
                  <c:v>Zinc</c:v>
                </c:pt>
                <c:pt idx="7">
                  <c:v>Rare earths</c:v>
                </c:pt>
                <c:pt idx="8">
                  <c:v>Silicon</c:v>
                </c:pt>
                <c:pt idx="9">
                  <c:v>Others</c:v>
                </c:pt>
              </c:strCache>
            </c:strRef>
          </c:cat>
          <c:val>
            <c:numRef>
              <c:f>'Materials renewable energy'!$S$51:$S$60</c:f>
              <c:numCache>
                <c:formatCode>0.00</c:formatCode>
                <c:ptCount val="10"/>
                <c:pt idx="0">
                  <c:v>63.17796175857773</c:v>
                </c:pt>
                <c:pt idx="1">
                  <c:v>0.90459354336145381</c:v>
                </c:pt>
                <c:pt idx="2">
                  <c:v>0</c:v>
                </c:pt>
                <c:pt idx="3">
                  <c:v>0.10338211924130901</c:v>
                </c:pt>
                <c:pt idx="4">
                  <c:v>2.7763842467360433</c:v>
                </c:pt>
                <c:pt idx="5">
                  <c:v>0</c:v>
                </c:pt>
                <c:pt idx="6">
                  <c:v>0</c:v>
                </c:pt>
                <c:pt idx="7">
                  <c:v>0</c:v>
                </c:pt>
                <c:pt idx="8">
                  <c:v>0</c:v>
                </c:pt>
                <c:pt idx="9">
                  <c:v>0</c:v>
                </c:pt>
              </c:numCache>
            </c:numRef>
          </c:val>
          <c:smooth val="0"/>
          <c:extLst>
            <c:ext xmlns:c16="http://schemas.microsoft.com/office/drawing/2014/chart" uri="{C3380CC4-5D6E-409C-BE32-E72D297353CC}">
              <c16:uniqueId val="{00000005-6B6F-4B91-9F76-BF7543CA1A77}"/>
            </c:ext>
          </c:extLst>
        </c:ser>
        <c:dLbls>
          <c:showLegendKey val="0"/>
          <c:showVal val="0"/>
          <c:showCatName val="0"/>
          <c:showSerName val="0"/>
          <c:showPercent val="0"/>
          <c:showBubbleSize val="0"/>
        </c:dLbls>
        <c:smooth val="0"/>
        <c:axId val="613540063"/>
        <c:axId val="572337487"/>
      </c:lineChart>
      <c:catAx>
        <c:axId val="613540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Material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337487"/>
        <c:crosses val="autoZero"/>
        <c:auto val="1"/>
        <c:lblAlgn val="ctr"/>
        <c:lblOffset val="100"/>
        <c:noMultiLvlLbl val="0"/>
      </c:catAx>
      <c:valAx>
        <c:axId val="5723374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Material</a:t>
                </a:r>
                <a:r>
                  <a:rPr lang="es-MX" baseline="0"/>
                  <a:t> requirements (tonnes)</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540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Material</a:t>
            </a:r>
            <a:r>
              <a:rPr lang="es-MX" baseline="0"/>
              <a:t> requirement for different technologies (tonnes)</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'Materials renewable energy'!$B$62</c:f>
              <c:strCache>
                <c:ptCount val="1"/>
                <c:pt idx="0">
                  <c:v>Copper</c:v>
                </c:pt>
              </c:strCache>
            </c:strRef>
          </c:tx>
          <c:spPr>
            <a:solidFill>
              <a:schemeClr val="accent1"/>
            </a:solidFill>
            <a:ln>
              <a:noFill/>
            </a:ln>
            <a:effectLst/>
          </c:spPr>
          <c:invertIfNegative val="0"/>
          <c:cat>
            <c:strRef>
              <c:f>'Materials renewable energy'!$A$63:$A$68</c:f>
              <c:strCache>
                <c:ptCount val="6"/>
                <c:pt idx="0">
                  <c:v>Offshore wind</c:v>
                </c:pt>
                <c:pt idx="1">
                  <c:v>Onshore wind</c:v>
                </c:pt>
                <c:pt idx="2">
                  <c:v>Solar PV</c:v>
                </c:pt>
                <c:pt idx="3">
                  <c:v>Nuclear</c:v>
                </c:pt>
                <c:pt idx="4">
                  <c:v>Coal</c:v>
                </c:pt>
                <c:pt idx="5">
                  <c:v>Natural gas</c:v>
                </c:pt>
              </c:strCache>
            </c:strRef>
          </c:cat>
          <c:val>
            <c:numRef>
              <c:f>'Materials renewable energy'!$B$63:$B$68</c:f>
              <c:numCache>
                <c:formatCode>0.00</c:formatCode>
                <c:ptCount val="6"/>
                <c:pt idx="0">
                  <c:v>287.17255344808058</c:v>
                </c:pt>
                <c:pt idx="1">
                  <c:v>104.10005062492921</c:v>
                </c:pt>
                <c:pt idx="2">
                  <c:v>101.30370788572853</c:v>
                </c:pt>
                <c:pt idx="3">
                  <c:v>52.875646403627833</c:v>
                </c:pt>
                <c:pt idx="4">
                  <c:v>41.281054558161578</c:v>
                </c:pt>
                <c:pt idx="5">
                  <c:v>39.486226099111079</c:v>
                </c:pt>
              </c:numCache>
            </c:numRef>
          </c:val>
          <c:extLst>
            <c:ext xmlns:c16="http://schemas.microsoft.com/office/drawing/2014/chart" uri="{C3380CC4-5D6E-409C-BE32-E72D297353CC}">
              <c16:uniqueId val="{00000000-095F-4BA7-A204-F393D5981DB8}"/>
            </c:ext>
          </c:extLst>
        </c:ser>
        <c:ser>
          <c:idx val="1"/>
          <c:order val="1"/>
          <c:tx>
            <c:strRef>
              <c:f>'Materials renewable energy'!$C$62</c:f>
              <c:strCache>
                <c:ptCount val="1"/>
                <c:pt idx="0">
                  <c:v>Nickel</c:v>
                </c:pt>
              </c:strCache>
            </c:strRef>
          </c:tx>
          <c:spPr>
            <a:solidFill>
              <a:schemeClr val="accent2"/>
            </a:solidFill>
            <a:ln>
              <a:noFill/>
            </a:ln>
            <a:effectLst/>
          </c:spPr>
          <c:invertIfNegative val="0"/>
          <c:cat>
            <c:strRef>
              <c:f>'Materials renewable energy'!$A$63:$A$68</c:f>
              <c:strCache>
                <c:ptCount val="6"/>
                <c:pt idx="0">
                  <c:v>Offshore wind</c:v>
                </c:pt>
                <c:pt idx="1">
                  <c:v>Onshore wind</c:v>
                </c:pt>
                <c:pt idx="2">
                  <c:v>Solar PV</c:v>
                </c:pt>
                <c:pt idx="3">
                  <c:v>Nuclear</c:v>
                </c:pt>
                <c:pt idx="4">
                  <c:v>Coal</c:v>
                </c:pt>
                <c:pt idx="5">
                  <c:v>Natural gas</c:v>
                </c:pt>
              </c:strCache>
            </c:strRef>
          </c:cat>
          <c:val>
            <c:numRef>
              <c:f>'Materials renewable energy'!$C$63:$C$68</c:f>
              <c:numCache>
                <c:formatCode>0.00</c:formatCode>
                <c:ptCount val="6"/>
                <c:pt idx="0">
                  <c:v>8.6151766034424178</c:v>
                </c:pt>
                <c:pt idx="1">
                  <c:v>14.484265664537565</c:v>
                </c:pt>
                <c:pt idx="2">
                  <c:v>4.6665539935313097E-2</c:v>
                </c:pt>
                <c:pt idx="3">
                  <c:v>46.572208855442469</c:v>
                </c:pt>
                <c:pt idx="4">
                  <c:v>25.8828622422755</c:v>
                </c:pt>
                <c:pt idx="5">
                  <c:v>0.56537096460090863</c:v>
                </c:pt>
              </c:numCache>
            </c:numRef>
          </c:val>
          <c:extLst>
            <c:ext xmlns:c16="http://schemas.microsoft.com/office/drawing/2014/chart" uri="{C3380CC4-5D6E-409C-BE32-E72D297353CC}">
              <c16:uniqueId val="{00000001-095F-4BA7-A204-F393D5981DB8}"/>
            </c:ext>
          </c:extLst>
        </c:ser>
        <c:ser>
          <c:idx val="2"/>
          <c:order val="2"/>
          <c:tx>
            <c:strRef>
              <c:f>'Materials renewable energy'!$D$62</c:f>
              <c:strCache>
                <c:ptCount val="1"/>
                <c:pt idx="0">
                  <c:v>Manganese</c:v>
                </c:pt>
              </c:strCache>
            </c:strRef>
          </c:tx>
          <c:spPr>
            <a:solidFill>
              <a:schemeClr val="accent3"/>
            </a:solidFill>
            <a:ln>
              <a:noFill/>
            </a:ln>
            <a:effectLst/>
          </c:spPr>
          <c:invertIfNegative val="0"/>
          <c:cat>
            <c:strRef>
              <c:f>'Materials renewable energy'!$A$63:$A$68</c:f>
              <c:strCache>
                <c:ptCount val="6"/>
                <c:pt idx="0">
                  <c:v>Offshore wind</c:v>
                </c:pt>
                <c:pt idx="1">
                  <c:v>Onshore wind</c:v>
                </c:pt>
                <c:pt idx="2">
                  <c:v>Solar PV</c:v>
                </c:pt>
                <c:pt idx="3">
                  <c:v>Nuclear</c:v>
                </c:pt>
                <c:pt idx="4">
                  <c:v>Coal</c:v>
                </c:pt>
                <c:pt idx="5">
                  <c:v>Natural gas</c:v>
                </c:pt>
              </c:strCache>
            </c:strRef>
          </c:cat>
          <c:val>
            <c:numRef>
              <c:f>'Materials renewable energy'!$D$63:$D$68</c:f>
              <c:numCache>
                <c:formatCode>0.00</c:formatCode>
                <c:ptCount val="6"/>
                <c:pt idx="0">
                  <c:v>28.358289652997954</c:v>
                </c:pt>
                <c:pt idx="1">
                  <c:v>27.999323961187855</c:v>
                </c:pt>
                <c:pt idx="2">
                  <c:v>0</c:v>
                </c:pt>
                <c:pt idx="3">
                  <c:v>5.3015643023433778</c:v>
                </c:pt>
                <c:pt idx="4">
                  <c:v>0.16620111530807663</c:v>
                </c:pt>
                <c:pt idx="5">
                  <c:v>0</c:v>
                </c:pt>
              </c:numCache>
            </c:numRef>
          </c:val>
          <c:extLst>
            <c:ext xmlns:c16="http://schemas.microsoft.com/office/drawing/2014/chart" uri="{C3380CC4-5D6E-409C-BE32-E72D297353CC}">
              <c16:uniqueId val="{00000002-095F-4BA7-A204-F393D5981DB8}"/>
            </c:ext>
          </c:extLst>
        </c:ser>
        <c:ser>
          <c:idx val="3"/>
          <c:order val="3"/>
          <c:tx>
            <c:strRef>
              <c:f>'Materials renewable energy'!$E$62</c:f>
              <c:strCache>
                <c:ptCount val="1"/>
                <c:pt idx="0">
                  <c:v>Cobalt</c:v>
                </c:pt>
              </c:strCache>
            </c:strRef>
          </c:tx>
          <c:spPr>
            <a:solidFill>
              <a:schemeClr val="accent4"/>
            </a:solidFill>
            <a:ln>
              <a:noFill/>
            </a:ln>
            <a:effectLst/>
          </c:spPr>
          <c:invertIfNegative val="0"/>
          <c:cat>
            <c:strRef>
              <c:f>'Materials renewable energy'!$A$63:$A$68</c:f>
              <c:strCache>
                <c:ptCount val="6"/>
                <c:pt idx="0">
                  <c:v>Offshore wind</c:v>
                </c:pt>
                <c:pt idx="1">
                  <c:v>Onshore wind</c:v>
                </c:pt>
                <c:pt idx="2">
                  <c:v>Solar PV</c:v>
                </c:pt>
                <c:pt idx="3">
                  <c:v>Nuclear</c:v>
                </c:pt>
                <c:pt idx="4">
                  <c:v>Coal</c:v>
                </c:pt>
                <c:pt idx="5">
                  <c:v>Natural gas</c:v>
                </c:pt>
              </c:strCache>
            </c:strRef>
          </c:cat>
          <c:val>
            <c:numRef>
              <c:f>'Materials renewable energy'!$E$63:$E$68</c:f>
              <c:numCache>
                <c:formatCode>0.00</c:formatCode>
                <c:ptCount val="6"/>
                <c:pt idx="0">
                  <c:v>0</c:v>
                </c:pt>
                <c:pt idx="1">
                  <c:v>0</c:v>
                </c:pt>
                <c:pt idx="2">
                  <c:v>0</c:v>
                </c:pt>
                <c:pt idx="3">
                  <c:v>0</c:v>
                </c:pt>
                <c:pt idx="4">
                  <c:v>7.2317228272062897</c:v>
                </c:pt>
                <c:pt idx="5">
                  <c:v>6.4613824525818125E-2</c:v>
                </c:pt>
              </c:numCache>
            </c:numRef>
          </c:val>
          <c:extLst>
            <c:ext xmlns:c16="http://schemas.microsoft.com/office/drawing/2014/chart" uri="{C3380CC4-5D6E-409C-BE32-E72D297353CC}">
              <c16:uniqueId val="{00000003-095F-4BA7-A204-F393D5981DB8}"/>
            </c:ext>
          </c:extLst>
        </c:ser>
        <c:ser>
          <c:idx val="4"/>
          <c:order val="4"/>
          <c:tx>
            <c:strRef>
              <c:f>'Materials renewable energy'!$F$62</c:f>
              <c:strCache>
                <c:ptCount val="1"/>
                <c:pt idx="0">
                  <c:v>Chromium</c:v>
                </c:pt>
              </c:strCache>
            </c:strRef>
          </c:tx>
          <c:spPr>
            <a:solidFill>
              <a:schemeClr val="accent5"/>
            </a:solidFill>
            <a:ln>
              <a:noFill/>
            </a:ln>
            <a:effectLst/>
          </c:spPr>
          <c:invertIfNegative val="0"/>
          <c:cat>
            <c:strRef>
              <c:f>'Materials renewable energy'!$A$63:$A$68</c:f>
              <c:strCache>
                <c:ptCount val="6"/>
                <c:pt idx="0">
                  <c:v>Offshore wind</c:v>
                </c:pt>
                <c:pt idx="1">
                  <c:v>Onshore wind</c:v>
                </c:pt>
                <c:pt idx="2">
                  <c:v>Solar PV</c:v>
                </c:pt>
                <c:pt idx="3">
                  <c:v>Nuclear</c:v>
                </c:pt>
                <c:pt idx="4">
                  <c:v>Coal</c:v>
                </c:pt>
                <c:pt idx="5">
                  <c:v>Natural gas</c:v>
                </c:pt>
              </c:strCache>
            </c:strRef>
          </c:cat>
          <c:val>
            <c:numRef>
              <c:f>'Materials renewable energy'!$F$63:$F$68</c:f>
              <c:numCache>
                <c:formatCode>0.00</c:formatCode>
                <c:ptCount val="6"/>
                <c:pt idx="0">
                  <c:v>18.845698820030286</c:v>
                </c:pt>
                <c:pt idx="1">
                  <c:v>16.871387515074733</c:v>
                </c:pt>
                <c:pt idx="2">
                  <c:v>0</c:v>
                </c:pt>
                <c:pt idx="3">
                  <c:v>78.613486506412059</c:v>
                </c:pt>
                <c:pt idx="4">
                  <c:v>11.038195023160597</c:v>
                </c:pt>
                <c:pt idx="5">
                  <c:v>1.7352401542100269</c:v>
                </c:pt>
              </c:numCache>
            </c:numRef>
          </c:val>
          <c:extLst>
            <c:ext xmlns:c16="http://schemas.microsoft.com/office/drawing/2014/chart" uri="{C3380CC4-5D6E-409C-BE32-E72D297353CC}">
              <c16:uniqueId val="{00000004-095F-4BA7-A204-F393D5981DB8}"/>
            </c:ext>
          </c:extLst>
        </c:ser>
        <c:ser>
          <c:idx val="5"/>
          <c:order val="5"/>
          <c:tx>
            <c:strRef>
              <c:f>'Materials renewable energy'!$G$62</c:f>
              <c:strCache>
                <c:ptCount val="1"/>
                <c:pt idx="0">
                  <c:v>Molybdenum</c:v>
                </c:pt>
              </c:strCache>
            </c:strRef>
          </c:tx>
          <c:spPr>
            <a:solidFill>
              <a:schemeClr val="accent6"/>
            </a:solidFill>
            <a:ln>
              <a:noFill/>
            </a:ln>
            <a:effectLst/>
          </c:spPr>
          <c:invertIfNegative val="0"/>
          <c:cat>
            <c:strRef>
              <c:f>'Materials renewable energy'!$A$63:$A$68</c:f>
              <c:strCache>
                <c:ptCount val="6"/>
                <c:pt idx="0">
                  <c:v>Offshore wind</c:v>
                </c:pt>
                <c:pt idx="1">
                  <c:v>Onshore wind</c:v>
                </c:pt>
                <c:pt idx="2">
                  <c:v>Solar PV</c:v>
                </c:pt>
                <c:pt idx="3">
                  <c:v>Nuclear</c:v>
                </c:pt>
                <c:pt idx="4">
                  <c:v>Coal</c:v>
                </c:pt>
                <c:pt idx="5">
                  <c:v>Natural gas</c:v>
                </c:pt>
              </c:strCache>
            </c:strRef>
          </c:cat>
          <c:val>
            <c:numRef>
              <c:f>'Materials renewable energy'!$G$63:$G$68</c:f>
              <c:numCache>
                <c:formatCode>0.00</c:formatCode>
                <c:ptCount val="6"/>
                <c:pt idx="0">
                  <c:v>3.9127260407300977</c:v>
                </c:pt>
                <c:pt idx="1">
                  <c:v>3.5537603489199974</c:v>
                </c:pt>
                <c:pt idx="2">
                  <c:v>0</c:v>
                </c:pt>
                <c:pt idx="3">
                  <c:v>2.541477098015513</c:v>
                </c:pt>
                <c:pt idx="4">
                  <c:v>2.3781477082419173</c:v>
                </c:pt>
                <c:pt idx="5">
                  <c:v>0</c:v>
                </c:pt>
              </c:numCache>
            </c:numRef>
          </c:val>
          <c:extLst>
            <c:ext xmlns:c16="http://schemas.microsoft.com/office/drawing/2014/chart" uri="{C3380CC4-5D6E-409C-BE32-E72D297353CC}">
              <c16:uniqueId val="{00000005-095F-4BA7-A204-F393D5981DB8}"/>
            </c:ext>
          </c:extLst>
        </c:ser>
        <c:ser>
          <c:idx val="6"/>
          <c:order val="6"/>
          <c:tx>
            <c:strRef>
              <c:f>'Materials renewable energy'!$H$62</c:f>
              <c:strCache>
                <c:ptCount val="1"/>
                <c:pt idx="0">
                  <c:v>Zinc</c:v>
                </c:pt>
              </c:strCache>
            </c:strRef>
          </c:tx>
          <c:spPr>
            <a:solidFill>
              <a:schemeClr val="accent1">
                <a:lumMod val="60000"/>
              </a:schemeClr>
            </a:solidFill>
            <a:ln>
              <a:noFill/>
            </a:ln>
            <a:effectLst/>
          </c:spPr>
          <c:invertIfNegative val="0"/>
          <c:cat>
            <c:strRef>
              <c:f>'Materials renewable energy'!$A$63:$A$68</c:f>
              <c:strCache>
                <c:ptCount val="6"/>
                <c:pt idx="0">
                  <c:v>Offshore wind</c:v>
                </c:pt>
                <c:pt idx="1">
                  <c:v>Onshore wind</c:v>
                </c:pt>
                <c:pt idx="2">
                  <c:v>Solar PV</c:v>
                </c:pt>
                <c:pt idx="3">
                  <c:v>Nuclear</c:v>
                </c:pt>
                <c:pt idx="4">
                  <c:v>Coal</c:v>
                </c:pt>
                <c:pt idx="5">
                  <c:v>Natural gas</c:v>
                </c:pt>
              </c:strCache>
            </c:strRef>
          </c:cat>
          <c:val>
            <c:numRef>
              <c:f>'Materials renewable energy'!$H$63:$H$68</c:f>
              <c:numCache>
                <c:formatCode>0.00</c:formatCode>
                <c:ptCount val="6"/>
                <c:pt idx="0">
                  <c:v>197.43113049555541</c:v>
                </c:pt>
                <c:pt idx="1">
                  <c:v>197.43113049555541</c:v>
                </c:pt>
                <c:pt idx="2">
                  <c:v>1.0765381097384921</c:v>
                </c:pt>
                <c:pt idx="3">
                  <c:v>0</c:v>
                </c:pt>
                <c:pt idx="4">
                  <c:v>0</c:v>
                </c:pt>
                <c:pt idx="5">
                  <c:v>0</c:v>
                </c:pt>
              </c:numCache>
            </c:numRef>
          </c:val>
          <c:extLst>
            <c:ext xmlns:c16="http://schemas.microsoft.com/office/drawing/2014/chart" uri="{C3380CC4-5D6E-409C-BE32-E72D297353CC}">
              <c16:uniqueId val="{00000006-095F-4BA7-A204-F393D5981DB8}"/>
            </c:ext>
          </c:extLst>
        </c:ser>
        <c:ser>
          <c:idx val="7"/>
          <c:order val="7"/>
          <c:tx>
            <c:strRef>
              <c:f>'Materials renewable energy'!$I$62</c:f>
              <c:strCache>
                <c:ptCount val="1"/>
                <c:pt idx="0">
                  <c:v>Rare earths</c:v>
                </c:pt>
              </c:strCache>
            </c:strRef>
          </c:tx>
          <c:spPr>
            <a:solidFill>
              <a:schemeClr val="accent2">
                <a:lumMod val="60000"/>
              </a:schemeClr>
            </a:solidFill>
            <a:ln>
              <a:noFill/>
            </a:ln>
            <a:effectLst/>
          </c:spPr>
          <c:invertIfNegative val="0"/>
          <c:cat>
            <c:strRef>
              <c:f>'Materials renewable energy'!$A$63:$A$68</c:f>
              <c:strCache>
                <c:ptCount val="6"/>
                <c:pt idx="0">
                  <c:v>Offshore wind</c:v>
                </c:pt>
                <c:pt idx="1">
                  <c:v>Onshore wind</c:v>
                </c:pt>
                <c:pt idx="2">
                  <c:v>Solar PV</c:v>
                </c:pt>
                <c:pt idx="3">
                  <c:v>Nuclear</c:v>
                </c:pt>
                <c:pt idx="4">
                  <c:v>Coal</c:v>
                </c:pt>
                <c:pt idx="5">
                  <c:v>Natural gas</c:v>
                </c:pt>
              </c:strCache>
            </c:strRef>
          </c:cat>
          <c:val>
            <c:numRef>
              <c:f>'Materials renewable energy'!$I$63:$I$68</c:f>
              <c:numCache>
                <c:formatCode>0.00</c:formatCode>
                <c:ptCount val="6"/>
                <c:pt idx="0">
                  <c:v>8.5792800342614068</c:v>
                </c:pt>
                <c:pt idx="1">
                  <c:v>0.50255196853414097</c:v>
                </c:pt>
                <c:pt idx="2">
                  <c:v>0</c:v>
                </c:pt>
                <c:pt idx="3">
                  <c:v>1.7948284590505036E-2</c:v>
                </c:pt>
                <c:pt idx="4">
                  <c:v>0</c:v>
                </c:pt>
                <c:pt idx="5">
                  <c:v>0</c:v>
                </c:pt>
              </c:numCache>
            </c:numRef>
          </c:val>
          <c:extLst>
            <c:ext xmlns:c16="http://schemas.microsoft.com/office/drawing/2014/chart" uri="{C3380CC4-5D6E-409C-BE32-E72D297353CC}">
              <c16:uniqueId val="{00000007-095F-4BA7-A204-F393D5981DB8}"/>
            </c:ext>
          </c:extLst>
        </c:ser>
        <c:ser>
          <c:idx val="8"/>
          <c:order val="8"/>
          <c:tx>
            <c:strRef>
              <c:f>'Materials renewable energy'!$J$62</c:f>
              <c:strCache>
                <c:ptCount val="1"/>
                <c:pt idx="0">
                  <c:v>Silicon</c:v>
                </c:pt>
              </c:strCache>
            </c:strRef>
          </c:tx>
          <c:spPr>
            <a:solidFill>
              <a:schemeClr val="accent3">
                <a:lumMod val="60000"/>
              </a:schemeClr>
            </a:solidFill>
            <a:ln>
              <a:noFill/>
            </a:ln>
            <a:effectLst/>
          </c:spPr>
          <c:invertIfNegative val="0"/>
          <c:cat>
            <c:strRef>
              <c:f>'Materials renewable energy'!$A$63:$A$68</c:f>
              <c:strCache>
                <c:ptCount val="6"/>
                <c:pt idx="0">
                  <c:v>Offshore wind</c:v>
                </c:pt>
                <c:pt idx="1">
                  <c:v>Onshore wind</c:v>
                </c:pt>
                <c:pt idx="2">
                  <c:v>Solar PV</c:v>
                </c:pt>
                <c:pt idx="3">
                  <c:v>Nuclear</c:v>
                </c:pt>
                <c:pt idx="4">
                  <c:v>Coal</c:v>
                </c:pt>
                <c:pt idx="5">
                  <c:v>Natural gas</c:v>
                </c:pt>
              </c:strCache>
            </c:strRef>
          </c:cat>
          <c:val>
            <c:numRef>
              <c:f>'Materials renewable energy'!$J$63:$J$68</c:f>
              <c:numCache>
                <c:formatCode>0.00</c:formatCode>
                <c:ptCount val="6"/>
                <c:pt idx="0">
                  <c:v>0</c:v>
                </c:pt>
                <c:pt idx="1">
                  <c:v>0</c:v>
                </c:pt>
                <c:pt idx="2">
                  <c:v>141.7304240973821</c:v>
                </c:pt>
                <c:pt idx="3">
                  <c:v>0</c:v>
                </c:pt>
                <c:pt idx="4">
                  <c:v>0</c:v>
                </c:pt>
                <c:pt idx="5">
                  <c:v>0</c:v>
                </c:pt>
              </c:numCache>
            </c:numRef>
          </c:val>
          <c:extLst>
            <c:ext xmlns:c16="http://schemas.microsoft.com/office/drawing/2014/chart" uri="{C3380CC4-5D6E-409C-BE32-E72D297353CC}">
              <c16:uniqueId val="{00000008-095F-4BA7-A204-F393D5981DB8}"/>
            </c:ext>
          </c:extLst>
        </c:ser>
        <c:ser>
          <c:idx val="9"/>
          <c:order val="9"/>
          <c:tx>
            <c:strRef>
              <c:f>'Materials renewable energy'!$K$62</c:f>
              <c:strCache>
                <c:ptCount val="1"/>
                <c:pt idx="0">
                  <c:v>Others</c:v>
                </c:pt>
              </c:strCache>
            </c:strRef>
          </c:tx>
          <c:spPr>
            <a:solidFill>
              <a:schemeClr val="accent4">
                <a:lumMod val="60000"/>
              </a:schemeClr>
            </a:solidFill>
            <a:ln>
              <a:noFill/>
            </a:ln>
            <a:effectLst/>
          </c:spPr>
          <c:invertIfNegative val="0"/>
          <c:cat>
            <c:strRef>
              <c:f>'Materials renewable energy'!$A$63:$A$68</c:f>
              <c:strCache>
                <c:ptCount val="6"/>
                <c:pt idx="0">
                  <c:v>Offshore wind</c:v>
                </c:pt>
                <c:pt idx="1">
                  <c:v>Onshore wind</c:v>
                </c:pt>
                <c:pt idx="2">
                  <c:v>Solar PV</c:v>
                </c:pt>
                <c:pt idx="3">
                  <c:v>Nuclear</c:v>
                </c:pt>
                <c:pt idx="4">
                  <c:v>Coal</c:v>
                </c:pt>
                <c:pt idx="5">
                  <c:v>Natural gas</c:v>
                </c:pt>
              </c:strCache>
            </c:strRef>
          </c:cat>
          <c:val>
            <c:numRef>
              <c:f>'Materials renewable energy'!$K$63:$K$68</c:f>
              <c:numCache>
                <c:formatCode>0.00</c:formatCode>
                <c:ptCount val="6"/>
                <c:pt idx="0">
                  <c:v>0.21537941508606043</c:v>
                </c:pt>
                <c:pt idx="1">
                  <c:v>0</c:v>
                </c:pt>
                <c:pt idx="2">
                  <c:v>1.146895385333272</c:v>
                </c:pt>
                <c:pt idx="3">
                  <c:v>3.3843285423856297</c:v>
                </c:pt>
                <c:pt idx="4">
                  <c:v>1.2168936952362415</c:v>
                </c:pt>
                <c:pt idx="5">
                  <c:v>0</c:v>
                </c:pt>
              </c:numCache>
            </c:numRef>
          </c:val>
          <c:extLst>
            <c:ext xmlns:c16="http://schemas.microsoft.com/office/drawing/2014/chart" uri="{C3380CC4-5D6E-409C-BE32-E72D297353CC}">
              <c16:uniqueId val="{00000009-095F-4BA7-A204-F393D5981DB8}"/>
            </c:ext>
          </c:extLst>
        </c:ser>
        <c:dLbls>
          <c:showLegendKey val="0"/>
          <c:showVal val="0"/>
          <c:showCatName val="0"/>
          <c:showSerName val="0"/>
          <c:showPercent val="0"/>
          <c:showBubbleSize val="0"/>
        </c:dLbls>
        <c:gapWidth val="150"/>
        <c:overlap val="100"/>
        <c:axId val="1413125168"/>
        <c:axId val="1413413088"/>
      </c:barChart>
      <c:catAx>
        <c:axId val="141312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413088"/>
        <c:crosses val="autoZero"/>
        <c:auto val="1"/>
        <c:lblAlgn val="ctr"/>
        <c:lblOffset val="100"/>
        <c:noMultiLvlLbl val="0"/>
      </c:catAx>
      <c:valAx>
        <c:axId val="14134130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125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Material</a:t>
            </a:r>
            <a:r>
              <a:rPr lang="es-MX" baseline="0"/>
              <a:t> requirement for different technologies (tonnes)</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'Materials renewable energy'!$N$62</c:f>
              <c:strCache>
                <c:ptCount val="1"/>
                <c:pt idx="0">
                  <c:v>Copper</c:v>
                </c:pt>
              </c:strCache>
            </c:strRef>
          </c:tx>
          <c:spPr>
            <a:solidFill>
              <a:schemeClr val="accent1"/>
            </a:solidFill>
            <a:ln>
              <a:noFill/>
            </a:ln>
            <a:effectLst/>
          </c:spPr>
          <c:invertIfNegative val="0"/>
          <c:cat>
            <c:strRef>
              <c:f>'Materials renewable energy'!$A$63:$A$68</c:f>
              <c:strCache>
                <c:ptCount val="6"/>
                <c:pt idx="0">
                  <c:v>Offshore wind</c:v>
                </c:pt>
                <c:pt idx="1">
                  <c:v>Onshore wind</c:v>
                </c:pt>
                <c:pt idx="2">
                  <c:v>Solar PV</c:v>
                </c:pt>
                <c:pt idx="3">
                  <c:v>Nuclear</c:v>
                </c:pt>
                <c:pt idx="4">
                  <c:v>Coal</c:v>
                </c:pt>
                <c:pt idx="5">
                  <c:v>Natural gas</c:v>
                </c:pt>
              </c:strCache>
            </c:strRef>
          </c:cat>
          <c:val>
            <c:numRef>
              <c:f>'Materials renewable energy'!$N$63:$N$68</c:f>
              <c:numCache>
                <c:formatCode>0.00</c:formatCode>
                <c:ptCount val="6"/>
                <c:pt idx="0">
                  <c:v>459.47608551692895</c:v>
                </c:pt>
                <c:pt idx="1">
                  <c:v>166.56008099988674</c:v>
                </c:pt>
                <c:pt idx="2">
                  <c:v>162.08593261716564</c:v>
                </c:pt>
                <c:pt idx="3">
                  <c:v>84.601034245804556</c:v>
                </c:pt>
                <c:pt idx="4">
                  <c:v>66.04968729305854</c:v>
                </c:pt>
                <c:pt idx="5">
                  <c:v>63.17796175857773</c:v>
                </c:pt>
              </c:numCache>
            </c:numRef>
          </c:val>
          <c:extLst>
            <c:ext xmlns:c16="http://schemas.microsoft.com/office/drawing/2014/chart" uri="{C3380CC4-5D6E-409C-BE32-E72D297353CC}">
              <c16:uniqueId val="{00000000-80FF-4D26-B248-C4FC2806800F}"/>
            </c:ext>
          </c:extLst>
        </c:ser>
        <c:ser>
          <c:idx val="1"/>
          <c:order val="1"/>
          <c:tx>
            <c:strRef>
              <c:f>'Materials renewable energy'!$O$62</c:f>
              <c:strCache>
                <c:ptCount val="1"/>
                <c:pt idx="0">
                  <c:v>Nickel</c:v>
                </c:pt>
              </c:strCache>
            </c:strRef>
          </c:tx>
          <c:spPr>
            <a:solidFill>
              <a:schemeClr val="accent2"/>
            </a:solidFill>
            <a:ln>
              <a:noFill/>
            </a:ln>
            <a:effectLst/>
          </c:spPr>
          <c:invertIfNegative val="0"/>
          <c:cat>
            <c:strRef>
              <c:f>'Materials renewable energy'!$A$63:$A$68</c:f>
              <c:strCache>
                <c:ptCount val="6"/>
                <c:pt idx="0">
                  <c:v>Offshore wind</c:v>
                </c:pt>
                <c:pt idx="1">
                  <c:v>Onshore wind</c:v>
                </c:pt>
                <c:pt idx="2">
                  <c:v>Solar PV</c:v>
                </c:pt>
                <c:pt idx="3">
                  <c:v>Nuclear</c:v>
                </c:pt>
                <c:pt idx="4">
                  <c:v>Coal</c:v>
                </c:pt>
                <c:pt idx="5">
                  <c:v>Natural gas</c:v>
                </c:pt>
              </c:strCache>
            </c:strRef>
          </c:cat>
          <c:val>
            <c:numRef>
              <c:f>'Materials renewable energy'!$O$63:$O$68</c:f>
              <c:numCache>
                <c:formatCode>0.00</c:formatCode>
                <c:ptCount val="6"/>
                <c:pt idx="0">
                  <c:v>13.784282565507869</c:v>
                </c:pt>
                <c:pt idx="1">
                  <c:v>23.174825063260105</c:v>
                </c:pt>
                <c:pt idx="2">
                  <c:v>7.4664863896500955E-2</c:v>
                </c:pt>
                <c:pt idx="3">
                  <c:v>74.515534168707958</c:v>
                </c:pt>
                <c:pt idx="4">
                  <c:v>41.412579587640799</c:v>
                </c:pt>
                <c:pt idx="5">
                  <c:v>0.90459354336145381</c:v>
                </c:pt>
              </c:numCache>
            </c:numRef>
          </c:val>
          <c:extLst>
            <c:ext xmlns:c16="http://schemas.microsoft.com/office/drawing/2014/chart" uri="{C3380CC4-5D6E-409C-BE32-E72D297353CC}">
              <c16:uniqueId val="{00000001-80FF-4D26-B248-C4FC2806800F}"/>
            </c:ext>
          </c:extLst>
        </c:ser>
        <c:ser>
          <c:idx val="2"/>
          <c:order val="2"/>
          <c:tx>
            <c:strRef>
              <c:f>'Materials renewable energy'!$P$62</c:f>
              <c:strCache>
                <c:ptCount val="1"/>
                <c:pt idx="0">
                  <c:v>Manganese</c:v>
                </c:pt>
              </c:strCache>
            </c:strRef>
          </c:tx>
          <c:spPr>
            <a:solidFill>
              <a:schemeClr val="accent3"/>
            </a:solidFill>
            <a:ln>
              <a:noFill/>
            </a:ln>
            <a:effectLst/>
          </c:spPr>
          <c:invertIfNegative val="0"/>
          <c:cat>
            <c:strRef>
              <c:f>'Materials renewable energy'!$A$63:$A$68</c:f>
              <c:strCache>
                <c:ptCount val="6"/>
                <c:pt idx="0">
                  <c:v>Offshore wind</c:v>
                </c:pt>
                <c:pt idx="1">
                  <c:v>Onshore wind</c:v>
                </c:pt>
                <c:pt idx="2">
                  <c:v>Solar PV</c:v>
                </c:pt>
                <c:pt idx="3">
                  <c:v>Nuclear</c:v>
                </c:pt>
                <c:pt idx="4">
                  <c:v>Coal</c:v>
                </c:pt>
                <c:pt idx="5">
                  <c:v>Natural gas</c:v>
                </c:pt>
              </c:strCache>
            </c:strRef>
          </c:cat>
          <c:val>
            <c:numRef>
              <c:f>'Materials renewable energy'!$P$63:$P$68</c:f>
              <c:numCache>
                <c:formatCode>0.00</c:formatCode>
                <c:ptCount val="6"/>
                <c:pt idx="0">
                  <c:v>45.373263444796734</c:v>
                </c:pt>
                <c:pt idx="1">
                  <c:v>44.798918337900567</c:v>
                </c:pt>
                <c:pt idx="2">
                  <c:v>0</c:v>
                </c:pt>
                <c:pt idx="3">
                  <c:v>8.4825028837494045</c:v>
                </c:pt>
                <c:pt idx="4">
                  <c:v>0.26592178449292259</c:v>
                </c:pt>
                <c:pt idx="5">
                  <c:v>0</c:v>
                </c:pt>
              </c:numCache>
            </c:numRef>
          </c:val>
          <c:extLst>
            <c:ext xmlns:c16="http://schemas.microsoft.com/office/drawing/2014/chart" uri="{C3380CC4-5D6E-409C-BE32-E72D297353CC}">
              <c16:uniqueId val="{00000002-80FF-4D26-B248-C4FC2806800F}"/>
            </c:ext>
          </c:extLst>
        </c:ser>
        <c:ser>
          <c:idx val="3"/>
          <c:order val="3"/>
          <c:tx>
            <c:strRef>
              <c:f>'Materials renewable energy'!$Q$62</c:f>
              <c:strCache>
                <c:ptCount val="1"/>
                <c:pt idx="0">
                  <c:v>Cobalt</c:v>
                </c:pt>
              </c:strCache>
            </c:strRef>
          </c:tx>
          <c:spPr>
            <a:solidFill>
              <a:schemeClr val="accent4"/>
            </a:solidFill>
            <a:ln>
              <a:noFill/>
            </a:ln>
            <a:effectLst/>
          </c:spPr>
          <c:invertIfNegative val="0"/>
          <c:cat>
            <c:strRef>
              <c:f>'Materials renewable energy'!$A$63:$A$68</c:f>
              <c:strCache>
                <c:ptCount val="6"/>
                <c:pt idx="0">
                  <c:v>Offshore wind</c:v>
                </c:pt>
                <c:pt idx="1">
                  <c:v>Onshore wind</c:v>
                </c:pt>
                <c:pt idx="2">
                  <c:v>Solar PV</c:v>
                </c:pt>
                <c:pt idx="3">
                  <c:v>Nuclear</c:v>
                </c:pt>
                <c:pt idx="4">
                  <c:v>Coal</c:v>
                </c:pt>
                <c:pt idx="5">
                  <c:v>Natural gas</c:v>
                </c:pt>
              </c:strCache>
            </c:strRef>
          </c:cat>
          <c:val>
            <c:numRef>
              <c:f>'Materials renewable energy'!$Q$63:$Q$68</c:f>
              <c:numCache>
                <c:formatCode>0.00</c:formatCode>
                <c:ptCount val="6"/>
                <c:pt idx="0">
                  <c:v>0</c:v>
                </c:pt>
                <c:pt idx="1">
                  <c:v>0</c:v>
                </c:pt>
                <c:pt idx="2">
                  <c:v>0</c:v>
                </c:pt>
                <c:pt idx="3">
                  <c:v>0</c:v>
                </c:pt>
                <c:pt idx="4">
                  <c:v>11.570756523530065</c:v>
                </c:pt>
                <c:pt idx="5">
                  <c:v>0.10338211924130901</c:v>
                </c:pt>
              </c:numCache>
            </c:numRef>
          </c:val>
          <c:extLst>
            <c:ext xmlns:c16="http://schemas.microsoft.com/office/drawing/2014/chart" uri="{C3380CC4-5D6E-409C-BE32-E72D297353CC}">
              <c16:uniqueId val="{00000003-80FF-4D26-B248-C4FC2806800F}"/>
            </c:ext>
          </c:extLst>
        </c:ser>
        <c:ser>
          <c:idx val="4"/>
          <c:order val="4"/>
          <c:tx>
            <c:strRef>
              <c:f>'Materials renewable energy'!$R$62</c:f>
              <c:strCache>
                <c:ptCount val="1"/>
                <c:pt idx="0">
                  <c:v>Chromium</c:v>
                </c:pt>
              </c:strCache>
            </c:strRef>
          </c:tx>
          <c:spPr>
            <a:solidFill>
              <a:schemeClr val="accent5"/>
            </a:solidFill>
            <a:ln>
              <a:noFill/>
            </a:ln>
            <a:effectLst/>
          </c:spPr>
          <c:invertIfNegative val="0"/>
          <c:cat>
            <c:strRef>
              <c:f>'Materials renewable energy'!$A$63:$A$68</c:f>
              <c:strCache>
                <c:ptCount val="6"/>
                <c:pt idx="0">
                  <c:v>Offshore wind</c:v>
                </c:pt>
                <c:pt idx="1">
                  <c:v>Onshore wind</c:v>
                </c:pt>
                <c:pt idx="2">
                  <c:v>Solar PV</c:v>
                </c:pt>
                <c:pt idx="3">
                  <c:v>Nuclear</c:v>
                </c:pt>
                <c:pt idx="4">
                  <c:v>Coal</c:v>
                </c:pt>
                <c:pt idx="5">
                  <c:v>Natural gas</c:v>
                </c:pt>
              </c:strCache>
            </c:strRef>
          </c:cat>
          <c:val>
            <c:numRef>
              <c:f>'Materials renewable energy'!$R$63:$R$68</c:f>
              <c:numCache>
                <c:formatCode>0.00</c:formatCode>
                <c:ptCount val="6"/>
                <c:pt idx="0">
                  <c:v>30.15311811204846</c:v>
                </c:pt>
                <c:pt idx="1">
                  <c:v>26.994220024119574</c:v>
                </c:pt>
                <c:pt idx="2">
                  <c:v>0</c:v>
                </c:pt>
                <c:pt idx="3">
                  <c:v>125.7815784102593</c:v>
                </c:pt>
                <c:pt idx="4">
                  <c:v>17.661112037056956</c:v>
                </c:pt>
                <c:pt idx="5">
                  <c:v>2.7763842467360433</c:v>
                </c:pt>
              </c:numCache>
            </c:numRef>
          </c:val>
          <c:extLst>
            <c:ext xmlns:c16="http://schemas.microsoft.com/office/drawing/2014/chart" uri="{C3380CC4-5D6E-409C-BE32-E72D297353CC}">
              <c16:uniqueId val="{00000004-80FF-4D26-B248-C4FC2806800F}"/>
            </c:ext>
          </c:extLst>
        </c:ser>
        <c:ser>
          <c:idx val="5"/>
          <c:order val="5"/>
          <c:tx>
            <c:strRef>
              <c:f>'Materials renewable energy'!$S$62</c:f>
              <c:strCache>
                <c:ptCount val="1"/>
                <c:pt idx="0">
                  <c:v>Molybdenum</c:v>
                </c:pt>
              </c:strCache>
            </c:strRef>
          </c:tx>
          <c:spPr>
            <a:solidFill>
              <a:schemeClr val="accent6"/>
            </a:solidFill>
            <a:ln>
              <a:noFill/>
            </a:ln>
            <a:effectLst/>
          </c:spPr>
          <c:invertIfNegative val="0"/>
          <c:cat>
            <c:strRef>
              <c:f>'Materials renewable energy'!$A$63:$A$68</c:f>
              <c:strCache>
                <c:ptCount val="6"/>
                <c:pt idx="0">
                  <c:v>Offshore wind</c:v>
                </c:pt>
                <c:pt idx="1">
                  <c:v>Onshore wind</c:v>
                </c:pt>
                <c:pt idx="2">
                  <c:v>Solar PV</c:v>
                </c:pt>
                <c:pt idx="3">
                  <c:v>Nuclear</c:v>
                </c:pt>
                <c:pt idx="4">
                  <c:v>Coal</c:v>
                </c:pt>
                <c:pt idx="5">
                  <c:v>Natural gas</c:v>
                </c:pt>
              </c:strCache>
            </c:strRef>
          </c:cat>
          <c:val>
            <c:numRef>
              <c:f>'Materials renewable energy'!$S$63:$S$68</c:f>
              <c:numCache>
                <c:formatCode>0.00</c:formatCode>
                <c:ptCount val="6"/>
                <c:pt idx="0">
                  <c:v>6.2603616651681566</c:v>
                </c:pt>
                <c:pt idx="1">
                  <c:v>5.6860165582719953</c:v>
                </c:pt>
                <c:pt idx="2">
                  <c:v>0</c:v>
                </c:pt>
                <c:pt idx="3">
                  <c:v>4.0663633568248212</c:v>
                </c:pt>
                <c:pt idx="4">
                  <c:v>3.805036333187068</c:v>
                </c:pt>
                <c:pt idx="5">
                  <c:v>0</c:v>
                </c:pt>
              </c:numCache>
            </c:numRef>
          </c:val>
          <c:extLst>
            <c:ext xmlns:c16="http://schemas.microsoft.com/office/drawing/2014/chart" uri="{C3380CC4-5D6E-409C-BE32-E72D297353CC}">
              <c16:uniqueId val="{00000005-80FF-4D26-B248-C4FC2806800F}"/>
            </c:ext>
          </c:extLst>
        </c:ser>
        <c:ser>
          <c:idx val="6"/>
          <c:order val="6"/>
          <c:tx>
            <c:strRef>
              <c:f>'Materials renewable energy'!$T$62</c:f>
              <c:strCache>
                <c:ptCount val="1"/>
                <c:pt idx="0">
                  <c:v>Zinc</c:v>
                </c:pt>
              </c:strCache>
            </c:strRef>
          </c:tx>
          <c:spPr>
            <a:solidFill>
              <a:schemeClr val="accent1">
                <a:lumMod val="60000"/>
              </a:schemeClr>
            </a:solidFill>
            <a:ln>
              <a:noFill/>
            </a:ln>
            <a:effectLst/>
          </c:spPr>
          <c:invertIfNegative val="0"/>
          <c:cat>
            <c:strRef>
              <c:f>'Materials renewable energy'!$A$63:$A$68</c:f>
              <c:strCache>
                <c:ptCount val="6"/>
                <c:pt idx="0">
                  <c:v>Offshore wind</c:v>
                </c:pt>
                <c:pt idx="1">
                  <c:v>Onshore wind</c:v>
                </c:pt>
                <c:pt idx="2">
                  <c:v>Solar PV</c:v>
                </c:pt>
                <c:pt idx="3">
                  <c:v>Nuclear</c:v>
                </c:pt>
                <c:pt idx="4">
                  <c:v>Coal</c:v>
                </c:pt>
                <c:pt idx="5">
                  <c:v>Natural gas</c:v>
                </c:pt>
              </c:strCache>
            </c:strRef>
          </c:cat>
          <c:val>
            <c:numRef>
              <c:f>'Materials renewable energy'!$T$63:$T$68</c:f>
              <c:numCache>
                <c:formatCode>0.00</c:formatCode>
                <c:ptCount val="6"/>
                <c:pt idx="0">
                  <c:v>315.88980879288863</c:v>
                </c:pt>
                <c:pt idx="1">
                  <c:v>315.88980879288863</c:v>
                </c:pt>
                <c:pt idx="2">
                  <c:v>1.7224609755815872</c:v>
                </c:pt>
                <c:pt idx="3">
                  <c:v>0</c:v>
                </c:pt>
                <c:pt idx="4">
                  <c:v>0</c:v>
                </c:pt>
                <c:pt idx="5">
                  <c:v>0</c:v>
                </c:pt>
              </c:numCache>
            </c:numRef>
          </c:val>
          <c:extLst>
            <c:ext xmlns:c16="http://schemas.microsoft.com/office/drawing/2014/chart" uri="{C3380CC4-5D6E-409C-BE32-E72D297353CC}">
              <c16:uniqueId val="{00000006-80FF-4D26-B248-C4FC2806800F}"/>
            </c:ext>
          </c:extLst>
        </c:ser>
        <c:ser>
          <c:idx val="7"/>
          <c:order val="7"/>
          <c:tx>
            <c:strRef>
              <c:f>'Materials renewable energy'!$U$62</c:f>
              <c:strCache>
                <c:ptCount val="1"/>
                <c:pt idx="0">
                  <c:v>Rare earths</c:v>
                </c:pt>
              </c:strCache>
            </c:strRef>
          </c:tx>
          <c:spPr>
            <a:solidFill>
              <a:schemeClr val="accent2">
                <a:lumMod val="60000"/>
              </a:schemeClr>
            </a:solidFill>
            <a:ln>
              <a:noFill/>
            </a:ln>
            <a:effectLst/>
          </c:spPr>
          <c:invertIfNegative val="0"/>
          <c:cat>
            <c:strRef>
              <c:f>'Materials renewable energy'!$A$63:$A$68</c:f>
              <c:strCache>
                <c:ptCount val="6"/>
                <c:pt idx="0">
                  <c:v>Offshore wind</c:v>
                </c:pt>
                <c:pt idx="1">
                  <c:v>Onshore wind</c:v>
                </c:pt>
                <c:pt idx="2">
                  <c:v>Solar PV</c:v>
                </c:pt>
                <c:pt idx="3">
                  <c:v>Nuclear</c:v>
                </c:pt>
                <c:pt idx="4">
                  <c:v>Coal</c:v>
                </c:pt>
                <c:pt idx="5">
                  <c:v>Natural gas</c:v>
                </c:pt>
              </c:strCache>
            </c:strRef>
          </c:cat>
          <c:val>
            <c:numRef>
              <c:f>'Materials renewable energy'!$U$63:$U$68</c:f>
              <c:numCache>
                <c:formatCode>0.00</c:formatCode>
                <c:ptCount val="6"/>
                <c:pt idx="0">
                  <c:v>13.726848054818252</c:v>
                </c:pt>
                <c:pt idx="1">
                  <c:v>0.80408314965462568</c:v>
                </c:pt>
                <c:pt idx="2">
                  <c:v>0</c:v>
                </c:pt>
                <c:pt idx="3">
                  <c:v>2.8717255344808058E-2</c:v>
                </c:pt>
                <c:pt idx="4">
                  <c:v>0</c:v>
                </c:pt>
                <c:pt idx="5">
                  <c:v>0</c:v>
                </c:pt>
              </c:numCache>
            </c:numRef>
          </c:val>
          <c:extLst>
            <c:ext xmlns:c16="http://schemas.microsoft.com/office/drawing/2014/chart" uri="{C3380CC4-5D6E-409C-BE32-E72D297353CC}">
              <c16:uniqueId val="{00000007-80FF-4D26-B248-C4FC2806800F}"/>
            </c:ext>
          </c:extLst>
        </c:ser>
        <c:ser>
          <c:idx val="8"/>
          <c:order val="8"/>
          <c:tx>
            <c:strRef>
              <c:f>'Materials renewable energy'!$V$62</c:f>
              <c:strCache>
                <c:ptCount val="1"/>
                <c:pt idx="0">
                  <c:v>Silicon</c:v>
                </c:pt>
              </c:strCache>
            </c:strRef>
          </c:tx>
          <c:spPr>
            <a:solidFill>
              <a:schemeClr val="accent3">
                <a:lumMod val="60000"/>
              </a:schemeClr>
            </a:solidFill>
            <a:ln>
              <a:noFill/>
            </a:ln>
            <a:effectLst/>
          </c:spPr>
          <c:invertIfNegative val="0"/>
          <c:cat>
            <c:strRef>
              <c:f>'Materials renewable energy'!$A$63:$A$68</c:f>
              <c:strCache>
                <c:ptCount val="6"/>
                <c:pt idx="0">
                  <c:v>Offshore wind</c:v>
                </c:pt>
                <c:pt idx="1">
                  <c:v>Onshore wind</c:v>
                </c:pt>
                <c:pt idx="2">
                  <c:v>Solar PV</c:v>
                </c:pt>
                <c:pt idx="3">
                  <c:v>Nuclear</c:v>
                </c:pt>
                <c:pt idx="4">
                  <c:v>Coal</c:v>
                </c:pt>
                <c:pt idx="5">
                  <c:v>Natural gas</c:v>
                </c:pt>
              </c:strCache>
            </c:strRef>
          </c:cat>
          <c:val>
            <c:numRef>
              <c:f>'Materials renewable energy'!$V$63:$V$68</c:f>
              <c:numCache>
                <c:formatCode>0.00</c:formatCode>
                <c:ptCount val="6"/>
                <c:pt idx="0">
                  <c:v>0</c:v>
                </c:pt>
                <c:pt idx="1">
                  <c:v>0</c:v>
                </c:pt>
                <c:pt idx="2">
                  <c:v>226.76867855581131</c:v>
                </c:pt>
                <c:pt idx="3">
                  <c:v>0</c:v>
                </c:pt>
                <c:pt idx="4">
                  <c:v>0</c:v>
                </c:pt>
                <c:pt idx="5">
                  <c:v>0</c:v>
                </c:pt>
              </c:numCache>
            </c:numRef>
          </c:val>
          <c:extLst>
            <c:ext xmlns:c16="http://schemas.microsoft.com/office/drawing/2014/chart" uri="{C3380CC4-5D6E-409C-BE32-E72D297353CC}">
              <c16:uniqueId val="{00000008-80FF-4D26-B248-C4FC2806800F}"/>
            </c:ext>
          </c:extLst>
        </c:ser>
        <c:ser>
          <c:idx val="9"/>
          <c:order val="9"/>
          <c:tx>
            <c:strRef>
              <c:f>'Materials renewable energy'!$W$62</c:f>
              <c:strCache>
                <c:ptCount val="1"/>
                <c:pt idx="0">
                  <c:v>Others</c:v>
                </c:pt>
              </c:strCache>
            </c:strRef>
          </c:tx>
          <c:spPr>
            <a:solidFill>
              <a:schemeClr val="accent4">
                <a:lumMod val="60000"/>
              </a:schemeClr>
            </a:solidFill>
            <a:ln>
              <a:noFill/>
            </a:ln>
            <a:effectLst/>
          </c:spPr>
          <c:invertIfNegative val="0"/>
          <c:cat>
            <c:strRef>
              <c:f>'Materials renewable energy'!$A$63:$A$68</c:f>
              <c:strCache>
                <c:ptCount val="6"/>
                <c:pt idx="0">
                  <c:v>Offshore wind</c:v>
                </c:pt>
                <c:pt idx="1">
                  <c:v>Onshore wind</c:v>
                </c:pt>
                <c:pt idx="2">
                  <c:v>Solar PV</c:v>
                </c:pt>
                <c:pt idx="3">
                  <c:v>Nuclear</c:v>
                </c:pt>
                <c:pt idx="4">
                  <c:v>Coal</c:v>
                </c:pt>
                <c:pt idx="5">
                  <c:v>Natural gas</c:v>
                </c:pt>
              </c:strCache>
            </c:strRef>
          </c:cat>
          <c:val>
            <c:numRef>
              <c:f>'Materials renewable energy'!$W$63:$W$68</c:f>
              <c:numCache>
                <c:formatCode>0.00</c:formatCode>
                <c:ptCount val="6"/>
                <c:pt idx="0">
                  <c:v>0.34460706413769676</c:v>
                </c:pt>
                <c:pt idx="1">
                  <c:v>0</c:v>
                </c:pt>
                <c:pt idx="2">
                  <c:v>1.8350326165332349</c:v>
                </c:pt>
                <c:pt idx="3">
                  <c:v>5.4149256678170081</c:v>
                </c:pt>
                <c:pt idx="4">
                  <c:v>1.9470299123779864</c:v>
                </c:pt>
                <c:pt idx="5">
                  <c:v>0</c:v>
                </c:pt>
              </c:numCache>
            </c:numRef>
          </c:val>
          <c:extLst>
            <c:ext xmlns:c16="http://schemas.microsoft.com/office/drawing/2014/chart" uri="{C3380CC4-5D6E-409C-BE32-E72D297353CC}">
              <c16:uniqueId val="{00000009-80FF-4D26-B248-C4FC2806800F}"/>
            </c:ext>
          </c:extLst>
        </c:ser>
        <c:dLbls>
          <c:showLegendKey val="0"/>
          <c:showVal val="0"/>
          <c:showCatName val="0"/>
          <c:showSerName val="0"/>
          <c:showPercent val="0"/>
          <c:showBubbleSize val="0"/>
        </c:dLbls>
        <c:gapWidth val="150"/>
        <c:overlap val="100"/>
        <c:axId val="1413125168"/>
        <c:axId val="1413413088"/>
      </c:barChart>
      <c:catAx>
        <c:axId val="141312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413088"/>
        <c:crosses val="autoZero"/>
        <c:auto val="1"/>
        <c:lblAlgn val="ctr"/>
        <c:lblOffset val="100"/>
        <c:noMultiLvlLbl val="0"/>
      </c:catAx>
      <c:valAx>
        <c:axId val="14134130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125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percentStacked"/>
        <c:varyColors val="0"/>
        <c:ser>
          <c:idx val="0"/>
          <c:order val="0"/>
          <c:tx>
            <c:v>ICE</c:v>
          </c:tx>
          <c:spPr>
            <a:solidFill>
              <a:schemeClr val="accent1"/>
            </a:solidFill>
            <a:ln w="25400">
              <a:noFill/>
            </a:ln>
            <a:effectLst/>
          </c:spPr>
          <c:cat>
            <c:numRef>
              <c:f>Hoja1!$F$14:$F$24</c:f>
              <c:numCache>
                <c:formatCode>General</c:formatCode>
                <c:ptCount val="11"/>
                <c:pt idx="0">
                  <c:v>50000</c:v>
                </c:pt>
                <c:pt idx="1">
                  <c:v>100000</c:v>
                </c:pt>
                <c:pt idx="2">
                  <c:v>150000</c:v>
                </c:pt>
                <c:pt idx="3">
                  <c:v>200000</c:v>
                </c:pt>
                <c:pt idx="4">
                  <c:v>250000</c:v>
                </c:pt>
                <c:pt idx="5">
                  <c:v>300000</c:v>
                </c:pt>
                <c:pt idx="6">
                  <c:v>350000</c:v>
                </c:pt>
                <c:pt idx="7">
                  <c:v>400000</c:v>
                </c:pt>
                <c:pt idx="8">
                  <c:v>450000</c:v>
                </c:pt>
                <c:pt idx="9">
                  <c:v>500000</c:v>
                </c:pt>
              </c:numCache>
            </c:numRef>
          </c:cat>
          <c:val>
            <c:numRef>
              <c:f>Hoja1!$E$14:$E$23</c:f>
              <c:numCache>
                <c:formatCode>General</c:formatCode>
                <c:ptCount val="10"/>
                <c:pt idx="0">
                  <c:v>19171.351999999999</c:v>
                </c:pt>
                <c:pt idx="1">
                  <c:v>31971.441999999999</c:v>
                </c:pt>
                <c:pt idx="2">
                  <c:v>44771.531999999999</c:v>
                </c:pt>
                <c:pt idx="3">
                  <c:v>57571.622000000003</c:v>
                </c:pt>
                <c:pt idx="4">
                  <c:v>70371.712</c:v>
                </c:pt>
                <c:pt idx="5">
                  <c:v>83171.801999999996</c:v>
                </c:pt>
                <c:pt idx="6">
                  <c:v>95971.892000000007</c:v>
                </c:pt>
                <c:pt idx="7">
                  <c:v>108771.982</c:v>
                </c:pt>
                <c:pt idx="8">
                  <c:v>121572.072</c:v>
                </c:pt>
                <c:pt idx="9">
                  <c:v>134372.16199999998</c:v>
                </c:pt>
              </c:numCache>
            </c:numRef>
          </c:val>
          <c:extLst>
            <c:ext xmlns:c16="http://schemas.microsoft.com/office/drawing/2014/chart" uri="{C3380CC4-5D6E-409C-BE32-E72D297353CC}">
              <c16:uniqueId val="{00000000-4B80-47D9-9C56-D461B9856330}"/>
            </c:ext>
          </c:extLst>
        </c:ser>
        <c:ser>
          <c:idx val="1"/>
          <c:order val="1"/>
          <c:tx>
            <c:v>EV min</c:v>
          </c:tx>
          <c:spPr>
            <a:solidFill>
              <a:schemeClr val="accent2"/>
            </a:solidFill>
            <a:ln w="25400">
              <a:noFill/>
            </a:ln>
            <a:effectLst/>
          </c:spPr>
          <c:cat>
            <c:numRef>
              <c:f>Hoja1!$F$14:$F$23</c:f>
              <c:numCache>
                <c:formatCode>General</c:formatCode>
                <c:ptCount val="10"/>
                <c:pt idx="0">
                  <c:v>50000</c:v>
                </c:pt>
                <c:pt idx="1">
                  <c:v>100000</c:v>
                </c:pt>
                <c:pt idx="2">
                  <c:v>150000</c:v>
                </c:pt>
                <c:pt idx="3">
                  <c:v>200000</c:v>
                </c:pt>
                <c:pt idx="4">
                  <c:v>250000</c:v>
                </c:pt>
                <c:pt idx="5">
                  <c:v>300000</c:v>
                </c:pt>
                <c:pt idx="6">
                  <c:v>350000</c:v>
                </c:pt>
                <c:pt idx="7">
                  <c:v>400000</c:v>
                </c:pt>
                <c:pt idx="8">
                  <c:v>450000</c:v>
                </c:pt>
                <c:pt idx="9">
                  <c:v>500000</c:v>
                </c:pt>
              </c:numCache>
            </c:numRef>
          </c:cat>
          <c:val>
            <c:numRef>
              <c:f>Hoja1!$H$14:$H$23</c:f>
              <c:numCache>
                <c:formatCode>General</c:formatCode>
                <c:ptCount val="10"/>
                <c:pt idx="0">
                  <c:v>21712.799747920646</c:v>
                </c:pt>
                <c:pt idx="1">
                  <c:v>24896.029561585245</c:v>
                </c:pt>
                <c:pt idx="2">
                  <c:v>28079.259375249836</c:v>
                </c:pt>
                <c:pt idx="3">
                  <c:v>31262.489188914435</c:v>
                </c:pt>
                <c:pt idx="4">
                  <c:v>34445.719002579033</c:v>
                </c:pt>
                <c:pt idx="5">
                  <c:v>37628.948816243625</c:v>
                </c:pt>
                <c:pt idx="6">
                  <c:v>40812.178629908223</c:v>
                </c:pt>
                <c:pt idx="7">
                  <c:v>43995.408443572815</c:v>
                </c:pt>
                <c:pt idx="8">
                  <c:v>47178.638257237413</c:v>
                </c:pt>
                <c:pt idx="9">
                  <c:v>50361.868070902012</c:v>
                </c:pt>
              </c:numCache>
            </c:numRef>
          </c:val>
          <c:extLst>
            <c:ext xmlns:c16="http://schemas.microsoft.com/office/drawing/2014/chart" uri="{C3380CC4-5D6E-409C-BE32-E72D297353CC}">
              <c16:uniqueId val="{00000002-4B80-47D9-9C56-D461B9856330}"/>
            </c:ext>
          </c:extLst>
        </c:ser>
        <c:ser>
          <c:idx val="2"/>
          <c:order val="2"/>
          <c:tx>
            <c:v>EV max</c:v>
          </c:tx>
          <c:spPr>
            <a:solidFill>
              <a:schemeClr val="accent3"/>
            </a:solidFill>
            <a:ln w="25400">
              <a:noFill/>
            </a:ln>
            <a:effectLst/>
          </c:spPr>
          <c:cat>
            <c:numRef>
              <c:f>Hoja1!$F$14:$F$23</c:f>
              <c:numCache>
                <c:formatCode>General</c:formatCode>
                <c:ptCount val="10"/>
                <c:pt idx="0">
                  <c:v>50000</c:v>
                </c:pt>
                <c:pt idx="1">
                  <c:v>100000</c:v>
                </c:pt>
                <c:pt idx="2">
                  <c:v>150000</c:v>
                </c:pt>
                <c:pt idx="3">
                  <c:v>200000</c:v>
                </c:pt>
                <c:pt idx="4">
                  <c:v>250000</c:v>
                </c:pt>
                <c:pt idx="5">
                  <c:v>300000</c:v>
                </c:pt>
                <c:pt idx="6">
                  <c:v>350000</c:v>
                </c:pt>
                <c:pt idx="7">
                  <c:v>400000</c:v>
                </c:pt>
                <c:pt idx="8">
                  <c:v>450000</c:v>
                </c:pt>
                <c:pt idx="9">
                  <c:v>500000</c:v>
                </c:pt>
              </c:numCache>
            </c:numRef>
          </c:cat>
          <c:val>
            <c:numRef>
              <c:f>Hoja1!$I$14:$I$23</c:f>
              <c:numCache>
                <c:formatCode>General</c:formatCode>
                <c:ptCount val="10"/>
                <c:pt idx="0">
                  <c:v>23622.737636119404</c:v>
                </c:pt>
                <c:pt idx="1">
                  <c:v>28715.90533798276</c:v>
                </c:pt>
                <c:pt idx="2">
                  <c:v>33809.073039846109</c:v>
                </c:pt>
                <c:pt idx="3">
                  <c:v>38902.240741709466</c:v>
                </c:pt>
                <c:pt idx="4">
                  <c:v>43995.408443572822</c:v>
                </c:pt>
                <c:pt idx="5">
                  <c:v>49088.576145436171</c:v>
                </c:pt>
                <c:pt idx="6">
                  <c:v>54181.743847299527</c:v>
                </c:pt>
                <c:pt idx="7">
                  <c:v>59274.911549162876</c:v>
                </c:pt>
                <c:pt idx="8">
                  <c:v>64368.07925102624</c:v>
                </c:pt>
                <c:pt idx="9">
                  <c:v>69461.246952889589</c:v>
                </c:pt>
              </c:numCache>
            </c:numRef>
          </c:val>
          <c:extLst>
            <c:ext xmlns:c16="http://schemas.microsoft.com/office/drawing/2014/chart" uri="{C3380CC4-5D6E-409C-BE32-E72D297353CC}">
              <c16:uniqueId val="{00000003-4B80-47D9-9C56-D461B9856330}"/>
            </c:ext>
          </c:extLst>
        </c:ser>
        <c:dLbls>
          <c:showLegendKey val="0"/>
          <c:showVal val="0"/>
          <c:showCatName val="0"/>
          <c:showSerName val="0"/>
          <c:showPercent val="0"/>
          <c:showBubbleSize val="0"/>
        </c:dLbls>
        <c:axId val="2058960111"/>
        <c:axId val="2058955119"/>
      </c:areaChart>
      <c:catAx>
        <c:axId val="2058960111"/>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955119"/>
        <c:crosses val="autoZero"/>
        <c:auto val="1"/>
        <c:lblAlgn val="ctr"/>
        <c:lblOffset val="100"/>
        <c:noMultiLvlLbl val="0"/>
      </c:catAx>
      <c:valAx>
        <c:axId val="205895511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96011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percentStacked"/>
        <c:varyColors val="0"/>
        <c:ser>
          <c:idx val="0"/>
          <c:order val="0"/>
          <c:spPr>
            <a:solidFill>
              <a:schemeClr val="accent1"/>
            </a:solidFill>
            <a:ln>
              <a:noFill/>
            </a:ln>
            <a:effectLst/>
          </c:spPr>
          <c:val>
            <c:numRef>
              <c:f>Hoja1!$G$14:$G$23</c:f>
              <c:numCache>
                <c:formatCode>General</c:formatCode>
                <c:ptCount val="10"/>
                <c:pt idx="0">
                  <c:v>249222.39999999999</c:v>
                </c:pt>
                <c:pt idx="1">
                  <c:v>406622.8</c:v>
                </c:pt>
                <c:pt idx="2">
                  <c:v>564023.19999999995</c:v>
                </c:pt>
                <c:pt idx="3">
                  <c:v>721423.6</c:v>
                </c:pt>
                <c:pt idx="4">
                  <c:v>878824</c:v>
                </c:pt>
                <c:pt idx="5">
                  <c:v>1036224.4</c:v>
                </c:pt>
                <c:pt idx="6">
                  <c:v>1193624.8</c:v>
                </c:pt>
                <c:pt idx="7">
                  <c:v>1351025.2</c:v>
                </c:pt>
                <c:pt idx="8">
                  <c:v>1508425.5999999999</c:v>
                </c:pt>
                <c:pt idx="9">
                  <c:v>1665826</c:v>
                </c:pt>
              </c:numCache>
            </c:numRef>
          </c:val>
          <c:extLst>
            <c:ext xmlns:c16="http://schemas.microsoft.com/office/drawing/2014/chart" uri="{C3380CC4-5D6E-409C-BE32-E72D297353CC}">
              <c16:uniqueId val="{00000000-AFC5-4B34-A0A3-8A97137BF902}"/>
            </c:ext>
          </c:extLst>
        </c:ser>
        <c:ser>
          <c:idx val="1"/>
          <c:order val="1"/>
          <c:spPr>
            <a:solidFill>
              <a:schemeClr val="accent2"/>
            </a:solidFill>
            <a:ln>
              <a:noFill/>
            </a:ln>
            <a:effectLst/>
          </c:spPr>
          <c:val>
            <c:numRef>
              <c:f>Hoja1!$J$14:$J$23</c:f>
              <c:numCache>
                <c:formatCode>General</c:formatCode>
                <c:ptCount val="10"/>
                <c:pt idx="0">
                  <c:v>249403.3693825356</c:v>
                </c:pt>
                <c:pt idx="1">
                  <c:v>277353.67994154181</c:v>
                </c:pt>
                <c:pt idx="2">
                  <c:v>305303.99050054804</c:v>
                </c:pt>
                <c:pt idx="3">
                  <c:v>333254.30105955421</c:v>
                </c:pt>
                <c:pt idx="4">
                  <c:v>361204.61161856045</c:v>
                </c:pt>
                <c:pt idx="5">
                  <c:v>389154.92217756668</c:v>
                </c:pt>
                <c:pt idx="6">
                  <c:v>417105.23273657286</c:v>
                </c:pt>
                <c:pt idx="7">
                  <c:v>445055.54329557903</c:v>
                </c:pt>
                <c:pt idx="8">
                  <c:v>473005.85385458526</c:v>
                </c:pt>
                <c:pt idx="9">
                  <c:v>500956.1644135915</c:v>
                </c:pt>
              </c:numCache>
            </c:numRef>
          </c:val>
          <c:extLst>
            <c:ext xmlns:c16="http://schemas.microsoft.com/office/drawing/2014/chart" uri="{C3380CC4-5D6E-409C-BE32-E72D297353CC}">
              <c16:uniqueId val="{00000001-AFC5-4B34-A0A3-8A97137BF902}"/>
            </c:ext>
          </c:extLst>
        </c:ser>
        <c:ser>
          <c:idx val="2"/>
          <c:order val="2"/>
          <c:spPr>
            <a:solidFill>
              <a:schemeClr val="accent3"/>
            </a:solidFill>
            <a:ln>
              <a:noFill/>
            </a:ln>
            <a:effectLst/>
          </c:spPr>
          <c:val>
            <c:numRef>
              <c:f>Hoja1!$K$14:$K$23</c:f>
              <c:numCache>
                <c:formatCode>General</c:formatCode>
                <c:ptCount val="10"/>
                <c:pt idx="0">
                  <c:v>266173.55571793934</c:v>
                </c:pt>
                <c:pt idx="1">
                  <c:v>310894.05261234927</c:v>
                </c:pt>
                <c:pt idx="2">
                  <c:v>355614.54950675921</c:v>
                </c:pt>
                <c:pt idx="3">
                  <c:v>400335.04640116915</c:v>
                </c:pt>
                <c:pt idx="4">
                  <c:v>445055.54329557909</c:v>
                </c:pt>
                <c:pt idx="5">
                  <c:v>489776.04018998903</c:v>
                </c:pt>
                <c:pt idx="6">
                  <c:v>534496.53708439902</c:v>
                </c:pt>
                <c:pt idx="7">
                  <c:v>579217.0339788089</c:v>
                </c:pt>
                <c:pt idx="8">
                  <c:v>623937.53087321878</c:v>
                </c:pt>
                <c:pt idx="9">
                  <c:v>668658.02776762878</c:v>
                </c:pt>
              </c:numCache>
            </c:numRef>
          </c:val>
          <c:extLst>
            <c:ext xmlns:c16="http://schemas.microsoft.com/office/drawing/2014/chart" uri="{C3380CC4-5D6E-409C-BE32-E72D297353CC}">
              <c16:uniqueId val="{00000002-AFC5-4B34-A0A3-8A97137BF902}"/>
            </c:ext>
          </c:extLst>
        </c:ser>
        <c:dLbls>
          <c:showLegendKey val="0"/>
          <c:showVal val="0"/>
          <c:showCatName val="0"/>
          <c:showSerName val="0"/>
          <c:showPercent val="0"/>
          <c:showBubbleSize val="0"/>
        </c:dLbls>
        <c:axId val="129689152"/>
        <c:axId val="129688736"/>
      </c:areaChart>
      <c:catAx>
        <c:axId val="12968915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8736"/>
        <c:crosses val="autoZero"/>
        <c:auto val="1"/>
        <c:lblAlgn val="ctr"/>
        <c:lblOffset val="100"/>
        <c:noMultiLvlLbl val="0"/>
      </c:catAx>
      <c:valAx>
        <c:axId val="1296887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91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8">
  <a:schemeClr val="accent5"/>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withinLinear" id="18">
  <a:schemeClr val="accent5"/>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withinLinear" id="18">
  <a:schemeClr val="accent5"/>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4.xml.rels><?xml version="1.0" encoding="UTF-8" standalone="yes"?>
<Relationships xmlns="http://schemas.openxmlformats.org/package/2006/relationships"><Relationship Id="rId8" Type="http://schemas.openxmlformats.org/officeDocument/2006/relationships/chart" Target="../charts/chart33.xml"/><Relationship Id="rId3" Type="http://schemas.openxmlformats.org/officeDocument/2006/relationships/chart" Target="../charts/chart28.xml"/><Relationship Id="rId7" Type="http://schemas.openxmlformats.org/officeDocument/2006/relationships/chart" Target="../charts/chart32.xml"/><Relationship Id="rId2" Type="http://schemas.openxmlformats.org/officeDocument/2006/relationships/chart" Target="../charts/chart27.xml"/><Relationship Id="rId1" Type="http://schemas.openxmlformats.org/officeDocument/2006/relationships/chart" Target="../charts/chart26.xml"/><Relationship Id="rId6" Type="http://schemas.openxmlformats.org/officeDocument/2006/relationships/chart" Target="../charts/chart31.xml"/><Relationship Id="rId5" Type="http://schemas.openxmlformats.org/officeDocument/2006/relationships/chart" Target="../charts/chart30.xml"/><Relationship Id="rId4" Type="http://schemas.openxmlformats.org/officeDocument/2006/relationships/chart" Target="../charts/chart29.xml"/></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chart" Target="../charts/chart3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chart" Target="../charts/chart36.xml"/><Relationship Id="rId2" Type="http://schemas.openxmlformats.org/officeDocument/2006/relationships/image" Target="../media/image2.png"/><Relationship Id="rId16" Type="http://schemas.openxmlformats.org/officeDocument/2006/relationships/chart" Target="../charts/chart35.xml"/><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jpeg"/><Relationship Id="rId5" Type="http://schemas.openxmlformats.org/officeDocument/2006/relationships/image" Target="../media/image5.png"/><Relationship Id="rId15" Type="http://schemas.openxmlformats.org/officeDocument/2006/relationships/chart" Target="../charts/chart34.xml"/><Relationship Id="rId10" Type="http://schemas.openxmlformats.org/officeDocument/2006/relationships/image" Target="../media/image10.jpeg"/><Relationship Id="rId19" Type="http://schemas.openxmlformats.org/officeDocument/2006/relationships/chart" Target="../charts/chart38.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6.xml.rels><?xml version="1.0" encoding="UTF-8" standalone="yes"?>
<Relationships xmlns="http://schemas.openxmlformats.org/package/2006/relationships"><Relationship Id="rId8" Type="http://schemas.openxmlformats.org/officeDocument/2006/relationships/chart" Target="../charts/chart46.xml"/><Relationship Id="rId13" Type="http://schemas.openxmlformats.org/officeDocument/2006/relationships/image" Target="../media/image16.jpeg"/><Relationship Id="rId3" Type="http://schemas.openxmlformats.org/officeDocument/2006/relationships/chart" Target="../charts/chart41.xml"/><Relationship Id="rId7" Type="http://schemas.openxmlformats.org/officeDocument/2006/relationships/chart" Target="../charts/chart45.xml"/><Relationship Id="rId12" Type="http://schemas.openxmlformats.org/officeDocument/2006/relationships/chart" Target="../charts/chart48.xml"/><Relationship Id="rId2" Type="http://schemas.openxmlformats.org/officeDocument/2006/relationships/chart" Target="../charts/chart40.xml"/><Relationship Id="rId16" Type="http://schemas.openxmlformats.org/officeDocument/2006/relationships/chart" Target="../charts/chart51.xml"/><Relationship Id="rId1" Type="http://schemas.openxmlformats.org/officeDocument/2006/relationships/chart" Target="../charts/chart39.xml"/><Relationship Id="rId6" Type="http://schemas.openxmlformats.org/officeDocument/2006/relationships/chart" Target="../charts/chart44.xml"/><Relationship Id="rId11" Type="http://schemas.openxmlformats.org/officeDocument/2006/relationships/image" Target="../media/image7.png"/><Relationship Id="rId5" Type="http://schemas.openxmlformats.org/officeDocument/2006/relationships/chart" Target="../charts/chart43.xml"/><Relationship Id="rId15" Type="http://schemas.openxmlformats.org/officeDocument/2006/relationships/chart" Target="../charts/chart50.xml"/><Relationship Id="rId10" Type="http://schemas.openxmlformats.org/officeDocument/2006/relationships/image" Target="../media/image12.png"/><Relationship Id="rId4" Type="http://schemas.openxmlformats.org/officeDocument/2006/relationships/chart" Target="../charts/chart42.xml"/><Relationship Id="rId9" Type="http://schemas.openxmlformats.org/officeDocument/2006/relationships/chart" Target="../charts/chart47.xml"/><Relationship Id="rId14" Type="http://schemas.openxmlformats.org/officeDocument/2006/relationships/chart" Target="../charts/chart49.xml"/></Relationships>
</file>

<file path=xl/drawings/_rels/drawing7.xml.rels><?xml version="1.0" encoding="UTF-8" standalone="yes"?>
<Relationships xmlns="http://schemas.openxmlformats.org/package/2006/relationships"><Relationship Id="rId3" Type="http://schemas.openxmlformats.org/officeDocument/2006/relationships/chart" Target="../charts/chart54.xml"/><Relationship Id="rId2" Type="http://schemas.openxmlformats.org/officeDocument/2006/relationships/chart" Target="../charts/chart53.xml"/><Relationship Id="rId1" Type="http://schemas.openxmlformats.org/officeDocument/2006/relationships/chart" Target="../charts/chart52.xml"/><Relationship Id="rId4" Type="http://schemas.openxmlformats.org/officeDocument/2006/relationships/chart" Target="../charts/chart55.xml"/></Relationships>
</file>

<file path=xl/drawings/_rels/drawing8.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chart" Target="../charts/chart5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jpeg"/><Relationship Id="rId5" Type="http://schemas.openxmlformats.org/officeDocument/2006/relationships/image" Target="../media/image5.png"/><Relationship Id="rId15" Type="http://schemas.openxmlformats.org/officeDocument/2006/relationships/chart" Target="../charts/chart56.xml"/><Relationship Id="rId10" Type="http://schemas.openxmlformats.org/officeDocument/2006/relationships/image" Target="../media/image10.jpe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9.xml.rels><?xml version="1.0" encoding="UTF-8" standalone="yes"?>
<Relationships xmlns="http://schemas.openxmlformats.org/package/2006/relationships"><Relationship Id="rId3" Type="http://schemas.openxmlformats.org/officeDocument/2006/relationships/chart" Target="../charts/chart59.xml"/><Relationship Id="rId2" Type="http://schemas.openxmlformats.org/officeDocument/2006/relationships/chart" Target="../charts/chart58.xml"/><Relationship Id="rId1" Type="http://schemas.openxmlformats.org/officeDocument/2006/relationships/image" Target="../media/image17.png"/><Relationship Id="rId6" Type="http://schemas.openxmlformats.org/officeDocument/2006/relationships/image" Target="../media/image18.png"/><Relationship Id="rId5" Type="http://schemas.openxmlformats.org/officeDocument/2006/relationships/chart" Target="../charts/chart61.xml"/><Relationship Id="rId4" Type="http://schemas.openxmlformats.org/officeDocument/2006/relationships/chart" Target="../charts/chart60.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63.xml"/><Relationship Id="rId1" Type="http://schemas.openxmlformats.org/officeDocument/2006/relationships/chart" Target="../charts/chart62.xml"/></Relationships>
</file>

<file path=xl/drawings/drawing1.xml><?xml version="1.0" encoding="utf-8"?>
<xdr:wsDr xmlns:xdr="http://schemas.openxmlformats.org/drawingml/2006/spreadsheetDrawing" xmlns:a="http://schemas.openxmlformats.org/drawingml/2006/main">
  <xdr:twoCellAnchor>
    <xdr:from>
      <xdr:col>12</xdr:col>
      <xdr:colOff>566339</xdr:colOff>
      <xdr:row>51</xdr:row>
      <xdr:rowOff>133749</xdr:rowOff>
    </xdr:from>
    <xdr:to>
      <xdr:col>23</xdr:col>
      <xdr:colOff>551271</xdr:colOff>
      <xdr:row>81</xdr:row>
      <xdr:rowOff>137211</xdr:rowOff>
    </xdr:to>
    <xdr:graphicFrame macro="">
      <xdr:nvGraphicFramePr>
        <xdr:cNvPr id="2" name="Gráfico 1">
          <a:extLst>
            <a:ext uri="{FF2B5EF4-FFF2-40B4-BE49-F238E27FC236}">
              <a16:creationId xmlns:a16="http://schemas.microsoft.com/office/drawing/2014/main" id="{3E9C5E34-4755-47B9-A4DA-14504B657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732583</xdr:colOff>
      <xdr:row>0</xdr:row>
      <xdr:rowOff>29882</xdr:rowOff>
    </xdr:from>
    <xdr:to>
      <xdr:col>29</xdr:col>
      <xdr:colOff>412688</xdr:colOff>
      <xdr:row>15</xdr:row>
      <xdr:rowOff>175023</xdr:rowOff>
    </xdr:to>
    <xdr:graphicFrame macro="">
      <xdr:nvGraphicFramePr>
        <xdr:cNvPr id="3" name="Gráfico 2">
          <a:extLst>
            <a:ext uri="{FF2B5EF4-FFF2-40B4-BE49-F238E27FC236}">
              <a16:creationId xmlns:a16="http://schemas.microsoft.com/office/drawing/2014/main" id="{920F141A-7E01-4156-BAB9-48B514C1A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740261</xdr:colOff>
      <xdr:row>15</xdr:row>
      <xdr:rowOff>176598</xdr:rowOff>
    </xdr:from>
    <xdr:to>
      <xdr:col>34</xdr:col>
      <xdr:colOff>154001</xdr:colOff>
      <xdr:row>34</xdr:row>
      <xdr:rowOff>60179</xdr:rowOff>
    </xdr:to>
    <xdr:graphicFrame macro="">
      <xdr:nvGraphicFramePr>
        <xdr:cNvPr id="4" name="Gráfico 3">
          <a:extLst>
            <a:ext uri="{FF2B5EF4-FFF2-40B4-BE49-F238E27FC236}">
              <a16:creationId xmlns:a16="http://schemas.microsoft.com/office/drawing/2014/main" id="{E1702669-3735-4976-95C5-4B7BEFD57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764373</xdr:colOff>
      <xdr:row>34</xdr:row>
      <xdr:rowOff>64700</xdr:rowOff>
    </xdr:from>
    <xdr:to>
      <xdr:col>29</xdr:col>
      <xdr:colOff>447127</xdr:colOff>
      <xdr:row>52</xdr:row>
      <xdr:rowOff>120537</xdr:rowOff>
    </xdr:to>
    <xdr:graphicFrame macro="">
      <xdr:nvGraphicFramePr>
        <xdr:cNvPr id="5" name="Gráfico 4">
          <a:extLst>
            <a:ext uri="{FF2B5EF4-FFF2-40B4-BE49-F238E27FC236}">
              <a16:creationId xmlns:a16="http://schemas.microsoft.com/office/drawing/2014/main" id="{81DD2EDF-15B0-45DB-B7FF-C1692F4D6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30426</xdr:colOff>
      <xdr:row>22</xdr:row>
      <xdr:rowOff>177643</xdr:rowOff>
    </xdr:from>
    <xdr:to>
      <xdr:col>5</xdr:col>
      <xdr:colOff>453095</xdr:colOff>
      <xdr:row>37</xdr:row>
      <xdr:rowOff>161877</xdr:rowOff>
    </xdr:to>
    <xdr:graphicFrame macro="">
      <xdr:nvGraphicFramePr>
        <xdr:cNvPr id="6" name="Gráfico 5">
          <a:extLst>
            <a:ext uri="{FF2B5EF4-FFF2-40B4-BE49-F238E27FC236}">
              <a16:creationId xmlns:a16="http://schemas.microsoft.com/office/drawing/2014/main" id="{8F1C045B-9781-49BC-834D-302C5E256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191006</xdr:colOff>
      <xdr:row>0</xdr:row>
      <xdr:rowOff>0</xdr:rowOff>
    </xdr:from>
    <xdr:to>
      <xdr:col>26</xdr:col>
      <xdr:colOff>297501</xdr:colOff>
      <xdr:row>12</xdr:row>
      <xdr:rowOff>64923</xdr:rowOff>
    </xdr:to>
    <xdr:graphicFrame macro="">
      <xdr:nvGraphicFramePr>
        <xdr:cNvPr id="7" name="Gráfico 6">
          <a:extLst>
            <a:ext uri="{FF2B5EF4-FFF2-40B4-BE49-F238E27FC236}">
              <a16:creationId xmlns:a16="http://schemas.microsoft.com/office/drawing/2014/main" id="{87A33437-8F66-47BD-A748-96B1AFD9D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134127</xdr:colOff>
      <xdr:row>12</xdr:row>
      <xdr:rowOff>52047</xdr:rowOff>
    </xdr:from>
    <xdr:to>
      <xdr:col>28</xdr:col>
      <xdr:colOff>589648</xdr:colOff>
      <xdr:row>27</xdr:row>
      <xdr:rowOff>49921</xdr:rowOff>
    </xdr:to>
    <xdr:graphicFrame macro="">
      <xdr:nvGraphicFramePr>
        <xdr:cNvPr id="8" name="Gráfico 7">
          <a:extLst>
            <a:ext uri="{FF2B5EF4-FFF2-40B4-BE49-F238E27FC236}">
              <a16:creationId xmlns:a16="http://schemas.microsoft.com/office/drawing/2014/main" id="{BA6317E1-2A7F-4767-BF7E-AF633783C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153464</xdr:colOff>
      <xdr:row>27</xdr:row>
      <xdr:rowOff>65170</xdr:rowOff>
    </xdr:from>
    <xdr:to>
      <xdr:col>26</xdr:col>
      <xdr:colOff>286600</xdr:colOff>
      <xdr:row>42</xdr:row>
      <xdr:rowOff>52196</xdr:rowOff>
    </xdr:to>
    <xdr:graphicFrame macro="">
      <xdr:nvGraphicFramePr>
        <xdr:cNvPr id="9" name="Gráfico 8">
          <a:extLst>
            <a:ext uri="{FF2B5EF4-FFF2-40B4-BE49-F238E27FC236}">
              <a16:creationId xmlns:a16="http://schemas.microsoft.com/office/drawing/2014/main" id="{F2C138BD-75D6-4623-A481-54873A148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58615</xdr:colOff>
      <xdr:row>27</xdr:row>
      <xdr:rowOff>29308</xdr:rowOff>
    </xdr:from>
    <xdr:to>
      <xdr:col>6</xdr:col>
      <xdr:colOff>114938</xdr:colOff>
      <xdr:row>41</xdr:row>
      <xdr:rowOff>189389</xdr:rowOff>
    </xdr:to>
    <xdr:graphicFrame macro="">
      <xdr:nvGraphicFramePr>
        <xdr:cNvPr id="10" name="Gráfico 9">
          <a:extLst>
            <a:ext uri="{FF2B5EF4-FFF2-40B4-BE49-F238E27FC236}">
              <a16:creationId xmlns:a16="http://schemas.microsoft.com/office/drawing/2014/main" id="{2AC869FD-D1D3-4653-B2E0-FB3C81701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566339</xdr:colOff>
      <xdr:row>51</xdr:row>
      <xdr:rowOff>133749</xdr:rowOff>
    </xdr:from>
    <xdr:to>
      <xdr:col>23</xdr:col>
      <xdr:colOff>551271</xdr:colOff>
      <xdr:row>81</xdr:row>
      <xdr:rowOff>137211</xdr:rowOff>
    </xdr:to>
    <xdr:graphicFrame macro="">
      <xdr:nvGraphicFramePr>
        <xdr:cNvPr id="2" name="Gráfico 1">
          <a:extLst>
            <a:ext uri="{FF2B5EF4-FFF2-40B4-BE49-F238E27FC236}">
              <a16:creationId xmlns:a16="http://schemas.microsoft.com/office/drawing/2014/main" id="{4A68A8A0-D896-44B6-9EEB-CD8C3EB59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732583</xdr:colOff>
      <xdr:row>0</xdr:row>
      <xdr:rowOff>29882</xdr:rowOff>
    </xdr:from>
    <xdr:to>
      <xdr:col>29</xdr:col>
      <xdr:colOff>412688</xdr:colOff>
      <xdr:row>15</xdr:row>
      <xdr:rowOff>175023</xdr:rowOff>
    </xdr:to>
    <xdr:graphicFrame macro="">
      <xdr:nvGraphicFramePr>
        <xdr:cNvPr id="3" name="Gráfico 2">
          <a:extLst>
            <a:ext uri="{FF2B5EF4-FFF2-40B4-BE49-F238E27FC236}">
              <a16:creationId xmlns:a16="http://schemas.microsoft.com/office/drawing/2014/main" id="{C11C3018-1217-4717-907E-D651A0469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740261</xdr:colOff>
      <xdr:row>15</xdr:row>
      <xdr:rowOff>176598</xdr:rowOff>
    </xdr:from>
    <xdr:to>
      <xdr:col>30</xdr:col>
      <xdr:colOff>154001</xdr:colOff>
      <xdr:row>34</xdr:row>
      <xdr:rowOff>60179</xdr:rowOff>
    </xdr:to>
    <xdr:graphicFrame macro="">
      <xdr:nvGraphicFramePr>
        <xdr:cNvPr id="4" name="Gráfico 3">
          <a:extLst>
            <a:ext uri="{FF2B5EF4-FFF2-40B4-BE49-F238E27FC236}">
              <a16:creationId xmlns:a16="http://schemas.microsoft.com/office/drawing/2014/main" id="{1EF95419-FFF6-4780-BC9C-9362D7A05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764373</xdr:colOff>
      <xdr:row>34</xdr:row>
      <xdr:rowOff>64700</xdr:rowOff>
    </xdr:from>
    <xdr:to>
      <xdr:col>29</xdr:col>
      <xdr:colOff>447127</xdr:colOff>
      <xdr:row>52</xdr:row>
      <xdr:rowOff>120537</xdr:rowOff>
    </xdr:to>
    <xdr:graphicFrame macro="">
      <xdr:nvGraphicFramePr>
        <xdr:cNvPr id="5" name="Gráfico 4">
          <a:extLst>
            <a:ext uri="{FF2B5EF4-FFF2-40B4-BE49-F238E27FC236}">
              <a16:creationId xmlns:a16="http://schemas.microsoft.com/office/drawing/2014/main" id="{FB436661-ED97-4C4F-938B-84036306E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30426</xdr:colOff>
      <xdr:row>22</xdr:row>
      <xdr:rowOff>177643</xdr:rowOff>
    </xdr:from>
    <xdr:to>
      <xdr:col>5</xdr:col>
      <xdr:colOff>453095</xdr:colOff>
      <xdr:row>37</xdr:row>
      <xdr:rowOff>161877</xdr:rowOff>
    </xdr:to>
    <xdr:graphicFrame macro="">
      <xdr:nvGraphicFramePr>
        <xdr:cNvPr id="6" name="Gráfico 5">
          <a:extLst>
            <a:ext uri="{FF2B5EF4-FFF2-40B4-BE49-F238E27FC236}">
              <a16:creationId xmlns:a16="http://schemas.microsoft.com/office/drawing/2014/main" id="{CB50206C-9183-492A-B436-F879B29FD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132389</xdr:colOff>
      <xdr:row>0</xdr:row>
      <xdr:rowOff>0</xdr:rowOff>
    </xdr:from>
    <xdr:to>
      <xdr:col>22</xdr:col>
      <xdr:colOff>766423</xdr:colOff>
      <xdr:row>12</xdr:row>
      <xdr:rowOff>64923</xdr:rowOff>
    </xdr:to>
    <xdr:graphicFrame macro="">
      <xdr:nvGraphicFramePr>
        <xdr:cNvPr id="7" name="Gráfico 6">
          <a:extLst>
            <a:ext uri="{FF2B5EF4-FFF2-40B4-BE49-F238E27FC236}">
              <a16:creationId xmlns:a16="http://schemas.microsoft.com/office/drawing/2014/main" id="{D17CC62F-AFBC-4E9F-B46B-7D13F153A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134126</xdr:colOff>
      <xdr:row>12</xdr:row>
      <xdr:rowOff>66701</xdr:rowOff>
    </xdr:from>
    <xdr:to>
      <xdr:col>23</xdr:col>
      <xdr:colOff>3493</xdr:colOff>
      <xdr:row>27</xdr:row>
      <xdr:rowOff>64575</xdr:rowOff>
    </xdr:to>
    <xdr:graphicFrame macro="">
      <xdr:nvGraphicFramePr>
        <xdr:cNvPr id="8" name="Gráfico 7">
          <a:extLst>
            <a:ext uri="{FF2B5EF4-FFF2-40B4-BE49-F238E27FC236}">
              <a16:creationId xmlns:a16="http://schemas.microsoft.com/office/drawing/2014/main" id="{DB72A855-CC05-4B66-A499-E2C2F62EC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138810</xdr:colOff>
      <xdr:row>27</xdr:row>
      <xdr:rowOff>65170</xdr:rowOff>
    </xdr:from>
    <xdr:to>
      <xdr:col>23</xdr:col>
      <xdr:colOff>8177</xdr:colOff>
      <xdr:row>42</xdr:row>
      <xdr:rowOff>52196</xdr:rowOff>
    </xdr:to>
    <xdr:graphicFrame macro="">
      <xdr:nvGraphicFramePr>
        <xdr:cNvPr id="9" name="Gráfico 8">
          <a:extLst>
            <a:ext uri="{FF2B5EF4-FFF2-40B4-BE49-F238E27FC236}">
              <a16:creationId xmlns:a16="http://schemas.microsoft.com/office/drawing/2014/main" id="{0E476070-5006-44CF-90DA-6DDB37770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566339</xdr:colOff>
      <xdr:row>51</xdr:row>
      <xdr:rowOff>133749</xdr:rowOff>
    </xdr:from>
    <xdr:to>
      <xdr:col>23</xdr:col>
      <xdr:colOff>551271</xdr:colOff>
      <xdr:row>81</xdr:row>
      <xdr:rowOff>137211</xdr:rowOff>
    </xdr:to>
    <xdr:graphicFrame macro="">
      <xdr:nvGraphicFramePr>
        <xdr:cNvPr id="2" name="Gráfico 1">
          <a:extLst>
            <a:ext uri="{FF2B5EF4-FFF2-40B4-BE49-F238E27FC236}">
              <a16:creationId xmlns:a16="http://schemas.microsoft.com/office/drawing/2014/main" id="{91405DB9-9BE2-4472-9C95-7CB7CFCBA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732583</xdr:colOff>
      <xdr:row>0</xdr:row>
      <xdr:rowOff>29882</xdr:rowOff>
    </xdr:from>
    <xdr:to>
      <xdr:col>29</xdr:col>
      <xdr:colOff>412688</xdr:colOff>
      <xdr:row>15</xdr:row>
      <xdr:rowOff>175023</xdr:rowOff>
    </xdr:to>
    <xdr:graphicFrame macro="">
      <xdr:nvGraphicFramePr>
        <xdr:cNvPr id="3" name="Gráfico 2">
          <a:extLst>
            <a:ext uri="{FF2B5EF4-FFF2-40B4-BE49-F238E27FC236}">
              <a16:creationId xmlns:a16="http://schemas.microsoft.com/office/drawing/2014/main" id="{CB29CE9C-DD29-40A4-BB73-37B794A61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740261</xdr:colOff>
      <xdr:row>15</xdr:row>
      <xdr:rowOff>176598</xdr:rowOff>
    </xdr:from>
    <xdr:to>
      <xdr:col>30</xdr:col>
      <xdr:colOff>154001</xdr:colOff>
      <xdr:row>34</xdr:row>
      <xdr:rowOff>60179</xdr:rowOff>
    </xdr:to>
    <xdr:graphicFrame macro="">
      <xdr:nvGraphicFramePr>
        <xdr:cNvPr id="4" name="Gráfico 3">
          <a:extLst>
            <a:ext uri="{FF2B5EF4-FFF2-40B4-BE49-F238E27FC236}">
              <a16:creationId xmlns:a16="http://schemas.microsoft.com/office/drawing/2014/main" id="{9C35AA65-1BEA-4969-9F52-D4BBDDD86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764373</xdr:colOff>
      <xdr:row>34</xdr:row>
      <xdr:rowOff>64700</xdr:rowOff>
    </xdr:from>
    <xdr:to>
      <xdr:col>29</xdr:col>
      <xdr:colOff>447127</xdr:colOff>
      <xdr:row>52</xdr:row>
      <xdr:rowOff>120537</xdr:rowOff>
    </xdr:to>
    <xdr:graphicFrame macro="">
      <xdr:nvGraphicFramePr>
        <xdr:cNvPr id="5" name="Gráfico 4">
          <a:extLst>
            <a:ext uri="{FF2B5EF4-FFF2-40B4-BE49-F238E27FC236}">
              <a16:creationId xmlns:a16="http://schemas.microsoft.com/office/drawing/2014/main" id="{BBC8784A-E0BE-437D-850B-AB3ADE662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30426</xdr:colOff>
      <xdr:row>22</xdr:row>
      <xdr:rowOff>177643</xdr:rowOff>
    </xdr:from>
    <xdr:to>
      <xdr:col>5</xdr:col>
      <xdr:colOff>453095</xdr:colOff>
      <xdr:row>37</xdr:row>
      <xdr:rowOff>161877</xdr:rowOff>
    </xdr:to>
    <xdr:graphicFrame macro="">
      <xdr:nvGraphicFramePr>
        <xdr:cNvPr id="6" name="Gráfico 5">
          <a:extLst>
            <a:ext uri="{FF2B5EF4-FFF2-40B4-BE49-F238E27FC236}">
              <a16:creationId xmlns:a16="http://schemas.microsoft.com/office/drawing/2014/main" id="{AB336E6F-3A72-42CE-A0EF-B22F74F08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132389</xdr:colOff>
      <xdr:row>0</xdr:row>
      <xdr:rowOff>0</xdr:rowOff>
    </xdr:from>
    <xdr:to>
      <xdr:col>22</xdr:col>
      <xdr:colOff>766423</xdr:colOff>
      <xdr:row>12</xdr:row>
      <xdr:rowOff>64923</xdr:rowOff>
    </xdr:to>
    <xdr:graphicFrame macro="">
      <xdr:nvGraphicFramePr>
        <xdr:cNvPr id="7" name="Gráfico 6">
          <a:extLst>
            <a:ext uri="{FF2B5EF4-FFF2-40B4-BE49-F238E27FC236}">
              <a16:creationId xmlns:a16="http://schemas.microsoft.com/office/drawing/2014/main" id="{DEA4AB3F-D7BA-4C5C-993E-F2AB6EFC1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134126</xdr:colOff>
      <xdr:row>12</xdr:row>
      <xdr:rowOff>66701</xdr:rowOff>
    </xdr:from>
    <xdr:to>
      <xdr:col>23</xdr:col>
      <xdr:colOff>3493</xdr:colOff>
      <xdr:row>27</xdr:row>
      <xdr:rowOff>64575</xdr:rowOff>
    </xdr:to>
    <xdr:graphicFrame macro="">
      <xdr:nvGraphicFramePr>
        <xdr:cNvPr id="8" name="Gráfico 7">
          <a:extLst>
            <a:ext uri="{FF2B5EF4-FFF2-40B4-BE49-F238E27FC236}">
              <a16:creationId xmlns:a16="http://schemas.microsoft.com/office/drawing/2014/main" id="{BC805221-BFF2-4ABF-92E9-0AC8A2FB0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138810</xdr:colOff>
      <xdr:row>27</xdr:row>
      <xdr:rowOff>65170</xdr:rowOff>
    </xdr:from>
    <xdr:to>
      <xdr:col>23</xdr:col>
      <xdr:colOff>8177</xdr:colOff>
      <xdr:row>42</xdr:row>
      <xdr:rowOff>52196</xdr:rowOff>
    </xdr:to>
    <xdr:graphicFrame macro="">
      <xdr:nvGraphicFramePr>
        <xdr:cNvPr id="9" name="Gráfico 8">
          <a:extLst>
            <a:ext uri="{FF2B5EF4-FFF2-40B4-BE49-F238E27FC236}">
              <a16:creationId xmlns:a16="http://schemas.microsoft.com/office/drawing/2014/main" id="{9AE237C9-71C6-4190-8D81-6300033B7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566339</xdr:colOff>
      <xdr:row>51</xdr:row>
      <xdr:rowOff>133749</xdr:rowOff>
    </xdr:from>
    <xdr:to>
      <xdr:col>23</xdr:col>
      <xdr:colOff>551271</xdr:colOff>
      <xdr:row>81</xdr:row>
      <xdr:rowOff>137211</xdr:rowOff>
    </xdr:to>
    <xdr:graphicFrame macro="">
      <xdr:nvGraphicFramePr>
        <xdr:cNvPr id="2" name="Gráfico 1">
          <a:extLst>
            <a:ext uri="{FF2B5EF4-FFF2-40B4-BE49-F238E27FC236}">
              <a16:creationId xmlns:a16="http://schemas.microsoft.com/office/drawing/2014/main" id="{FA897341-3345-4B34-B10C-A29524399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732583</xdr:colOff>
      <xdr:row>0</xdr:row>
      <xdr:rowOff>29882</xdr:rowOff>
    </xdr:from>
    <xdr:to>
      <xdr:col>29</xdr:col>
      <xdr:colOff>412688</xdr:colOff>
      <xdr:row>15</xdr:row>
      <xdr:rowOff>175023</xdr:rowOff>
    </xdr:to>
    <xdr:graphicFrame macro="">
      <xdr:nvGraphicFramePr>
        <xdr:cNvPr id="3" name="Gráfico 2">
          <a:extLst>
            <a:ext uri="{FF2B5EF4-FFF2-40B4-BE49-F238E27FC236}">
              <a16:creationId xmlns:a16="http://schemas.microsoft.com/office/drawing/2014/main" id="{04004F67-8BCD-446F-A569-D4BF6F688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740261</xdr:colOff>
      <xdr:row>15</xdr:row>
      <xdr:rowOff>176598</xdr:rowOff>
    </xdr:from>
    <xdr:to>
      <xdr:col>30</xdr:col>
      <xdr:colOff>154001</xdr:colOff>
      <xdr:row>34</xdr:row>
      <xdr:rowOff>60179</xdr:rowOff>
    </xdr:to>
    <xdr:graphicFrame macro="">
      <xdr:nvGraphicFramePr>
        <xdr:cNvPr id="4" name="Gráfico 3">
          <a:extLst>
            <a:ext uri="{FF2B5EF4-FFF2-40B4-BE49-F238E27FC236}">
              <a16:creationId xmlns:a16="http://schemas.microsoft.com/office/drawing/2014/main" id="{4A515AE2-E35E-41FB-8E84-6FE517592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764373</xdr:colOff>
      <xdr:row>34</xdr:row>
      <xdr:rowOff>64700</xdr:rowOff>
    </xdr:from>
    <xdr:to>
      <xdr:col>29</xdr:col>
      <xdr:colOff>447127</xdr:colOff>
      <xdr:row>52</xdr:row>
      <xdr:rowOff>120537</xdr:rowOff>
    </xdr:to>
    <xdr:graphicFrame macro="">
      <xdr:nvGraphicFramePr>
        <xdr:cNvPr id="5" name="Gráfico 4">
          <a:extLst>
            <a:ext uri="{FF2B5EF4-FFF2-40B4-BE49-F238E27FC236}">
              <a16:creationId xmlns:a16="http://schemas.microsoft.com/office/drawing/2014/main" id="{2CA7A95E-E26C-4E7B-A8E5-BC21BDC58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30427</xdr:colOff>
      <xdr:row>22</xdr:row>
      <xdr:rowOff>162702</xdr:rowOff>
    </xdr:from>
    <xdr:to>
      <xdr:col>5</xdr:col>
      <xdr:colOff>453096</xdr:colOff>
      <xdr:row>37</xdr:row>
      <xdr:rowOff>146936</xdr:rowOff>
    </xdr:to>
    <xdr:graphicFrame macro="">
      <xdr:nvGraphicFramePr>
        <xdr:cNvPr id="6" name="Gráfico 5">
          <a:extLst>
            <a:ext uri="{FF2B5EF4-FFF2-40B4-BE49-F238E27FC236}">
              <a16:creationId xmlns:a16="http://schemas.microsoft.com/office/drawing/2014/main" id="{F2B75405-22C7-450D-ADA7-9169BBA1A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132389</xdr:colOff>
      <xdr:row>0</xdr:row>
      <xdr:rowOff>0</xdr:rowOff>
    </xdr:from>
    <xdr:to>
      <xdr:col>22</xdr:col>
      <xdr:colOff>766423</xdr:colOff>
      <xdr:row>12</xdr:row>
      <xdr:rowOff>64923</xdr:rowOff>
    </xdr:to>
    <xdr:graphicFrame macro="">
      <xdr:nvGraphicFramePr>
        <xdr:cNvPr id="7" name="Gráfico 6">
          <a:extLst>
            <a:ext uri="{FF2B5EF4-FFF2-40B4-BE49-F238E27FC236}">
              <a16:creationId xmlns:a16="http://schemas.microsoft.com/office/drawing/2014/main" id="{53D28FB2-7F5B-4B7D-8A52-439C58C5A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134126</xdr:colOff>
      <xdr:row>12</xdr:row>
      <xdr:rowOff>66701</xdr:rowOff>
    </xdr:from>
    <xdr:to>
      <xdr:col>23</xdr:col>
      <xdr:colOff>3493</xdr:colOff>
      <xdr:row>27</xdr:row>
      <xdr:rowOff>64575</xdr:rowOff>
    </xdr:to>
    <xdr:graphicFrame macro="">
      <xdr:nvGraphicFramePr>
        <xdr:cNvPr id="8" name="Gráfico 7">
          <a:extLst>
            <a:ext uri="{FF2B5EF4-FFF2-40B4-BE49-F238E27FC236}">
              <a16:creationId xmlns:a16="http://schemas.microsoft.com/office/drawing/2014/main" id="{2248B3F9-2C44-4498-9097-116FC7557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138810</xdr:colOff>
      <xdr:row>27</xdr:row>
      <xdr:rowOff>65170</xdr:rowOff>
    </xdr:from>
    <xdr:to>
      <xdr:col>23</xdr:col>
      <xdr:colOff>8177</xdr:colOff>
      <xdr:row>42</xdr:row>
      <xdr:rowOff>52196</xdr:rowOff>
    </xdr:to>
    <xdr:graphicFrame macro="">
      <xdr:nvGraphicFramePr>
        <xdr:cNvPr id="9" name="Gráfico 8">
          <a:extLst>
            <a:ext uri="{FF2B5EF4-FFF2-40B4-BE49-F238E27FC236}">
              <a16:creationId xmlns:a16="http://schemas.microsoft.com/office/drawing/2014/main" id="{3D9C6C07-431B-47E4-8C19-D3EC44FBE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20</xdr:row>
      <xdr:rowOff>-1</xdr:rowOff>
    </xdr:from>
    <xdr:to>
      <xdr:col>5</xdr:col>
      <xdr:colOff>648370</xdr:colOff>
      <xdr:row>40</xdr:row>
      <xdr:rowOff>127000</xdr:rowOff>
    </xdr:to>
    <xdr:pic>
      <xdr:nvPicPr>
        <xdr:cNvPr id="2" name="Imagen 1" descr="Global lithium production 2022 | Statista">
          <a:extLst>
            <a:ext uri="{FF2B5EF4-FFF2-40B4-BE49-F238E27FC236}">
              <a16:creationId xmlns:a16="http://schemas.microsoft.com/office/drawing/2014/main" id="{DDD4BF48-71EA-41E8-B3BE-32BCA3B177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4061459"/>
          <a:ext cx="5098449" cy="3784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95250</xdr:colOff>
      <xdr:row>20</xdr:row>
      <xdr:rowOff>0</xdr:rowOff>
    </xdr:from>
    <xdr:to>
      <xdr:col>15</xdr:col>
      <xdr:colOff>195713</xdr:colOff>
      <xdr:row>39</xdr:row>
      <xdr:rowOff>79376</xdr:rowOff>
    </xdr:to>
    <xdr:pic>
      <xdr:nvPicPr>
        <xdr:cNvPr id="3" name="Imagen 2">
          <a:extLst>
            <a:ext uri="{FF2B5EF4-FFF2-40B4-BE49-F238E27FC236}">
              <a16:creationId xmlns:a16="http://schemas.microsoft.com/office/drawing/2014/main" id="{8F1E75F2-49C0-4961-AB9F-7F67B399459F}"/>
            </a:ext>
          </a:extLst>
        </xdr:cNvPr>
        <xdr:cNvPicPr>
          <a:picLocks noChangeAspect="1"/>
        </xdr:cNvPicPr>
      </xdr:nvPicPr>
      <xdr:blipFill rotWithShape="1">
        <a:blip xmlns:r="http://schemas.openxmlformats.org/officeDocument/2006/relationships" r:embed="rId2"/>
        <a:srcRect l="12031" t="22776" r="12735" b="8882"/>
        <a:stretch/>
      </xdr:blipFill>
      <xdr:spPr>
        <a:xfrm>
          <a:off x="5337810" y="4061460"/>
          <a:ext cx="7232783" cy="3554096"/>
        </a:xfrm>
        <a:prstGeom prst="rect">
          <a:avLst/>
        </a:prstGeom>
      </xdr:spPr>
    </xdr:pic>
    <xdr:clientData/>
  </xdr:twoCellAnchor>
  <xdr:twoCellAnchor editAs="oneCell">
    <xdr:from>
      <xdr:col>15</xdr:col>
      <xdr:colOff>142875</xdr:colOff>
      <xdr:row>19</xdr:row>
      <xdr:rowOff>119062</xdr:rowOff>
    </xdr:from>
    <xdr:to>
      <xdr:col>20</xdr:col>
      <xdr:colOff>467985</xdr:colOff>
      <xdr:row>39</xdr:row>
      <xdr:rowOff>83342</xdr:rowOff>
    </xdr:to>
    <xdr:pic>
      <xdr:nvPicPr>
        <xdr:cNvPr id="4" name="Imagen 3">
          <a:extLst>
            <a:ext uri="{FF2B5EF4-FFF2-40B4-BE49-F238E27FC236}">
              <a16:creationId xmlns:a16="http://schemas.microsoft.com/office/drawing/2014/main" id="{16CFD5B0-8C7D-46B4-B8FE-B2FC43B43B30}"/>
            </a:ext>
          </a:extLst>
        </xdr:cNvPr>
        <xdr:cNvPicPr>
          <a:picLocks noChangeAspect="1"/>
        </xdr:cNvPicPr>
      </xdr:nvPicPr>
      <xdr:blipFill rotWithShape="1">
        <a:blip xmlns:r="http://schemas.openxmlformats.org/officeDocument/2006/relationships" r:embed="rId3"/>
        <a:srcRect l="18360" t="15296" r="29745" b="12598"/>
        <a:stretch/>
      </xdr:blipFill>
      <xdr:spPr>
        <a:xfrm>
          <a:off x="12517755" y="3997642"/>
          <a:ext cx="4508490" cy="3621880"/>
        </a:xfrm>
        <a:prstGeom prst="rect">
          <a:avLst/>
        </a:prstGeom>
      </xdr:spPr>
    </xdr:pic>
    <xdr:clientData/>
  </xdr:twoCellAnchor>
  <xdr:twoCellAnchor editAs="oneCell">
    <xdr:from>
      <xdr:col>0</xdr:col>
      <xdr:colOff>0</xdr:colOff>
      <xdr:row>43</xdr:row>
      <xdr:rowOff>60158</xdr:rowOff>
    </xdr:from>
    <xdr:to>
      <xdr:col>3</xdr:col>
      <xdr:colOff>227772</xdr:colOff>
      <xdr:row>61</xdr:row>
      <xdr:rowOff>110691</xdr:rowOff>
    </xdr:to>
    <xdr:pic>
      <xdr:nvPicPr>
        <xdr:cNvPr id="5" name="Imagen 4">
          <a:extLst>
            <a:ext uri="{FF2B5EF4-FFF2-40B4-BE49-F238E27FC236}">
              <a16:creationId xmlns:a16="http://schemas.microsoft.com/office/drawing/2014/main" id="{330D3548-FCE3-43D8-AEC0-B5725EB7A0C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0" y="8327858"/>
          <a:ext cx="3016692" cy="33423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286565</xdr:colOff>
      <xdr:row>43</xdr:row>
      <xdr:rowOff>40524</xdr:rowOff>
    </xdr:from>
    <xdr:to>
      <xdr:col>11</xdr:col>
      <xdr:colOff>227017</xdr:colOff>
      <xdr:row>70</xdr:row>
      <xdr:rowOff>141111</xdr:rowOff>
    </xdr:to>
    <xdr:pic>
      <xdr:nvPicPr>
        <xdr:cNvPr id="6" name="Imagen 5">
          <a:extLst>
            <a:ext uri="{FF2B5EF4-FFF2-40B4-BE49-F238E27FC236}">
              <a16:creationId xmlns:a16="http://schemas.microsoft.com/office/drawing/2014/main" id="{86BE63F3-A6B8-4376-9C22-9966824AF7AE}"/>
            </a:ext>
          </a:extLst>
        </xdr:cNvPr>
        <xdr:cNvPicPr>
          <a:picLocks noChangeAspect="1"/>
        </xdr:cNvPicPr>
      </xdr:nvPicPr>
      <xdr:blipFill rotWithShape="1">
        <a:blip xmlns:r="http://schemas.openxmlformats.org/officeDocument/2006/relationships" r:embed="rId5"/>
        <a:srcRect l="49117" t="19809" r="3785" b="15130"/>
        <a:stretch/>
      </xdr:blipFill>
      <xdr:spPr>
        <a:xfrm>
          <a:off x="3075485" y="8308224"/>
          <a:ext cx="6356492" cy="5038347"/>
        </a:xfrm>
        <a:prstGeom prst="rect">
          <a:avLst/>
        </a:prstGeom>
      </xdr:spPr>
    </xdr:pic>
    <xdr:clientData/>
  </xdr:twoCellAnchor>
  <xdr:twoCellAnchor editAs="oneCell">
    <xdr:from>
      <xdr:col>11</xdr:col>
      <xdr:colOff>588818</xdr:colOff>
      <xdr:row>42</xdr:row>
      <xdr:rowOff>173181</xdr:rowOff>
    </xdr:from>
    <xdr:to>
      <xdr:col>22</xdr:col>
      <xdr:colOff>486782</xdr:colOff>
      <xdr:row>65</xdr:row>
      <xdr:rowOff>141348</xdr:rowOff>
    </xdr:to>
    <xdr:pic>
      <xdr:nvPicPr>
        <xdr:cNvPr id="7" name="Imagen 6">
          <a:extLst>
            <a:ext uri="{FF2B5EF4-FFF2-40B4-BE49-F238E27FC236}">
              <a16:creationId xmlns:a16="http://schemas.microsoft.com/office/drawing/2014/main" id="{9887A470-1F0E-4CCC-B80C-A3B82D64F548}"/>
            </a:ext>
          </a:extLst>
        </xdr:cNvPr>
        <xdr:cNvPicPr>
          <a:picLocks noChangeAspect="1"/>
        </xdr:cNvPicPr>
      </xdr:nvPicPr>
      <xdr:blipFill rotWithShape="1">
        <a:blip xmlns:r="http://schemas.openxmlformats.org/officeDocument/2006/relationships" r:embed="rId6"/>
        <a:srcRect l="9661" t="11795" r="4912" b="15078"/>
        <a:stretch/>
      </xdr:blipFill>
      <xdr:spPr>
        <a:xfrm>
          <a:off x="9793778" y="8258001"/>
          <a:ext cx="9002320" cy="4174407"/>
        </a:xfrm>
        <a:prstGeom prst="rect">
          <a:avLst/>
        </a:prstGeom>
      </xdr:spPr>
    </xdr:pic>
    <xdr:clientData/>
  </xdr:twoCellAnchor>
  <xdr:twoCellAnchor editAs="oneCell">
    <xdr:from>
      <xdr:col>0</xdr:col>
      <xdr:colOff>0</xdr:colOff>
      <xdr:row>74</xdr:row>
      <xdr:rowOff>0</xdr:rowOff>
    </xdr:from>
    <xdr:to>
      <xdr:col>6</xdr:col>
      <xdr:colOff>265354</xdr:colOff>
      <xdr:row>90</xdr:row>
      <xdr:rowOff>60366</xdr:rowOff>
    </xdr:to>
    <xdr:pic>
      <xdr:nvPicPr>
        <xdr:cNvPr id="8" name="Imagen 7">
          <a:extLst>
            <a:ext uri="{FF2B5EF4-FFF2-40B4-BE49-F238E27FC236}">
              <a16:creationId xmlns:a16="http://schemas.microsoft.com/office/drawing/2014/main" id="{D291E5C3-6EBA-4488-BC06-92384AAB468D}"/>
            </a:ext>
          </a:extLst>
        </xdr:cNvPr>
        <xdr:cNvPicPr>
          <a:picLocks noChangeAspect="1"/>
        </xdr:cNvPicPr>
      </xdr:nvPicPr>
      <xdr:blipFill>
        <a:blip xmlns:r="http://schemas.openxmlformats.org/officeDocument/2006/relationships" r:embed="rId7"/>
        <a:stretch>
          <a:fillRect/>
        </a:stretch>
      </xdr:blipFill>
      <xdr:spPr>
        <a:xfrm>
          <a:off x="0" y="13936980"/>
          <a:ext cx="5507914" cy="2986446"/>
        </a:xfrm>
        <a:prstGeom prst="rect">
          <a:avLst/>
        </a:prstGeom>
      </xdr:spPr>
    </xdr:pic>
    <xdr:clientData/>
  </xdr:twoCellAnchor>
  <xdr:twoCellAnchor editAs="oneCell">
    <xdr:from>
      <xdr:col>6</xdr:col>
      <xdr:colOff>225136</xdr:colOff>
      <xdr:row>74</xdr:row>
      <xdr:rowOff>10526</xdr:rowOff>
    </xdr:from>
    <xdr:to>
      <xdr:col>13</xdr:col>
      <xdr:colOff>145066</xdr:colOff>
      <xdr:row>90</xdr:row>
      <xdr:rowOff>51953</xdr:rowOff>
    </xdr:to>
    <xdr:pic>
      <xdr:nvPicPr>
        <xdr:cNvPr id="9" name="Imagen 8">
          <a:extLst>
            <a:ext uri="{FF2B5EF4-FFF2-40B4-BE49-F238E27FC236}">
              <a16:creationId xmlns:a16="http://schemas.microsoft.com/office/drawing/2014/main" id="{C77D15A2-4F76-4B6E-B71E-001436FFD8C6}"/>
            </a:ext>
          </a:extLst>
        </xdr:cNvPr>
        <xdr:cNvPicPr>
          <a:picLocks noChangeAspect="1"/>
        </xdr:cNvPicPr>
      </xdr:nvPicPr>
      <xdr:blipFill>
        <a:blip xmlns:r="http://schemas.openxmlformats.org/officeDocument/2006/relationships" r:embed="rId8"/>
        <a:stretch>
          <a:fillRect/>
        </a:stretch>
      </xdr:blipFill>
      <xdr:spPr>
        <a:xfrm>
          <a:off x="5467696" y="13947506"/>
          <a:ext cx="5467290" cy="2967507"/>
        </a:xfrm>
        <a:prstGeom prst="rect">
          <a:avLst/>
        </a:prstGeom>
      </xdr:spPr>
    </xdr:pic>
    <xdr:clientData/>
  </xdr:twoCellAnchor>
  <xdr:twoCellAnchor editAs="oneCell">
    <xdr:from>
      <xdr:col>13</xdr:col>
      <xdr:colOff>51956</xdr:colOff>
      <xdr:row>74</xdr:row>
      <xdr:rowOff>18305</xdr:rowOff>
    </xdr:from>
    <xdr:to>
      <xdr:col>19</xdr:col>
      <xdr:colOff>551330</xdr:colOff>
      <xdr:row>90</xdr:row>
      <xdr:rowOff>56064</xdr:rowOff>
    </xdr:to>
    <xdr:pic>
      <xdr:nvPicPr>
        <xdr:cNvPr id="10" name="Imagen 9">
          <a:extLst>
            <a:ext uri="{FF2B5EF4-FFF2-40B4-BE49-F238E27FC236}">
              <a16:creationId xmlns:a16="http://schemas.microsoft.com/office/drawing/2014/main" id="{826EF6B1-7080-4CCD-A528-110C0F4BDCC8}"/>
            </a:ext>
          </a:extLst>
        </xdr:cNvPr>
        <xdr:cNvPicPr>
          <a:picLocks noChangeAspect="1"/>
        </xdr:cNvPicPr>
      </xdr:nvPicPr>
      <xdr:blipFill>
        <a:blip xmlns:r="http://schemas.openxmlformats.org/officeDocument/2006/relationships" r:embed="rId9"/>
        <a:stretch>
          <a:fillRect/>
        </a:stretch>
      </xdr:blipFill>
      <xdr:spPr>
        <a:xfrm>
          <a:off x="10841876" y="13955285"/>
          <a:ext cx="5475234" cy="2963839"/>
        </a:xfrm>
        <a:prstGeom prst="rect">
          <a:avLst/>
        </a:prstGeom>
      </xdr:spPr>
    </xdr:pic>
    <xdr:clientData/>
  </xdr:twoCellAnchor>
  <xdr:twoCellAnchor editAs="oneCell">
    <xdr:from>
      <xdr:col>20</xdr:col>
      <xdr:colOff>380792</xdr:colOff>
      <xdr:row>65</xdr:row>
      <xdr:rowOff>88900</xdr:rowOff>
    </xdr:from>
    <xdr:to>
      <xdr:col>26</xdr:col>
      <xdr:colOff>352995</xdr:colOff>
      <xdr:row>90</xdr:row>
      <xdr:rowOff>101599</xdr:rowOff>
    </xdr:to>
    <xdr:pic>
      <xdr:nvPicPr>
        <xdr:cNvPr id="11" name="Imagen 10" descr="U.S. EV adoption is happening faster than anticipated">
          <a:extLst>
            <a:ext uri="{FF2B5EF4-FFF2-40B4-BE49-F238E27FC236}">
              <a16:creationId xmlns:a16="http://schemas.microsoft.com/office/drawing/2014/main" id="{9885A46A-2DE1-4A7E-A354-E81A32C2B83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6939052" y="12379960"/>
          <a:ext cx="5022719" cy="4584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xdr:row>
      <xdr:rowOff>95251</xdr:rowOff>
    </xdr:from>
    <xdr:to>
      <xdr:col>10</xdr:col>
      <xdr:colOff>331164</xdr:colOff>
      <xdr:row>121</xdr:row>
      <xdr:rowOff>1</xdr:rowOff>
    </xdr:to>
    <xdr:pic>
      <xdr:nvPicPr>
        <xdr:cNvPr id="12" name="Imagen 11">
          <a:extLst>
            <a:ext uri="{FF2B5EF4-FFF2-40B4-BE49-F238E27FC236}">
              <a16:creationId xmlns:a16="http://schemas.microsoft.com/office/drawing/2014/main" id="{B7FF3FB6-99E3-407A-B1F4-9BDC2FAB0FB5}"/>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0" y="17324071"/>
          <a:ext cx="8743644" cy="52082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390292</xdr:colOff>
      <xdr:row>93</xdr:row>
      <xdr:rowOff>148680</xdr:rowOff>
    </xdr:from>
    <xdr:to>
      <xdr:col>20</xdr:col>
      <xdr:colOff>173969</xdr:colOff>
      <xdr:row>121</xdr:row>
      <xdr:rowOff>1</xdr:rowOff>
    </xdr:to>
    <xdr:pic>
      <xdr:nvPicPr>
        <xdr:cNvPr id="13" name="Imagen 12">
          <a:extLst>
            <a:ext uri="{FF2B5EF4-FFF2-40B4-BE49-F238E27FC236}">
              <a16:creationId xmlns:a16="http://schemas.microsoft.com/office/drawing/2014/main" id="{457B1814-BFF0-472C-9FD9-A168F2BDDF80}"/>
            </a:ext>
          </a:extLst>
        </xdr:cNvPr>
        <xdr:cNvPicPr>
          <a:picLocks noChangeAspect="1"/>
        </xdr:cNvPicPr>
      </xdr:nvPicPr>
      <xdr:blipFill rotWithShape="1">
        <a:blip xmlns:r="http://schemas.openxmlformats.org/officeDocument/2006/relationships" r:embed="rId12"/>
        <a:srcRect l="14534" t="38307" r="49587" b="21219"/>
        <a:stretch/>
      </xdr:blipFill>
      <xdr:spPr>
        <a:xfrm>
          <a:off x="8802772" y="17560380"/>
          <a:ext cx="7929457" cy="4971961"/>
        </a:xfrm>
        <a:prstGeom prst="rect">
          <a:avLst/>
        </a:prstGeom>
      </xdr:spPr>
    </xdr:pic>
    <xdr:clientData/>
  </xdr:twoCellAnchor>
  <xdr:twoCellAnchor editAs="oneCell">
    <xdr:from>
      <xdr:col>21</xdr:col>
      <xdr:colOff>464634</xdr:colOff>
      <xdr:row>92</xdr:row>
      <xdr:rowOff>18586</xdr:rowOff>
    </xdr:from>
    <xdr:to>
      <xdr:col>35</xdr:col>
      <xdr:colOff>139640</xdr:colOff>
      <xdr:row>125</xdr:row>
      <xdr:rowOff>0</xdr:rowOff>
    </xdr:to>
    <xdr:pic>
      <xdr:nvPicPr>
        <xdr:cNvPr id="14" name="Imagen 13">
          <a:extLst>
            <a:ext uri="{FF2B5EF4-FFF2-40B4-BE49-F238E27FC236}">
              <a16:creationId xmlns:a16="http://schemas.microsoft.com/office/drawing/2014/main" id="{4C1FB1A2-3C2D-4829-B87E-A4B0AA90DB9F}"/>
            </a:ext>
          </a:extLst>
        </xdr:cNvPr>
        <xdr:cNvPicPr>
          <a:picLocks noChangeAspect="1"/>
        </xdr:cNvPicPr>
      </xdr:nvPicPr>
      <xdr:blipFill rotWithShape="1">
        <a:blip xmlns:r="http://schemas.openxmlformats.org/officeDocument/2006/relationships" r:embed="rId13"/>
        <a:srcRect l="17685" t="32886" r="22043" b="7666"/>
        <a:stretch/>
      </xdr:blipFill>
      <xdr:spPr>
        <a:xfrm>
          <a:off x="17952534" y="17247406"/>
          <a:ext cx="10928203" cy="6016455"/>
        </a:xfrm>
        <a:prstGeom prst="rect">
          <a:avLst/>
        </a:prstGeom>
      </xdr:spPr>
    </xdr:pic>
    <xdr:clientData/>
  </xdr:twoCellAnchor>
  <xdr:twoCellAnchor editAs="oneCell">
    <xdr:from>
      <xdr:col>11</xdr:col>
      <xdr:colOff>550591</xdr:colOff>
      <xdr:row>124</xdr:row>
      <xdr:rowOff>36242</xdr:rowOff>
    </xdr:from>
    <xdr:to>
      <xdr:col>21</xdr:col>
      <xdr:colOff>550400</xdr:colOff>
      <xdr:row>147</xdr:row>
      <xdr:rowOff>59484</xdr:rowOff>
    </xdr:to>
    <xdr:pic>
      <xdr:nvPicPr>
        <xdr:cNvPr id="15" name="Imagen 14">
          <a:extLst>
            <a:ext uri="{FF2B5EF4-FFF2-40B4-BE49-F238E27FC236}">
              <a16:creationId xmlns:a16="http://schemas.microsoft.com/office/drawing/2014/main" id="{EEF15471-4AE8-4B18-9528-9C67230D5DC9}"/>
            </a:ext>
          </a:extLst>
        </xdr:cNvPr>
        <xdr:cNvPicPr>
          <a:picLocks noChangeAspect="1"/>
        </xdr:cNvPicPr>
      </xdr:nvPicPr>
      <xdr:blipFill rotWithShape="1">
        <a:blip xmlns:r="http://schemas.openxmlformats.org/officeDocument/2006/relationships" r:embed="rId14"/>
        <a:srcRect l="1056" t="9116" r="10422" b="9652"/>
        <a:stretch/>
      </xdr:blipFill>
      <xdr:spPr>
        <a:xfrm>
          <a:off x="9827941" y="24020192"/>
          <a:ext cx="8324659" cy="4404741"/>
        </a:xfrm>
        <a:prstGeom prst="rect">
          <a:avLst/>
        </a:prstGeom>
      </xdr:spPr>
    </xdr:pic>
    <xdr:clientData/>
  </xdr:twoCellAnchor>
  <xdr:twoCellAnchor>
    <xdr:from>
      <xdr:col>20</xdr:col>
      <xdr:colOff>476701</xdr:colOff>
      <xdr:row>21</xdr:row>
      <xdr:rowOff>14428</xdr:rowOff>
    </xdr:from>
    <xdr:to>
      <xdr:col>28</xdr:col>
      <xdr:colOff>139521</xdr:colOff>
      <xdr:row>35</xdr:row>
      <xdr:rowOff>160986</xdr:rowOff>
    </xdr:to>
    <xdr:graphicFrame macro="">
      <xdr:nvGraphicFramePr>
        <xdr:cNvPr id="16" name="Gráfico 15">
          <a:extLst>
            <a:ext uri="{FF2B5EF4-FFF2-40B4-BE49-F238E27FC236}">
              <a16:creationId xmlns:a16="http://schemas.microsoft.com/office/drawing/2014/main" id="{7A29FC94-9180-488D-BF3B-CC4A870F6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30</xdr:col>
      <xdr:colOff>651582</xdr:colOff>
      <xdr:row>15</xdr:row>
      <xdr:rowOff>163612</xdr:rowOff>
    </xdr:from>
    <xdr:to>
      <xdr:col>36</xdr:col>
      <xdr:colOff>461660</xdr:colOff>
      <xdr:row>31</xdr:row>
      <xdr:rowOff>104775</xdr:rowOff>
    </xdr:to>
    <xdr:graphicFrame macro="">
      <xdr:nvGraphicFramePr>
        <xdr:cNvPr id="17" name="Gráfico 16">
          <a:extLst>
            <a:ext uri="{FF2B5EF4-FFF2-40B4-BE49-F238E27FC236}">
              <a16:creationId xmlns:a16="http://schemas.microsoft.com/office/drawing/2014/main" id="{1015E8A2-41EC-4131-864E-E7C9B00BA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24</xdr:col>
      <xdr:colOff>38582</xdr:colOff>
      <xdr:row>12</xdr:row>
      <xdr:rowOff>135038</xdr:rowOff>
    </xdr:from>
    <xdr:to>
      <xdr:col>30</xdr:col>
      <xdr:colOff>639598</xdr:colOff>
      <xdr:row>27</xdr:row>
      <xdr:rowOff>112542</xdr:rowOff>
    </xdr:to>
    <xdr:graphicFrame macro="">
      <xdr:nvGraphicFramePr>
        <xdr:cNvPr id="18" name="Gráfico 17">
          <a:extLst>
            <a:ext uri="{FF2B5EF4-FFF2-40B4-BE49-F238E27FC236}">
              <a16:creationId xmlns:a16="http://schemas.microsoft.com/office/drawing/2014/main" id="{DB2CC7CA-EADE-413B-ADEB-A2D5E0B48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32</xdr:col>
      <xdr:colOff>75908</xdr:colOff>
      <xdr:row>1</xdr:row>
      <xdr:rowOff>28575</xdr:rowOff>
    </xdr:from>
    <xdr:to>
      <xdr:col>37</xdr:col>
      <xdr:colOff>676924</xdr:colOff>
      <xdr:row>14</xdr:row>
      <xdr:rowOff>28575</xdr:rowOff>
    </xdr:to>
    <xdr:graphicFrame macro="">
      <xdr:nvGraphicFramePr>
        <xdr:cNvPr id="19" name="Gráfico 18">
          <a:extLst>
            <a:ext uri="{FF2B5EF4-FFF2-40B4-BE49-F238E27FC236}">
              <a16:creationId xmlns:a16="http://schemas.microsoft.com/office/drawing/2014/main" id="{298E6BC5-353C-48DB-A0BC-06584B0C9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203489</xdr:colOff>
      <xdr:row>7</xdr:row>
      <xdr:rowOff>13855</xdr:rowOff>
    </xdr:from>
    <xdr:to>
      <xdr:col>17</xdr:col>
      <xdr:colOff>766330</xdr:colOff>
      <xdr:row>21</xdr:row>
      <xdr:rowOff>167987</xdr:rowOff>
    </xdr:to>
    <xdr:graphicFrame macro="">
      <xdr:nvGraphicFramePr>
        <xdr:cNvPr id="20" name="Gráfico 19">
          <a:extLst>
            <a:ext uri="{FF2B5EF4-FFF2-40B4-BE49-F238E27FC236}">
              <a16:creationId xmlns:a16="http://schemas.microsoft.com/office/drawing/2014/main" id="{96387E5B-F90C-2DDB-8EEE-A872C91CF2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0</xdr:col>
      <xdr:colOff>0</xdr:colOff>
      <xdr:row>121</xdr:row>
      <xdr:rowOff>133349</xdr:rowOff>
    </xdr:from>
    <xdr:to>
      <xdr:col>9</xdr:col>
      <xdr:colOff>590550</xdr:colOff>
      <xdr:row>149</xdr:row>
      <xdr:rowOff>15452</xdr:rowOff>
    </xdr:to>
    <xdr:pic>
      <xdr:nvPicPr>
        <xdr:cNvPr id="21" name="Imagen 20">
          <a:extLst>
            <a:ext uri="{FF2B5EF4-FFF2-40B4-BE49-F238E27FC236}">
              <a16:creationId xmlns:a16="http://schemas.microsoft.com/office/drawing/2014/main" id="{4C3FCC37-B0D0-1413-611E-707BF35FE4FD}"/>
            </a:ext>
          </a:extLst>
        </xdr:cNvPr>
        <xdr:cNvPicPr>
          <a:picLocks noChangeAspect="1"/>
        </xdr:cNvPicPr>
      </xdr:nvPicPr>
      <xdr:blipFill rotWithShape="1">
        <a:blip xmlns:r="http://schemas.openxmlformats.org/officeDocument/2006/relationships" r:embed="rId20"/>
        <a:srcRect l="45958" t="37951" r="8474" b="13112"/>
        <a:stretch/>
      </xdr:blipFill>
      <xdr:spPr>
        <a:xfrm>
          <a:off x="0" y="23545799"/>
          <a:ext cx="8267700" cy="521610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32</xdr:row>
      <xdr:rowOff>38728</xdr:rowOff>
    </xdr:from>
    <xdr:to>
      <xdr:col>8</xdr:col>
      <xdr:colOff>177731</xdr:colOff>
      <xdr:row>47</xdr:row>
      <xdr:rowOff>119589</xdr:rowOff>
    </xdr:to>
    <xdr:graphicFrame macro="">
      <xdr:nvGraphicFramePr>
        <xdr:cNvPr id="5" name="Gráfico 4">
          <a:extLst>
            <a:ext uri="{FF2B5EF4-FFF2-40B4-BE49-F238E27FC236}">
              <a16:creationId xmlns:a16="http://schemas.microsoft.com/office/drawing/2014/main" id="{1CE5435E-F4B2-655F-BF14-C868FEB7FE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217715</xdr:colOff>
      <xdr:row>32</xdr:row>
      <xdr:rowOff>40481</xdr:rowOff>
    </xdr:from>
    <xdr:to>
      <xdr:col>16</xdr:col>
      <xdr:colOff>18569</xdr:colOff>
      <xdr:row>51</xdr:row>
      <xdr:rowOff>180820</xdr:rowOff>
    </xdr:to>
    <xdr:graphicFrame macro="">
      <xdr:nvGraphicFramePr>
        <xdr:cNvPr id="6" name="Gráfico 5">
          <a:extLst>
            <a:ext uri="{FF2B5EF4-FFF2-40B4-BE49-F238E27FC236}">
              <a16:creationId xmlns:a16="http://schemas.microsoft.com/office/drawing/2014/main" id="{3D11C727-DAEB-4EA8-8949-18825C39A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47</xdr:row>
      <xdr:rowOff>127279</xdr:rowOff>
    </xdr:from>
    <xdr:to>
      <xdr:col>6</xdr:col>
      <xdr:colOff>594527</xdr:colOff>
      <xdr:row>62</xdr:row>
      <xdr:rowOff>107183</xdr:rowOff>
    </xdr:to>
    <xdr:graphicFrame macro="">
      <xdr:nvGraphicFramePr>
        <xdr:cNvPr id="9" name="Gráfico 8">
          <a:extLst>
            <a:ext uri="{FF2B5EF4-FFF2-40B4-BE49-F238E27FC236}">
              <a16:creationId xmlns:a16="http://schemas.microsoft.com/office/drawing/2014/main" id="{5982EE7B-8877-FEA3-219A-DE24D404C3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462807</xdr:colOff>
      <xdr:row>46</xdr:row>
      <xdr:rowOff>4812</xdr:rowOff>
    </xdr:from>
    <xdr:to>
      <xdr:col>15</xdr:col>
      <xdr:colOff>269941</xdr:colOff>
      <xdr:row>65</xdr:row>
      <xdr:rowOff>167719</xdr:rowOff>
    </xdr:to>
    <xdr:graphicFrame macro="">
      <xdr:nvGraphicFramePr>
        <xdr:cNvPr id="10" name="Gráfico 9">
          <a:extLst>
            <a:ext uri="{FF2B5EF4-FFF2-40B4-BE49-F238E27FC236}">
              <a16:creationId xmlns:a16="http://schemas.microsoft.com/office/drawing/2014/main" id="{4569ABC7-7210-433E-88AA-62F74375A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373620</xdr:colOff>
      <xdr:row>65</xdr:row>
      <xdr:rowOff>6905</xdr:rowOff>
    </xdr:from>
    <xdr:to>
      <xdr:col>12</xdr:col>
      <xdr:colOff>455796</xdr:colOff>
      <xdr:row>79</xdr:row>
      <xdr:rowOff>156901</xdr:rowOff>
    </xdr:to>
    <xdr:graphicFrame macro="">
      <xdr:nvGraphicFramePr>
        <xdr:cNvPr id="11" name="Gráfico 10">
          <a:extLst>
            <a:ext uri="{FF2B5EF4-FFF2-40B4-BE49-F238E27FC236}">
              <a16:creationId xmlns:a16="http://schemas.microsoft.com/office/drawing/2014/main" id="{CA915963-0AAC-7677-A48A-30FE802D8F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612249</xdr:colOff>
      <xdr:row>78</xdr:row>
      <xdr:rowOff>30673</xdr:rowOff>
    </xdr:from>
    <xdr:to>
      <xdr:col>11</xdr:col>
      <xdr:colOff>694426</xdr:colOff>
      <xdr:row>93</xdr:row>
      <xdr:rowOff>89893</xdr:rowOff>
    </xdr:to>
    <xdr:graphicFrame macro="">
      <xdr:nvGraphicFramePr>
        <xdr:cNvPr id="12" name="Gráfico 11">
          <a:extLst>
            <a:ext uri="{FF2B5EF4-FFF2-40B4-BE49-F238E27FC236}">
              <a16:creationId xmlns:a16="http://schemas.microsoft.com/office/drawing/2014/main" id="{BA41A0A1-905C-CB13-D9DF-49CCA9B4C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78</xdr:row>
      <xdr:rowOff>38693</xdr:rowOff>
    </xdr:from>
    <xdr:to>
      <xdr:col>6</xdr:col>
      <xdr:colOff>612588</xdr:colOff>
      <xdr:row>93</xdr:row>
      <xdr:rowOff>97913</xdr:rowOff>
    </xdr:to>
    <xdr:graphicFrame macro="">
      <xdr:nvGraphicFramePr>
        <xdr:cNvPr id="13" name="Gráfico 12">
          <a:extLst>
            <a:ext uri="{FF2B5EF4-FFF2-40B4-BE49-F238E27FC236}">
              <a16:creationId xmlns:a16="http://schemas.microsoft.com/office/drawing/2014/main" id="{216EF03D-A999-CB54-6F48-B593E6D87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39837</xdr:colOff>
      <xdr:row>95</xdr:row>
      <xdr:rowOff>63025</xdr:rowOff>
    </xdr:from>
    <xdr:to>
      <xdr:col>19</xdr:col>
      <xdr:colOff>778041</xdr:colOff>
      <xdr:row>112</xdr:row>
      <xdr:rowOff>43143</xdr:rowOff>
    </xdr:to>
    <xdr:graphicFrame macro="">
      <xdr:nvGraphicFramePr>
        <xdr:cNvPr id="3" name="Gráfico 2">
          <a:extLst>
            <a:ext uri="{FF2B5EF4-FFF2-40B4-BE49-F238E27FC236}">
              <a16:creationId xmlns:a16="http://schemas.microsoft.com/office/drawing/2014/main" id="{BCF6278E-3EED-0A44-A748-D4E1DE24CB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11547</xdr:colOff>
      <xdr:row>93</xdr:row>
      <xdr:rowOff>183292</xdr:rowOff>
    </xdr:from>
    <xdr:to>
      <xdr:col>25</xdr:col>
      <xdr:colOff>619088</xdr:colOff>
      <xdr:row>108</xdr:row>
      <xdr:rowOff>146221</xdr:rowOff>
    </xdr:to>
    <xdr:graphicFrame macro="">
      <xdr:nvGraphicFramePr>
        <xdr:cNvPr id="4" name="Gráfico 3">
          <a:extLst>
            <a:ext uri="{FF2B5EF4-FFF2-40B4-BE49-F238E27FC236}">
              <a16:creationId xmlns:a16="http://schemas.microsoft.com/office/drawing/2014/main" id="{832E2F83-1201-9D5A-A04E-0B1D777A28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43684</xdr:colOff>
      <xdr:row>135</xdr:row>
      <xdr:rowOff>73668</xdr:rowOff>
    </xdr:from>
    <xdr:to>
      <xdr:col>6</xdr:col>
      <xdr:colOff>235829</xdr:colOff>
      <xdr:row>149</xdr:row>
      <xdr:rowOff>146605</xdr:rowOff>
    </xdr:to>
    <xdr:pic>
      <xdr:nvPicPr>
        <xdr:cNvPr id="7" name="Imagen 6">
          <a:extLst>
            <a:ext uri="{FF2B5EF4-FFF2-40B4-BE49-F238E27FC236}">
              <a16:creationId xmlns:a16="http://schemas.microsoft.com/office/drawing/2014/main" id="{EC172E6F-691F-4F69-9E3D-A3614E65609E}"/>
            </a:ext>
          </a:extLst>
        </xdr:cNvPr>
        <xdr:cNvPicPr>
          <a:picLocks noChangeAspect="1"/>
        </xdr:cNvPicPr>
      </xdr:nvPicPr>
      <xdr:blipFill rotWithShape="1">
        <a:blip xmlns:r="http://schemas.openxmlformats.org/officeDocument/2006/relationships" r:embed="rId10"/>
        <a:srcRect l="14534" t="38307" r="49587" b="21219"/>
        <a:stretch/>
      </xdr:blipFill>
      <xdr:spPr>
        <a:xfrm>
          <a:off x="1628644" y="24884388"/>
          <a:ext cx="4266305" cy="2633257"/>
        </a:xfrm>
        <a:prstGeom prst="rect">
          <a:avLst/>
        </a:prstGeom>
      </xdr:spPr>
    </xdr:pic>
    <xdr:clientData/>
  </xdr:twoCellAnchor>
  <xdr:twoCellAnchor editAs="oneCell">
    <xdr:from>
      <xdr:col>19</xdr:col>
      <xdr:colOff>145761</xdr:colOff>
      <xdr:row>110</xdr:row>
      <xdr:rowOff>173182</xdr:rowOff>
    </xdr:from>
    <xdr:to>
      <xdr:col>29</xdr:col>
      <xdr:colOff>561399</xdr:colOff>
      <xdr:row>135</xdr:row>
      <xdr:rowOff>89104</xdr:rowOff>
    </xdr:to>
    <xdr:pic>
      <xdr:nvPicPr>
        <xdr:cNvPr id="8" name="Imagen 7">
          <a:extLst>
            <a:ext uri="{FF2B5EF4-FFF2-40B4-BE49-F238E27FC236}">
              <a16:creationId xmlns:a16="http://schemas.microsoft.com/office/drawing/2014/main" id="{4378AB2B-ADB9-4FA7-AD25-A6915EA17F30}"/>
            </a:ext>
          </a:extLst>
        </xdr:cNvPr>
        <xdr:cNvPicPr>
          <a:picLocks noChangeAspect="1"/>
        </xdr:cNvPicPr>
      </xdr:nvPicPr>
      <xdr:blipFill>
        <a:blip xmlns:r="http://schemas.openxmlformats.org/officeDocument/2006/relationships" r:embed="rId11"/>
        <a:stretch>
          <a:fillRect/>
        </a:stretch>
      </xdr:blipFill>
      <xdr:spPr>
        <a:xfrm>
          <a:off x="14941261" y="21128182"/>
          <a:ext cx="8353137" cy="4627622"/>
        </a:xfrm>
        <a:prstGeom prst="rect">
          <a:avLst/>
        </a:prstGeom>
      </xdr:spPr>
    </xdr:pic>
    <xdr:clientData/>
  </xdr:twoCellAnchor>
  <xdr:twoCellAnchor>
    <xdr:from>
      <xdr:col>13</xdr:col>
      <xdr:colOff>28096</xdr:colOff>
      <xdr:row>112</xdr:row>
      <xdr:rowOff>72737</xdr:rowOff>
    </xdr:from>
    <xdr:to>
      <xdr:col>18</xdr:col>
      <xdr:colOff>616914</xdr:colOff>
      <xdr:row>126</xdr:row>
      <xdr:rowOff>185113</xdr:rowOff>
    </xdr:to>
    <xdr:graphicFrame macro="">
      <xdr:nvGraphicFramePr>
        <xdr:cNvPr id="15" name="Gráfico 14">
          <a:extLst>
            <a:ext uri="{FF2B5EF4-FFF2-40B4-BE49-F238E27FC236}">
              <a16:creationId xmlns:a16="http://schemas.microsoft.com/office/drawing/2014/main" id="{861A18DB-D969-7570-F8A4-307F4F5E21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13</xdr:col>
      <xdr:colOff>12096</xdr:colOff>
      <xdr:row>134</xdr:row>
      <xdr:rowOff>12096</xdr:rowOff>
    </xdr:from>
    <xdr:to>
      <xdr:col>18</xdr:col>
      <xdr:colOff>366315</xdr:colOff>
      <xdr:row>149</xdr:row>
      <xdr:rowOff>145143</xdr:rowOff>
    </xdr:to>
    <xdr:pic>
      <xdr:nvPicPr>
        <xdr:cNvPr id="16" name="Imagen 15" descr="3 Crazy Facts About Texas Energy Production - ElectricityRates.com">
          <a:extLst>
            <a:ext uri="{FF2B5EF4-FFF2-40B4-BE49-F238E27FC236}">
              <a16:creationId xmlns:a16="http://schemas.microsoft.com/office/drawing/2014/main" id="{38B061B9-E086-FE0B-14A0-B20631362FD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1804953" y="24396096"/>
          <a:ext cx="4345648" cy="28544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158749</xdr:colOff>
      <xdr:row>135</xdr:row>
      <xdr:rowOff>141818</xdr:rowOff>
    </xdr:from>
    <xdr:to>
      <xdr:col>25</xdr:col>
      <xdr:colOff>22224</xdr:colOff>
      <xdr:row>150</xdr:row>
      <xdr:rowOff>91018</xdr:rowOff>
    </xdr:to>
    <xdr:graphicFrame macro="">
      <xdr:nvGraphicFramePr>
        <xdr:cNvPr id="2" name="Gráfico 1">
          <a:extLst>
            <a:ext uri="{FF2B5EF4-FFF2-40B4-BE49-F238E27FC236}">
              <a16:creationId xmlns:a16="http://schemas.microsoft.com/office/drawing/2014/main" id="{3F1B607E-34FC-A439-483C-6A7F37A70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103325</xdr:colOff>
      <xdr:row>87</xdr:row>
      <xdr:rowOff>12915</xdr:rowOff>
    </xdr:from>
    <xdr:to>
      <xdr:col>18</xdr:col>
      <xdr:colOff>245391</xdr:colOff>
      <xdr:row>102</xdr:row>
      <xdr:rowOff>61911</xdr:rowOff>
    </xdr:to>
    <xdr:graphicFrame macro="">
      <xdr:nvGraphicFramePr>
        <xdr:cNvPr id="14" name="Gráfico 13">
          <a:extLst>
            <a:ext uri="{FF2B5EF4-FFF2-40B4-BE49-F238E27FC236}">
              <a16:creationId xmlns:a16="http://schemas.microsoft.com/office/drawing/2014/main" id="{7A5868B8-28B1-45E0-96BE-CF3AF0207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25</xdr:col>
      <xdr:colOff>733778</xdr:colOff>
      <xdr:row>93</xdr:row>
      <xdr:rowOff>155222</xdr:rowOff>
    </xdr:from>
    <xdr:to>
      <xdr:col>31</xdr:col>
      <xdr:colOff>578556</xdr:colOff>
      <xdr:row>108</xdr:row>
      <xdr:rowOff>104422</xdr:rowOff>
    </xdr:to>
    <xdr:graphicFrame macro="">
      <xdr:nvGraphicFramePr>
        <xdr:cNvPr id="17" name="Gráfico 16">
          <a:extLst>
            <a:ext uri="{FF2B5EF4-FFF2-40B4-BE49-F238E27FC236}">
              <a16:creationId xmlns:a16="http://schemas.microsoft.com/office/drawing/2014/main" id="{59D0DB57-602A-436D-8A33-A39736190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12</xdr:col>
      <xdr:colOff>566339</xdr:colOff>
      <xdr:row>51</xdr:row>
      <xdr:rowOff>133749</xdr:rowOff>
    </xdr:from>
    <xdr:to>
      <xdr:col>23</xdr:col>
      <xdr:colOff>551271</xdr:colOff>
      <xdr:row>81</xdr:row>
      <xdr:rowOff>137211</xdr:rowOff>
    </xdr:to>
    <xdr:graphicFrame macro="">
      <xdr:nvGraphicFramePr>
        <xdr:cNvPr id="5" name="Gráfico 4">
          <a:extLst>
            <a:ext uri="{FF2B5EF4-FFF2-40B4-BE49-F238E27FC236}">
              <a16:creationId xmlns:a16="http://schemas.microsoft.com/office/drawing/2014/main" id="{8203C9D3-AC25-3018-CD8A-56F03297E2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521605</xdr:colOff>
      <xdr:row>0</xdr:row>
      <xdr:rowOff>0</xdr:rowOff>
    </xdr:from>
    <xdr:to>
      <xdr:col>21</xdr:col>
      <xdr:colOff>727226</xdr:colOff>
      <xdr:row>15</xdr:row>
      <xdr:rowOff>145141</xdr:rowOff>
    </xdr:to>
    <xdr:graphicFrame macro="">
      <xdr:nvGraphicFramePr>
        <xdr:cNvPr id="6" name="Gráfico 5">
          <a:extLst>
            <a:ext uri="{FF2B5EF4-FFF2-40B4-BE49-F238E27FC236}">
              <a16:creationId xmlns:a16="http://schemas.microsoft.com/office/drawing/2014/main" id="{F7D47731-D573-87C6-E010-DD11F672C7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513475</xdr:colOff>
      <xdr:row>15</xdr:row>
      <xdr:rowOff>89411</xdr:rowOff>
    </xdr:from>
    <xdr:to>
      <xdr:col>21</xdr:col>
      <xdr:colOff>719096</xdr:colOff>
      <xdr:row>33</xdr:row>
      <xdr:rowOff>149885</xdr:rowOff>
    </xdr:to>
    <xdr:graphicFrame macro="">
      <xdr:nvGraphicFramePr>
        <xdr:cNvPr id="7" name="Gráfico 6">
          <a:extLst>
            <a:ext uri="{FF2B5EF4-FFF2-40B4-BE49-F238E27FC236}">
              <a16:creationId xmlns:a16="http://schemas.microsoft.com/office/drawing/2014/main" id="{E7278B89-0378-4B92-B622-110FD2012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510375</xdr:colOff>
      <xdr:row>33</xdr:row>
      <xdr:rowOff>73716</xdr:rowOff>
    </xdr:from>
    <xdr:to>
      <xdr:col>21</xdr:col>
      <xdr:colOff>718645</xdr:colOff>
      <xdr:row>51</xdr:row>
      <xdr:rowOff>134190</xdr:rowOff>
    </xdr:to>
    <xdr:graphicFrame macro="">
      <xdr:nvGraphicFramePr>
        <xdr:cNvPr id="8" name="Gráfico 7">
          <a:extLst>
            <a:ext uri="{FF2B5EF4-FFF2-40B4-BE49-F238E27FC236}">
              <a16:creationId xmlns:a16="http://schemas.microsoft.com/office/drawing/2014/main" id="{A68437C7-0C1D-4080-90C4-9DB18A6C4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xdr:colOff>
      <xdr:row>19</xdr:row>
      <xdr:rowOff>-1</xdr:rowOff>
    </xdr:from>
    <xdr:to>
      <xdr:col>5</xdr:col>
      <xdr:colOff>648370</xdr:colOff>
      <xdr:row>39</xdr:row>
      <xdr:rowOff>127000</xdr:rowOff>
    </xdr:to>
    <xdr:pic>
      <xdr:nvPicPr>
        <xdr:cNvPr id="2" name="Imagen 1" descr="Global lithium production 2022 | Statista">
          <a:extLst>
            <a:ext uri="{FF2B5EF4-FFF2-40B4-BE49-F238E27FC236}">
              <a16:creationId xmlns:a16="http://schemas.microsoft.com/office/drawing/2014/main" id="{6B884938-17A0-563B-4FF8-6D151ADB68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3619499"/>
          <a:ext cx="5097338" cy="3937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95250</xdr:colOff>
      <xdr:row>19</xdr:row>
      <xdr:rowOff>0</xdr:rowOff>
    </xdr:from>
    <xdr:to>
      <xdr:col>15</xdr:col>
      <xdr:colOff>195713</xdr:colOff>
      <xdr:row>38</xdr:row>
      <xdr:rowOff>79376</xdr:rowOff>
    </xdr:to>
    <xdr:pic>
      <xdr:nvPicPr>
        <xdr:cNvPr id="3" name="Imagen 2">
          <a:extLst>
            <a:ext uri="{FF2B5EF4-FFF2-40B4-BE49-F238E27FC236}">
              <a16:creationId xmlns:a16="http://schemas.microsoft.com/office/drawing/2014/main" id="{53A955FF-6BA4-CFB9-10C3-C4B0B196F677}"/>
            </a:ext>
          </a:extLst>
        </xdr:cNvPr>
        <xdr:cNvPicPr>
          <a:picLocks noChangeAspect="1"/>
        </xdr:cNvPicPr>
      </xdr:nvPicPr>
      <xdr:blipFill rotWithShape="1">
        <a:blip xmlns:r="http://schemas.openxmlformats.org/officeDocument/2006/relationships" r:embed="rId2"/>
        <a:srcRect l="12031" t="22776" r="12735" b="8882"/>
        <a:stretch/>
      </xdr:blipFill>
      <xdr:spPr>
        <a:xfrm>
          <a:off x="5080000" y="3619500"/>
          <a:ext cx="7244212" cy="3698875"/>
        </a:xfrm>
        <a:prstGeom prst="rect">
          <a:avLst/>
        </a:prstGeom>
      </xdr:spPr>
    </xdr:pic>
    <xdr:clientData/>
  </xdr:twoCellAnchor>
  <xdr:twoCellAnchor editAs="oneCell">
    <xdr:from>
      <xdr:col>15</xdr:col>
      <xdr:colOff>142875</xdr:colOff>
      <xdr:row>18</xdr:row>
      <xdr:rowOff>119062</xdr:rowOff>
    </xdr:from>
    <xdr:to>
      <xdr:col>20</xdr:col>
      <xdr:colOff>467985</xdr:colOff>
      <xdr:row>38</xdr:row>
      <xdr:rowOff>83342</xdr:rowOff>
    </xdr:to>
    <xdr:pic>
      <xdr:nvPicPr>
        <xdr:cNvPr id="5" name="Imagen 4">
          <a:extLst>
            <a:ext uri="{FF2B5EF4-FFF2-40B4-BE49-F238E27FC236}">
              <a16:creationId xmlns:a16="http://schemas.microsoft.com/office/drawing/2014/main" id="{BB87124D-48AB-7FA7-75CA-71EB562164C4}"/>
            </a:ext>
          </a:extLst>
        </xdr:cNvPr>
        <xdr:cNvPicPr>
          <a:picLocks noChangeAspect="1"/>
        </xdr:cNvPicPr>
      </xdr:nvPicPr>
      <xdr:blipFill rotWithShape="1">
        <a:blip xmlns:r="http://schemas.openxmlformats.org/officeDocument/2006/relationships" r:embed="rId3"/>
        <a:srcRect l="18360" t="15296" r="29745" b="12598"/>
        <a:stretch/>
      </xdr:blipFill>
      <xdr:spPr>
        <a:xfrm>
          <a:off x="12584906" y="3917156"/>
          <a:ext cx="4524375" cy="3536156"/>
        </a:xfrm>
        <a:prstGeom prst="rect">
          <a:avLst/>
        </a:prstGeom>
      </xdr:spPr>
    </xdr:pic>
    <xdr:clientData/>
  </xdr:twoCellAnchor>
  <xdr:twoCellAnchor editAs="oneCell">
    <xdr:from>
      <xdr:col>0</xdr:col>
      <xdr:colOff>0</xdr:colOff>
      <xdr:row>42</xdr:row>
      <xdr:rowOff>60158</xdr:rowOff>
    </xdr:from>
    <xdr:to>
      <xdr:col>3</xdr:col>
      <xdr:colOff>227772</xdr:colOff>
      <xdr:row>60</xdr:row>
      <xdr:rowOff>110691</xdr:rowOff>
    </xdr:to>
    <xdr:pic>
      <xdr:nvPicPr>
        <xdr:cNvPr id="6" name="Imagen 5">
          <a:extLst>
            <a:ext uri="{FF2B5EF4-FFF2-40B4-BE49-F238E27FC236}">
              <a16:creationId xmlns:a16="http://schemas.microsoft.com/office/drawing/2014/main" id="{A25BCA92-5EA3-3BFB-AD47-9026D05AFB2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0" y="8221579"/>
          <a:ext cx="3035140" cy="3299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286565</xdr:colOff>
      <xdr:row>42</xdr:row>
      <xdr:rowOff>40524</xdr:rowOff>
    </xdr:from>
    <xdr:to>
      <xdr:col>11</xdr:col>
      <xdr:colOff>227017</xdr:colOff>
      <xdr:row>69</xdr:row>
      <xdr:rowOff>141111</xdr:rowOff>
    </xdr:to>
    <xdr:pic>
      <xdr:nvPicPr>
        <xdr:cNvPr id="7" name="Imagen 6">
          <a:extLst>
            <a:ext uri="{FF2B5EF4-FFF2-40B4-BE49-F238E27FC236}">
              <a16:creationId xmlns:a16="http://schemas.microsoft.com/office/drawing/2014/main" id="{922443F3-B189-9EB4-B47B-C7F19B7D0AA2}"/>
            </a:ext>
          </a:extLst>
        </xdr:cNvPr>
        <xdr:cNvPicPr>
          <a:picLocks noChangeAspect="1"/>
        </xdr:cNvPicPr>
      </xdr:nvPicPr>
      <xdr:blipFill rotWithShape="1">
        <a:blip xmlns:r="http://schemas.openxmlformats.org/officeDocument/2006/relationships" r:embed="rId5"/>
        <a:srcRect l="49117" t="19809" r="3785" b="15130"/>
        <a:stretch/>
      </xdr:blipFill>
      <xdr:spPr>
        <a:xfrm>
          <a:off x="3071158" y="8140302"/>
          <a:ext cx="6337489" cy="4926587"/>
        </a:xfrm>
        <a:prstGeom prst="rect">
          <a:avLst/>
        </a:prstGeom>
      </xdr:spPr>
    </xdr:pic>
    <xdr:clientData/>
  </xdr:twoCellAnchor>
  <xdr:twoCellAnchor editAs="oneCell">
    <xdr:from>
      <xdr:col>11</xdr:col>
      <xdr:colOff>588818</xdr:colOff>
      <xdr:row>41</xdr:row>
      <xdr:rowOff>173181</xdr:rowOff>
    </xdr:from>
    <xdr:to>
      <xdr:col>22</xdr:col>
      <xdr:colOff>515718</xdr:colOff>
      <xdr:row>64</xdr:row>
      <xdr:rowOff>141348</xdr:rowOff>
    </xdr:to>
    <xdr:pic>
      <xdr:nvPicPr>
        <xdr:cNvPr id="8" name="Imagen 7">
          <a:extLst>
            <a:ext uri="{FF2B5EF4-FFF2-40B4-BE49-F238E27FC236}">
              <a16:creationId xmlns:a16="http://schemas.microsoft.com/office/drawing/2014/main" id="{3F719564-C1DE-F552-DBB1-EA5FD85DD16A}"/>
            </a:ext>
          </a:extLst>
        </xdr:cNvPr>
        <xdr:cNvPicPr>
          <a:picLocks noChangeAspect="1"/>
        </xdr:cNvPicPr>
      </xdr:nvPicPr>
      <xdr:blipFill rotWithShape="1">
        <a:blip xmlns:r="http://schemas.openxmlformats.org/officeDocument/2006/relationships" r:embed="rId6"/>
        <a:srcRect l="9661" t="11795" r="4912" b="15078"/>
        <a:stretch/>
      </xdr:blipFill>
      <xdr:spPr>
        <a:xfrm>
          <a:off x="9836727" y="8537863"/>
          <a:ext cx="9040092" cy="4349667"/>
        </a:xfrm>
        <a:prstGeom prst="rect">
          <a:avLst/>
        </a:prstGeom>
      </xdr:spPr>
    </xdr:pic>
    <xdr:clientData/>
  </xdr:twoCellAnchor>
  <xdr:twoCellAnchor editAs="oneCell">
    <xdr:from>
      <xdr:col>0</xdr:col>
      <xdr:colOff>0</xdr:colOff>
      <xdr:row>73</xdr:row>
      <xdr:rowOff>0</xdr:rowOff>
    </xdr:from>
    <xdr:to>
      <xdr:col>6</xdr:col>
      <xdr:colOff>265354</xdr:colOff>
      <xdr:row>89</xdr:row>
      <xdr:rowOff>60366</xdr:rowOff>
    </xdr:to>
    <xdr:pic>
      <xdr:nvPicPr>
        <xdr:cNvPr id="9" name="Imagen 8">
          <a:extLst>
            <a:ext uri="{FF2B5EF4-FFF2-40B4-BE49-F238E27FC236}">
              <a16:creationId xmlns:a16="http://schemas.microsoft.com/office/drawing/2014/main" id="{E9D40C14-69F5-B2B9-4C23-2E81E564DF31}"/>
            </a:ext>
          </a:extLst>
        </xdr:cNvPr>
        <xdr:cNvPicPr>
          <a:picLocks noChangeAspect="1"/>
        </xdr:cNvPicPr>
      </xdr:nvPicPr>
      <xdr:blipFill>
        <a:blip xmlns:r="http://schemas.openxmlformats.org/officeDocument/2006/relationships" r:embed="rId7"/>
        <a:stretch>
          <a:fillRect/>
        </a:stretch>
      </xdr:blipFill>
      <xdr:spPr>
        <a:xfrm>
          <a:off x="0" y="14460682"/>
          <a:ext cx="5530081" cy="3108366"/>
        </a:xfrm>
        <a:prstGeom prst="rect">
          <a:avLst/>
        </a:prstGeom>
      </xdr:spPr>
    </xdr:pic>
    <xdr:clientData/>
  </xdr:twoCellAnchor>
  <xdr:twoCellAnchor editAs="oneCell">
    <xdr:from>
      <xdr:col>6</xdr:col>
      <xdr:colOff>225136</xdr:colOff>
      <xdr:row>73</xdr:row>
      <xdr:rowOff>10526</xdr:rowOff>
    </xdr:from>
    <xdr:to>
      <xdr:col>13</xdr:col>
      <xdr:colOff>145066</xdr:colOff>
      <xdr:row>89</xdr:row>
      <xdr:rowOff>51953</xdr:rowOff>
    </xdr:to>
    <xdr:pic>
      <xdr:nvPicPr>
        <xdr:cNvPr id="10" name="Imagen 9">
          <a:extLst>
            <a:ext uri="{FF2B5EF4-FFF2-40B4-BE49-F238E27FC236}">
              <a16:creationId xmlns:a16="http://schemas.microsoft.com/office/drawing/2014/main" id="{FA937B77-76DB-F106-5B14-F0707B968FE3}"/>
            </a:ext>
          </a:extLst>
        </xdr:cNvPr>
        <xdr:cNvPicPr>
          <a:picLocks noChangeAspect="1"/>
        </xdr:cNvPicPr>
      </xdr:nvPicPr>
      <xdr:blipFill>
        <a:blip xmlns:r="http://schemas.openxmlformats.org/officeDocument/2006/relationships" r:embed="rId8"/>
        <a:stretch>
          <a:fillRect/>
        </a:stretch>
      </xdr:blipFill>
      <xdr:spPr>
        <a:xfrm>
          <a:off x="5489863" y="14471208"/>
          <a:ext cx="5496385" cy="3089427"/>
        </a:xfrm>
        <a:prstGeom prst="rect">
          <a:avLst/>
        </a:prstGeom>
      </xdr:spPr>
    </xdr:pic>
    <xdr:clientData/>
  </xdr:twoCellAnchor>
  <xdr:twoCellAnchor editAs="oneCell">
    <xdr:from>
      <xdr:col>13</xdr:col>
      <xdr:colOff>51956</xdr:colOff>
      <xdr:row>73</xdr:row>
      <xdr:rowOff>18305</xdr:rowOff>
    </xdr:from>
    <xdr:to>
      <xdr:col>19</xdr:col>
      <xdr:colOff>551330</xdr:colOff>
      <xdr:row>89</xdr:row>
      <xdr:rowOff>56064</xdr:rowOff>
    </xdr:to>
    <xdr:pic>
      <xdr:nvPicPr>
        <xdr:cNvPr id="11" name="Imagen 10">
          <a:extLst>
            <a:ext uri="{FF2B5EF4-FFF2-40B4-BE49-F238E27FC236}">
              <a16:creationId xmlns:a16="http://schemas.microsoft.com/office/drawing/2014/main" id="{1AA68D87-0394-F0F3-1BEE-70F46BA9DDEE}"/>
            </a:ext>
          </a:extLst>
        </xdr:cNvPr>
        <xdr:cNvPicPr>
          <a:picLocks noChangeAspect="1"/>
        </xdr:cNvPicPr>
      </xdr:nvPicPr>
      <xdr:blipFill>
        <a:blip xmlns:r="http://schemas.openxmlformats.org/officeDocument/2006/relationships" r:embed="rId9"/>
        <a:stretch>
          <a:fillRect/>
        </a:stretch>
      </xdr:blipFill>
      <xdr:spPr>
        <a:xfrm>
          <a:off x="10893138" y="14478987"/>
          <a:ext cx="5489862" cy="3085759"/>
        </a:xfrm>
        <a:prstGeom prst="rect">
          <a:avLst/>
        </a:prstGeom>
      </xdr:spPr>
    </xdr:pic>
    <xdr:clientData/>
  </xdr:twoCellAnchor>
  <xdr:twoCellAnchor editAs="oneCell">
    <xdr:from>
      <xdr:col>20</xdr:col>
      <xdr:colOff>380792</xdr:colOff>
      <xdr:row>64</xdr:row>
      <xdr:rowOff>88900</xdr:rowOff>
    </xdr:from>
    <xdr:to>
      <xdr:col>26</xdr:col>
      <xdr:colOff>381931</xdr:colOff>
      <xdr:row>89</xdr:row>
      <xdr:rowOff>101600</xdr:rowOff>
    </xdr:to>
    <xdr:pic>
      <xdr:nvPicPr>
        <xdr:cNvPr id="13" name="Imagen 12" descr="U.S. EV adoption is happening faster than anticipated">
          <a:extLst>
            <a:ext uri="{FF2B5EF4-FFF2-40B4-BE49-F238E27FC236}">
              <a16:creationId xmlns:a16="http://schemas.microsoft.com/office/drawing/2014/main" id="{CF130AE9-FF98-A9B4-3DE5-56CA8EB6C7D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6331992" y="12372340"/>
          <a:ext cx="5024328" cy="4584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91</xdr:row>
      <xdr:rowOff>95251</xdr:rowOff>
    </xdr:from>
    <xdr:to>
      <xdr:col>10</xdr:col>
      <xdr:colOff>331164</xdr:colOff>
      <xdr:row>120</xdr:row>
      <xdr:rowOff>2</xdr:rowOff>
    </xdr:to>
    <xdr:pic>
      <xdr:nvPicPr>
        <xdr:cNvPr id="14" name="Imagen 13">
          <a:extLst>
            <a:ext uri="{FF2B5EF4-FFF2-40B4-BE49-F238E27FC236}">
              <a16:creationId xmlns:a16="http://schemas.microsoft.com/office/drawing/2014/main" id="{13D12E6C-4CD9-1EB4-254E-BD3944908305}"/>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0" y="17565495"/>
          <a:ext cx="8806091" cy="52945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390292</xdr:colOff>
      <xdr:row>92</xdr:row>
      <xdr:rowOff>148680</xdr:rowOff>
    </xdr:from>
    <xdr:to>
      <xdr:col>20</xdr:col>
      <xdr:colOff>173969</xdr:colOff>
      <xdr:row>120</xdr:row>
      <xdr:rowOff>1</xdr:rowOff>
    </xdr:to>
    <xdr:pic>
      <xdr:nvPicPr>
        <xdr:cNvPr id="15" name="Imagen 14">
          <a:extLst>
            <a:ext uri="{FF2B5EF4-FFF2-40B4-BE49-F238E27FC236}">
              <a16:creationId xmlns:a16="http://schemas.microsoft.com/office/drawing/2014/main" id="{8FA84413-FA3C-8B10-3790-5C0968B122DC}"/>
            </a:ext>
          </a:extLst>
        </xdr:cNvPr>
        <xdr:cNvPicPr>
          <a:picLocks noChangeAspect="1"/>
        </xdr:cNvPicPr>
      </xdr:nvPicPr>
      <xdr:blipFill rotWithShape="1">
        <a:blip xmlns:r="http://schemas.openxmlformats.org/officeDocument/2006/relationships" r:embed="rId12"/>
        <a:srcRect l="14534" t="38307" r="49587" b="21219"/>
        <a:stretch/>
      </xdr:blipFill>
      <xdr:spPr>
        <a:xfrm>
          <a:off x="8865219" y="17804778"/>
          <a:ext cx="7966486" cy="5055222"/>
        </a:xfrm>
        <a:prstGeom prst="rect">
          <a:avLst/>
        </a:prstGeom>
      </xdr:spPr>
    </xdr:pic>
    <xdr:clientData/>
  </xdr:twoCellAnchor>
  <xdr:twoCellAnchor editAs="oneCell">
    <xdr:from>
      <xdr:col>21</xdr:col>
      <xdr:colOff>464634</xdr:colOff>
      <xdr:row>91</xdr:row>
      <xdr:rowOff>18586</xdr:rowOff>
    </xdr:from>
    <xdr:to>
      <xdr:col>35</xdr:col>
      <xdr:colOff>168577</xdr:colOff>
      <xdr:row>124</xdr:row>
      <xdr:rowOff>1</xdr:rowOff>
    </xdr:to>
    <xdr:pic>
      <xdr:nvPicPr>
        <xdr:cNvPr id="16" name="Imagen 15">
          <a:extLst>
            <a:ext uri="{FF2B5EF4-FFF2-40B4-BE49-F238E27FC236}">
              <a16:creationId xmlns:a16="http://schemas.microsoft.com/office/drawing/2014/main" id="{9B03AC68-3206-08C4-B0A9-2A95BA4F264B}"/>
            </a:ext>
          </a:extLst>
        </xdr:cNvPr>
        <xdr:cNvPicPr>
          <a:picLocks noChangeAspect="1"/>
        </xdr:cNvPicPr>
      </xdr:nvPicPr>
      <xdr:blipFill rotWithShape="1">
        <a:blip xmlns:r="http://schemas.openxmlformats.org/officeDocument/2006/relationships" r:embed="rId13"/>
        <a:srcRect l="17685" t="32886" r="22043" b="7666"/>
        <a:stretch/>
      </xdr:blipFill>
      <xdr:spPr>
        <a:xfrm>
          <a:off x="17302975" y="17488830"/>
          <a:ext cx="11021122" cy="6114586"/>
        </a:xfrm>
        <a:prstGeom prst="rect">
          <a:avLst/>
        </a:prstGeom>
      </xdr:spPr>
    </xdr:pic>
    <xdr:clientData/>
  </xdr:twoCellAnchor>
  <xdr:twoCellAnchor editAs="oneCell">
    <xdr:from>
      <xdr:col>10</xdr:col>
      <xdr:colOff>74341</xdr:colOff>
      <xdr:row>122</xdr:row>
      <xdr:rowOff>74342</xdr:rowOff>
    </xdr:from>
    <xdr:to>
      <xdr:col>20</xdr:col>
      <xdr:colOff>207500</xdr:colOff>
      <xdr:row>145</xdr:row>
      <xdr:rowOff>97583</xdr:rowOff>
    </xdr:to>
    <xdr:pic>
      <xdr:nvPicPr>
        <xdr:cNvPr id="17" name="Imagen 16">
          <a:extLst>
            <a:ext uri="{FF2B5EF4-FFF2-40B4-BE49-F238E27FC236}">
              <a16:creationId xmlns:a16="http://schemas.microsoft.com/office/drawing/2014/main" id="{9DA501AD-A7F6-91A4-A547-B184F66EDD7A}"/>
            </a:ext>
          </a:extLst>
        </xdr:cNvPr>
        <xdr:cNvPicPr>
          <a:picLocks noChangeAspect="1"/>
        </xdr:cNvPicPr>
      </xdr:nvPicPr>
      <xdr:blipFill rotWithShape="1">
        <a:blip xmlns:r="http://schemas.openxmlformats.org/officeDocument/2006/relationships" r:embed="rId14"/>
        <a:srcRect l="1056" t="9116" r="10422" b="9652"/>
        <a:stretch/>
      </xdr:blipFill>
      <xdr:spPr>
        <a:xfrm>
          <a:off x="8549268" y="23306049"/>
          <a:ext cx="8326244" cy="4297874"/>
        </a:xfrm>
        <a:prstGeom prst="rect">
          <a:avLst/>
        </a:prstGeom>
      </xdr:spPr>
    </xdr:pic>
    <xdr:clientData/>
  </xdr:twoCellAnchor>
  <xdr:twoCellAnchor>
    <xdr:from>
      <xdr:col>20</xdr:col>
      <xdr:colOff>476701</xdr:colOff>
      <xdr:row>20</xdr:row>
      <xdr:rowOff>14428</xdr:rowOff>
    </xdr:from>
    <xdr:to>
      <xdr:col>27</xdr:col>
      <xdr:colOff>139521</xdr:colOff>
      <xdr:row>34</xdr:row>
      <xdr:rowOff>160986</xdr:rowOff>
    </xdr:to>
    <xdr:graphicFrame macro="">
      <xdr:nvGraphicFramePr>
        <xdr:cNvPr id="18" name="Gráfico 17">
          <a:extLst>
            <a:ext uri="{FF2B5EF4-FFF2-40B4-BE49-F238E27FC236}">
              <a16:creationId xmlns:a16="http://schemas.microsoft.com/office/drawing/2014/main" id="{B4F1ADB8-5BBC-B68F-C557-2587CA20E5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24</xdr:col>
      <xdr:colOff>15215</xdr:colOff>
      <xdr:row>1</xdr:row>
      <xdr:rowOff>379408</xdr:rowOff>
    </xdr:from>
    <xdr:to>
      <xdr:col>29</xdr:col>
      <xdr:colOff>616229</xdr:colOff>
      <xdr:row>14</xdr:row>
      <xdr:rowOff>183292</xdr:rowOff>
    </xdr:to>
    <xdr:graphicFrame macro="">
      <xdr:nvGraphicFramePr>
        <xdr:cNvPr id="19" name="Gráfico 18">
          <a:extLst>
            <a:ext uri="{FF2B5EF4-FFF2-40B4-BE49-F238E27FC236}">
              <a16:creationId xmlns:a16="http://schemas.microsoft.com/office/drawing/2014/main" id="{4E21D430-EDD9-64A9-C3E0-6954E157D0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6</xdr:col>
      <xdr:colOff>375478</xdr:colOff>
      <xdr:row>15</xdr:row>
      <xdr:rowOff>14938</xdr:rowOff>
    </xdr:to>
    <xdr:pic>
      <xdr:nvPicPr>
        <xdr:cNvPr id="2" name="Imagen 1">
          <a:extLst>
            <a:ext uri="{FF2B5EF4-FFF2-40B4-BE49-F238E27FC236}">
              <a16:creationId xmlns:a16="http://schemas.microsoft.com/office/drawing/2014/main" id="{1140743D-135C-A3F7-4FF1-D9D76C0CABD9}"/>
            </a:ext>
          </a:extLst>
        </xdr:cNvPr>
        <xdr:cNvPicPr>
          <a:picLocks noChangeAspect="1"/>
        </xdr:cNvPicPr>
      </xdr:nvPicPr>
      <xdr:blipFill rotWithShape="1">
        <a:blip xmlns:r="http://schemas.openxmlformats.org/officeDocument/2006/relationships" r:embed="rId1"/>
        <a:srcRect l="4873" t="12505" r="12786" b="8786"/>
        <a:stretch/>
      </xdr:blipFill>
      <xdr:spPr>
        <a:xfrm>
          <a:off x="0" y="1"/>
          <a:ext cx="5146261" cy="2831024"/>
        </a:xfrm>
        <a:prstGeom prst="rect">
          <a:avLst/>
        </a:prstGeom>
      </xdr:spPr>
    </xdr:pic>
    <xdr:clientData/>
  </xdr:twoCellAnchor>
  <xdr:twoCellAnchor>
    <xdr:from>
      <xdr:col>19</xdr:col>
      <xdr:colOff>37489</xdr:colOff>
      <xdr:row>21</xdr:row>
      <xdr:rowOff>169938</xdr:rowOff>
    </xdr:from>
    <xdr:to>
      <xdr:col>25</xdr:col>
      <xdr:colOff>79160</xdr:colOff>
      <xdr:row>37</xdr:row>
      <xdr:rowOff>154459</xdr:rowOff>
    </xdr:to>
    <xdr:graphicFrame macro="">
      <xdr:nvGraphicFramePr>
        <xdr:cNvPr id="4" name="Gráfico 3">
          <a:extLst>
            <a:ext uri="{FF2B5EF4-FFF2-40B4-BE49-F238E27FC236}">
              <a16:creationId xmlns:a16="http://schemas.microsoft.com/office/drawing/2014/main" id="{8D6402EA-D3D0-A90A-233F-412BCB2B0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33145</xdr:colOff>
      <xdr:row>37</xdr:row>
      <xdr:rowOff>166366</xdr:rowOff>
    </xdr:from>
    <xdr:to>
      <xdr:col>25</xdr:col>
      <xdr:colOff>74816</xdr:colOff>
      <xdr:row>53</xdr:row>
      <xdr:rowOff>164404</xdr:rowOff>
    </xdr:to>
    <xdr:graphicFrame macro="">
      <xdr:nvGraphicFramePr>
        <xdr:cNvPr id="5" name="Gráfico 4">
          <a:extLst>
            <a:ext uri="{FF2B5EF4-FFF2-40B4-BE49-F238E27FC236}">
              <a16:creationId xmlns:a16="http://schemas.microsoft.com/office/drawing/2014/main" id="{44463EDE-BDB4-48BE-BCEF-A386F3094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669324</xdr:colOff>
      <xdr:row>41</xdr:row>
      <xdr:rowOff>111211</xdr:rowOff>
    </xdr:from>
    <xdr:to>
      <xdr:col>6</xdr:col>
      <xdr:colOff>483973</xdr:colOff>
      <xdr:row>56</xdr:row>
      <xdr:rowOff>53546</xdr:rowOff>
    </xdr:to>
    <xdr:graphicFrame macro="">
      <xdr:nvGraphicFramePr>
        <xdr:cNvPr id="3" name="Gráfico 2">
          <a:extLst>
            <a:ext uri="{FF2B5EF4-FFF2-40B4-BE49-F238E27FC236}">
              <a16:creationId xmlns:a16="http://schemas.microsoft.com/office/drawing/2014/main" id="{45E99745-4DB1-2B04-E649-F3F60AEF6E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720811</xdr:colOff>
      <xdr:row>41</xdr:row>
      <xdr:rowOff>133866</xdr:rowOff>
    </xdr:from>
    <xdr:to>
      <xdr:col>12</xdr:col>
      <xdr:colOff>535459</xdr:colOff>
      <xdr:row>56</xdr:row>
      <xdr:rowOff>76201</xdr:rowOff>
    </xdr:to>
    <xdr:graphicFrame macro="">
      <xdr:nvGraphicFramePr>
        <xdr:cNvPr id="6" name="Gráfico 5">
          <a:extLst>
            <a:ext uri="{FF2B5EF4-FFF2-40B4-BE49-F238E27FC236}">
              <a16:creationId xmlns:a16="http://schemas.microsoft.com/office/drawing/2014/main" id="{3492B9FF-5CAD-48E5-878D-13F574436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325119</xdr:colOff>
      <xdr:row>0</xdr:row>
      <xdr:rowOff>0</xdr:rowOff>
    </xdr:from>
    <xdr:to>
      <xdr:col>10</xdr:col>
      <xdr:colOff>440036</xdr:colOff>
      <xdr:row>15</xdr:row>
      <xdr:rowOff>50800</xdr:rowOff>
    </xdr:to>
    <xdr:pic>
      <xdr:nvPicPr>
        <xdr:cNvPr id="7" name="Imagen 6">
          <a:extLst>
            <a:ext uri="{FF2B5EF4-FFF2-40B4-BE49-F238E27FC236}">
              <a16:creationId xmlns:a16="http://schemas.microsoft.com/office/drawing/2014/main" id="{CC4107E0-DAC2-699C-9EF6-857760BC02E5}"/>
            </a:ext>
          </a:extLst>
        </xdr:cNvPr>
        <xdr:cNvPicPr>
          <a:picLocks noChangeAspect="1"/>
        </xdr:cNvPicPr>
      </xdr:nvPicPr>
      <xdr:blipFill rotWithShape="1">
        <a:blip xmlns:r="http://schemas.openxmlformats.org/officeDocument/2006/relationships" r:embed="rId6"/>
        <a:srcRect l="30722" t="10922" r="15824" b="8247"/>
        <a:stretch/>
      </xdr:blipFill>
      <xdr:spPr>
        <a:xfrm>
          <a:off x="5079999" y="0"/>
          <a:ext cx="3284837" cy="2794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358748</xdr:colOff>
      <xdr:row>25</xdr:row>
      <xdr:rowOff>51843</xdr:rowOff>
    </xdr:from>
    <xdr:to>
      <xdr:col>5</xdr:col>
      <xdr:colOff>367862</xdr:colOff>
      <xdr:row>39</xdr:row>
      <xdr:rowOff>70070</xdr:rowOff>
    </xdr:to>
    <xdr:graphicFrame macro="">
      <xdr:nvGraphicFramePr>
        <xdr:cNvPr id="2" name="Gráfico 1">
          <a:extLst>
            <a:ext uri="{FF2B5EF4-FFF2-40B4-BE49-F238E27FC236}">
              <a16:creationId xmlns:a16="http://schemas.microsoft.com/office/drawing/2014/main" id="{2F1B1B80-6A8F-C0F5-00D4-7F6D23C59E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447675</xdr:colOff>
      <xdr:row>24</xdr:row>
      <xdr:rowOff>9525</xdr:rowOff>
    </xdr:from>
    <xdr:to>
      <xdr:col>9</xdr:col>
      <xdr:colOff>590550</xdr:colOff>
      <xdr:row>39</xdr:row>
      <xdr:rowOff>38100</xdr:rowOff>
    </xdr:to>
    <xdr:graphicFrame macro="">
      <xdr:nvGraphicFramePr>
        <xdr:cNvPr id="3" name="Gráfico 2">
          <a:extLst>
            <a:ext uri="{FF2B5EF4-FFF2-40B4-BE49-F238E27FC236}">
              <a16:creationId xmlns:a16="http://schemas.microsoft.com/office/drawing/2014/main" id="{02E6DBD8-B91B-5E9A-B3AB-D5CB36290F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lasticmakers.org/wp-content/uploads/2023/02/Chemistry-and-Automobiles-March-2023.pdf" TargetMode="External"/><Relationship Id="rId2" Type="http://schemas.openxmlformats.org/officeDocument/2006/relationships/hyperlink" Target="https://www.naturalgasintel.com/natural-gas-to-become-worlds-primary-fossil-fuel-by-2050-says-gas-exporting-countries-forum/" TargetMode="External"/><Relationship Id="rId1" Type="http://schemas.openxmlformats.org/officeDocument/2006/relationships/hyperlink" Target="https://www.eia.gov/dnav/ng/hist/n3035tx3m.htm" TargetMode="External"/><Relationship Id="rId6" Type="http://schemas.openxmlformats.org/officeDocument/2006/relationships/drawing" Target="../drawings/drawing1.xml"/><Relationship Id="rId5" Type="http://schemas.openxmlformats.org/officeDocument/2006/relationships/hyperlink" Target="https://www.iea.org/reports/carbon-capture-utilisation-and-storage-2" TargetMode="External"/><Relationship Id="rId4" Type="http://schemas.openxmlformats.org/officeDocument/2006/relationships/hyperlink" Target="https://www.wfaa.com/article/money/business/right-on-the-money/as-auto-prices-soar-across-check-your-auto-insurance/287-db5a20d6-5bd7-45c4-a870-d48c8491a352"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plasticmakers.org/wp-content/uploads/2023/02/Chemistry-and-Automobiles-March-2023.pdf" TargetMode="External"/><Relationship Id="rId2" Type="http://schemas.openxmlformats.org/officeDocument/2006/relationships/hyperlink" Target="https://www.naturalgasintel.com/natural-gas-to-become-worlds-primary-fossil-fuel-by-2050-says-gas-exporting-countries-forum/" TargetMode="External"/><Relationship Id="rId1" Type="http://schemas.openxmlformats.org/officeDocument/2006/relationships/hyperlink" Target="https://www.eia.gov/dnav/ng/hist/n3035tx3m.htm" TargetMode="External"/><Relationship Id="rId5" Type="http://schemas.openxmlformats.org/officeDocument/2006/relationships/drawing" Target="../drawings/drawing2.xml"/><Relationship Id="rId4" Type="http://schemas.openxmlformats.org/officeDocument/2006/relationships/hyperlink" Target="https://www.wfaa.com/article/money/business/right-on-the-money/as-auto-prices-soar-across-check-your-auto-insurance/287-db5a20d6-5bd7-45c4-a870-d48c8491a352"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plasticmakers.org/wp-content/uploads/2023/02/Chemistry-and-Automobiles-March-2023.pdf" TargetMode="External"/><Relationship Id="rId2" Type="http://schemas.openxmlformats.org/officeDocument/2006/relationships/hyperlink" Target="https://www.naturalgasintel.com/natural-gas-to-become-worlds-primary-fossil-fuel-by-2050-says-gas-exporting-countries-forum/" TargetMode="External"/><Relationship Id="rId1" Type="http://schemas.openxmlformats.org/officeDocument/2006/relationships/hyperlink" Target="https://www.eia.gov/dnav/ng/hist/n3035tx3m.htm" TargetMode="External"/><Relationship Id="rId5" Type="http://schemas.openxmlformats.org/officeDocument/2006/relationships/drawing" Target="../drawings/drawing3.xml"/><Relationship Id="rId4" Type="http://schemas.openxmlformats.org/officeDocument/2006/relationships/hyperlink" Target="https://www.wfaa.com/article/money/business/right-on-the-money/as-auto-prices-soar-across-check-your-auto-insurance/287-db5a20d6-5bd7-45c4-a870-d48c8491a352"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plasticmakers.org/wp-content/uploads/2023/02/Chemistry-and-Automobiles-March-2023.pdf" TargetMode="External"/><Relationship Id="rId2" Type="http://schemas.openxmlformats.org/officeDocument/2006/relationships/hyperlink" Target="https://www.naturalgasintel.com/natural-gas-to-become-worlds-primary-fossil-fuel-by-2050-says-gas-exporting-countries-forum/" TargetMode="External"/><Relationship Id="rId1" Type="http://schemas.openxmlformats.org/officeDocument/2006/relationships/hyperlink" Target="https://www.eia.gov/dnav/ng/hist/n3035tx3m.htm" TargetMode="External"/><Relationship Id="rId5" Type="http://schemas.openxmlformats.org/officeDocument/2006/relationships/drawing" Target="../drawings/drawing4.xml"/><Relationship Id="rId4" Type="http://schemas.openxmlformats.org/officeDocument/2006/relationships/hyperlink" Target="https://www.wfaa.com/article/money/business/right-on-the-money/as-auto-prices-soar-across-check-your-auto-insurance/287-db5a20d6-5bd7-45c4-a870-d48c8491a352"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fuelfreedom.org/cars-in-2050/" TargetMode="External"/><Relationship Id="rId2" Type="http://schemas.openxmlformats.org/officeDocument/2006/relationships/hyperlink" Target="https://www.statista.com/statistics/603621/global-distribution-of-nickel-mine-production-by-select-country/" TargetMode="External"/><Relationship Id="rId1" Type="http://schemas.openxmlformats.org/officeDocument/2006/relationships/hyperlink" Target="https://www.statista.com/statistics/1244066/global-manganese-production-volume-by-country/" TargetMode="External"/><Relationship Id="rId5" Type="http://schemas.openxmlformats.org/officeDocument/2006/relationships/drawing" Target="../drawings/drawing5.xml"/><Relationship Id="rId4" Type="http://schemas.openxmlformats.org/officeDocument/2006/relationships/hyperlink" Target="https://afdc.energy.gov/evi-pro-lite"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fdc.energy.gov/vehicle-registration" TargetMode="External"/><Relationship Id="rId1" Type="http://schemas.openxmlformats.org/officeDocument/2006/relationships/hyperlink" Target="https://www.eia.gov/electricity/state/texas/"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hyperlink" Target="https://www.fuelfreedom.org/cars-in-2050/" TargetMode="External"/><Relationship Id="rId2" Type="http://schemas.openxmlformats.org/officeDocument/2006/relationships/hyperlink" Target="https://www.statista.com/statistics/603621/global-distribution-of-nickel-mine-production-by-select-country/" TargetMode="External"/><Relationship Id="rId1" Type="http://schemas.openxmlformats.org/officeDocument/2006/relationships/hyperlink" Target="https://www.statista.com/statistics/1244066/global-manganese-production-volume-by-country/" TargetMode="External"/><Relationship Id="rId5" Type="http://schemas.openxmlformats.org/officeDocument/2006/relationships/drawing" Target="../drawings/drawing8.xml"/><Relationship Id="rId4" Type="http://schemas.openxmlformats.org/officeDocument/2006/relationships/hyperlink" Target="https://www.researchgate.net/publication/227352883_International_Trade_in_Used_Vehicles_The_Environmental_Consequences_of_NAFTA"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16DF7-4F9F-49D9-8741-E4300668C11C}">
  <dimension ref="A1:AT59"/>
  <sheetViews>
    <sheetView zoomScale="65" zoomScaleNormal="75" workbookViewId="0">
      <selection activeCell="I2" sqref="I2"/>
    </sheetView>
  </sheetViews>
  <sheetFormatPr defaultColWidth="11.42578125" defaultRowHeight="15" x14ac:dyDescent="0.25"/>
  <cols>
    <col min="5" max="5" width="17.5703125" customWidth="1"/>
    <col min="6" max="6" width="12.5703125" bestFit="1" customWidth="1"/>
    <col min="8" max="9" width="13.28515625" customWidth="1"/>
    <col min="10" max="10" width="15.140625" customWidth="1"/>
    <col min="13" max="13" width="13.85546875" customWidth="1"/>
    <col min="24" max="24" width="16.28515625" customWidth="1"/>
    <col min="25" max="25" width="11.5703125" customWidth="1"/>
    <col min="26" max="26" width="14.42578125" customWidth="1"/>
  </cols>
  <sheetData>
    <row r="1" spans="1:46" ht="50.45" customHeight="1" x14ac:dyDescent="0.25">
      <c r="I1" s="128" t="s">
        <v>237</v>
      </c>
      <c r="J1" s="129">
        <f>J12*1.4/100*1.055</f>
        <v>302.27343807425848</v>
      </c>
      <c r="M1" s="109" t="s">
        <v>227</v>
      </c>
      <c r="N1" s="109" t="s">
        <v>228</v>
      </c>
      <c r="O1" s="109" t="s">
        <v>187</v>
      </c>
      <c r="S1" s="109" t="s">
        <v>227</v>
      </c>
      <c r="T1" s="109" t="s">
        <v>228</v>
      </c>
      <c r="U1" s="109" t="s">
        <v>187</v>
      </c>
      <c r="W1" s="86" t="s">
        <v>175</v>
      </c>
      <c r="X1" s="86" t="s">
        <v>184</v>
      </c>
      <c r="Y1" s="86" t="s">
        <v>176</v>
      </c>
      <c r="Z1" s="86" t="s">
        <v>185</v>
      </c>
      <c r="AA1" s="86" t="s">
        <v>177</v>
      </c>
      <c r="AC1" s="86" t="s">
        <v>180</v>
      </c>
    </row>
    <row r="2" spans="1:46" x14ac:dyDescent="0.25">
      <c r="E2" t="s">
        <v>171</v>
      </c>
      <c r="I2">
        <v>14.168411340797761</v>
      </c>
      <c r="J2">
        <v>13.236279015745275</v>
      </c>
      <c r="K2">
        <v>19.947631756123162</v>
      </c>
      <c r="L2">
        <v>1.304985255073478</v>
      </c>
      <c r="M2">
        <v>1.304985255073478</v>
      </c>
      <c r="P2">
        <v>2.6099705101469555</v>
      </c>
      <c r="R2">
        <v>2.6099705101469555</v>
      </c>
      <c r="S2">
        <v>2.6099705101469555</v>
      </c>
      <c r="V2">
        <v>2.0506911151154656</v>
      </c>
      <c r="W2">
        <v>13.049852550734776</v>
      </c>
      <c r="X2">
        <v>6.5249262753673891</v>
      </c>
      <c r="Y2">
        <v>3.1692499051784466</v>
      </c>
      <c r="Z2">
        <v>33.743190166899929</v>
      </c>
      <c r="AA2">
        <v>22.744028731280615</v>
      </c>
      <c r="AB2">
        <v>21.625469941217634</v>
      </c>
      <c r="AC2">
        <v>25.72685217144857</v>
      </c>
      <c r="AE2">
        <v>7.4623923629998226</v>
      </c>
      <c r="AF2" s="9">
        <f>28.32*7.46239236299982</f>
        <v>211.33495172015489</v>
      </c>
      <c r="AG2">
        <v>22.472902571142505</v>
      </c>
      <c r="AH2">
        <f>0.00378541*22.4729025711425</f>
        <v>8.506915012182853E-2</v>
      </c>
      <c r="AI2">
        <v>356.27221527469521</v>
      </c>
      <c r="AK2" s="87">
        <v>2636.4</v>
      </c>
      <c r="AL2" s="6">
        <v>50000</v>
      </c>
    </row>
    <row r="3" spans="1:46" x14ac:dyDescent="0.25">
      <c r="A3" s="84" t="str">
        <f>'Texas pop'!A99</f>
        <v>Year</v>
      </c>
      <c r="B3" s="6" t="str">
        <f>'Texas pop'!B99</f>
        <v>Population</v>
      </c>
      <c r="C3" s="6" t="str">
        <f>'Texas pop'!C99</f>
        <v>EVs</v>
      </c>
      <c r="D3" s="6" t="str">
        <f>'Texas pop'!D99</f>
        <v>EVs w retirement</v>
      </c>
      <c r="E3" s="84" t="str">
        <f>'Texas pop'!E99</f>
        <v xml:space="preserve"> Sales Difference/New cars</v>
      </c>
      <c r="F3" t="s">
        <v>226</v>
      </c>
      <c r="G3" t="s">
        <v>223</v>
      </c>
      <c r="H3" t="s">
        <v>206</v>
      </c>
      <c r="I3" t="s">
        <v>210</v>
      </c>
      <c r="J3" s="1" t="s">
        <v>236</v>
      </c>
      <c r="K3" t="s">
        <v>208</v>
      </c>
      <c r="L3" t="s">
        <v>215</v>
      </c>
      <c r="M3" t="s">
        <v>209</v>
      </c>
      <c r="N3" t="s">
        <v>209</v>
      </c>
      <c r="O3" t="s">
        <v>209</v>
      </c>
      <c r="P3" t="s">
        <v>213</v>
      </c>
      <c r="Q3" t="s">
        <v>216</v>
      </c>
      <c r="R3" s="84" t="s">
        <v>211</v>
      </c>
      <c r="S3" s="84" t="s">
        <v>217</v>
      </c>
      <c r="T3" s="84"/>
      <c r="U3" s="84"/>
      <c r="V3" s="6" t="s">
        <v>155</v>
      </c>
      <c r="W3" s="6" t="s">
        <v>156</v>
      </c>
      <c r="X3" s="6" t="s">
        <v>157</v>
      </c>
      <c r="Y3" s="6" t="s">
        <v>158</v>
      </c>
      <c r="Z3" s="6" t="s">
        <v>159</v>
      </c>
      <c r="AA3" s="84" t="s">
        <v>160</v>
      </c>
      <c r="AB3" s="84" t="s">
        <v>161</v>
      </c>
      <c r="AC3" s="84" t="s">
        <v>162</v>
      </c>
      <c r="AD3" s="6" t="s">
        <v>163</v>
      </c>
      <c r="AE3" s="6" t="s">
        <v>164</v>
      </c>
      <c r="AF3" s="6" t="s">
        <v>165</v>
      </c>
      <c r="AG3" s="6" t="s">
        <v>166</v>
      </c>
      <c r="AH3" s="6" t="s">
        <v>167</v>
      </c>
      <c r="AI3" s="6" t="s">
        <v>168</v>
      </c>
      <c r="AJ3" s="6" t="s">
        <v>169</v>
      </c>
      <c r="AK3" s="6" t="s">
        <v>170</v>
      </c>
      <c r="AL3" s="6" t="s">
        <v>50</v>
      </c>
      <c r="AM3" s="85" t="s">
        <v>172</v>
      </c>
      <c r="AN3" s="85" t="s">
        <v>172</v>
      </c>
      <c r="AO3" s="85" t="s">
        <v>173</v>
      </c>
      <c r="AP3" s="85"/>
      <c r="AQ3" s="85" t="s">
        <v>174</v>
      </c>
      <c r="AS3" s="6">
        <f>AT3*AK2/AL2</f>
        <v>393.47702451625452</v>
      </c>
      <c r="AT3" s="6">
        <f>7.46239236299982*1000</f>
        <v>7462.3923629998199</v>
      </c>
    </row>
    <row r="4" spans="1:46" x14ac:dyDescent="0.25">
      <c r="A4" s="6">
        <f>'Texas pop'!A100</f>
        <v>2016</v>
      </c>
      <c r="B4" s="6">
        <f>'Texas pop'!B100</f>
        <v>27914064</v>
      </c>
      <c r="C4" s="6">
        <f>'Texas pop'!C100</f>
        <v>11900</v>
      </c>
      <c r="D4" s="6">
        <f>'Texas pop'!D100</f>
        <v>11900</v>
      </c>
      <c r="E4" s="6">
        <f>'Texas pop'!E100</f>
        <v>4200</v>
      </c>
      <c r="F4" s="47">
        <f>E4*$C$46*$D$45/1000000000</f>
        <v>5.8361976597494619E-2</v>
      </c>
      <c r="G4" s="47">
        <f t="shared" ref="G4:G39" si="0">E4/1000*$D$41/0.9/1000</f>
        <v>2.4208778999999998</v>
      </c>
      <c r="H4" s="6">
        <v>0</v>
      </c>
      <c r="I4" s="9">
        <f>H4/$D$42*$D$43</f>
        <v>0</v>
      </c>
      <c r="J4" s="47">
        <f t="shared" ref="J4:J38" si="1">$D$45*E4/1000</f>
        <v>808.62599999999998</v>
      </c>
      <c r="K4" s="9"/>
      <c r="L4" s="9">
        <f>Q4</f>
        <v>453.7037037037037</v>
      </c>
      <c r="M4" s="9">
        <f>'Plastics CCUS_RMTO'!M4</f>
        <v>453.7037037037037</v>
      </c>
      <c r="N4" s="9">
        <f>'Plastics CCUS_RMTP'!M4</f>
        <v>453.7037037037037</v>
      </c>
      <c r="O4" s="9">
        <f>'Plastics CCUS_ROCM'!M4</f>
        <v>453.7037037037037</v>
      </c>
      <c r="P4" s="9">
        <v>2.4500000000000002</v>
      </c>
      <c r="Q4" s="9">
        <f>$H$50/2.7*P4</f>
        <v>453.7037037037037</v>
      </c>
      <c r="R4" s="6">
        <f>R5/D43</f>
        <v>1955.1356137396124</v>
      </c>
      <c r="S4" s="9">
        <f>'Plastics CCUS_RMTO'!Q4</f>
        <v>1</v>
      </c>
      <c r="T4" s="9">
        <f>'Plastics CCUS_RMTP'!Q4</f>
        <v>1</v>
      </c>
      <c r="U4" s="9">
        <f>'Plastics CCUS_ROCM'!Q4</f>
        <v>1</v>
      </c>
      <c r="V4">
        <f t="shared" ref="V4:V38" si="2">$E4*I$2/1000000</f>
        <v>5.9507327631350596E-2</v>
      </c>
      <c r="W4">
        <f t="shared" ref="W4:W38" si="3">$E4*J$2/1000000</f>
        <v>5.5592371866130155E-2</v>
      </c>
      <c r="X4">
        <f t="shared" ref="X4:X38" si="4">$E4*K$2/1000000</f>
        <v>8.3780053375717284E-2</v>
      </c>
      <c r="Y4">
        <f t="shared" ref="Y4:Y38" si="5">$E4*L$2/1000000</f>
        <v>5.4809380713086078E-3</v>
      </c>
      <c r="Z4">
        <f t="shared" ref="Z4:Z38" si="6">$E4*M$2/1000000</f>
        <v>5.4809380713086078E-3</v>
      </c>
      <c r="AA4">
        <f t="shared" ref="AA4:AA38" si="7">$E4*P$2/1000000</f>
        <v>1.0961876142617214E-2</v>
      </c>
      <c r="AB4">
        <f t="shared" ref="AB4:AB38" si="8">$E4*R$2/1000000</f>
        <v>1.0961876142617214E-2</v>
      </c>
      <c r="AC4">
        <f t="shared" ref="AC4:AC38" si="9">$E4*S$2/1000000</f>
        <v>1.0961876142617214E-2</v>
      </c>
      <c r="AD4">
        <f t="shared" ref="AD4:AD38" si="10">$E4*V$2/1000000</f>
        <v>8.6129026834849548E-3</v>
      </c>
      <c r="AE4">
        <f t="shared" ref="AE4:AE38" si="11">$E4*W$2/1000000</f>
        <v>5.480938071308606E-2</v>
      </c>
      <c r="AF4">
        <f t="shared" ref="AF4:AF38" si="12">$E4*X$2/1000000</f>
        <v>2.7404690356543034E-2</v>
      </c>
      <c r="AG4">
        <f t="shared" ref="AG4:AG38" si="13">$E4*Y$2/1000000</f>
        <v>1.3310849601749476E-2</v>
      </c>
      <c r="AH4">
        <f t="shared" ref="AH4:AH38" si="14">$E4*Z$2/1000000</f>
        <v>0.14172139870097972</v>
      </c>
      <c r="AI4">
        <f t="shared" ref="AI4:AI38" si="15">$E4*AA$2/1000000</f>
        <v>9.5524920671378577E-2</v>
      </c>
      <c r="AJ4">
        <f t="shared" ref="AJ4:AJ38" si="16">$E4*AB$2/1000000</f>
        <v>9.0826973753114076E-2</v>
      </c>
      <c r="AK4">
        <f t="shared" ref="AK4:AK38" si="17">$E4*AC$2/1000000</f>
        <v>0.108052779120084</v>
      </c>
      <c r="AL4">
        <f>SUM(V4:AK4)</f>
        <v>0.78299115304408684</v>
      </c>
      <c r="AM4" s="9">
        <f t="shared" ref="AM4:AM38" si="18">$E4*AE$2</f>
        <v>31342.047924599254</v>
      </c>
      <c r="AN4" s="9">
        <f t="shared" ref="AN4:AN38" si="19">$E4*AF$2/1000000</f>
        <v>0.88760679722465052</v>
      </c>
      <c r="AO4" s="9">
        <f t="shared" ref="AO4:AO38" si="20">$E4*AG$2/(42*1000)</f>
        <v>2.2472902571142503</v>
      </c>
      <c r="AP4" s="9">
        <f t="shared" ref="AP4:AP38" si="21">$E4*AH$2/1000</f>
        <v>0.3572904305116798</v>
      </c>
      <c r="AQ4" s="9">
        <f t="shared" ref="AQ4:AQ38" si="22">$E4*AI$2/1000000</f>
        <v>1.49634330415372</v>
      </c>
      <c r="AS4" s="84">
        <f>AS3*AT5</f>
        <v>178.4780305043769</v>
      </c>
      <c r="AT4" s="6" t="s">
        <v>179</v>
      </c>
    </row>
    <row r="5" spans="1:46" x14ac:dyDescent="0.25">
      <c r="A5" s="6">
        <f>'Texas pop'!A101</f>
        <v>2017</v>
      </c>
      <c r="B5" s="6">
        <f>'Texas pop'!B101</f>
        <v>28291024</v>
      </c>
      <c r="C5" s="6">
        <f>'Texas pop'!C101</f>
        <v>16100</v>
      </c>
      <c r="D5" s="6">
        <f>'Texas pop'!D101</f>
        <v>16100</v>
      </c>
      <c r="E5" s="6">
        <f>'Texas pop'!E101</f>
        <v>8400</v>
      </c>
      <c r="F5" s="47">
        <f t="shared" ref="F5:F39" si="23">E5*$C$46*$D$45/1000000000</f>
        <v>0.11672395319498924</v>
      </c>
      <c r="G5" s="47">
        <f t="shared" si="0"/>
        <v>4.8417557999999996</v>
      </c>
      <c r="H5" s="6">
        <v>0</v>
      </c>
      <c r="I5" s="9">
        <f t="shared" ref="I5:I38" si="24">H5/$D$42*$D$43</f>
        <v>0</v>
      </c>
      <c r="J5" s="47">
        <f t="shared" si="1"/>
        <v>1617.252</v>
      </c>
      <c r="K5" s="9">
        <f>J5-I4</f>
        <v>1617.252</v>
      </c>
      <c r="L5" s="9">
        <f t="shared" ref="L5:L38" si="25">Q5</f>
        <v>711.11111111111097</v>
      </c>
      <c r="M5" s="9">
        <f>'Plastics CCUS_RMTO'!M5</f>
        <v>711.11111111111097</v>
      </c>
      <c r="N5" s="9">
        <f>'Plastics CCUS_RMTP'!M5</f>
        <v>711.11111111111097</v>
      </c>
      <c r="O5" s="9">
        <f>'Plastics CCUS_ROCM'!M5</f>
        <v>711.11111111111097</v>
      </c>
      <c r="P5" s="9">
        <v>3.84</v>
      </c>
      <c r="Q5" s="9">
        <f>$H$50/2.7*P5</f>
        <v>711.11111111111097</v>
      </c>
      <c r="R5" s="6">
        <f>D50/D43</f>
        <v>1857.3788330526318</v>
      </c>
      <c r="S5" s="9">
        <f>'Plastics CCUS_RMTO'!Q5</f>
        <v>1</v>
      </c>
      <c r="T5" s="9">
        <f>'Plastics CCUS_RMTP'!Q5</f>
        <v>1</v>
      </c>
      <c r="U5" s="9">
        <f>'Plastics CCUS_ROCM'!Q5</f>
        <v>1</v>
      </c>
      <c r="V5">
        <f t="shared" si="2"/>
        <v>0.11901465526270119</v>
      </c>
      <c r="W5">
        <f t="shared" si="3"/>
        <v>0.11118474373226031</v>
      </c>
      <c r="X5">
        <f t="shared" si="4"/>
        <v>0.16756010675143457</v>
      </c>
      <c r="Y5">
        <f t="shared" si="5"/>
        <v>1.0961876142617216E-2</v>
      </c>
      <c r="Z5">
        <f t="shared" si="6"/>
        <v>1.0961876142617216E-2</v>
      </c>
      <c r="AA5">
        <f t="shared" si="7"/>
        <v>2.1923752285234428E-2</v>
      </c>
      <c r="AB5">
        <f t="shared" si="8"/>
        <v>2.1923752285234428E-2</v>
      </c>
      <c r="AC5">
        <f t="shared" si="9"/>
        <v>2.1923752285234428E-2</v>
      </c>
      <c r="AD5">
        <f t="shared" si="10"/>
        <v>1.722580536696991E-2</v>
      </c>
      <c r="AE5">
        <f t="shared" si="11"/>
        <v>0.10961876142617212</v>
      </c>
      <c r="AF5">
        <f t="shared" si="12"/>
        <v>5.4809380713086067E-2</v>
      </c>
      <c r="AG5">
        <f t="shared" si="13"/>
        <v>2.6621699203498952E-2</v>
      </c>
      <c r="AH5">
        <f t="shared" si="14"/>
        <v>0.28344279740195943</v>
      </c>
      <c r="AI5">
        <f t="shared" si="15"/>
        <v>0.19104984134275715</v>
      </c>
      <c r="AJ5">
        <f t="shared" si="16"/>
        <v>0.18165394750622815</v>
      </c>
      <c r="AK5">
        <f t="shared" si="17"/>
        <v>0.216105558240168</v>
      </c>
      <c r="AL5">
        <f t="shared" ref="AL5:AL38" si="26">SUM(V5:AK5)</f>
        <v>1.5659823060881737</v>
      </c>
      <c r="AM5" s="9">
        <f t="shared" si="18"/>
        <v>62684.095849198507</v>
      </c>
      <c r="AN5" s="9">
        <f t="shared" si="19"/>
        <v>1.775213594449301</v>
      </c>
      <c r="AO5" s="9">
        <f t="shared" si="20"/>
        <v>4.4945805142285007</v>
      </c>
      <c r="AP5" s="9">
        <f t="shared" si="21"/>
        <v>0.7145808610233596</v>
      </c>
      <c r="AQ5" s="9">
        <f t="shared" si="22"/>
        <v>2.9926866083074399</v>
      </c>
      <c r="AS5" s="6" t="s">
        <v>178</v>
      </c>
      <c r="AT5" s="6">
        <v>0.453592</v>
      </c>
    </row>
    <row r="6" spans="1:46" x14ac:dyDescent="0.25">
      <c r="A6" s="6">
        <f>'Texas pop'!A102</f>
        <v>2018</v>
      </c>
      <c r="B6" s="6">
        <f>'Texas pop'!B102</f>
        <v>28624564</v>
      </c>
      <c r="C6" s="6">
        <f>'Texas pop'!C102</f>
        <v>24500</v>
      </c>
      <c r="D6" s="6">
        <f>'Texas pop'!D102</f>
        <v>24500</v>
      </c>
      <c r="E6" s="6">
        <f>'Texas pop'!E102</f>
        <v>13900</v>
      </c>
      <c r="F6" s="47">
        <f t="shared" si="23"/>
        <v>0.19315035112027978</v>
      </c>
      <c r="G6" s="47">
        <f t="shared" si="0"/>
        <v>8.0119530500000007</v>
      </c>
      <c r="H6" s="6">
        <v>0</v>
      </c>
      <c r="I6" s="9">
        <f t="shared" si="24"/>
        <v>0</v>
      </c>
      <c r="J6" s="47">
        <f t="shared" si="1"/>
        <v>2676.1669999999999</v>
      </c>
      <c r="K6" s="9">
        <f t="shared" ref="K6:K38" si="27">J6-I5</f>
        <v>2676.1669999999999</v>
      </c>
      <c r="L6" s="9">
        <f t="shared" si="25"/>
        <v>620.37037037037032</v>
      </c>
      <c r="M6" s="9">
        <f>'Plastics CCUS_RMTO'!M6</f>
        <v>620.37037037037032</v>
      </c>
      <c r="N6" s="9">
        <f>'Plastics CCUS_RMTP'!M6</f>
        <v>620.37037037037032</v>
      </c>
      <c r="O6" s="9">
        <f>'Plastics CCUS_ROCM'!M6</f>
        <v>620.37037037037032</v>
      </c>
      <c r="P6" s="9">
        <v>3.35</v>
      </c>
      <c r="Q6" s="9">
        <f t="shared" ref="Q6:Q37" si="28">$H$50/2.7*P6</f>
        <v>620.37037037037032</v>
      </c>
      <c r="R6" s="41">
        <f>R5*(1-0.01)</f>
        <v>1838.8050447221053</v>
      </c>
      <c r="S6" s="9">
        <f>'Plastics CCUS_RMTO'!Q6</f>
        <v>1</v>
      </c>
      <c r="T6" s="9">
        <f>'Plastics CCUS_RMTP'!Q6</f>
        <v>1</v>
      </c>
      <c r="U6" s="9">
        <f>'Plastics CCUS_ROCM'!Q6</f>
        <v>1</v>
      </c>
      <c r="V6">
        <f t="shared" si="2"/>
        <v>0.19694091763708885</v>
      </c>
      <c r="W6">
        <f t="shared" si="3"/>
        <v>0.18398427831885933</v>
      </c>
      <c r="X6">
        <f t="shared" si="4"/>
        <v>0.277272081410112</v>
      </c>
      <c r="Y6">
        <f t="shared" si="5"/>
        <v>1.8139295045521343E-2</v>
      </c>
      <c r="Z6">
        <f t="shared" si="6"/>
        <v>1.8139295045521343E-2</v>
      </c>
      <c r="AA6">
        <f t="shared" si="7"/>
        <v>3.627859009104268E-2</v>
      </c>
      <c r="AB6">
        <f t="shared" si="8"/>
        <v>3.627859009104268E-2</v>
      </c>
      <c r="AC6">
        <f t="shared" si="9"/>
        <v>3.627859009104268E-2</v>
      </c>
      <c r="AD6">
        <f t="shared" si="10"/>
        <v>2.8504606500104973E-2</v>
      </c>
      <c r="AE6">
        <f t="shared" si="11"/>
        <v>0.18139295045521339</v>
      </c>
      <c r="AF6">
        <f t="shared" si="12"/>
        <v>9.069647522760671E-2</v>
      </c>
      <c r="AG6">
        <f t="shared" si="13"/>
        <v>4.4052573681980407E-2</v>
      </c>
      <c r="AH6">
        <f t="shared" si="14"/>
        <v>0.469030343319909</v>
      </c>
      <c r="AI6">
        <f t="shared" si="15"/>
        <v>0.31614199936480053</v>
      </c>
      <c r="AJ6">
        <f t="shared" si="16"/>
        <v>0.30059403218292507</v>
      </c>
      <c r="AK6">
        <f t="shared" si="17"/>
        <v>0.35760324518313513</v>
      </c>
      <c r="AL6">
        <f t="shared" si="26"/>
        <v>2.5913278636459065</v>
      </c>
      <c r="AM6" s="9">
        <f t="shared" si="18"/>
        <v>103727.25384569753</v>
      </c>
      <c r="AN6" s="9">
        <f t="shared" si="19"/>
        <v>2.9375558289101531</v>
      </c>
      <c r="AO6" s="9">
        <f t="shared" si="20"/>
        <v>7.4374606128304954</v>
      </c>
      <c r="AP6" s="9">
        <f t="shared" si="21"/>
        <v>1.1824611866934165</v>
      </c>
      <c r="AQ6" s="9">
        <f t="shared" si="22"/>
        <v>4.9521837923182632</v>
      </c>
    </row>
    <row r="7" spans="1:46" x14ac:dyDescent="0.25">
      <c r="A7" s="6">
        <f>'Texas pop'!A103</f>
        <v>2019</v>
      </c>
      <c r="B7" s="6">
        <f>'Texas pop'!B103</f>
        <v>28986794</v>
      </c>
      <c r="C7" s="6">
        <f>'Texas pop'!C103</f>
        <v>38400</v>
      </c>
      <c r="D7" s="6">
        <f>'Texas pop'!D103</f>
        <v>38400</v>
      </c>
      <c r="E7" s="6">
        <f>'Texas pop'!E103</f>
        <v>13800</v>
      </c>
      <c r="F7" s="47">
        <f t="shared" si="23"/>
        <v>0.19176078024891088</v>
      </c>
      <c r="G7" s="47">
        <f t="shared" si="0"/>
        <v>7.9543131000000002</v>
      </c>
      <c r="H7" s="6">
        <v>0</v>
      </c>
      <c r="I7" s="9">
        <f t="shared" si="24"/>
        <v>0</v>
      </c>
      <c r="J7" s="47">
        <f t="shared" si="1"/>
        <v>2656.9140000000002</v>
      </c>
      <c r="K7" s="9">
        <f t="shared" si="27"/>
        <v>2656.9140000000002</v>
      </c>
      <c r="L7" s="9">
        <f t="shared" si="25"/>
        <v>725.92592592592587</v>
      </c>
      <c r="M7" s="9">
        <f>'Plastics CCUS_RMTO'!M7</f>
        <v>725.92592592592587</v>
      </c>
      <c r="N7" s="9">
        <f>'Plastics CCUS_RMTP'!M7</f>
        <v>725.92592592592587</v>
      </c>
      <c r="O7" s="9">
        <f>'Plastics CCUS_ROCM'!M7</f>
        <v>725.92592592592587</v>
      </c>
      <c r="P7" s="9">
        <v>3.92</v>
      </c>
      <c r="Q7" s="9">
        <f t="shared" si="28"/>
        <v>725.92592592592587</v>
      </c>
      <c r="R7" s="41">
        <f t="shared" ref="R7:R38" si="29">R6*(1-0.01)</f>
        <v>1820.4169942748842</v>
      </c>
      <c r="S7" s="9">
        <f>'Plastics CCUS_RMTO'!Q7</f>
        <v>1</v>
      </c>
      <c r="T7" s="9">
        <f>'Plastics CCUS_RMTP'!Q7</f>
        <v>1</v>
      </c>
      <c r="U7" s="9">
        <f>'Plastics CCUS_ROCM'!Q7</f>
        <v>1</v>
      </c>
      <c r="V7">
        <f t="shared" si="2"/>
        <v>0.1955240765030091</v>
      </c>
      <c r="W7">
        <f t="shared" si="3"/>
        <v>0.1826606504172848</v>
      </c>
      <c r="X7">
        <f t="shared" si="4"/>
        <v>0.27527731823449963</v>
      </c>
      <c r="Y7">
        <f t="shared" si="5"/>
        <v>1.8008796520013994E-2</v>
      </c>
      <c r="Z7">
        <f t="shared" si="6"/>
        <v>1.8008796520013994E-2</v>
      </c>
      <c r="AA7">
        <f t="shared" si="7"/>
        <v>3.6017593040027981E-2</v>
      </c>
      <c r="AB7">
        <f t="shared" si="8"/>
        <v>3.6017593040027981E-2</v>
      </c>
      <c r="AC7">
        <f t="shared" si="9"/>
        <v>3.6017593040027981E-2</v>
      </c>
      <c r="AD7">
        <f t="shared" si="10"/>
        <v>2.8299537388593424E-2</v>
      </c>
      <c r="AE7">
        <f t="shared" si="11"/>
        <v>0.18008796520013992</v>
      </c>
      <c r="AF7">
        <f t="shared" si="12"/>
        <v>9.0043982600069974E-2</v>
      </c>
      <c r="AG7">
        <f t="shared" si="13"/>
        <v>4.3735648691462563E-2</v>
      </c>
      <c r="AH7">
        <f t="shared" si="14"/>
        <v>0.46565602430321901</v>
      </c>
      <c r="AI7">
        <f t="shared" si="15"/>
        <v>0.31386759649167251</v>
      </c>
      <c r="AJ7">
        <f t="shared" si="16"/>
        <v>0.29843148518880336</v>
      </c>
      <c r="AK7">
        <f t="shared" si="17"/>
        <v>0.35503055996599026</v>
      </c>
      <c r="AL7">
        <f t="shared" si="26"/>
        <v>2.5726852171448562</v>
      </c>
      <c r="AM7" s="9">
        <f t="shared" si="18"/>
        <v>102981.01460939755</v>
      </c>
      <c r="AN7" s="9">
        <f t="shared" si="19"/>
        <v>2.9164223337381374</v>
      </c>
      <c r="AO7" s="9">
        <f t="shared" si="20"/>
        <v>7.3839537019468233</v>
      </c>
      <c r="AP7" s="9">
        <f t="shared" si="21"/>
        <v>1.1739542716812337</v>
      </c>
      <c r="AQ7" s="9">
        <f t="shared" si="22"/>
        <v>4.9165565707907941</v>
      </c>
      <c r="AS7" t="s">
        <v>181</v>
      </c>
    </row>
    <row r="8" spans="1:46" x14ac:dyDescent="0.25">
      <c r="A8" s="6">
        <f>'Texas pop'!A104</f>
        <v>2020</v>
      </c>
      <c r="B8" s="6">
        <f>'Texas pop'!B104</f>
        <v>29232474</v>
      </c>
      <c r="C8" s="6">
        <f>'Texas pop'!C104</f>
        <v>52200</v>
      </c>
      <c r="D8" s="6">
        <f>'Texas pop'!D104</f>
        <v>52200</v>
      </c>
      <c r="E8" s="6">
        <f>'Texas pop'!E104</f>
        <v>28700</v>
      </c>
      <c r="F8" s="47">
        <f t="shared" si="23"/>
        <v>0.39880684008287987</v>
      </c>
      <c r="G8" s="47">
        <f t="shared" si="0"/>
        <v>16.54266565</v>
      </c>
      <c r="H8" s="6">
        <v>0</v>
      </c>
      <c r="I8" s="9">
        <f t="shared" si="24"/>
        <v>0</v>
      </c>
      <c r="J8" s="47">
        <f t="shared" si="1"/>
        <v>5525.6109999999999</v>
      </c>
      <c r="K8" s="9">
        <f t="shared" si="27"/>
        <v>5525.6109999999999</v>
      </c>
      <c r="L8" s="9">
        <f t="shared" si="25"/>
        <v>429.62962962962956</v>
      </c>
      <c r="M8" s="9">
        <f>'Plastics CCUS_RMTO'!M8</f>
        <v>429.62962962962956</v>
      </c>
      <c r="N8" s="9">
        <f>'Plastics CCUS_RMTP'!M8</f>
        <v>429.62962962962956</v>
      </c>
      <c r="O8" s="9">
        <f>'Plastics CCUS_ROCM'!M8</f>
        <v>429.62962962962956</v>
      </c>
      <c r="P8" s="9">
        <v>2.3199999999999998</v>
      </c>
      <c r="Q8" s="9">
        <f t="shared" si="28"/>
        <v>429.62962962962956</v>
      </c>
      <c r="R8" s="41">
        <f>R7*(1-0.01)</f>
        <v>1802.2128243321354</v>
      </c>
      <c r="S8" s="9">
        <f>'Plastics CCUS_RMTO'!Q8</f>
        <v>1</v>
      </c>
      <c r="T8" s="9">
        <f>'Plastics CCUS_RMTP'!Q8</f>
        <v>1</v>
      </c>
      <c r="U8" s="9">
        <f>'Plastics CCUS_ROCM'!Q8</f>
        <v>1</v>
      </c>
      <c r="V8">
        <f t="shared" si="2"/>
        <v>0.40663340548089572</v>
      </c>
      <c r="W8">
        <f t="shared" si="3"/>
        <v>0.37988120775188938</v>
      </c>
      <c r="X8">
        <f t="shared" si="4"/>
        <v>0.57249703140073482</v>
      </c>
      <c r="Y8">
        <f t="shared" si="5"/>
        <v>3.7453076820608819E-2</v>
      </c>
      <c r="Z8">
        <f t="shared" si="6"/>
        <v>3.7453076820608819E-2</v>
      </c>
      <c r="AA8">
        <f t="shared" si="7"/>
        <v>7.4906153641217624E-2</v>
      </c>
      <c r="AB8">
        <f t="shared" si="8"/>
        <v>7.4906153641217624E-2</v>
      </c>
      <c r="AC8">
        <f t="shared" si="9"/>
        <v>7.4906153641217624E-2</v>
      </c>
      <c r="AD8">
        <f t="shared" si="10"/>
        <v>5.8854835003813867E-2</v>
      </c>
      <c r="AE8">
        <f t="shared" si="11"/>
        <v>0.3745307682060881</v>
      </c>
      <c r="AF8">
        <f t="shared" si="12"/>
        <v>0.18726538410304408</v>
      </c>
      <c r="AG8">
        <f t="shared" si="13"/>
        <v>9.0957472278621415E-2</v>
      </c>
      <c r="AH8">
        <f t="shared" si="14"/>
        <v>0.96842955779002793</v>
      </c>
      <c r="AI8">
        <f t="shared" si="15"/>
        <v>0.65275362458775366</v>
      </c>
      <c r="AJ8">
        <f t="shared" si="16"/>
        <v>0.6206509873129461</v>
      </c>
      <c r="AK8">
        <f t="shared" si="17"/>
        <v>0.73836065732057388</v>
      </c>
      <c r="AL8">
        <f t="shared" si="26"/>
        <v>5.3504395458012599</v>
      </c>
      <c r="AM8" s="9">
        <f t="shared" si="18"/>
        <v>214170.66081809491</v>
      </c>
      <c r="AN8" s="9">
        <f t="shared" si="19"/>
        <v>6.0653131143684451</v>
      </c>
      <c r="AO8" s="9">
        <f t="shared" si="20"/>
        <v>15.356483423614046</v>
      </c>
      <c r="AP8" s="9">
        <f t="shared" si="21"/>
        <v>2.441484608496479</v>
      </c>
      <c r="AQ8" s="9">
        <f t="shared" si="22"/>
        <v>10.225012578383753</v>
      </c>
      <c r="AS8">
        <v>7.2</v>
      </c>
      <c r="AT8">
        <f>AS8*AG2</f>
        <v>161.80489851222603</v>
      </c>
    </row>
    <row r="9" spans="1:46" x14ac:dyDescent="0.25">
      <c r="A9" s="6">
        <f>'Texas pop'!A105</f>
        <v>2021</v>
      </c>
      <c r="B9" s="6">
        <f>'Texas pop'!B105</f>
        <v>29558864</v>
      </c>
      <c r="C9" s="6">
        <f>'Texas pop'!C105</f>
        <v>80900</v>
      </c>
      <c r="D9" s="6">
        <f>'Texas pop'!D105</f>
        <v>80900</v>
      </c>
      <c r="E9" s="6">
        <f>'Texas pop'!E105</f>
        <v>68100</v>
      </c>
      <c r="F9" s="47">
        <f t="shared" si="23"/>
        <v>0.94629776340223404</v>
      </c>
      <c r="G9" s="47">
        <f t="shared" si="0"/>
        <v>39.252805949999996</v>
      </c>
      <c r="H9" s="6">
        <v>0</v>
      </c>
      <c r="I9" s="9">
        <f t="shared" si="24"/>
        <v>0</v>
      </c>
      <c r="J9" s="47">
        <f t="shared" si="1"/>
        <v>13111.293</v>
      </c>
      <c r="K9" s="9">
        <f t="shared" si="27"/>
        <v>13111.293</v>
      </c>
      <c r="L9" s="9">
        <f t="shared" si="25"/>
        <v>511.11111111111103</v>
      </c>
      <c r="M9" s="9">
        <f>'Plastics CCUS_RMTO'!M9</f>
        <v>511.11111111111103</v>
      </c>
      <c r="N9" s="9">
        <f>'Plastics CCUS_RMTP'!M9</f>
        <v>511.11111111111103</v>
      </c>
      <c r="O9" s="9">
        <f>'Plastics CCUS_ROCM'!M9</f>
        <v>511.11111111111103</v>
      </c>
      <c r="P9" s="9">
        <v>2.76</v>
      </c>
      <c r="Q9" s="9">
        <f t="shared" si="28"/>
        <v>511.11111111111103</v>
      </c>
      <c r="R9" s="41">
        <f t="shared" si="29"/>
        <v>1784.1906960888141</v>
      </c>
      <c r="S9" s="9">
        <f>'Plastics CCUS_RMTO'!Q9</f>
        <v>1</v>
      </c>
      <c r="T9" s="9">
        <f>'Plastics CCUS_RMTP'!Q9</f>
        <v>1</v>
      </c>
      <c r="U9" s="9">
        <f>'Plastics CCUS_ROCM'!Q9</f>
        <v>1</v>
      </c>
      <c r="V9">
        <f t="shared" si="2"/>
        <v>0.96486881230832755</v>
      </c>
      <c r="W9">
        <f t="shared" si="3"/>
        <v>0.90139060097225321</v>
      </c>
      <c r="X9">
        <f t="shared" si="4"/>
        <v>1.3584337225919874</v>
      </c>
      <c r="Y9">
        <f t="shared" si="5"/>
        <v>8.8869495870503842E-2</v>
      </c>
      <c r="Z9">
        <f t="shared" si="6"/>
        <v>8.8869495870503842E-2</v>
      </c>
      <c r="AA9">
        <f t="shared" si="7"/>
        <v>0.17773899174100766</v>
      </c>
      <c r="AB9">
        <f t="shared" si="8"/>
        <v>0.17773899174100766</v>
      </c>
      <c r="AC9">
        <f t="shared" si="9"/>
        <v>0.17773899174100766</v>
      </c>
      <c r="AD9">
        <f t="shared" si="10"/>
        <v>0.13965206493936322</v>
      </c>
      <c r="AE9">
        <f t="shared" si="11"/>
        <v>0.88869495870503834</v>
      </c>
      <c r="AF9">
        <f t="shared" si="12"/>
        <v>0.44434747935251923</v>
      </c>
      <c r="AG9">
        <f t="shared" si="13"/>
        <v>0.21582591854265221</v>
      </c>
      <c r="AH9">
        <f t="shared" si="14"/>
        <v>2.2979112503658849</v>
      </c>
      <c r="AI9">
        <f t="shared" si="15"/>
        <v>1.5488683566002099</v>
      </c>
      <c r="AJ9">
        <f t="shared" si="16"/>
        <v>1.472694502996921</v>
      </c>
      <c r="AK9">
        <f t="shared" si="17"/>
        <v>1.7519986328756476</v>
      </c>
      <c r="AL9">
        <f t="shared" si="26"/>
        <v>12.695642267214835</v>
      </c>
      <c r="AM9" s="9">
        <f t="shared" si="18"/>
        <v>508188.91992028791</v>
      </c>
      <c r="AN9" s="9">
        <f t="shared" si="19"/>
        <v>14.391910212142548</v>
      </c>
      <c r="AO9" s="9">
        <f t="shared" si="20"/>
        <v>36.438206311781066</v>
      </c>
      <c r="AP9" s="9">
        <f t="shared" si="21"/>
        <v>5.7932091232965233</v>
      </c>
      <c r="AQ9" s="9">
        <f t="shared" si="22"/>
        <v>24.262137860206746</v>
      </c>
      <c r="AS9" t="s">
        <v>179</v>
      </c>
      <c r="AT9" s="46">
        <f>AT5*AT8</f>
        <v>73.393407525957628</v>
      </c>
    </row>
    <row r="10" spans="1:46" x14ac:dyDescent="0.25">
      <c r="A10" s="6">
        <f>'Texas pop'!A106</f>
        <v>2022</v>
      </c>
      <c r="B10" s="6">
        <f>'Texas pop'!B106</f>
        <v>30029572</v>
      </c>
      <c r="C10" s="6">
        <f>'Texas pop'!C106</f>
        <v>149000</v>
      </c>
      <c r="D10" s="6">
        <f>'Texas pop'!D106</f>
        <v>149000</v>
      </c>
      <c r="E10" s="6">
        <f>'Texas pop'!E106</f>
        <v>78996</v>
      </c>
      <c r="F10" s="47">
        <f t="shared" si="23"/>
        <v>1.0977054055465916</v>
      </c>
      <c r="G10" s="47">
        <f t="shared" si="0"/>
        <v>45.533254901999996</v>
      </c>
      <c r="H10" s="6">
        <v>0</v>
      </c>
      <c r="I10" s="9">
        <f t="shared" si="24"/>
        <v>0</v>
      </c>
      <c r="J10" s="47">
        <f t="shared" si="1"/>
        <v>15209.099880000002</v>
      </c>
      <c r="K10" s="9">
        <f t="shared" si="27"/>
        <v>15209.099880000002</v>
      </c>
      <c r="L10" s="9">
        <f t="shared" si="25"/>
        <v>901.85185185185173</v>
      </c>
      <c r="M10" s="9">
        <f>'Plastics CCUS_RMTO'!M10</f>
        <v>901.85185185185173</v>
      </c>
      <c r="N10" s="9">
        <f>'Plastics CCUS_RMTP'!M10</f>
        <v>901.85185185185173</v>
      </c>
      <c r="O10" s="9">
        <f>'Plastics CCUS_ROCM'!M10</f>
        <v>901.85185185185173</v>
      </c>
      <c r="P10" s="9">
        <v>4.87</v>
      </c>
      <c r="Q10" s="9">
        <f t="shared" si="28"/>
        <v>901.85185185185173</v>
      </c>
      <c r="R10" s="41">
        <f t="shared" si="29"/>
        <v>1766.348789127926</v>
      </c>
      <c r="S10" s="9">
        <f>'Plastics CCUS_RMTO'!Q10</f>
        <v>1</v>
      </c>
      <c r="T10" s="9">
        <f>'Plastics CCUS_RMTP'!Q10</f>
        <v>1</v>
      </c>
      <c r="U10" s="9">
        <f>'Plastics CCUS_ROCM'!Q10</f>
        <v>1</v>
      </c>
      <c r="V10">
        <f t="shared" si="2"/>
        <v>1.1192478222776598</v>
      </c>
      <c r="W10">
        <f t="shared" si="3"/>
        <v>1.0456130971278137</v>
      </c>
      <c r="X10">
        <f t="shared" si="4"/>
        <v>1.5757831182067052</v>
      </c>
      <c r="Y10">
        <f t="shared" si="5"/>
        <v>0.10308861520978446</v>
      </c>
      <c r="Z10">
        <f t="shared" si="6"/>
        <v>0.10308861520978446</v>
      </c>
      <c r="AA10">
        <f t="shared" si="7"/>
        <v>0.2061772304195689</v>
      </c>
      <c r="AB10">
        <f t="shared" si="8"/>
        <v>0.2061772304195689</v>
      </c>
      <c r="AC10">
        <f t="shared" si="9"/>
        <v>0.2061772304195689</v>
      </c>
      <c r="AD10">
        <f t="shared" si="10"/>
        <v>0.16199639532966131</v>
      </c>
      <c r="AE10">
        <f t="shared" si="11"/>
        <v>1.0308861520978445</v>
      </c>
      <c r="AF10">
        <f t="shared" si="12"/>
        <v>0.51544307604892226</v>
      </c>
      <c r="AG10">
        <f t="shared" si="13"/>
        <v>0.25035806550947659</v>
      </c>
      <c r="AH10">
        <f t="shared" si="14"/>
        <v>2.6655770504244267</v>
      </c>
      <c r="AI10">
        <f t="shared" si="15"/>
        <v>1.7966872936562435</v>
      </c>
      <c r="AJ10">
        <f t="shared" si="16"/>
        <v>1.7083256234764281</v>
      </c>
      <c r="AK10">
        <f t="shared" si="17"/>
        <v>2.0323184141357511</v>
      </c>
      <c r="AL10">
        <f t="shared" si="26"/>
        <v>14.726945029969208</v>
      </c>
      <c r="AM10" s="9">
        <f t="shared" si="18"/>
        <v>589499.14710753399</v>
      </c>
      <c r="AN10" s="9">
        <f t="shared" si="19"/>
        <v>16.694615846085355</v>
      </c>
      <c r="AO10" s="9">
        <f t="shared" si="20"/>
        <v>42.268319321666027</v>
      </c>
      <c r="AP10" s="9">
        <f t="shared" si="21"/>
        <v>6.7201225830239668</v>
      </c>
      <c r="AQ10" s="9">
        <f t="shared" si="22"/>
        <v>28.144079917839822</v>
      </c>
      <c r="AS10" t="s">
        <v>179</v>
      </c>
      <c r="AT10" s="46">
        <f>AS4+AT9</f>
        <v>251.87143803033453</v>
      </c>
    </row>
    <row r="11" spans="1:46" x14ac:dyDescent="0.25">
      <c r="A11" s="6">
        <f>'Texas pop'!A107</f>
        <v>2023</v>
      </c>
      <c r="B11" s="6">
        <f>'Texas pop'!B107</f>
        <v>30303924.285714388</v>
      </c>
      <c r="C11" s="6">
        <f>'Texas pop'!C107</f>
        <v>227996</v>
      </c>
      <c r="D11" s="6">
        <f>'Texas pop'!D107</f>
        <v>227996</v>
      </c>
      <c r="E11" s="6">
        <f>'Texas pop'!E107</f>
        <v>91635.36</v>
      </c>
      <c r="F11" s="47">
        <f t="shared" si="23"/>
        <v>1.2733382704340463</v>
      </c>
      <c r="G11" s="47">
        <f t="shared" si="0"/>
        <v>52.818575686320003</v>
      </c>
      <c r="H11" s="6">
        <v>0</v>
      </c>
      <c r="I11" s="9">
        <f t="shared" si="24"/>
        <v>0</v>
      </c>
      <c r="J11" s="47">
        <f t="shared" si="1"/>
        <v>17642.555860800003</v>
      </c>
      <c r="K11" s="9">
        <f t="shared" si="27"/>
        <v>17642.555860800003</v>
      </c>
      <c r="L11" s="9">
        <f t="shared" si="25"/>
        <v>831.48148148148141</v>
      </c>
      <c r="M11" s="9">
        <f>'Plastics CCUS_RMTO'!M11</f>
        <v>831.48148148148141</v>
      </c>
      <c r="N11" s="9">
        <f>'Plastics CCUS_RMTP'!M11</f>
        <v>831.48148148148141</v>
      </c>
      <c r="O11" s="9">
        <f>'Plastics CCUS_ROCM'!M11</f>
        <v>831.48148148148141</v>
      </c>
      <c r="P11" s="9">
        <v>4.49</v>
      </c>
      <c r="Q11" s="9">
        <f t="shared" si="28"/>
        <v>831.48148148148141</v>
      </c>
      <c r="R11" s="41">
        <f t="shared" si="29"/>
        <v>1748.6853012366466</v>
      </c>
      <c r="S11" s="9">
        <f>'Plastics CCUS_RMTO'!Q11</f>
        <v>1</v>
      </c>
      <c r="T11" s="9">
        <f>'Plastics CCUS_RMTP'!Q11</f>
        <v>1</v>
      </c>
      <c r="U11" s="9">
        <f>'Plastics CCUS_ROCM'!Q11</f>
        <v>1</v>
      </c>
      <c r="V11">
        <f t="shared" si="2"/>
        <v>1.2983274738420856</v>
      </c>
      <c r="W11">
        <f t="shared" si="3"/>
        <v>1.2129111926682641</v>
      </c>
      <c r="X11">
        <f t="shared" si="4"/>
        <v>1.8279084171197781</v>
      </c>
      <c r="Y11">
        <f t="shared" si="5"/>
        <v>0.11958279364334999</v>
      </c>
      <c r="Z11">
        <f t="shared" si="6"/>
        <v>0.11958279364334999</v>
      </c>
      <c r="AA11">
        <f t="shared" si="7"/>
        <v>0.2391655872866999</v>
      </c>
      <c r="AB11">
        <f t="shared" si="8"/>
        <v>0.2391655872866999</v>
      </c>
      <c r="AC11">
        <f t="shared" si="9"/>
        <v>0.2391655872866999</v>
      </c>
      <c r="AD11">
        <f t="shared" si="10"/>
        <v>0.18791581858240713</v>
      </c>
      <c r="AE11">
        <f t="shared" si="11"/>
        <v>1.1958279364334994</v>
      </c>
      <c r="AF11">
        <f t="shared" si="12"/>
        <v>0.5979139682167498</v>
      </c>
      <c r="AG11">
        <f t="shared" si="13"/>
        <v>0.29041535599099277</v>
      </c>
      <c r="AH11">
        <f t="shared" si="14"/>
        <v>3.0920693784923348</v>
      </c>
      <c r="AI11">
        <f t="shared" si="15"/>
        <v>2.0841572606412422</v>
      </c>
      <c r="AJ11">
        <f t="shared" si="16"/>
        <v>1.9816577232326567</v>
      </c>
      <c r="AK11">
        <f t="shared" si="17"/>
        <v>2.3574893603974716</v>
      </c>
      <c r="AL11">
        <f t="shared" si="26"/>
        <v>17.083256234764278</v>
      </c>
      <c r="AM11" s="9">
        <f t="shared" si="18"/>
        <v>683819.01064473938</v>
      </c>
      <c r="AN11" s="9">
        <f t="shared" si="19"/>
        <v>19.365754381459013</v>
      </c>
      <c r="AO11" s="9">
        <f t="shared" si="20"/>
        <v>49.031250413132597</v>
      </c>
      <c r="AP11" s="9">
        <f t="shared" si="21"/>
        <v>7.7953421963078009</v>
      </c>
      <c r="AQ11" s="9">
        <f t="shared" si="22"/>
        <v>32.647132704694194</v>
      </c>
      <c r="AS11" t="s">
        <v>182</v>
      </c>
      <c r="AT11">
        <v>186.43</v>
      </c>
    </row>
    <row r="12" spans="1:46" x14ac:dyDescent="0.25">
      <c r="A12" s="84">
        <f>'Texas pop'!A108</f>
        <v>2024</v>
      </c>
      <c r="B12" s="84">
        <f>'Texas pop'!B108</f>
        <v>30642856.928571463</v>
      </c>
      <c r="C12" s="84">
        <f>'Texas pop'!C108</f>
        <v>319631.35999999999</v>
      </c>
      <c r="D12" s="84">
        <f>'Texas pop'!D108</f>
        <v>319631.35999999999</v>
      </c>
      <c r="E12" s="84">
        <f>'Texas pop'!E108</f>
        <v>106297.01759999999</v>
      </c>
      <c r="F12" s="127">
        <f t="shared" si="23"/>
        <v>1.4770723937034933</v>
      </c>
      <c r="G12" s="127">
        <f t="shared" si="0"/>
        <v>61.269547796131192</v>
      </c>
      <c r="H12" s="84">
        <f t="shared" ref="H12:H38" si="30">E12*$D$41/1000</f>
        <v>55142.593016518069</v>
      </c>
      <c r="I12" s="79">
        <f t="shared" si="24"/>
        <v>12182.665898998179</v>
      </c>
      <c r="J12" s="127">
        <f>$D$45*E12/1000</f>
        <v>20465.364798527997</v>
      </c>
      <c r="K12" s="9">
        <f t="shared" si="27"/>
        <v>20465.364798527997</v>
      </c>
      <c r="L12" s="9">
        <f t="shared" si="25"/>
        <v>833.33333333333326</v>
      </c>
      <c r="M12" s="9">
        <f>'Plastics CCUS_RMTO'!M12</f>
        <v>833.33333333333326</v>
      </c>
      <c r="N12" s="9">
        <f>'Plastics CCUS_RMTP'!M12</f>
        <v>833.33333333333326</v>
      </c>
      <c r="O12" s="9">
        <f>'Plastics CCUS_ROCM'!M12</f>
        <v>833.33333333333326</v>
      </c>
      <c r="P12" s="13">
        <v>4.5</v>
      </c>
      <c r="Q12" s="9">
        <f t="shared" si="28"/>
        <v>833.33333333333326</v>
      </c>
      <c r="R12" s="41">
        <f t="shared" si="29"/>
        <v>1731.1984482242801</v>
      </c>
      <c r="S12" s="9">
        <f>'Plastics CCUS_RMTO'!Q12</f>
        <v>1</v>
      </c>
      <c r="T12" s="9">
        <f>'Plastics CCUS_RMTP'!Q12</f>
        <v>1</v>
      </c>
      <c r="U12" s="9">
        <f>'Plastics CCUS_ROCM'!Q12</f>
        <v>1</v>
      </c>
      <c r="V12">
        <f t="shared" si="2"/>
        <v>1.5060598696568193</v>
      </c>
      <c r="W12">
        <f t="shared" si="3"/>
        <v>1.4069769834951862</v>
      </c>
      <c r="X12">
        <f t="shared" si="4"/>
        <v>2.1203737638589422</v>
      </c>
      <c r="Y12">
        <f t="shared" si="5"/>
        <v>0.13871604062628598</v>
      </c>
      <c r="Z12">
        <f t="shared" si="6"/>
        <v>0.13871604062628598</v>
      </c>
      <c r="AA12">
        <f t="shared" si="7"/>
        <v>0.2774320812525719</v>
      </c>
      <c r="AB12">
        <f t="shared" si="8"/>
        <v>0.2774320812525719</v>
      </c>
      <c r="AC12">
        <f t="shared" si="9"/>
        <v>0.2774320812525719</v>
      </c>
      <c r="AD12">
        <f t="shared" si="10"/>
        <v>0.21798234955559226</v>
      </c>
      <c r="AE12">
        <f t="shared" si="11"/>
        <v>1.3871604062628593</v>
      </c>
      <c r="AF12">
        <f t="shared" si="12"/>
        <v>0.69358020313142976</v>
      </c>
      <c r="AG12">
        <f t="shared" si="13"/>
        <v>0.33688181294955161</v>
      </c>
      <c r="AH12">
        <f t="shared" si="14"/>
        <v>3.5868004790511083</v>
      </c>
      <c r="AI12">
        <f t="shared" si="15"/>
        <v>2.4176224223438409</v>
      </c>
      <c r="AJ12">
        <f t="shared" si="16"/>
        <v>2.2987229589498814</v>
      </c>
      <c r="AK12">
        <f t="shared" si="17"/>
        <v>2.7346876580610666</v>
      </c>
      <c r="AL12">
        <f t="shared" si="26"/>
        <v>19.816577232326566</v>
      </c>
      <c r="AM12" s="9">
        <f t="shared" si="18"/>
        <v>793230.05234789767</v>
      </c>
      <c r="AN12" s="9">
        <f t="shared" si="19"/>
        <v>22.464275082492453</v>
      </c>
      <c r="AO12" s="9">
        <f t="shared" si="20"/>
        <v>56.876250479233804</v>
      </c>
      <c r="AP12" s="9">
        <f t="shared" si="21"/>
        <v>9.0425969477170494</v>
      </c>
      <c r="AQ12" s="9">
        <f t="shared" si="22"/>
        <v>37.870673937445261</v>
      </c>
      <c r="AS12" s="46" t="s">
        <v>183</v>
      </c>
      <c r="AT12" s="88">
        <f>AT10/AT11</f>
        <v>1.351024180820332</v>
      </c>
    </row>
    <row r="13" spans="1:46" x14ac:dyDescent="0.25">
      <c r="A13" s="6">
        <f>'Texas pop'!A109</f>
        <v>2025</v>
      </c>
      <c r="B13" s="6">
        <f>'Texas pop'!B109</f>
        <v>30981789.571428657</v>
      </c>
      <c r="C13" s="6">
        <f>'Texas pop'!C109</f>
        <v>425928.37760000001</v>
      </c>
      <c r="D13" s="6">
        <f>'Texas pop'!D109</f>
        <v>425928.37760000001</v>
      </c>
      <c r="E13" s="6">
        <f>'Texas pop'!E109</f>
        <v>123304.54041599999</v>
      </c>
      <c r="F13" s="47">
        <f t="shared" si="23"/>
        <v>1.7134039766960523</v>
      </c>
      <c r="G13" s="47">
        <f t="shared" si="0"/>
        <v>71.072675443512182</v>
      </c>
      <c r="H13" s="6">
        <f t="shared" si="30"/>
        <v>63965.407899160964</v>
      </c>
      <c r="I13" s="9">
        <f>H13/$D$42*$D$43</f>
        <v>14131.892442837887</v>
      </c>
      <c r="J13" s="47">
        <f t="shared" si="1"/>
        <v>23739.823166292477</v>
      </c>
      <c r="K13" s="9">
        <f t="shared" si="27"/>
        <v>11557.157267294298</v>
      </c>
      <c r="L13" s="9">
        <f t="shared" si="25"/>
        <v>840.74074074074065</v>
      </c>
      <c r="M13" s="9">
        <f>'Plastics CCUS_RMTO'!M13</f>
        <v>1288.8166404621645</v>
      </c>
      <c r="N13" s="9">
        <f>'Plastics CCUS_RMTP'!M13</f>
        <v>1330.9965415538531</v>
      </c>
      <c r="O13" s="9">
        <f>'Plastics CCUS_ROCM'!M13</f>
        <v>1248.9626851334885</v>
      </c>
      <c r="P13" s="13">
        <v>4.54</v>
      </c>
      <c r="Q13" s="9">
        <f t="shared" si="28"/>
        <v>840.74074074074065</v>
      </c>
      <c r="R13" s="41">
        <f t="shared" si="29"/>
        <v>1713.8864637420372</v>
      </c>
      <c r="S13" s="9">
        <f>'Plastics CCUS_RMTO'!Q13</f>
        <v>1.5329537133250417</v>
      </c>
      <c r="T13" s="9">
        <f>'Plastics CCUS_RMTP'!Q13</f>
        <v>1.5831236397336581</v>
      </c>
      <c r="U13" s="9">
        <f>'Plastics CCUS_ROCM'!Q13</f>
        <v>1.4855503303349866</v>
      </c>
      <c r="V13">
        <f t="shared" si="2"/>
        <v>1.74702944880191</v>
      </c>
      <c r="W13">
        <f t="shared" si="3"/>
        <v>1.6320933008544158</v>
      </c>
      <c r="X13">
        <f t="shared" si="4"/>
        <v>2.4596335660763731</v>
      </c>
      <c r="Y13">
        <f t="shared" si="5"/>
        <v>0.16091060712649172</v>
      </c>
      <c r="Z13">
        <f t="shared" si="6"/>
        <v>0.16091060712649172</v>
      </c>
      <c r="AA13">
        <f t="shared" si="7"/>
        <v>0.32182121425298338</v>
      </c>
      <c r="AB13">
        <f t="shared" si="8"/>
        <v>0.32182121425298338</v>
      </c>
      <c r="AC13">
        <f t="shared" si="9"/>
        <v>0.32182121425298338</v>
      </c>
      <c r="AD13">
        <f t="shared" si="10"/>
        <v>0.25285952548448698</v>
      </c>
      <c r="AE13">
        <f t="shared" si="11"/>
        <v>1.6091060712649168</v>
      </c>
      <c r="AF13">
        <f t="shared" si="12"/>
        <v>0.8045530356324585</v>
      </c>
      <c r="AG13">
        <f t="shared" si="13"/>
        <v>0.39078290302147989</v>
      </c>
      <c r="AH13">
        <f t="shared" si="14"/>
        <v>4.1606885556992852</v>
      </c>
      <c r="AI13">
        <f t="shared" si="15"/>
        <v>2.8044420099188554</v>
      </c>
      <c r="AJ13">
        <f t="shared" si="16"/>
        <v>2.6665186323818624</v>
      </c>
      <c r="AK13">
        <f t="shared" si="17"/>
        <v>3.1722376833508372</v>
      </c>
      <c r="AL13">
        <f t="shared" si="26"/>
        <v>22.987229589498813</v>
      </c>
      <c r="AM13" s="9">
        <f t="shared" si="18"/>
        <v>920146.86072356126</v>
      </c>
      <c r="AN13" s="9">
        <f t="shared" si="19"/>
        <v>26.058559095691244</v>
      </c>
      <c r="AO13" s="9">
        <f t="shared" si="20"/>
        <v>65.976450555911228</v>
      </c>
      <c r="AP13" s="9">
        <f t="shared" si="21"/>
        <v>10.489412459351776</v>
      </c>
      <c r="AQ13" s="9">
        <f t="shared" si="22"/>
        <v>43.929981767436502</v>
      </c>
    </row>
    <row r="14" spans="1:46" x14ac:dyDescent="0.25">
      <c r="A14" s="6">
        <f>'Texas pop'!A110</f>
        <v>2026</v>
      </c>
      <c r="B14" s="6">
        <f>'Texas pop'!B110</f>
        <v>31320722.214285731</v>
      </c>
      <c r="C14" s="6">
        <f>'Texas pop'!C110</f>
        <v>549232.91801599995</v>
      </c>
      <c r="D14" s="6">
        <f>'Texas pop'!D110</f>
        <v>549232.91801599995</v>
      </c>
      <c r="E14" s="6">
        <f>'Texas pop'!E110</f>
        <v>143033.26688255998</v>
      </c>
      <c r="F14" s="47">
        <f t="shared" si="23"/>
        <v>1.9875486129674209</v>
      </c>
      <c r="G14" s="47">
        <f t="shared" si="0"/>
        <v>82.444303514474129</v>
      </c>
      <c r="H14" s="6">
        <f t="shared" si="30"/>
        <v>74199.873163026714</v>
      </c>
      <c r="I14" s="9">
        <f t="shared" si="24"/>
        <v>16392.995233691949</v>
      </c>
      <c r="J14" s="47">
        <f t="shared" si="1"/>
        <v>27538.194872899276</v>
      </c>
      <c r="K14" s="9">
        <f t="shared" si="27"/>
        <v>13406.302430061389</v>
      </c>
      <c r="L14" s="9">
        <f t="shared" si="25"/>
        <v>848.14814814814804</v>
      </c>
      <c r="M14" s="9">
        <f>'Plastics CCUS_RMTO'!M14</f>
        <v>1283.6275331738495</v>
      </c>
      <c r="N14" s="9">
        <f>'Plastics CCUS_RMTP'!M14</f>
        <v>1326.2310264732155</v>
      </c>
      <c r="O14" s="9">
        <f>'Plastics CCUS_ROCM'!M14</f>
        <v>1247.4409634436927</v>
      </c>
      <c r="P14" s="13">
        <v>4.58</v>
      </c>
      <c r="Q14" s="9">
        <f t="shared" si="28"/>
        <v>848.14814814814804</v>
      </c>
      <c r="R14" s="41">
        <f t="shared" si="29"/>
        <v>1696.7475991046169</v>
      </c>
      <c r="S14" s="9">
        <f>'Plastics CCUS_RMTO'!Q14</f>
        <v>1.5134473098556307</v>
      </c>
      <c r="T14" s="9">
        <f>'Plastics CCUS_RMTP'!Q14</f>
        <v>1.5636785028286821</v>
      </c>
      <c r="U14" s="9">
        <f>'Plastics CCUS_ROCM'!Q14</f>
        <v>1.4707819219641793</v>
      </c>
      <c r="V14">
        <f t="shared" si="2"/>
        <v>2.0265541606102153</v>
      </c>
      <c r="W14">
        <f t="shared" si="3"/>
        <v>1.8932282289911222</v>
      </c>
      <c r="X14">
        <f t="shared" si="4"/>
        <v>2.853174936648593</v>
      </c>
      <c r="Y14">
        <f t="shared" si="5"/>
        <v>0.18665630426673038</v>
      </c>
      <c r="Z14">
        <f t="shared" si="6"/>
        <v>0.18665630426673038</v>
      </c>
      <c r="AA14">
        <f t="shared" si="7"/>
        <v>0.37331260853346071</v>
      </c>
      <c r="AB14">
        <f t="shared" si="8"/>
        <v>0.37331260853346071</v>
      </c>
      <c r="AC14">
        <f t="shared" si="9"/>
        <v>0.37331260853346071</v>
      </c>
      <c r="AD14">
        <f t="shared" si="10"/>
        <v>0.29331704956200494</v>
      </c>
      <c r="AE14">
        <f t="shared" si="11"/>
        <v>1.8665630426673034</v>
      </c>
      <c r="AF14">
        <f t="shared" si="12"/>
        <v>0.93328152133365183</v>
      </c>
      <c r="AG14">
        <f t="shared" si="13"/>
        <v>0.45330816750491665</v>
      </c>
      <c r="AH14">
        <f t="shared" si="14"/>
        <v>4.8263987246111713</v>
      </c>
      <c r="AI14">
        <f t="shared" si="15"/>
        <v>3.2531527315058724</v>
      </c>
      <c r="AJ14">
        <f t="shared" si="16"/>
        <v>3.0931616135629607</v>
      </c>
      <c r="AK14">
        <f t="shared" si="17"/>
        <v>3.6797957126869711</v>
      </c>
      <c r="AL14">
        <f t="shared" si="26"/>
        <v>26.66518632381862</v>
      </c>
      <c r="AM14" s="9">
        <f t="shared" si="18"/>
        <v>1067370.3584393309</v>
      </c>
      <c r="AN14" s="9">
        <f t="shared" si="19"/>
        <v>30.227928551001842</v>
      </c>
      <c r="AO14" s="9">
        <f t="shared" si="20"/>
        <v>76.532682644857005</v>
      </c>
      <c r="AP14" s="9">
        <f t="shared" si="21"/>
        <v>12.16771845284806</v>
      </c>
      <c r="AQ14" s="9">
        <f t="shared" si="22"/>
        <v>50.958778850226345</v>
      </c>
    </row>
    <row r="15" spans="1:46" x14ac:dyDescent="0.25">
      <c r="A15" s="6">
        <f>'Texas pop'!A111</f>
        <v>2027</v>
      </c>
      <c r="B15" s="6">
        <f>'Texas pop'!B111</f>
        <v>31659654.857142925</v>
      </c>
      <c r="C15" s="6">
        <f>'Texas pop'!C111</f>
        <v>692266.18489855994</v>
      </c>
      <c r="D15" s="6">
        <f>'Texas pop'!D111</f>
        <v>692266.18489855994</v>
      </c>
      <c r="E15" s="6">
        <f>'Texas pop'!E111</f>
        <v>165918.58958376959</v>
      </c>
      <c r="F15" s="47">
        <f t="shared" si="23"/>
        <v>2.3055563910422081</v>
      </c>
      <c r="G15" s="47">
        <f t="shared" si="0"/>
        <v>95.635392076789998</v>
      </c>
      <c r="H15" s="6">
        <f t="shared" si="30"/>
        <v>86071.852869110997</v>
      </c>
      <c r="I15" s="9">
        <f t="shared" si="24"/>
        <v>19015.874471082665</v>
      </c>
      <c r="J15" s="47">
        <f t="shared" si="1"/>
        <v>31944.306052563155</v>
      </c>
      <c r="K15" s="9">
        <f t="shared" si="27"/>
        <v>15551.310818871207</v>
      </c>
      <c r="L15" s="9">
        <f t="shared" si="25"/>
        <v>888.8888888888888</v>
      </c>
      <c r="M15" s="9">
        <f>'Plastics CCUS_RMTO'!M15</f>
        <v>1294.7539031947374</v>
      </c>
      <c r="N15" s="9">
        <f>'Plastics CCUS_RMTP'!M15</f>
        <v>1339.5625674850262</v>
      </c>
      <c r="O15" s="9">
        <f>'Plastics CCUS_ROCM'!M15</f>
        <v>1269.103195401025</v>
      </c>
      <c r="P15" s="13">
        <v>4.8</v>
      </c>
      <c r="Q15" s="9">
        <f t="shared" si="28"/>
        <v>888.8888888888888</v>
      </c>
      <c r="R15" s="41">
        <f t="shared" si="29"/>
        <v>1679.7801231135707</v>
      </c>
      <c r="S15" s="9">
        <f>'Plastics CCUS_RMTO'!Q15</f>
        <v>1.4565981410940798</v>
      </c>
      <c r="T15" s="9">
        <f>'Plastics CCUS_RMTP'!Q15</f>
        <v>1.5070078884206546</v>
      </c>
      <c r="U15" s="9">
        <f>'Plastics CCUS_ROCM'!Q15</f>
        <v>1.4277410948261533</v>
      </c>
      <c r="V15">
        <f t="shared" si="2"/>
        <v>2.35080282630785</v>
      </c>
      <c r="W15">
        <f t="shared" si="3"/>
        <v>2.1961447456297019</v>
      </c>
      <c r="X15">
        <f t="shared" si="4"/>
        <v>3.3096829265123682</v>
      </c>
      <c r="Y15">
        <f t="shared" si="5"/>
        <v>0.21652131294940727</v>
      </c>
      <c r="Z15">
        <f t="shared" si="6"/>
        <v>0.21652131294940727</v>
      </c>
      <c r="AA15">
        <f t="shared" si="7"/>
        <v>0.43304262589881443</v>
      </c>
      <c r="AB15">
        <f t="shared" si="8"/>
        <v>0.43304262589881443</v>
      </c>
      <c r="AC15">
        <f t="shared" si="9"/>
        <v>0.43304262589881443</v>
      </c>
      <c r="AD15">
        <f t="shared" si="10"/>
        <v>0.34024777749192575</v>
      </c>
      <c r="AE15">
        <f t="shared" si="11"/>
        <v>2.165213129494072</v>
      </c>
      <c r="AF15">
        <f t="shared" si="12"/>
        <v>1.0826065647470362</v>
      </c>
      <c r="AG15">
        <f t="shared" si="13"/>
        <v>0.52583747430570327</v>
      </c>
      <c r="AH15">
        <f t="shared" si="14"/>
        <v>5.5986225205489593</v>
      </c>
      <c r="AI15">
        <f t="shared" si="15"/>
        <v>3.7736571685468121</v>
      </c>
      <c r="AJ15">
        <f t="shared" si="16"/>
        <v>3.5880674717330345</v>
      </c>
      <c r="AK15">
        <f t="shared" si="17"/>
        <v>4.2685630267168868</v>
      </c>
      <c r="AL15">
        <f t="shared" si="26"/>
        <v>30.931616135629607</v>
      </c>
      <c r="AM15" s="9">
        <f t="shared" si="18"/>
        <v>1238149.6157896242</v>
      </c>
      <c r="AN15" s="9">
        <f t="shared" si="19"/>
        <v>35.064397119162145</v>
      </c>
      <c r="AO15" s="9">
        <f t="shared" si="20"/>
        <v>88.777911868034124</v>
      </c>
      <c r="AP15" s="9">
        <f t="shared" si="21"/>
        <v>14.11455340530375</v>
      </c>
      <c r="AQ15" s="9">
        <f t="shared" si="22"/>
        <v>59.112183466262564</v>
      </c>
    </row>
    <row r="16" spans="1:46" x14ac:dyDescent="0.25">
      <c r="A16" s="6">
        <f>'Texas pop'!A112</f>
        <v>2028</v>
      </c>
      <c r="B16" s="6">
        <f>'Texas pop'!B112</f>
        <v>31998587.500000119</v>
      </c>
      <c r="C16" s="6">
        <f>'Texas pop'!C112</f>
        <v>858184.77448232949</v>
      </c>
      <c r="D16" s="6">
        <f>'Texas pop'!D112</f>
        <v>858184.77448232949</v>
      </c>
      <c r="E16" s="6">
        <f>'Texas pop'!E112</f>
        <v>192465.56391717272</v>
      </c>
      <c r="F16" s="47">
        <f t="shared" si="23"/>
        <v>2.6744454136089617</v>
      </c>
      <c r="G16" s="47">
        <f t="shared" si="0"/>
        <v>110.93705480907639</v>
      </c>
      <c r="H16" s="6">
        <f t="shared" si="30"/>
        <v>99843.34932816877</v>
      </c>
      <c r="I16" s="9">
        <f>H16/$D$42*$D$43</f>
        <v>22058.41438645589</v>
      </c>
      <c r="J16" s="47">
        <f t="shared" si="1"/>
        <v>37055.395020973265</v>
      </c>
      <c r="K16" s="9">
        <f t="shared" si="27"/>
        <v>18039.5205498906</v>
      </c>
      <c r="L16" s="9">
        <f t="shared" si="25"/>
        <v>907.40740740740739</v>
      </c>
      <c r="M16" s="9">
        <f>'Plastics CCUS_RMTO'!M16</f>
        <v>1295.1489958866</v>
      </c>
      <c r="N16" s="9">
        <f>'Plastics CCUS_RMTP'!M16</f>
        <v>1340.9746543343606</v>
      </c>
      <c r="O16" s="9">
        <f>'Plastics CCUS_ROCM'!M16</f>
        <v>1275.419774265607</v>
      </c>
      <c r="P16" s="13">
        <v>4.9000000000000004</v>
      </c>
      <c r="Q16" s="9">
        <f t="shared" si="28"/>
        <v>907.40740740740739</v>
      </c>
      <c r="R16" s="41">
        <f t="shared" si="29"/>
        <v>1662.9823218824349</v>
      </c>
      <c r="S16" s="9">
        <f>'Plastics CCUS_RMTO'!Q16</f>
        <v>1.427307056691355</v>
      </c>
      <c r="T16" s="9">
        <f>'Plastics CCUS_RMTP'!Q16</f>
        <v>1.477808802735826</v>
      </c>
      <c r="U16" s="9">
        <f>'Plastics CCUS_ROCM'!Q16</f>
        <v>1.405564649190669</v>
      </c>
      <c r="V16">
        <f t="shared" si="2"/>
        <v>2.7269312785171063</v>
      </c>
      <c r="W16">
        <f t="shared" si="3"/>
        <v>2.5475279049304542</v>
      </c>
      <c r="X16">
        <f t="shared" si="4"/>
        <v>3.8392321947543468</v>
      </c>
      <c r="Y16">
        <f t="shared" si="5"/>
        <v>0.25116472302131243</v>
      </c>
      <c r="Z16">
        <f t="shared" si="6"/>
        <v>0.25116472302131243</v>
      </c>
      <c r="AA16">
        <f t="shared" si="7"/>
        <v>0.50232944604262475</v>
      </c>
      <c r="AB16">
        <f t="shared" si="8"/>
        <v>0.50232944604262475</v>
      </c>
      <c r="AC16">
        <f t="shared" si="9"/>
        <v>0.50232944604262475</v>
      </c>
      <c r="AD16">
        <f t="shared" si="10"/>
        <v>0.39468742189063388</v>
      </c>
      <c r="AE16">
        <f t="shared" si="11"/>
        <v>2.5116472302131236</v>
      </c>
      <c r="AF16">
        <f t="shared" si="12"/>
        <v>1.2558236151065618</v>
      </c>
      <c r="AG16">
        <f t="shared" si="13"/>
        <v>0.60997147019461584</v>
      </c>
      <c r="AH16">
        <f t="shared" si="14"/>
        <v>6.4944021238367924</v>
      </c>
      <c r="AI16">
        <f t="shared" si="15"/>
        <v>4.3774423155143021</v>
      </c>
      <c r="AJ16">
        <f t="shared" si="16"/>
        <v>4.1621582672103203</v>
      </c>
      <c r="AK16">
        <f t="shared" si="17"/>
        <v>4.9515331109915888</v>
      </c>
      <c r="AL16">
        <f t="shared" si="26"/>
        <v>35.880674717330344</v>
      </c>
      <c r="AM16" s="9">
        <f t="shared" si="18"/>
        <v>1436253.554315964</v>
      </c>
      <c r="AN16" s="9">
        <f t="shared" si="19"/>
        <v>40.674700658228083</v>
      </c>
      <c r="AO16" s="9">
        <f t="shared" si="20"/>
        <v>102.98237776691958</v>
      </c>
      <c r="AP16" s="9">
        <f t="shared" si="21"/>
        <v>16.372881950152351</v>
      </c>
      <c r="AQ16" s="9">
        <f t="shared" si="22"/>
        <v>68.570132820864572</v>
      </c>
    </row>
    <row r="17" spans="1:43" x14ac:dyDescent="0.25">
      <c r="A17" s="6">
        <f>'Texas pop'!A113</f>
        <v>2029</v>
      </c>
      <c r="B17" s="6">
        <f>'Texas pop'!B113</f>
        <v>32337520.142857194</v>
      </c>
      <c r="C17" s="6">
        <f>'Texas pop'!C113</f>
        <v>1050650.3383995022</v>
      </c>
      <c r="D17" s="6">
        <f>'Texas pop'!D113</f>
        <v>1050650.3383995022</v>
      </c>
      <c r="E17" s="6">
        <f>'Texas pop'!E113</f>
        <v>223260.05414392037</v>
      </c>
      <c r="F17" s="47">
        <f t="shared" si="23"/>
        <v>3.1023566797863955</v>
      </c>
      <c r="G17" s="47">
        <f t="shared" si="0"/>
        <v>128.68698357852864</v>
      </c>
      <c r="H17" s="6">
        <f t="shared" si="30"/>
        <v>115818.28522067577</v>
      </c>
      <c r="I17" s="9">
        <f t="shared" si="24"/>
        <v>25587.760688288832</v>
      </c>
      <c r="J17" s="47">
        <f t="shared" si="1"/>
        <v>42984.258224328987</v>
      </c>
      <c r="K17" s="9">
        <f>J17-I16</f>
        <v>20925.843837873097</v>
      </c>
      <c r="L17" s="9">
        <f t="shared" si="25"/>
        <v>944.44444444444423</v>
      </c>
      <c r="M17" s="9">
        <f>'Plastics CCUS_RMTO'!M17</f>
        <v>1304.6455822738737</v>
      </c>
      <c r="N17" s="9">
        <f>'Plastics CCUS_RMTP'!M17</f>
        <v>1352.4778835918414</v>
      </c>
      <c r="O17" s="9">
        <f>'Plastics CCUS_ROCM'!M17</f>
        <v>1294.6445974272042</v>
      </c>
      <c r="P17" s="13">
        <v>5.0999999999999996</v>
      </c>
      <c r="Q17" s="9">
        <f t="shared" si="28"/>
        <v>944.44444444444423</v>
      </c>
      <c r="R17" s="41">
        <f t="shared" si="29"/>
        <v>1646.3524986636105</v>
      </c>
      <c r="S17" s="9">
        <f>'Plastics CCUS_RMTO'!Q17</f>
        <v>1.3813894400546902</v>
      </c>
      <c r="T17" s="9">
        <f>'Plastics CCUS_RMTP'!Q17</f>
        <v>1.4320354061560676</v>
      </c>
      <c r="U17" s="9">
        <f>'Plastics CCUS_ROCM'!Q17</f>
        <v>1.370800161981746</v>
      </c>
      <c r="V17">
        <f t="shared" si="2"/>
        <v>3.1632402830798436</v>
      </c>
      <c r="W17">
        <f t="shared" si="3"/>
        <v>2.955132369719327</v>
      </c>
      <c r="X17">
        <f t="shared" si="4"/>
        <v>4.4535093459150428</v>
      </c>
      <c r="Y17">
        <f t="shared" si="5"/>
        <v>0.29135107870472238</v>
      </c>
      <c r="Z17">
        <f t="shared" si="6"/>
        <v>0.29135107870472238</v>
      </c>
      <c r="AA17">
        <f t="shared" si="7"/>
        <v>0.58270215740944464</v>
      </c>
      <c r="AB17">
        <f t="shared" si="8"/>
        <v>0.58270215740944464</v>
      </c>
      <c r="AC17">
        <f t="shared" si="9"/>
        <v>0.58270215740944464</v>
      </c>
      <c r="AD17">
        <f t="shared" si="10"/>
        <v>0.45783740939313528</v>
      </c>
      <c r="AE17">
        <f t="shared" si="11"/>
        <v>2.9135107870472234</v>
      </c>
      <c r="AF17">
        <f t="shared" si="12"/>
        <v>1.4567553935236117</v>
      </c>
      <c r="AG17">
        <f t="shared" si="13"/>
        <v>0.70756690542575451</v>
      </c>
      <c r="AH17">
        <f t="shared" si="14"/>
        <v>7.5335064636506788</v>
      </c>
      <c r="AI17">
        <f t="shared" si="15"/>
        <v>5.0778330859965903</v>
      </c>
      <c r="AJ17">
        <f t="shared" si="16"/>
        <v>4.8281035899639715</v>
      </c>
      <c r="AK17">
        <f t="shared" si="17"/>
        <v>5.7437784087502424</v>
      </c>
      <c r="AL17">
        <f t="shared" si="26"/>
        <v>41.621582672103202</v>
      </c>
      <c r="AM17" s="9">
        <f t="shared" si="18"/>
        <v>1666054.1230065182</v>
      </c>
      <c r="AN17" s="9">
        <f t="shared" si="19"/>
        <v>47.182652763544574</v>
      </c>
      <c r="AO17" s="9">
        <f t="shared" si="20"/>
        <v>119.45955820962673</v>
      </c>
      <c r="AP17" s="9">
        <f t="shared" si="21"/>
        <v>18.992543062176725</v>
      </c>
      <c r="AQ17" s="9">
        <f t="shared" si="22"/>
        <v>79.541354072202907</v>
      </c>
    </row>
    <row r="18" spans="1:43" x14ac:dyDescent="0.25">
      <c r="A18" s="10">
        <f>'Texas pop'!A114</f>
        <v>2030</v>
      </c>
      <c r="B18" s="10">
        <f>'Texas pop'!B114</f>
        <v>32676452.785714388</v>
      </c>
      <c r="C18" s="10">
        <f>'Texas pop'!C114</f>
        <v>1273910.3925434225</v>
      </c>
      <c r="D18" s="10">
        <f>'Texas pop'!D114</f>
        <v>1273910.3925434225</v>
      </c>
      <c r="E18" s="10">
        <f>'Texas pop'!E114</f>
        <v>258981.66280694763</v>
      </c>
      <c r="F18" s="47">
        <f t="shared" si="23"/>
        <v>3.5987337485522191</v>
      </c>
      <c r="G18" s="47">
        <f t="shared" si="0"/>
        <v>149.27690095109318</v>
      </c>
      <c r="H18" s="10">
        <f t="shared" si="30"/>
        <v>134349.2108559839</v>
      </c>
      <c r="I18" s="9">
        <f t="shared" si="24"/>
        <v>29681.802398415046</v>
      </c>
      <c r="J18" s="69">
        <f t="shared" si="1"/>
        <v>49861.739540221621</v>
      </c>
      <c r="K18" s="97">
        <f t="shared" si="27"/>
        <v>24273.978851932789</v>
      </c>
      <c r="L18" s="9">
        <f t="shared" si="25"/>
        <v>962.96296296296282</v>
      </c>
      <c r="M18" s="9">
        <f>'Plastics CCUS_RMTO'!M18</f>
        <v>1305.2122169261033</v>
      </c>
      <c r="N18" s="9">
        <f>'Plastics CCUS_RMTP'!M18</f>
        <v>1354.0609736150575</v>
      </c>
      <c r="O18" s="9">
        <f>'Plastics CCUS_ROCM'!M18</f>
        <v>1301.0910516800095</v>
      </c>
      <c r="P18" s="13">
        <v>5.2</v>
      </c>
      <c r="Q18" s="9">
        <f t="shared" si="28"/>
        <v>962.96296296296282</v>
      </c>
      <c r="R18" s="41">
        <f t="shared" si="29"/>
        <v>1629.8889736769743</v>
      </c>
      <c r="S18" s="9">
        <f>'Plastics CCUS_RMTO'!Q18</f>
        <v>1.3554126868078769</v>
      </c>
      <c r="T18" s="9">
        <f>'Plastics CCUS_RMTP'!Q18</f>
        <v>1.4061402418310214</v>
      </c>
      <c r="U18" s="9">
        <f>'Plastics CCUS_ROCM'!Q18</f>
        <v>1.351133015206164</v>
      </c>
      <c r="V18">
        <f t="shared" si="2"/>
        <v>3.6693587283726186</v>
      </c>
      <c r="W18">
        <f t="shared" si="3"/>
        <v>3.4279535488744197</v>
      </c>
      <c r="X18">
        <f t="shared" si="4"/>
        <v>5.1660708412614493</v>
      </c>
      <c r="Y18">
        <f t="shared" si="5"/>
        <v>0.33796725129747796</v>
      </c>
      <c r="Z18">
        <f t="shared" si="6"/>
        <v>0.33796725129747796</v>
      </c>
      <c r="AA18">
        <f t="shared" si="7"/>
        <v>0.6759345025949558</v>
      </c>
      <c r="AB18">
        <f t="shared" si="8"/>
        <v>0.6759345025949558</v>
      </c>
      <c r="AC18">
        <f t="shared" si="9"/>
        <v>0.6759345025949558</v>
      </c>
      <c r="AD18">
        <f t="shared" si="10"/>
        <v>0.53109139489603696</v>
      </c>
      <c r="AE18">
        <f t="shared" si="11"/>
        <v>3.3796725129747793</v>
      </c>
      <c r="AF18">
        <f t="shared" si="12"/>
        <v>1.6898362564873899</v>
      </c>
      <c r="AG18">
        <f t="shared" si="13"/>
        <v>0.82077761029387519</v>
      </c>
      <c r="AH18">
        <f t="shared" si="14"/>
        <v>8.7388674978347893</v>
      </c>
      <c r="AI18">
        <f t="shared" si="15"/>
        <v>5.8902863797560459</v>
      </c>
      <c r="AJ18">
        <f t="shared" si="16"/>
        <v>5.6006001643582071</v>
      </c>
      <c r="AK18">
        <f t="shared" si="17"/>
        <v>6.6627829541502814</v>
      </c>
      <c r="AL18">
        <f t="shared" si="26"/>
        <v>48.281035899639711</v>
      </c>
      <c r="AM18" s="9">
        <f t="shared" si="18"/>
        <v>1932622.7826875611</v>
      </c>
      <c r="AN18" s="9">
        <f t="shared" si="19"/>
        <v>54.731877205711704</v>
      </c>
      <c r="AO18" s="9">
        <f t="shared" si="20"/>
        <v>138.57308752316703</v>
      </c>
      <c r="AP18" s="9">
        <f t="shared" si="21"/>
        <v>22.031349952125005</v>
      </c>
      <c r="AQ18" s="9">
        <f t="shared" si="22"/>
        <v>92.267970723755369</v>
      </c>
    </row>
    <row r="19" spans="1:43" x14ac:dyDescent="0.25">
      <c r="A19" s="6">
        <f>'Texas pop'!A115</f>
        <v>2031</v>
      </c>
      <c r="B19" s="6">
        <f>'Texas pop'!B115</f>
        <v>33015385.428571463</v>
      </c>
      <c r="C19" s="6">
        <f>'Texas pop'!C115</f>
        <v>1532892.0553503702</v>
      </c>
      <c r="D19" s="6">
        <f>'Texas pop'!D115</f>
        <v>1532892.0553503702</v>
      </c>
      <c r="E19" s="6">
        <f>'Texas pop'!E115</f>
        <v>282290.01245957293</v>
      </c>
      <c r="F19" s="47">
        <f t="shared" si="23"/>
        <v>3.9226197859219183</v>
      </c>
      <c r="G19" s="47">
        <f t="shared" si="0"/>
        <v>162.71182203669161</v>
      </c>
      <c r="H19" s="6">
        <f t="shared" si="30"/>
        <v>146440.63983302243</v>
      </c>
      <c r="I19" s="9">
        <f t="shared" si="24"/>
        <v>32353.164614272398</v>
      </c>
      <c r="J19" s="47">
        <f t="shared" si="1"/>
        <v>54349.29609884158</v>
      </c>
      <c r="K19" s="9">
        <f t="shared" si="27"/>
        <v>24667.493700426534</v>
      </c>
      <c r="L19" s="9">
        <f t="shared" si="25"/>
        <v>981.4814814814813</v>
      </c>
      <c r="M19" s="9">
        <f>'Plastics CCUS_RMTO'!M19</f>
        <v>1326.6952005036494</v>
      </c>
      <c r="N19" s="9">
        <f>'Plastics CCUS_RMTP'!M19</f>
        <v>1379.7624832311358</v>
      </c>
      <c r="O19" s="9">
        <f>'Plastics CCUS_ROCM'!M19</f>
        <v>1328.5449567709261</v>
      </c>
      <c r="P19" s="13">
        <v>5.3</v>
      </c>
      <c r="Q19" s="9">
        <f t="shared" si="28"/>
        <v>981.4814814814813</v>
      </c>
      <c r="R19" s="41">
        <f t="shared" si="29"/>
        <v>1613.5900839402045</v>
      </c>
      <c r="S19" s="9">
        <f>'Plastics CCUS_RMTO'!Q19</f>
        <v>1.3517271854188129</v>
      </c>
      <c r="T19" s="9">
        <f>'Plastics CCUS_RMTP'!Q19</f>
        <v>1.4057957376317236</v>
      </c>
      <c r="U19" s="9">
        <f>'Plastics CCUS_ROCM'!Q19</f>
        <v>1.3536118427477364</v>
      </c>
      <c r="V19">
        <f t="shared" si="2"/>
        <v>3.9996010139261542</v>
      </c>
      <c r="W19">
        <f t="shared" si="3"/>
        <v>3.7364693682731174</v>
      </c>
      <c r="X19">
        <f t="shared" si="4"/>
        <v>5.6310172169749801</v>
      </c>
      <c r="Y19">
        <f t="shared" si="5"/>
        <v>0.36838430391425103</v>
      </c>
      <c r="Z19">
        <f t="shared" si="6"/>
        <v>0.36838430391425103</v>
      </c>
      <c r="AA19">
        <f t="shared" si="7"/>
        <v>0.73676860782850195</v>
      </c>
      <c r="AB19">
        <f t="shared" si="8"/>
        <v>0.73676860782850195</v>
      </c>
      <c r="AC19">
        <f t="shared" si="9"/>
        <v>0.73676860782850195</v>
      </c>
      <c r="AD19">
        <f t="shared" si="10"/>
        <v>0.57888962043668024</v>
      </c>
      <c r="AE19">
        <f t="shared" si="11"/>
        <v>3.6838430391425097</v>
      </c>
      <c r="AF19">
        <f t="shared" si="12"/>
        <v>1.8419215195712551</v>
      </c>
      <c r="AG19">
        <f t="shared" si="13"/>
        <v>0.894647595220324</v>
      </c>
      <c r="AH19">
        <f t="shared" si="14"/>
        <v>9.5253655726399202</v>
      </c>
      <c r="AI19">
        <f t="shared" si="15"/>
        <v>6.4204121539340893</v>
      </c>
      <c r="AJ19">
        <f t="shared" si="16"/>
        <v>6.1046541791504456</v>
      </c>
      <c r="AK19">
        <f t="shared" si="17"/>
        <v>7.2624334200238074</v>
      </c>
      <c r="AL19">
        <f t="shared" si="26"/>
        <v>52.626329130607289</v>
      </c>
      <c r="AM19" s="9">
        <f t="shared" si="18"/>
        <v>2106558.8331294418</v>
      </c>
      <c r="AN19" s="9">
        <f t="shared" si="19"/>
        <v>59.657746154225769</v>
      </c>
      <c r="AO19" s="9">
        <f t="shared" si="20"/>
        <v>151.04466540025206</v>
      </c>
      <c r="AP19" s="9">
        <f t="shared" si="21"/>
        <v>24.014171447816253</v>
      </c>
      <c r="AQ19" s="9">
        <f t="shared" si="22"/>
        <v>100.57208808889335</v>
      </c>
    </row>
    <row r="20" spans="1:43" x14ac:dyDescent="0.25">
      <c r="A20" s="6">
        <f>'Texas pop'!A116</f>
        <v>2032</v>
      </c>
      <c r="B20" s="6">
        <f>'Texas pop'!B116</f>
        <v>33354318.071428657</v>
      </c>
      <c r="C20" s="6">
        <f>'Texas pop'!C116</f>
        <v>1815182.0678099431</v>
      </c>
      <c r="D20" s="6">
        <f>'Texas pop'!D116</f>
        <v>1815182.0678099431</v>
      </c>
      <c r="E20" s="6">
        <f>'Texas pop'!E116</f>
        <v>307696.11358093447</v>
      </c>
      <c r="F20" s="47">
        <f t="shared" si="23"/>
        <v>4.2756555666548914</v>
      </c>
      <c r="G20" s="47">
        <f t="shared" si="0"/>
        <v>177.35588601999385</v>
      </c>
      <c r="H20" s="6">
        <f t="shared" si="30"/>
        <v>159620.29741799444</v>
      </c>
      <c r="I20" s="9">
        <f t="shared" si="24"/>
        <v>35264.949429556909</v>
      </c>
      <c r="J20" s="47">
        <f t="shared" si="1"/>
        <v>59240.732747737311</v>
      </c>
      <c r="K20" s="9">
        <f t="shared" si="27"/>
        <v>26887.568133464913</v>
      </c>
      <c r="L20" s="9">
        <f t="shared" si="25"/>
        <v>999.99999999999989</v>
      </c>
      <c r="M20" s="9">
        <f>'Plastics CCUS_RMTO'!M20</f>
        <v>1326.2878873841105</v>
      </c>
      <c r="N20" s="9">
        <f>'Plastics CCUS_RMTP'!M20</f>
        <v>1380.4363404559715</v>
      </c>
      <c r="O20" s="9">
        <f>'Plastics CCUS_ROCM'!M20</f>
        <v>1334.3516063524264</v>
      </c>
      <c r="P20" s="13">
        <v>5.4</v>
      </c>
      <c r="Q20" s="9">
        <f t="shared" si="28"/>
        <v>999.99999999999989</v>
      </c>
      <c r="R20" s="41">
        <f t="shared" si="29"/>
        <v>1597.4541831008025</v>
      </c>
      <c r="S20" s="9">
        <f>'Plastics CCUS_RMTO'!Q20</f>
        <v>1.3262878873841106</v>
      </c>
      <c r="T20" s="9">
        <f>'Plastics CCUS_RMTP'!Q20</f>
        <v>1.3804363404559716</v>
      </c>
      <c r="U20" s="9">
        <f>'Plastics CCUS_ROCM'!Q20</f>
        <v>1.3343516063524266</v>
      </c>
      <c r="V20">
        <f t="shared" si="2"/>
        <v>4.3595651051795086</v>
      </c>
      <c r="W20">
        <f t="shared" si="3"/>
        <v>4.072751611417698</v>
      </c>
      <c r="X20">
        <f t="shared" si="4"/>
        <v>6.1378087665027277</v>
      </c>
      <c r="Y20">
        <f t="shared" si="5"/>
        <v>0.40153889126653364</v>
      </c>
      <c r="Z20">
        <f t="shared" si="6"/>
        <v>0.40153889126653364</v>
      </c>
      <c r="AA20">
        <f t="shared" si="7"/>
        <v>0.80307778253306705</v>
      </c>
      <c r="AB20">
        <f t="shared" si="8"/>
        <v>0.80307778253306705</v>
      </c>
      <c r="AC20">
        <f t="shared" si="9"/>
        <v>0.80307778253306705</v>
      </c>
      <c r="AD20">
        <f t="shared" si="10"/>
        <v>0.63098968627598151</v>
      </c>
      <c r="AE20">
        <f t="shared" si="11"/>
        <v>4.015388912665335</v>
      </c>
      <c r="AF20">
        <f t="shared" si="12"/>
        <v>2.007694456332668</v>
      </c>
      <c r="AG20">
        <f t="shared" si="13"/>
        <v>0.97516587879015304</v>
      </c>
      <c r="AH20">
        <f t="shared" si="14"/>
        <v>10.382648474177511</v>
      </c>
      <c r="AI20">
        <f t="shared" si="15"/>
        <v>6.9982492477881575</v>
      </c>
      <c r="AJ20">
        <f t="shared" si="16"/>
        <v>6.6540730552739857</v>
      </c>
      <c r="AK20">
        <f t="shared" si="17"/>
        <v>7.9160524278259503</v>
      </c>
      <c r="AL20">
        <f t="shared" si="26"/>
        <v>57.36269875236195</v>
      </c>
      <c r="AM20" s="9">
        <f t="shared" si="18"/>
        <v>2296149.1281110914</v>
      </c>
      <c r="AN20" s="9">
        <f t="shared" si="19"/>
        <v>65.026943308106084</v>
      </c>
      <c r="AO20" s="9">
        <f t="shared" si="20"/>
        <v>164.63868528627472</v>
      </c>
      <c r="AP20" s="9">
        <f t="shared" si="21"/>
        <v>26.175446878119718</v>
      </c>
      <c r="AQ20" s="9">
        <f t="shared" si="22"/>
        <v>109.62357601689376</v>
      </c>
    </row>
    <row r="21" spans="1:43" x14ac:dyDescent="0.25">
      <c r="A21" s="6">
        <f>'Texas pop'!A117</f>
        <v>2033</v>
      </c>
      <c r="B21" s="6">
        <f>'Texas pop'!B117</f>
        <v>33693250.714285731</v>
      </c>
      <c r="C21" s="6">
        <f>'Texas pop'!C117</f>
        <v>2122878.1813908778</v>
      </c>
      <c r="D21" s="6">
        <f>'Texas pop'!D117</f>
        <v>2122878.1813908778</v>
      </c>
      <c r="E21" s="6">
        <f>'Texas pop'!E117</f>
        <v>335388.76380321855</v>
      </c>
      <c r="F21" s="47">
        <f t="shared" si="23"/>
        <v>4.6604645676538308</v>
      </c>
      <c r="G21" s="47">
        <f t="shared" si="0"/>
        <v>193.31791576179327</v>
      </c>
      <c r="H21" s="6">
        <f t="shared" si="30"/>
        <v>173986.12418561394</v>
      </c>
      <c r="I21" s="9">
        <f t="shared" si="24"/>
        <v>38438.794878217035</v>
      </c>
      <c r="J21" s="47">
        <f t="shared" si="1"/>
        <v>64572.398695033669</v>
      </c>
      <c r="K21" s="9">
        <f t="shared" si="27"/>
        <v>29307.44926547676</v>
      </c>
      <c r="L21" s="9">
        <f t="shared" si="25"/>
        <v>996.29629629629619</v>
      </c>
      <c r="M21" s="9">
        <f>'Plastics CCUS_RMTO'!M21</f>
        <v>1315.8827060403801</v>
      </c>
      <c r="N21" s="9">
        <f>'Plastics CCUS_RMTP'!M21</f>
        <v>1369.8478619530001</v>
      </c>
      <c r="O21" s="9">
        <f>'Plastics CCUS_ROCM'!M21</f>
        <v>1325.2507789887263</v>
      </c>
      <c r="P21" s="13">
        <v>5.38</v>
      </c>
      <c r="Q21" s="9">
        <f t="shared" si="28"/>
        <v>996.29629629629619</v>
      </c>
      <c r="R21" s="41">
        <f t="shared" si="29"/>
        <v>1581.4796412697945</v>
      </c>
      <c r="S21" s="9">
        <f>'Plastics CCUS_RMTO'!Q21</f>
        <v>1.3207744633119058</v>
      </c>
      <c r="T21" s="9">
        <f>'Plastics CCUS_RMTP'!Q21</f>
        <v>1.3749402331870262</v>
      </c>
      <c r="U21" s="9">
        <f>'Plastics CCUS_ROCM'!Q21</f>
        <v>1.3301773618102459</v>
      </c>
      <c r="V21">
        <f t="shared" si="2"/>
        <v>4.7519259646456629</v>
      </c>
      <c r="W21">
        <f t="shared" si="3"/>
        <v>4.4392992564452909</v>
      </c>
      <c r="X21">
        <f t="shared" si="4"/>
        <v>6.6902115554879726</v>
      </c>
      <c r="Y21">
        <f t="shared" si="5"/>
        <v>0.43767739148052159</v>
      </c>
      <c r="Z21">
        <f t="shared" si="6"/>
        <v>0.43767739148052159</v>
      </c>
      <c r="AA21">
        <f t="shared" si="7"/>
        <v>0.87535478296104308</v>
      </c>
      <c r="AB21">
        <f t="shared" si="8"/>
        <v>0.87535478296104308</v>
      </c>
      <c r="AC21">
        <f t="shared" si="9"/>
        <v>0.87535478296104308</v>
      </c>
      <c r="AD21">
        <f t="shared" si="10"/>
        <v>0.68777875804081978</v>
      </c>
      <c r="AE21">
        <f t="shared" si="11"/>
        <v>4.3767739148052147</v>
      </c>
      <c r="AF21">
        <f t="shared" si="12"/>
        <v>2.1883869574026078</v>
      </c>
      <c r="AG21">
        <f t="shared" si="13"/>
        <v>1.0629308078812667</v>
      </c>
      <c r="AH21">
        <f t="shared" si="14"/>
        <v>11.317086836853488</v>
      </c>
      <c r="AI21">
        <f t="shared" si="15"/>
        <v>7.6280916800890912</v>
      </c>
      <c r="AJ21">
        <f t="shared" si="16"/>
        <v>7.2529396302486431</v>
      </c>
      <c r="AK21">
        <f t="shared" si="17"/>
        <v>8.6284971463302842</v>
      </c>
      <c r="AL21">
        <f t="shared" si="26"/>
        <v>62.525341640074508</v>
      </c>
      <c r="AM21" s="9">
        <f t="shared" si="18"/>
        <v>2502802.5496410895</v>
      </c>
      <c r="AN21" s="9">
        <f t="shared" si="19"/>
        <v>70.879368205835632</v>
      </c>
      <c r="AO21" s="9">
        <f t="shared" si="20"/>
        <v>179.45616696203945</v>
      </c>
      <c r="AP21" s="9">
        <f t="shared" si="21"/>
        <v>28.531237097150491</v>
      </c>
      <c r="AQ21" s="9">
        <f t="shared" si="22"/>
        <v>119.48969785841419</v>
      </c>
    </row>
    <row r="22" spans="1:43" x14ac:dyDescent="0.25">
      <c r="A22" s="6">
        <f>'Texas pop'!A118</f>
        <v>2034</v>
      </c>
      <c r="B22" s="6">
        <f>'Texas pop'!B118</f>
        <v>34032183.357142925</v>
      </c>
      <c r="C22" s="6">
        <f>'Texas pop'!C118</f>
        <v>2458266.9451940963</v>
      </c>
      <c r="D22" s="6">
        <f>'Texas pop'!D118</f>
        <v>2458266.9451940963</v>
      </c>
      <c r="E22" s="6">
        <f>'Texas pop'!E118</f>
        <v>365573.75254550821</v>
      </c>
      <c r="F22" s="47">
        <f t="shared" si="23"/>
        <v>5.0799063787426748</v>
      </c>
      <c r="G22" s="47">
        <f t="shared" si="0"/>
        <v>210.71652818035466</v>
      </c>
      <c r="H22" s="6">
        <f t="shared" si="30"/>
        <v>189644.8753623192</v>
      </c>
      <c r="I22" s="9">
        <f t="shared" si="24"/>
        <v>41898.286417256568</v>
      </c>
      <c r="J22" s="47">
        <f t="shared" si="1"/>
        <v>70383.914577586693</v>
      </c>
      <c r="K22" s="9">
        <f t="shared" si="27"/>
        <v>31945.119699369658</v>
      </c>
      <c r="L22" s="9">
        <f t="shared" si="25"/>
        <v>985.18518518518511</v>
      </c>
      <c r="M22" s="9">
        <f>'Plastics CCUS_RMTO'!M22</f>
        <v>1302.2027694303679</v>
      </c>
      <c r="N22" s="9">
        <f>'Plastics CCUS_RMTP'!M22</f>
        <v>1355.5629572631804</v>
      </c>
      <c r="O22" s="9">
        <f>'Plastics CCUS_ROCM'!M22</f>
        <v>1311.2246044359299</v>
      </c>
      <c r="P22" s="13">
        <v>5.32</v>
      </c>
      <c r="Q22" s="9">
        <f t="shared" si="28"/>
        <v>985.18518518518511</v>
      </c>
      <c r="R22" s="41">
        <f t="shared" si="29"/>
        <v>1565.6648448570966</v>
      </c>
      <c r="S22" s="9">
        <f>'Plastics CCUS_RMTO'!Q22</f>
        <v>1.3217847659631554</v>
      </c>
      <c r="T22" s="9">
        <f>'Plastics CCUS_RMTP'!Q22</f>
        <v>1.3759473626355592</v>
      </c>
      <c r="U22" s="9">
        <f>'Plastics CCUS_ROCM'!Q22</f>
        <v>1.3309422676605305</v>
      </c>
      <c r="V22">
        <f t="shared" si="2"/>
        <v>5.1795993014637727</v>
      </c>
      <c r="W22">
        <f t="shared" si="3"/>
        <v>4.8388361895253658</v>
      </c>
      <c r="X22">
        <f t="shared" si="4"/>
        <v>7.2923305954818902</v>
      </c>
      <c r="Y22">
        <f t="shared" si="5"/>
        <v>0.47706835671376857</v>
      </c>
      <c r="Z22">
        <f t="shared" si="6"/>
        <v>0.47706835671376857</v>
      </c>
      <c r="AA22">
        <f t="shared" si="7"/>
        <v>0.95413671342753692</v>
      </c>
      <c r="AB22">
        <f t="shared" si="8"/>
        <v>0.95413671342753692</v>
      </c>
      <c r="AC22">
        <f t="shared" si="9"/>
        <v>0.95413671342753692</v>
      </c>
      <c r="AD22">
        <f t="shared" si="10"/>
        <v>0.74967884626449355</v>
      </c>
      <c r="AE22">
        <f t="shared" si="11"/>
        <v>4.7706835671376844</v>
      </c>
      <c r="AF22">
        <f t="shared" si="12"/>
        <v>2.3853417835688422</v>
      </c>
      <c r="AG22">
        <f t="shared" si="13"/>
        <v>1.1585945805905808</v>
      </c>
      <c r="AH22">
        <f t="shared" si="14"/>
        <v>12.335624652170301</v>
      </c>
      <c r="AI22">
        <f t="shared" si="15"/>
        <v>8.3146199312971092</v>
      </c>
      <c r="AJ22">
        <f t="shared" si="16"/>
        <v>7.9057041969710218</v>
      </c>
      <c r="AK22">
        <f t="shared" si="17"/>
        <v>9.4050618895000113</v>
      </c>
      <c r="AL22">
        <f t="shared" si="26"/>
        <v>68.15262238768122</v>
      </c>
      <c r="AM22" s="9">
        <f t="shared" si="18"/>
        <v>2728054.7791087874</v>
      </c>
      <c r="AN22" s="9">
        <f t="shared" si="19"/>
        <v>77.258511344360826</v>
      </c>
      <c r="AO22" s="9">
        <f t="shared" si="20"/>
        <v>195.607221988623</v>
      </c>
      <c r="AP22" s="9">
        <f t="shared" si="21"/>
        <v>31.099048435894034</v>
      </c>
      <c r="AQ22" s="9">
        <f t="shared" si="22"/>
        <v>130.24377066567146</v>
      </c>
    </row>
    <row r="23" spans="1:43" x14ac:dyDescent="0.25">
      <c r="A23" s="6">
        <f>'Texas pop'!A119</f>
        <v>2035</v>
      </c>
      <c r="B23" s="6">
        <f>'Texas pop'!B119</f>
        <v>34371116.000000119</v>
      </c>
      <c r="C23" s="6">
        <f>'Texas pop'!C119</f>
        <v>2823840.6977396044</v>
      </c>
      <c r="D23" s="6">
        <f>'Texas pop'!D119</f>
        <v>2823840.6977396044</v>
      </c>
      <c r="E23" s="6">
        <f>'Texas pop'!E119</f>
        <v>398475.39027460397</v>
      </c>
      <c r="F23" s="47">
        <f t="shared" si="23"/>
        <v>5.5370979528295168</v>
      </c>
      <c r="G23" s="47">
        <f t="shared" si="0"/>
        <v>229.68101571658659</v>
      </c>
      <c r="H23" s="6">
        <f t="shared" si="30"/>
        <v>206712.91414492793</v>
      </c>
      <c r="I23" s="9">
        <f t="shared" si="24"/>
        <v>45669.132194809652</v>
      </c>
      <c r="J23" s="47">
        <f t="shared" si="1"/>
        <v>76718.466889569507</v>
      </c>
      <c r="K23" s="9">
        <f t="shared" si="27"/>
        <v>34820.180472312939</v>
      </c>
      <c r="L23" s="9">
        <f t="shared" si="25"/>
        <v>994.44444444444434</v>
      </c>
      <c r="M23" s="9">
        <f>'Plastics CCUS_RMTO'!M23</f>
        <v>1297.8546942392234</v>
      </c>
      <c r="N23" s="9">
        <f>'Plastics CCUS_RMTP'!M23</f>
        <v>1351.7684842153694</v>
      </c>
      <c r="O23" s="9">
        <f>'Plastics CCUS_ROCM'!M23</f>
        <v>1310.9901664451547</v>
      </c>
      <c r="P23" s="13">
        <v>5.37</v>
      </c>
      <c r="Q23" s="9">
        <f t="shared" si="28"/>
        <v>994.44444444444434</v>
      </c>
      <c r="R23" s="41">
        <f t="shared" si="29"/>
        <v>1550.0081964085257</v>
      </c>
      <c r="S23" s="9">
        <f>'Plastics CCUS_RMTO'!Q23</f>
        <v>1.3051052791232416</v>
      </c>
      <c r="T23" s="9">
        <f>'Plastics CCUS_RMTP'!Q23</f>
        <v>1.3593202634567962</v>
      </c>
      <c r="U23" s="9">
        <f>'Plastics CCUS_ROCM'!Q23</f>
        <v>1.3183141338554629</v>
      </c>
      <c r="V23">
        <f t="shared" si="2"/>
        <v>5.6457632385955128</v>
      </c>
      <c r="W23">
        <f t="shared" si="3"/>
        <v>5.2743314465826492</v>
      </c>
      <c r="X23">
        <f t="shared" si="4"/>
        <v>7.9486403490752604</v>
      </c>
      <c r="Y23">
        <f t="shared" si="5"/>
        <v>0.52000450881800775</v>
      </c>
      <c r="Z23">
        <f t="shared" si="6"/>
        <v>0.52000450881800775</v>
      </c>
      <c r="AA23">
        <f t="shared" si="7"/>
        <v>1.0400090176360153</v>
      </c>
      <c r="AB23">
        <f t="shared" si="8"/>
        <v>1.0400090176360153</v>
      </c>
      <c r="AC23">
        <f t="shared" si="9"/>
        <v>1.0400090176360153</v>
      </c>
      <c r="AD23">
        <f t="shared" si="10"/>
        <v>0.81714994242829797</v>
      </c>
      <c r="AE23">
        <f t="shared" si="11"/>
        <v>5.2000450881800759</v>
      </c>
      <c r="AF23">
        <f t="shared" si="12"/>
        <v>2.6000225440900384</v>
      </c>
      <c r="AG23">
        <f t="shared" si="13"/>
        <v>1.262868092843733</v>
      </c>
      <c r="AH23">
        <f t="shared" si="14"/>
        <v>13.445830870865628</v>
      </c>
      <c r="AI23">
        <f t="shared" si="15"/>
        <v>9.0629357251138476</v>
      </c>
      <c r="AJ23">
        <f t="shared" si="16"/>
        <v>8.6172175746984152</v>
      </c>
      <c r="AK23">
        <f t="shared" si="17"/>
        <v>10.251517459555011</v>
      </c>
      <c r="AL23">
        <f t="shared" si="26"/>
        <v>74.286358402572517</v>
      </c>
      <c r="AM23" s="9">
        <f t="shared" si="18"/>
        <v>2973579.7092285785</v>
      </c>
      <c r="AN23" s="9">
        <f t="shared" si="19"/>
        <v>84.211777365353299</v>
      </c>
      <c r="AO23" s="9">
        <f t="shared" si="20"/>
        <v>213.21187196759905</v>
      </c>
      <c r="AP23" s="9">
        <f t="shared" si="21"/>
        <v>33.897962795124499</v>
      </c>
      <c r="AQ23" s="9">
        <f t="shared" si="22"/>
        <v>141.9657100255819</v>
      </c>
    </row>
    <row r="24" spans="1:43" x14ac:dyDescent="0.25">
      <c r="A24" s="6">
        <f>'Texas pop'!A120</f>
        <v>2036</v>
      </c>
      <c r="B24" s="6">
        <f>'Texas pop'!B120</f>
        <v>34710048.642857194</v>
      </c>
      <c r="C24" s="6">
        <f>'Texas pop'!C120</f>
        <v>3222316.0880142082</v>
      </c>
      <c r="D24" s="6">
        <f>'Texas pop'!D120</f>
        <v>3210416.0880142082</v>
      </c>
      <c r="E24" s="6">
        <f>'Texas pop'!E120</f>
        <v>434338.17539931834</v>
      </c>
      <c r="F24" s="47">
        <f t="shared" si="23"/>
        <v>6.035436768584173</v>
      </c>
      <c r="G24" s="47">
        <f t="shared" si="0"/>
        <v>250.35230713107941</v>
      </c>
      <c r="H24" s="6">
        <f t="shared" si="30"/>
        <v>225317.07641797143</v>
      </c>
      <c r="I24" s="9">
        <f t="shared" si="24"/>
        <v>49779.354092342524</v>
      </c>
      <c r="J24" s="47">
        <f t="shared" si="1"/>
        <v>83623.128909630759</v>
      </c>
      <c r="K24" s="9">
        <f t="shared" si="27"/>
        <v>37953.996714821107</v>
      </c>
      <c r="L24" s="9">
        <f t="shared" si="25"/>
        <v>962.96296296296282</v>
      </c>
      <c r="M24" s="9">
        <f>'Plastics CCUS_RMTO'!M24</f>
        <v>1275.1011407453057</v>
      </c>
      <c r="N24" s="9">
        <f>'Plastics CCUS_RMTP'!M24</f>
        <v>1327.2505813127832</v>
      </c>
      <c r="O24" s="9">
        <f>'Plastics CCUS_ROCM'!M24</f>
        <v>1283.3677737280691</v>
      </c>
      <c r="P24" s="13">
        <v>5.2</v>
      </c>
      <c r="Q24" s="9">
        <f t="shared" si="28"/>
        <v>962.96296296296282</v>
      </c>
      <c r="R24" s="41">
        <f t="shared" si="29"/>
        <v>1534.5081144444405</v>
      </c>
      <c r="S24" s="9">
        <f>'Plastics CCUS_RMTO'!Q24</f>
        <v>1.3241434923124329</v>
      </c>
      <c r="T24" s="9">
        <f>'Plastics CCUS_RMTP'!Q24</f>
        <v>1.3782986805940443</v>
      </c>
      <c r="U24" s="9">
        <f>'Plastics CCUS_ROCM'!Q24</f>
        <v>1.3327280727176105</v>
      </c>
      <c r="V24">
        <f t="shared" si="2"/>
        <v>6.1538819300691081</v>
      </c>
      <c r="W24">
        <f t="shared" si="3"/>
        <v>5.7490212767750881</v>
      </c>
      <c r="X24">
        <f t="shared" si="4"/>
        <v>8.6640179804920354</v>
      </c>
      <c r="Y24">
        <f t="shared" si="5"/>
        <v>0.56680491461162841</v>
      </c>
      <c r="Z24">
        <f t="shared" si="6"/>
        <v>0.56680491461162841</v>
      </c>
      <c r="AA24">
        <f t="shared" si="7"/>
        <v>1.1336098292232568</v>
      </c>
      <c r="AB24">
        <f t="shared" si="8"/>
        <v>1.1336098292232568</v>
      </c>
      <c r="AC24">
        <f t="shared" si="9"/>
        <v>1.1336098292232568</v>
      </c>
      <c r="AD24">
        <f t="shared" si="10"/>
        <v>0.89069343724684491</v>
      </c>
      <c r="AE24">
        <f t="shared" si="11"/>
        <v>5.6680491461162825</v>
      </c>
      <c r="AF24">
        <f t="shared" si="12"/>
        <v>2.8340245730581417</v>
      </c>
      <c r="AG24">
        <f t="shared" si="13"/>
        <v>1.3765262211996692</v>
      </c>
      <c r="AH24">
        <f t="shared" si="14"/>
        <v>14.655955649243536</v>
      </c>
      <c r="AI24">
        <f t="shared" si="15"/>
        <v>9.8785999403740945</v>
      </c>
      <c r="AJ24">
        <f t="shared" si="16"/>
        <v>9.3927671564212716</v>
      </c>
      <c r="AK24">
        <f t="shared" si="17"/>
        <v>11.174154030914963</v>
      </c>
      <c r="AL24">
        <f t="shared" si="26"/>
        <v>80.972130658804062</v>
      </c>
      <c r="AM24" s="9">
        <f t="shared" si="18"/>
        <v>3241201.8830591505</v>
      </c>
      <c r="AN24" s="9">
        <f t="shared" si="19"/>
        <v>91.790837328235099</v>
      </c>
      <c r="AO24" s="9">
        <f t="shared" si="20"/>
        <v>232.40094044468299</v>
      </c>
      <c r="AP24" s="9">
        <f t="shared" si="21"/>
        <v>36.948779446685698</v>
      </c>
      <c r="AQ24" s="9">
        <f t="shared" si="22"/>
        <v>154.74262392788427</v>
      </c>
    </row>
    <row r="25" spans="1:43" x14ac:dyDescent="0.25">
      <c r="A25" s="6">
        <f>'Texas pop'!A121</f>
        <v>2037</v>
      </c>
      <c r="B25" s="6">
        <f>'Texas pop'!B121</f>
        <v>35048981.285714388</v>
      </c>
      <c r="C25" s="6">
        <f>'Texas pop'!C121</f>
        <v>3656654.2634135266</v>
      </c>
      <c r="D25" s="6">
        <f>'Texas pop'!D121</f>
        <v>3640554.2634135266</v>
      </c>
      <c r="E25" s="6">
        <f>'Texas pop'!E121</f>
        <v>473428.61118525697</v>
      </c>
      <c r="F25" s="47">
        <f t="shared" si="23"/>
        <v>6.5786260777567485</v>
      </c>
      <c r="G25" s="47">
        <f t="shared" si="0"/>
        <v>272.88401477287653</v>
      </c>
      <c r="H25" s="6">
        <f t="shared" si="30"/>
        <v>245595.61329558888</v>
      </c>
      <c r="I25" s="9">
        <f t="shared" si="24"/>
        <v>54259.495960653359</v>
      </c>
      <c r="J25" s="47">
        <f t="shared" si="1"/>
        <v>91149.210511497527</v>
      </c>
      <c r="K25" s="9">
        <f t="shared" si="27"/>
        <v>41369.856419155003</v>
      </c>
      <c r="L25" s="9">
        <f t="shared" si="25"/>
        <v>999.99999999999989</v>
      </c>
      <c r="M25" s="9">
        <f>'Plastics CCUS_RMTO'!M25</f>
        <v>1283.5307110316135</v>
      </c>
      <c r="N25" s="9">
        <f>'Plastics CCUS_RMTP'!M25</f>
        <v>1337.813457711427</v>
      </c>
      <c r="O25" s="9">
        <f>'Plastics CCUS_ROCM'!M25</f>
        <v>1301.9799063541918</v>
      </c>
      <c r="P25" s="13">
        <v>5.4</v>
      </c>
      <c r="Q25" s="9">
        <f t="shared" si="28"/>
        <v>999.99999999999989</v>
      </c>
      <c r="R25" s="41">
        <f t="shared" si="29"/>
        <v>1519.163033299996</v>
      </c>
      <c r="S25" s="9">
        <f>'Plastics CCUS_RMTO'!Q25</f>
        <v>1.2835307110316136</v>
      </c>
      <c r="T25" s="9">
        <f>'Plastics CCUS_RMTP'!Q25</f>
        <v>1.3378134577114271</v>
      </c>
      <c r="U25" s="9">
        <f>'Plastics CCUS_ROCM'!Q25</f>
        <v>1.3019799063541919</v>
      </c>
      <c r="V25">
        <f t="shared" si="2"/>
        <v>6.7077313037753283</v>
      </c>
      <c r="W25">
        <f t="shared" si="3"/>
        <v>6.2664331916848459</v>
      </c>
      <c r="X25">
        <f t="shared" si="4"/>
        <v>9.4437795987363184</v>
      </c>
      <c r="Y25">
        <f t="shared" si="5"/>
        <v>0.61781735692667494</v>
      </c>
      <c r="Z25">
        <f t="shared" si="6"/>
        <v>0.61781735692667494</v>
      </c>
      <c r="AA25">
        <f t="shared" si="7"/>
        <v>1.2356347138533497</v>
      </c>
      <c r="AB25">
        <f t="shared" si="8"/>
        <v>1.2356347138533497</v>
      </c>
      <c r="AC25">
        <f t="shared" si="9"/>
        <v>1.2356347138533497</v>
      </c>
      <c r="AD25">
        <f t="shared" si="10"/>
        <v>0.97085584659906077</v>
      </c>
      <c r="AE25">
        <f t="shared" si="11"/>
        <v>6.1781735692667485</v>
      </c>
      <c r="AF25">
        <f t="shared" si="12"/>
        <v>3.0890867846333747</v>
      </c>
      <c r="AG25">
        <f t="shared" si="13"/>
        <v>1.5004135811076393</v>
      </c>
      <c r="AH25">
        <f t="shared" si="14"/>
        <v>15.974991657675453</v>
      </c>
      <c r="AI25">
        <f t="shared" si="15"/>
        <v>10.767673935007764</v>
      </c>
      <c r="AJ25">
        <f t="shared" si="16"/>
        <v>10.238116200499187</v>
      </c>
      <c r="AK25">
        <f t="shared" si="17"/>
        <v>12.179827893697308</v>
      </c>
      <c r="AL25">
        <f t="shared" si="26"/>
        <v>88.259622418096441</v>
      </c>
      <c r="AM25" s="9">
        <f t="shared" si="18"/>
        <v>3532910.0525344741</v>
      </c>
      <c r="AN25" s="9">
        <f t="shared" si="19"/>
        <v>100.05201268777627</v>
      </c>
      <c r="AO25" s="9">
        <f t="shared" si="20"/>
        <v>253.31702508470443</v>
      </c>
      <c r="AP25" s="9">
        <f t="shared" si="21"/>
        <v>40.274169596887411</v>
      </c>
      <c r="AQ25" s="9">
        <f t="shared" si="22"/>
        <v>168.66946008139385</v>
      </c>
    </row>
    <row r="26" spans="1:43" x14ac:dyDescent="0.25">
      <c r="A26" s="6">
        <f>'Texas pop'!A122</f>
        <v>2038</v>
      </c>
      <c r="B26" s="6">
        <f>'Texas pop'!B122</f>
        <v>35387913.928571463</v>
      </c>
      <c r="C26" s="6">
        <f>'Texas pop'!C122</f>
        <v>4130082.8745987834</v>
      </c>
      <c r="D26" s="6">
        <f>'Texas pop'!D122</f>
        <v>4100082.8745987834</v>
      </c>
      <c r="E26" s="6">
        <f>'Texas pop'!E122</f>
        <v>516037.18619193009</v>
      </c>
      <c r="F26" s="47">
        <f t="shared" si="23"/>
        <v>7.1707024247548565</v>
      </c>
      <c r="G26" s="47">
        <f t="shared" si="0"/>
        <v>297.44357610243543</v>
      </c>
      <c r="H26" s="6">
        <f t="shared" si="30"/>
        <v>267699.21849219187</v>
      </c>
      <c r="I26" s="9">
        <f>H26/$D$42*$D$43</f>
        <v>59142.850597112156</v>
      </c>
      <c r="J26" s="47">
        <f t="shared" si="1"/>
        <v>99352.639457532307</v>
      </c>
      <c r="K26" s="9">
        <f t="shared" si="27"/>
        <v>45093.143496878947</v>
      </c>
      <c r="L26" s="9">
        <f t="shared" si="25"/>
        <v>1009.2592592592591</v>
      </c>
      <c r="M26" s="9">
        <f>'Plastics CCUS_RMTO'!M26</f>
        <v>1279.4365963663413</v>
      </c>
      <c r="N26" s="9">
        <f>'Plastics CCUS_RMTP'!M26</f>
        <v>1334.2721475391709</v>
      </c>
      <c r="O26" s="9">
        <f>'Plastics CCUS_ROCM'!M26</f>
        <v>1301.9377433136415</v>
      </c>
      <c r="P26" s="13">
        <v>5.45</v>
      </c>
      <c r="Q26" s="9">
        <f t="shared" si="28"/>
        <v>1009.2592592592591</v>
      </c>
      <c r="R26" s="41">
        <f t="shared" si="29"/>
        <v>1503.971402966996</v>
      </c>
      <c r="S26" s="9">
        <f>'Plastics CCUS_RMTO'!Q26</f>
        <v>1.2676986459409623</v>
      </c>
      <c r="T26" s="9">
        <f>'Plastics CCUS_RMTP'!Q26</f>
        <v>1.322031118662665</v>
      </c>
      <c r="U26" s="9">
        <f>'Plastics CCUS_ROCM'!Q26</f>
        <v>1.2899933603474614</v>
      </c>
      <c r="V26">
        <f t="shared" si="2"/>
        <v>7.3114271211151083</v>
      </c>
      <c r="W26">
        <f t="shared" si="3"/>
        <v>6.8304121789364816</v>
      </c>
      <c r="X26">
        <f t="shared" si="4"/>
        <v>10.293719762622585</v>
      </c>
      <c r="Y26">
        <f t="shared" si="5"/>
        <v>0.67342091905007573</v>
      </c>
      <c r="Z26">
        <f t="shared" si="6"/>
        <v>0.67342091905007573</v>
      </c>
      <c r="AA26">
        <f t="shared" si="7"/>
        <v>1.3468418381001512</v>
      </c>
      <c r="AB26">
        <f t="shared" si="8"/>
        <v>1.3468418381001512</v>
      </c>
      <c r="AC26">
        <f t="shared" si="9"/>
        <v>1.3468418381001512</v>
      </c>
      <c r="AD26">
        <f t="shared" si="10"/>
        <v>1.0582328727929762</v>
      </c>
      <c r="AE26">
        <f t="shared" si="11"/>
        <v>6.7342091905007555</v>
      </c>
      <c r="AF26">
        <f t="shared" si="12"/>
        <v>3.3671045952503782</v>
      </c>
      <c r="AG26">
        <f t="shared" si="13"/>
        <v>1.6354508034073267</v>
      </c>
      <c r="AH26">
        <f t="shared" si="14"/>
        <v>17.41274090686624</v>
      </c>
      <c r="AI26">
        <f t="shared" si="15"/>
        <v>11.736764589158462</v>
      </c>
      <c r="AJ26">
        <f t="shared" si="16"/>
        <v>11.159546658544112</v>
      </c>
      <c r="AK26">
        <f t="shared" si="17"/>
        <v>13.276012404130066</v>
      </c>
      <c r="AL26">
        <f t="shared" si="26"/>
        <v>96.202988435725103</v>
      </c>
      <c r="AM26" s="9">
        <f t="shared" si="18"/>
        <v>3850871.9572625766</v>
      </c>
      <c r="AN26" s="9">
        <f t="shared" si="19"/>
        <v>109.05669382967612</v>
      </c>
      <c r="AO26" s="9">
        <f t="shared" si="20"/>
        <v>276.1155573423278</v>
      </c>
      <c r="AP26" s="9">
        <f t="shared" si="21"/>
        <v>43.898844860607277</v>
      </c>
      <c r="AQ26" s="9">
        <f t="shared" si="22"/>
        <v>183.84971148871929</v>
      </c>
    </row>
    <row r="27" spans="1:43" x14ac:dyDescent="0.25">
      <c r="A27" s="6">
        <f>'Texas pop'!A123</f>
        <v>2039</v>
      </c>
      <c r="B27" s="6">
        <f>'Texas pop'!B123</f>
        <v>35726846.571428657</v>
      </c>
      <c r="C27" s="6">
        <f>'Texas pop'!C123</f>
        <v>4646120.0607907139</v>
      </c>
      <c r="D27" s="6">
        <f>'Texas pop'!D123</f>
        <v>4602320.0607907139</v>
      </c>
      <c r="E27" s="6">
        <f>'Texas pop'!E123</f>
        <v>562480.53294920374</v>
      </c>
      <c r="F27" s="47">
        <f t="shared" si="23"/>
        <v>7.8160656429827915</v>
      </c>
      <c r="G27" s="47">
        <f t="shared" si="0"/>
        <v>324.21349795165452</v>
      </c>
      <c r="H27" s="6">
        <f t="shared" si="30"/>
        <v>291792.14815648907</v>
      </c>
      <c r="I27" s="9">
        <f>H27/$D$42*$D$43</f>
        <v>64465.707150852235</v>
      </c>
      <c r="J27" s="47">
        <f t="shared" si="1"/>
        <v>108294.37700871019</v>
      </c>
      <c r="K27" s="9">
        <f t="shared" si="27"/>
        <v>49151.526411598032</v>
      </c>
      <c r="L27" s="9">
        <f t="shared" si="25"/>
        <v>1018.5185185185184</v>
      </c>
      <c r="M27" s="9">
        <f>'Plastics CCUS_RMTO'!M27</f>
        <v>1275.4254478114003</v>
      </c>
      <c r="N27" s="9">
        <f>'Plastics CCUS_RMTP'!M27</f>
        <v>1330.8135428936607</v>
      </c>
      <c r="O27" s="9">
        <f>'Plastics CCUS_ROCM'!M27</f>
        <v>1301.958394384377</v>
      </c>
      <c r="P27" s="13">
        <v>5.5</v>
      </c>
      <c r="Q27" s="9">
        <f t="shared" si="28"/>
        <v>1018.5185185185184</v>
      </c>
      <c r="R27" s="41">
        <f t="shared" si="29"/>
        <v>1488.931688937326</v>
      </c>
      <c r="S27" s="9">
        <f>'Plastics CCUS_RMTO'!Q27</f>
        <v>1.2522358942148295</v>
      </c>
      <c r="T27" s="9">
        <f>'Plastics CCUS_RMTP'!Q27</f>
        <v>1.3066169330228672</v>
      </c>
      <c r="U27" s="9">
        <f>'Plastics CCUS_ROCM'!Q27</f>
        <v>1.2782864235773885</v>
      </c>
      <c r="V27">
        <f t="shared" si="2"/>
        <v>7.9694555620154661</v>
      </c>
      <c r="W27">
        <f t="shared" si="3"/>
        <v>7.4451492750407642</v>
      </c>
      <c r="X27">
        <f t="shared" si="4"/>
        <v>11.220154541258616</v>
      </c>
      <c r="Y27">
        <f t="shared" si="5"/>
        <v>0.73402880176458252</v>
      </c>
      <c r="Z27">
        <f t="shared" si="6"/>
        <v>0.73402880176458252</v>
      </c>
      <c r="AA27">
        <f t="shared" si="7"/>
        <v>1.4680576035291648</v>
      </c>
      <c r="AB27">
        <f t="shared" si="8"/>
        <v>1.4680576035291648</v>
      </c>
      <c r="AC27">
        <f t="shared" si="9"/>
        <v>1.4680576035291648</v>
      </c>
      <c r="AD27">
        <f t="shared" si="10"/>
        <v>1.153473831344344</v>
      </c>
      <c r="AE27">
        <f t="shared" si="11"/>
        <v>7.3402880176458227</v>
      </c>
      <c r="AF27">
        <f t="shared" si="12"/>
        <v>3.6701440088229118</v>
      </c>
      <c r="AG27">
        <f t="shared" si="13"/>
        <v>1.7826413757139861</v>
      </c>
      <c r="AH27">
        <f t="shared" si="14"/>
        <v>18.979887588484203</v>
      </c>
      <c r="AI27">
        <f t="shared" si="15"/>
        <v>12.793073402182722</v>
      </c>
      <c r="AJ27">
        <f t="shared" si="16"/>
        <v>12.163905857813081</v>
      </c>
      <c r="AK27">
        <f t="shared" si="17"/>
        <v>14.470853520501771</v>
      </c>
      <c r="AL27">
        <f t="shared" si="26"/>
        <v>104.86125739494035</v>
      </c>
      <c r="AM27" s="9">
        <f t="shared" si="18"/>
        <v>4197450.4334162083</v>
      </c>
      <c r="AN27" s="9">
        <f t="shared" si="19"/>
        <v>118.87179627434696</v>
      </c>
      <c r="AO27" s="9">
        <f t="shared" si="20"/>
        <v>300.9659575031373</v>
      </c>
      <c r="AP27" s="9">
        <f t="shared" si="21"/>
        <v>47.849740898061931</v>
      </c>
      <c r="AQ27" s="9">
        <f t="shared" si="22"/>
        <v>200.396185522704</v>
      </c>
    </row>
    <row r="28" spans="1:43" x14ac:dyDescent="0.25">
      <c r="A28" s="6">
        <f>'Texas pop'!A124</f>
        <v>2040</v>
      </c>
      <c r="B28" s="6">
        <f>'Texas pop'!B124</f>
        <v>36065779.214285731</v>
      </c>
      <c r="C28" s="6">
        <f>'Texas pop'!C124</f>
        <v>5208600.5937399175</v>
      </c>
      <c r="D28" s="6">
        <f>'Texas pop'!D124</f>
        <v>5136100.5937399175</v>
      </c>
      <c r="E28" s="6">
        <f>'Texas pop'!E124</f>
        <v>613103.78091463214</v>
      </c>
      <c r="F28" s="47">
        <f t="shared" si="23"/>
        <v>8.5195115508512451</v>
      </c>
      <c r="G28" s="47">
        <f t="shared" si="0"/>
        <v>353.39271276730352</v>
      </c>
      <c r="H28" s="6">
        <f t="shared" si="30"/>
        <v>318053.44149057317</v>
      </c>
      <c r="I28" s="9">
        <f t="shared" si="24"/>
        <v>70267.620794428949</v>
      </c>
      <c r="J28" s="47">
        <f t="shared" si="1"/>
        <v>118040.87093949414</v>
      </c>
      <c r="K28" s="9">
        <f t="shared" si="27"/>
        <v>53575.163788641905</v>
      </c>
      <c r="L28" s="9">
        <f t="shared" si="25"/>
        <v>1037.037037037037</v>
      </c>
      <c r="M28" s="9">
        <f>'Plastics CCUS_RMTO'!M28</f>
        <v>1275.6989320734961</v>
      </c>
      <c r="N28" s="9">
        <f>'Plastics CCUS_RMTP'!M28</f>
        <v>1332.1660592219646</v>
      </c>
      <c r="O28" s="9">
        <f>'Plastics CCUS_ROCM'!M28</f>
        <v>1308.2804795132615</v>
      </c>
      <c r="P28" s="13">
        <v>5.6</v>
      </c>
      <c r="Q28" s="9">
        <f t="shared" si="28"/>
        <v>1037.037037037037</v>
      </c>
      <c r="R28" s="41">
        <f t="shared" si="29"/>
        <v>1474.0423720479528</v>
      </c>
      <c r="S28" s="9">
        <f>'Plastics CCUS_RMTO'!Q28</f>
        <v>1.2301382559280141</v>
      </c>
      <c r="T28" s="9">
        <f>'Plastics CCUS_RMTP'!Q28</f>
        <v>1.2845886999640375</v>
      </c>
      <c r="U28" s="9">
        <f>'Plastics CCUS_ROCM'!Q28</f>
        <v>1.2615561766735024</v>
      </c>
      <c r="V28">
        <f t="shared" si="2"/>
        <v>8.6867065625968589</v>
      </c>
      <c r="W28">
        <f t="shared" si="3"/>
        <v>8.1152127097944344</v>
      </c>
      <c r="X28">
        <f t="shared" si="4"/>
        <v>12.229968449971894</v>
      </c>
      <c r="Y28">
        <f t="shared" si="5"/>
        <v>0.80009139392339501</v>
      </c>
      <c r="Z28">
        <f t="shared" si="6"/>
        <v>0.80009139392339501</v>
      </c>
      <c r="AA28">
        <f t="shared" si="7"/>
        <v>1.6001827878467898</v>
      </c>
      <c r="AB28">
        <f t="shared" si="8"/>
        <v>1.6001827878467898</v>
      </c>
      <c r="AC28">
        <f t="shared" si="9"/>
        <v>1.6001827878467898</v>
      </c>
      <c r="AD28">
        <f t="shared" si="10"/>
        <v>1.2572864761653351</v>
      </c>
      <c r="AE28">
        <f t="shared" si="11"/>
        <v>8.0009139392339481</v>
      </c>
      <c r="AF28">
        <f t="shared" si="12"/>
        <v>4.0004569696169741</v>
      </c>
      <c r="AG28">
        <f t="shared" si="13"/>
        <v>1.943079099528245</v>
      </c>
      <c r="AH28">
        <f t="shared" si="14"/>
        <v>20.688077471447784</v>
      </c>
      <c r="AI28">
        <f t="shared" si="15"/>
        <v>13.944450008379169</v>
      </c>
      <c r="AJ28">
        <f t="shared" si="16"/>
        <v>13.258657385016258</v>
      </c>
      <c r="AK28">
        <f t="shared" si="17"/>
        <v>15.773230337346932</v>
      </c>
      <c r="AL28">
        <f t="shared" si="26"/>
        <v>114.298770560485</v>
      </c>
      <c r="AM28" s="9">
        <f t="shared" si="18"/>
        <v>4575220.9724236671</v>
      </c>
      <c r="AN28" s="9">
        <f t="shared" si="19"/>
        <v>129.57025793903821</v>
      </c>
      <c r="AO28" s="9">
        <f t="shared" si="20"/>
        <v>328.05289367841971</v>
      </c>
      <c r="AP28" s="9">
        <f t="shared" si="21"/>
        <v>52.156217578887507</v>
      </c>
      <c r="AQ28" s="9">
        <f t="shared" si="22"/>
        <v>218.43184221974738</v>
      </c>
    </row>
    <row r="29" spans="1:43" x14ac:dyDescent="0.25">
      <c r="A29" s="6">
        <f>'Texas pop'!A125</f>
        <v>2041</v>
      </c>
      <c r="B29" s="6">
        <f>'Texas pop'!B125</f>
        <v>36404711.857142925</v>
      </c>
      <c r="C29" s="6">
        <f>'Texas pop'!C125</f>
        <v>5821704.3746545501</v>
      </c>
      <c r="D29" s="6">
        <f>'Texas pop'!D125</f>
        <v>5681104.3746545501</v>
      </c>
      <c r="E29" s="6">
        <f>'Texas pop'!E125</f>
        <v>637627.93215121748</v>
      </c>
      <c r="F29" s="47">
        <f t="shared" si="23"/>
        <v>8.8602920128852958</v>
      </c>
      <c r="G29" s="47">
        <f t="shared" si="0"/>
        <v>367.52842127799568</v>
      </c>
      <c r="H29" s="6">
        <f t="shared" si="30"/>
        <v>330775.57915019605</v>
      </c>
      <c r="I29" s="9">
        <f t="shared" si="24"/>
        <v>73078.325626206104</v>
      </c>
      <c r="J29" s="47">
        <f t="shared" si="1"/>
        <v>122762.50577707391</v>
      </c>
      <c r="K29" s="9">
        <f>J29-I28</f>
        <v>52494.884982644959</v>
      </c>
      <c r="L29" s="9">
        <f t="shared" si="25"/>
        <v>1027.7777777777776</v>
      </c>
      <c r="M29" s="9">
        <f>'Plastics CCUS_RMTO'!M29</f>
        <v>1274.7764569582023</v>
      </c>
      <c r="N29" s="9">
        <f>'Plastics CCUS_RMTP'!M29</f>
        <v>1333.4327793623447</v>
      </c>
      <c r="O29" s="9">
        <f>'Plastics CCUS_ROCM'!M29</f>
        <v>1308.8391059651719</v>
      </c>
      <c r="P29" s="13">
        <v>5.55</v>
      </c>
      <c r="Q29" s="9">
        <f t="shared" si="28"/>
        <v>1027.7777777777776</v>
      </c>
      <c r="R29" s="41">
        <f t="shared" si="29"/>
        <v>1459.3019483274732</v>
      </c>
      <c r="S29" s="9">
        <f>'Plastics CCUS_RMTO'!Q29</f>
        <v>1.2403230392025755</v>
      </c>
      <c r="T29" s="9">
        <f>'Plastics CCUS_RMTP'!Q29</f>
        <v>1.297394055595795</v>
      </c>
      <c r="U29" s="9">
        <f>'Plastics CCUS_ROCM'!Q29</f>
        <v>1.2734650760742217</v>
      </c>
      <c r="V29">
        <f t="shared" si="2"/>
        <v>9.0341748251007346</v>
      </c>
      <c r="W29">
        <f t="shared" si="3"/>
        <v>8.4398212181862124</v>
      </c>
      <c r="X29">
        <f t="shared" si="4"/>
        <v>12.71916718797077</v>
      </c>
      <c r="Y29">
        <f t="shared" si="5"/>
        <v>0.83209504968033077</v>
      </c>
      <c r="Z29">
        <f t="shared" si="6"/>
        <v>0.83209504968033077</v>
      </c>
      <c r="AA29">
        <f t="shared" si="7"/>
        <v>1.6641900993606613</v>
      </c>
      <c r="AB29">
        <f t="shared" si="8"/>
        <v>1.6641900993606613</v>
      </c>
      <c r="AC29">
        <f t="shared" si="9"/>
        <v>1.6641900993606613</v>
      </c>
      <c r="AD29">
        <f t="shared" si="10"/>
        <v>1.3075779352119485</v>
      </c>
      <c r="AE29">
        <f t="shared" si="11"/>
        <v>8.3209504968033059</v>
      </c>
      <c r="AF29">
        <f t="shared" si="12"/>
        <v>4.1604752484016538</v>
      </c>
      <c r="AG29">
        <f t="shared" si="13"/>
        <v>2.020802263509375</v>
      </c>
      <c r="AH29">
        <f t="shared" si="14"/>
        <v>21.515600570305697</v>
      </c>
      <c r="AI29">
        <f t="shared" si="15"/>
        <v>14.502228008714336</v>
      </c>
      <c r="AJ29">
        <f t="shared" si="16"/>
        <v>13.78900368041691</v>
      </c>
      <c r="AK29">
        <f t="shared" si="17"/>
        <v>16.404159550840813</v>
      </c>
      <c r="AL29">
        <f t="shared" si="26"/>
        <v>118.87072138290439</v>
      </c>
      <c r="AM29" s="9">
        <f t="shared" si="18"/>
        <v>4758229.8113206141</v>
      </c>
      <c r="AN29" s="9">
        <f t="shared" si="19"/>
        <v>134.75306825659976</v>
      </c>
      <c r="AO29" s="9">
        <f t="shared" si="20"/>
        <v>341.17500942555648</v>
      </c>
      <c r="AP29" s="9">
        <f t="shared" si="21"/>
        <v>54.242466282043019</v>
      </c>
      <c r="AQ29" s="9">
        <f t="shared" si="22"/>
        <v>227.16911590853729</v>
      </c>
    </row>
    <row r="30" spans="1:43" x14ac:dyDescent="0.25">
      <c r="A30" s="6">
        <f>'Texas pop'!A126</f>
        <v>2042</v>
      </c>
      <c r="B30" s="6">
        <f>'Texas pop'!B126</f>
        <v>36743644.500000119</v>
      </c>
      <c r="C30" s="6">
        <f>'Texas pop'!C126</f>
        <v>6459332.3068057671</v>
      </c>
      <c r="D30" s="6">
        <f>'Texas pop'!D126</f>
        <v>6239736.3068057671</v>
      </c>
      <c r="E30" s="6">
        <f>'Texas pop'!E126</f>
        <v>663133.04943726619</v>
      </c>
      <c r="F30" s="47">
        <f t="shared" si="23"/>
        <v>9.2147036934007076</v>
      </c>
      <c r="G30" s="47">
        <f t="shared" si="0"/>
        <v>382.22955812911556</v>
      </c>
      <c r="H30" s="6">
        <f t="shared" si="30"/>
        <v>344006.60231620393</v>
      </c>
      <c r="I30" s="9">
        <f t="shared" si="24"/>
        <v>76001.458651254361</v>
      </c>
      <c r="J30" s="47">
        <f t="shared" si="1"/>
        <v>127673.00600815687</v>
      </c>
      <c r="K30" s="9">
        <f t="shared" si="27"/>
        <v>54594.680381950762</v>
      </c>
      <c r="L30" s="9">
        <f>Q30</f>
        <v>1020.3703703703702</v>
      </c>
      <c r="M30" s="9">
        <f>'Plastics CCUS_RMTO'!M30</f>
        <v>1263.2561010464706</v>
      </c>
      <c r="N30" s="9">
        <f>'Plastics CCUS_RMTP'!M30</f>
        <v>1321.4970020716257</v>
      </c>
      <c r="O30" s="9">
        <f>'Plastics CCUS_ROCM'!M30</f>
        <v>1297.6398720309135</v>
      </c>
      <c r="P30" s="13">
        <v>5.51</v>
      </c>
      <c r="Q30" s="9">
        <f t="shared" si="28"/>
        <v>1020.3703703703702</v>
      </c>
      <c r="R30" s="41">
        <f t="shared" si="29"/>
        <v>1444.7089288441985</v>
      </c>
      <c r="S30" s="9">
        <f>'Plastics CCUS_RMTO'!Q30</f>
        <v>1.2380368322415503</v>
      </c>
      <c r="T30" s="9">
        <f>'Plastics CCUS_RMTP'!Q30</f>
        <v>1.2951150292534992</v>
      </c>
      <c r="U30" s="9">
        <f>'Plastics CCUS_ROCM'!Q30</f>
        <v>1.2717341758560678</v>
      </c>
      <c r="V30">
        <f t="shared" si="2"/>
        <v>9.3955418181047641</v>
      </c>
      <c r="W30">
        <f t="shared" si="3"/>
        <v>8.7774140669136607</v>
      </c>
      <c r="X30">
        <f t="shared" si="4"/>
        <v>13.227933875489601</v>
      </c>
      <c r="Y30">
        <f t="shared" si="5"/>
        <v>0.86537885166754414</v>
      </c>
      <c r="Z30">
        <f t="shared" si="6"/>
        <v>0.86537885166754414</v>
      </c>
      <c r="AA30">
        <f t="shared" si="7"/>
        <v>1.730757703335088</v>
      </c>
      <c r="AB30">
        <f t="shared" si="8"/>
        <v>1.730757703335088</v>
      </c>
      <c r="AC30">
        <f t="shared" si="9"/>
        <v>1.730757703335088</v>
      </c>
      <c r="AD30">
        <f t="shared" si="10"/>
        <v>1.3598810526204266</v>
      </c>
      <c r="AE30">
        <f t="shared" si="11"/>
        <v>8.6537885166754389</v>
      </c>
      <c r="AF30">
        <f t="shared" si="12"/>
        <v>4.3268942583377203</v>
      </c>
      <c r="AG30">
        <f t="shared" si="13"/>
        <v>2.1016343540497502</v>
      </c>
      <c r="AH30">
        <f t="shared" si="14"/>
        <v>22.376224593117925</v>
      </c>
      <c r="AI30">
        <f t="shared" si="15"/>
        <v>15.082317129062911</v>
      </c>
      <c r="AJ30">
        <f t="shared" si="16"/>
        <v>14.340563827633588</v>
      </c>
      <c r="AK30">
        <f t="shared" si="17"/>
        <v>17.060325932874445</v>
      </c>
      <c r="AL30">
        <f t="shared" si="26"/>
        <v>123.62555023822058</v>
      </c>
      <c r="AM30" s="9">
        <f t="shared" si="18"/>
        <v>4948559.0037734387</v>
      </c>
      <c r="AN30" s="9">
        <f t="shared" si="19"/>
        <v>140.14319098686374</v>
      </c>
      <c r="AO30" s="9">
        <f t="shared" si="20"/>
        <v>354.8220098025788</v>
      </c>
      <c r="AP30" s="9">
        <f t="shared" si="21"/>
        <v>56.412164933324739</v>
      </c>
      <c r="AQ30" s="9">
        <f t="shared" si="22"/>
        <v>236.25588054487881</v>
      </c>
    </row>
    <row r="31" spans="1:43" x14ac:dyDescent="0.25">
      <c r="A31" s="6">
        <f>'Texas pop'!A127</f>
        <v>2043</v>
      </c>
      <c r="B31" s="6">
        <f>'Texas pop'!B127</f>
        <v>37082577.142857194</v>
      </c>
      <c r="C31" s="6">
        <f>'Texas pop'!C127</f>
        <v>7122465.356243033</v>
      </c>
      <c r="D31" s="6">
        <f>'Texas pop'!D127</f>
        <v>6811233.9962430326</v>
      </c>
      <c r="E31" s="6">
        <f>'Texas pop'!E127</f>
        <v>689658.37141475675</v>
      </c>
      <c r="F31" s="47">
        <f t="shared" si="23"/>
        <v>9.5832918411367345</v>
      </c>
      <c r="G31" s="47">
        <f t="shared" si="0"/>
        <v>397.51874045428008</v>
      </c>
      <c r="H31" s="6">
        <f t="shared" si="30"/>
        <v>357766.86640885205</v>
      </c>
      <c r="I31" s="9">
        <f t="shared" si="24"/>
        <v>79041.516997304527</v>
      </c>
      <c r="J31" s="47">
        <f t="shared" si="1"/>
        <v>132779.92624848313</v>
      </c>
      <c r="K31" s="9">
        <f t="shared" si="27"/>
        <v>56778.467597228766</v>
      </c>
      <c r="L31" s="9">
        <f t="shared" si="25"/>
        <v>1092.5925925925926</v>
      </c>
      <c r="M31" s="9">
        <f>'Plastics CCUS_RMTO'!M31</f>
        <v>1285.8699654301474</v>
      </c>
      <c r="N31" s="9">
        <f>'Plastics CCUS_RMTP'!M31</f>
        <v>1348.4429887504452</v>
      </c>
      <c r="O31" s="9">
        <f>'Plastics CCUS_ROCM'!M31</f>
        <v>1338.9127530856031</v>
      </c>
      <c r="P31" s="13">
        <v>5.9</v>
      </c>
      <c r="Q31" s="9">
        <f t="shared" si="28"/>
        <v>1092.5925925925926</v>
      </c>
      <c r="R31" s="41">
        <f t="shared" si="29"/>
        <v>1430.2618395557565</v>
      </c>
      <c r="S31" s="9">
        <f>'Plastics CCUS_RMTO'!Q31</f>
        <v>1.1768979344614909</v>
      </c>
      <c r="T31" s="9">
        <f>'Plastics CCUS_RMTP'!Q31</f>
        <v>1.2341681591953226</v>
      </c>
      <c r="U31" s="9">
        <f>'Plastics CCUS_ROCM'!Q31</f>
        <v>1.2254455706207215</v>
      </c>
      <c r="V31">
        <f t="shared" si="2"/>
        <v>9.7713634908289535</v>
      </c>
      <c r="W31">
        <f t="shared" si="3"/>
        <v>9.1285106295902061</v>
      </c>
      <c r="X31">
        <f t="shared" si="4"/>
        <v>13.757051230509184</v>
      </c>
      <c r="Y31">
        <f t="shared" si="5"/>
        <v>0.89999400573424571</v>
      </c>
      <c r="Z31">
        <f t="shared" si="6"/>
        <v>0.89999400573424571</v>
      </c>
      <c r="AA31">
        <f t="shared" si="7"/>
        <v>1.7999880114684912</v>
      </c>
      <c r="AB31">
        <f t="shared" si="8"/>
        <v>1.7999880114684912</v>
      </c>
      <c r="AC31">
        <f t="shared" si="9"/>
        <v>1.7999880114684912</v>
      </c>
      <c r="AD31">
        <f t="shared" si="10"/>
        <v>1.4142762947252434</v>
      </c>
      <c r="AE31">
        <f t="shared" si="11"/>
        <v>8.9999400573424548</v>
      </c>
      <c r="AF31">
        <f t="shared" si="12"/>
        <v>4.4999700286712283</v>
      </c>
      <c r="AG31">
        <f t="shared" si="13"/>
        <v>2.1856997282117394</v>
      </c>
      <c r="AH31">
        <f t="shared" si="14"/>
        <v>23.271273576842638</v>
      </c>
      <c r="AI31">
        <f t="shared" si="15"/>
        <v>15.685609814225426</v>
      </c>
      <c r="AJ31">
        <f t="shared" si="16"/>
        <v>14.914186380738929</v>
      </c>
      <c r="AK31">
        <f t="shared" si="17"/>
        <v>17.742738970189418</v>
      </c>
      <c r="AL31">
        <f t="shared" si="26"/>
        <v>128.5705722477494</v>
      </c>
      <c r="AM31" s="9">
        <f t="shared" si="18"/>
        <v>5146501.3639243757</v>
      </c>
      <c r="AN31" s="9">
        <f t="shared" si="19"/>
        <v>145.74891862633828</v>
      </c>
      <c r="AO31" s="9">
        <f t="shared" si="20"/>
        <v>369.01489019468193</v>
      </c>
      <c r="AP31" s="9">
        <f t="shared" si="21"/>
        <v>58.668651530657719</v>
      </c>
      <c r="AQ31" s="9">
        <f t="shared" si="22"/>
        <v>245.70611576667392</v>
      </c>
    </row>
    <row r="32" spans="1:43" x14ac:dyDescent="0.25">
      <c r="A32" s="6">
        <f>'Texas pop'!A128</f>
        <v>2044</v>
      </c>
      <c r="B32" s="6">
        <f>'Texas pop'!B128</f>
        <v>37421509.785714388</v>
      </c>
      <c r="C32" s="6">
        <f>'Texas pop'!C128</f>
        <v>7812123.7276577894</v>
      </c>
      <c r="D32" s="6">
        <f>'Texas pop'!D128</f>
        <v>7394595.3500577891</v>
      </c>
      <c r="E32" s="6">
        <f>'Texas pop'!E128</f>
        <v>717244.70627134701</v>
      </c>
      <c r="F32" s="47">
        <f t="shared" si="23"/>
        <v>9.9666235147822029</v>
      </c>
      <c r="G32" s="47">
        <f t="shared" si="0"/>
        <v>413.41949007245131</v>
      </c>
      <c r="H32" s="6">
        <f t="shared" si="30"/>
        <v>372077.54106520617</v>
      </c>
      <c r="I32" s="9">
        <f t="shared" si="24"/>
        <v>82203.177677196712</v>
      </c>
      <c r="J32" s="47">
        <f t="shared" si="1"/>
        <v>138091.12329842243</v>
      </c>
      <c r="K32" s="9">
        <f t="shared" si="27"/>
        <v>59049.606301117907</v>
      </c>
      <c r="L32" s="9">
        <f t="shared" si="25"/>
        <v>1074.0740740740739</v>
      </c>
      <c r="M32" s="9">
        <f>'Plastics CCUS_RMTO'!M32</f>
        <v>1269.7645719066934</v>
      </c>
      <c r="N32" s="9">
        <f>'Plastics CCUS_RMTP'!M32</f>
        <v>1331.2591672100966</v>
      </c>
      <c r="O32" s="9">
        <f>'Plastics CCUS_ROCM'!M32</f>
        <v>1320.5265002553201</v>
      </c>
      <c r="P32" s="13">
        <v>5.8</v>
      </c>
      <c r="Q32" s="9">
        <f t="shared" si="28"/>
        <v>1074.0740740740739</v>
      </c>
      <c r="R32" s="41">
        <f t="shared" si="29"/>
        <v>1415.9592211601989</v>
      </c>
      <c r="S32" s="9">
        <f>'Plastics CCUS_RMTO'!Q32</f>
        <v>1.1821946014303699</v>
      </c>
      <c r="T32" s="9">
        <f>'Plastics CCUS_RMTP'!Q32</f>
        <v>1.2394481901611247</v>
      </c>
      <c r="U32" s="9">
        <f>'Plastics CCUS_ROCM'!Q32</f>
        <v>1.2294557071342638</v>
      </c>
      <c r="V32">
        <f t="shared" si="2"/>
        <v>10.162218030462112</v>
      </c>
      <c r="W32">
        <f t="shared" si="3"/>
        <v>9.4936510547738138</v>
      </c>
      <c r="X32">
        <f t="shared" si="4"/>
        <v>14.307333279729551</v>
      </c>
      <c r="Y32">
        <f t="shared" si="5"/>
        <v>0.9359937659636155</v>
      </c>
      <c r="Z32">
        <f t="shared" si="6"/>
        <v>0.9359937659636155</v>
      </c>
      <c r="AA32">
        <f t="shared" si="7"/>
        <v>1.8719875319272308</v>
      </c>
      <c r="AB32">
        <f t="shared" si="8"/>
        <v>1.8719875319272308</v>
      </c>
      <c r="AC32">
        <f t="shared" si="9"/>
        <v>1.8719875319272308</v>
      </c>
      <c r="AD32">
        <f t="shared" si="10"/>
        <v>1.4708473465142531</v>
      </c>
      <c r="AE32">
        <f t="shared" si="11"/>
        <v>9.3599376596361523</v>
      </c>
      <c r="AF32">
        <f t="shared" si="12"/>
        <v>4.679968829818077</v>
      </c>
      <c r="AG32">
        <f t="shared" si="13"/>
        <v>2.2731277173402096</v>
      </c>
      <c r="AH32">
        <f t="shared" si="14"/>
        <v>24.202124519916346</v>
      </c>
      <c r="AI32">
        <f t="shared" si="15"/>
        <v>16.313034206794441</v>
      </c>
      <c r="AJ32">
        <f t="shared" si="16"/>
        <v>15.510753835968485</v>
      </c>
      <c r="AK32">
        <f t="shared" si="17"/>
        <v>18.452448528996996</v>
      </c>
      <c r="AL32">
        <f t="shared" si="26"/>
        <v>133.71339513765938</v>
      </c>
      <c r="AM32" s="9">
        <f t="shared" si="18"/>
        <v>5352361.4184813509</v>
      </c>
      <c r="AN32" s="9">
        <f t="shared" si="19"/>
        <v>151.5788753713918</v>
      </c>
      <c r="AO32" s="9">
        <f t="shared" si="20"/>
        <v>383.77548580246918</v>
      </c>
      <c r="AP32" s="9">
        <f t="shared" si="21"/>
        <v>61.015397591884032</v>
      </c>
      <c r="AQ32" s="9">
        <f t="shared" si="22"/>
        <v>255.53436039734086</v>
      </c>
    </row>
    <row r="33" spans="1:43" x14ac:dyDescent="0.25">
      <c r="A33" s="6">
        <f>'Texas pop'!A129</f>
        <v>2045</v>
      </c>
      <c r="B33" s="6">
        <f>'Texas pop'!B129</f>
        <v>37760442.428571463</v>
      </c>
      <c r="C33" s="6">
        <f>'Texas pop'!C129</f>
        <v>8529368.433929136</v>
      </c>
      <c r="D33" s="6">
        <f>'Texas pop'!D129</f>
        <v>7988535.5159131354</v>
      </c>
      <c r="E33" s="6">
        <f>'Texas pop'!E129</f>
        <v>745934.49452220078</v>
      </c>
      <c r="F33" s="47">
        <f t="shared" si="23"/>
        <v>10.36528845537349</v>
      </c>
      <c r="G33" s="47">
        <f t="shared" si="0"/>
        <v>429.95626967534923</v>
      </c>
      <c r="H33" s="6">
        <f t="shared" si="30"/>
        <v>386960.64270781435</v>
      </c>
      <c r="I33" s="9">
        <f t="shared" si="24"/>
        <v>85491.30478428457</v>
      </c>
      <c r="J33" s="47">
        <f t="shared" si="1"/>
        <v>143614.7682303593</v>
      </c>
      <c r="K33" s="9">
        <f t="shared" si="27"/>
        <v>61411.59055316259</v>
      </c>
      <c r="L33" s="9">
        <f t="shared" si="25"/>
        <v>1059.2592592592591</v>
      </c>
      <c r="M33" s="9">
        <f>'Plastics CCUS_RMTO'!M33</f>
        <v>1255.3247977700323</v>
      </c>
      <c r="N33" s="9">
        <f>'Plastics CCUS_RMTP'!M33</f>
        <v>1315.9615361145184</v>
      </c>
      <c r="O33" s="9">
        <f>'Plastics CCUS_ROCM'!M33</f>
        <v>1304.6398509457576</v>
      </c>
      <c r="P33" s="13">
        <v>5.72</v>
      </c>
      <c r="Q33" s="9">
        <f t="shared" si="28"/>
        <v>1059.2592592592591</v>
      </c>
      <c r="R33" s="41">
        <f t="shared" si="29"/>
        <v>1401.7996289485968</v>
      </c>
      <c r="S33" s="9">
        <f>'Plastics CCUS_RMTO'!Q33</f>
        <v>1.185096837055625</v>
      </c>
      <c r="T33" s="9">
        <f>'Plastics CCUS_RMTP'!Q33</f>
        <v>1.2423413103179022</v>
      </c>
      <c r="U33" s="9">
        <f>'Plastics CCUS_ROCM'!Q33</f>
        <v>1.2316530061376034</v>
      </c>
      <c r="V33">
        <f t="shared" si="2"/>
        <v>10.568706751680594</v>
      </c>
      <c r="W33">
        <f t="shared" si="3"/>
        <v>9.8733970969647658</v>
      </c>
      <c r="X33">
        <f t="shared" si="4"/>
        <v>14.879626610918731</v>
      </c>
      <c r="Y33">
        <f t="shared" si="5"/>
        <v>0.97343351660216004</v>
      </c>
      <c r="Z33">
        <f t="shared" si="6"/>
        <v>0.97343351660216004</v>
      </c>
      <c r="AA33">
        <f t="shared" si="7"/>
        <v>1.9468670332043196</v>
      </c>
      <c r="AB33">
        <f t="shared" si="8"/>
        <v>1.9468670332043196</v>
      </c>
      <c r="AC33">
        <f t="shared" si="9"/>
        <v>1.9468670332043196</v>
      </c>
      <c r="AD33">
        <f t="shared" si="10"/>
        <v>1.529681240374823</v>
      </c>
      <c r="AE33">
        <f t="shared" si="11"/>
        <v>9.734335166021598</v>
      </c>
      <c r="AF33">
        <f t="shared" si="12"/>
        <v>4.867167583010799</v>
      </c>
      <c r="AG33">
        <f t="shared" si="13"/>
        <v>2.3640528260338169</v>
      </c>
      <c r="AH33">
        <f t="shared" si="14"/>
        <v>25.170209500712996</v>
      </c>
      <c r="AI33">
        <f t="shared" si="15"/>
        <v>16.965555575066215</v>
      </c>
      <c r="AJ33">
        <f t="shared" si="16"/>
        <v>16.131183989407223</v>
      </c>
      <c r="AK33">
        <f t="shared" si="17"/>
        <v>19.190546470156875</v>
      </c>
      <c r="AL33">
        <f t="shared" si="26"/>
        <v>139.06193094316569</v>
      </c>
      <c r="AM33" s="9">
        <f t="shared" si="18"/>
        <v>5566455.8752206042</v>
      </c>
      <c r="AN33" s="9">
        <f t="shared" si="19"/>
        <v>157.64203038624746</v>
      </c>
      <c r="AO33" s="9">
        <f t="shared" si="20"/>
        <v>399.1265052345679</v>
      </c>
      <c r="AP33" s="9">
        <f t="shared" si="21"/>
        <v>63.456013495559382</v>
      </c>
      <c r="AQ33" s="9">
        <f t="shared" si="22"/>
        <v>265.75573481323448</v>
      </c>
    </row>
    <row r="34" spans="1:43" x14ac:dyDescent="0.25">
      <c r="A34" s="6">
        <f>'Texas pop'!A130</f>
        <v>2046</v>
      </c>
      <c r="B34" s="6">
        <f>'Texas pop'!B130</f>
        <v>38099375.071428657</v>
      </c>
      <c r="C34" s="6">
        <f>'Texas pop'!C130</f>
        <v>9275302.9284513369</v>
      </c>
      <c r="D34" s="6">
        <f>'Texas pop'!D130</f>
        <v>8591436.7435527761</v>
      </c>
      <c r="E34" s="6">
        <f>'Texas pop'!E130</f>
        <v>775771.87430308876</v>
      </c>
      <c r="F34" s="47">
        <f t="shared" si="23"/>
        <v>10.779899993588428</v>
      </c>
      <c r="G34" s="47">
        <f t="shared" si="0"/>
        <v>447.15452046236322</v>
      </c>
      <c r="H34" s="6">
        <f t="shared" si="30"/>
        <v>402439.06841612689</v>
      </c>
      <c r="I34" s="9">
        <f t="shared" si="24"/>
        <v>88910.956975655936</v>
      </c>
      <c r="J34" s="47">
        <f t="shared" si="1"/>
        <v>149359.3589595737</v>
      </c>
      <c r="K34" s="9">
        <f t="shared" si="27"/>
        <v>63868.054175289129</v>
      </c>
      <c r="L34" s="9">
        <f t="shared" si="25"/>
        <v>1049.9999999999998</v>
      </c>
      <c r="M34" s="9">
        <f>'Plastics CCUS_RMTO'!M34</f>
        <v>1243.3417009108173</v>
      </c>
      <c r="N34" s="9">
        <f>'Plastics CCUS_RMTP'!M34</f>
        <v>1303.4515700192383</v>
      </c>
      <c r="O34" s="9">
        <f>'Plastics CCUS_ROCM'!M34</f>
        <v>1292.470996391321</v>
      </c>
      <c r="P34" s="13">
        <v>5.67</v>
      </c>
      <c r="Q34" s="9">
        <f t="shared" si="28"/>
        <v>1049.9999999999998</v>
      </c>
      <c r="R34" s="41">
        <f t="shared" si="29"/>
        <v>1387.7816326591108</v>
      </c>
      <c r="S34" s="9">
        <f>'Plastics CCUS_RMTO'!Q34</f>
        <v>1.1841349532483976</v>
      </c>
      <c r="T34" s="9">
        <f>'Plastics CCUS_RMTP'!Q34</f>
        <v>1.24138244763737</v>
      </c>
      <c r="U34" s="9">
        <f>'Plastics CCUS_ROCM'!Q34</f>
        <v>1.230924758467925</v>
      </c>
      <c r="V34">
        <f t="shared" si="2"/>
        <v>10.991455021747818</v>
      </c>
      <c r="W34">
        <f t="shared" si="3"/>
        <v>10.268332980843354</v>
      </c>
      <c r="X34">
        <f t="shared" si="4"/>
        <v>15.474811675355479</v>
      </c>
      <c r="Y34">
        <f t="shared" si="5"/>
        <v>1.0123708572662464</v>
      </c>
      <c r="Z34">
        <f t="shared" si="6"/>
        <v>1.0123708572662464</v>
      </c>
      <c r="AA34">
        <f t="shared" si="7"/>
        <v>2.0247417145324924</v>
      </c>
      <c r="AB34">
        <f t="shared" si="8"/>
        <v>2.0247417145324924</v>
      </c>
      <c r="AC34">
        <f t="shared" si="9"/>
        <v>2.0247417145324924</v>
      </c>
      <c r="AD34">
        <f t="shared" si="10"/>
        <v>1.590868489989816</v>
      </c>
      <c r="AE34">
        <f t="shared" si="11"/>
        <v>10.123708572662462</v>
      </c>
      <c r="AF34">
        <f t="shared" si="12"/>
        <v>5.0618542863312319</v>
      </c>
      <c r="AG34">
        <f t="shared" si="13"/>
        <v>2.4586149390751699</v>
      </c>
      <c r="AH34">
        <f t="shared" si="14"/>
        <v>26.177017880741509</v>
      </c>
      <c r="AI34">
        <f t="shared" si="15"/>
        <v>17.644177798068867</v>
      </c>
      <c r="AJ34">
        <f t="shared" si="16"/>
        <v>16.776431348983511</v>
      </c>
      <c r="AK34">
        <f t="shared" si="17"/>
        <v>19.958168328963147</v>
      </c>
      <c r="AL34">
        <f t="shared" si="26"/>
        <v>144.62440818089235</v>
      </c>
      <c r="AM34" s="9">
        <f t="shared" si="18"/>
        <v>5789114.1102294279</v>
      </c>
      <c r="AN34" s="9">
        <f t="shared" si="19"/>
        <v>163.94771160169734</v>
      </c>
      <c r="AO34" s="9">
        <f t="shared" si="20"/>
        <v>415.09156544395057</v>
      </c>
      <c r="AP34" s="9">
        <f t="shared" si="21"/>
        <v>65.994254035381744</v>
      </c>
      <c r="AQ34" s="9">
        <f t="shared" si="22"/>
        <v>276.3859642057638</v>
      </c>
    </row>
    <row r="35" spans="1:43" x14ac:dyDescent="0.25">
      <c r="A35" s="6">
        <f>'Texas pop'!A131</f>
        <v>2047</v>
      </c>
      <c r="B35" s="6">
        <f>'Texas pop'!B131</f>
        <v>38438307.714285731</v>
      </c>
      <c r="C35" s="6">
        <f>'Texas pop'!C131</f>
        <v>10051074.802754426</v>
      </c>
      <c r="D35" s="6">
        <f>'Texas pop'!D131</f>
        <v>9201290.0282720961</v>
      </c>
      <c r="E35" s="6">
        <f>'Texas pop'!E131</f>
        <v>806802.74927521229</v>
      </c>
      <c r="F35" s="47">
        <f t="shared" si="23"/>
        <v>11.211095993331966</v>
      </c>
      <c r="G35" s="47">
        <f t="shared" si="0"/>
        <v>465.04070128085766</v>
      </c>
      <c r="H35" s="6">
        <f t="shared" si="30"/>
        <v>418536.63115277194</v>
      </c>
      <c r="I35" s="9">
        <f t="shared" si="24"/>
        <v>92467.395254682182</v>
      </c>
      <c r="J35" s="47">
        <f t="shared" si="1"/>
        <v>155333.73331795662</v>
      </c>
      <c r="K35" s="9">
        <f t="shared" si="27"/>
        <v>66422.776342300684</v>
      </c>
      <c r="L35" s="9">
        <f t="shared" si="25"/>
        <v>999.99999999999989</v>
      </c>
      <c r="M35" s="9">
        <f>'Plastics CCUS_RMTO'!M35</f>
        <v>1214.0175570165813</v>
      </c>
      <c r="N35" s="9">
        <f>'Plastics CCUS_RMTP'!M35</f>
        <v>1271.1711948177858</v>
      </c>
      <c r="O35" s="9">
        <f>'Plastics CCUS_ROCM'!M35</f>
        <v>1253.5490467599011</v>
      </c>
      <c r="P35" s="13">
        <v>5.4</v>
      </c>
      <c r="Q35" s="9">
        <f t="shared" si="28"/>
        <v>999.99999999999989</v>
      </c>
      <c r="R35" s="41">
        <f t="shared" si="29"/>
        <v>1373.9038163325197</v>
      </c>
      <c r="S35" s="9">
        <f>'Plastics CCUS_RMTO'!Q35</f>
        <v>1.2140175570165814</v>
      </c>
      <c r="T35" s="9">
        <f>'Plastics CCUS_RMTP'!Q35</f>
        <v>1.271171194817786</v>
      </c>
      <c r="U35" s="9">
        <f>'Plastics CCUS_ROCM'!Q35</f>
        <v>1.2535490467599013</v>
      </c>
      <c r="V35">
        <f t="shared" si="2"/>
        <v>11.43111322261773</v>
      </c>
      <c r="W35">
        <f t="shared" si="3"/>
        <v>10.679066300077087</v>
      </c>
      <c r="X35">
        <f t="shared" si="4"/>
        <v>16.093804142369699</v>
      </c>
      <c r="Y35">
        <f t="shared" si="5"/>
        <v>1.0528656915568961</v>
      </c>
      <c r="Z35">
        <f t="shared" si="6"/>
        <v>1.0528656915568961</v>
      </c>
      <c r="AA35">
        <f t="shared" si="7"/>
        <v>2.1057313831137923</v>
      </c>
      <c r="AB35">
        <f t="shared" si="8"/>
        <v>2.1057313831137923</v>
      </c>
      <c r="AC35">
        <f t="shared" si="9"/>
        <v>2.1057313831137923</v>
      </c>
      <c r="AD35">
        <f t="shared" si="10"/>
        <v>1.6545032295894084</v>
      </c>
      <c r="AE35">
        <f t="shared" si="11"/>
        <v>10.528656915568959</v>
      </c>
      <c r="AF35">
        <f t="shared" si="12"/>
        <v>5.2643284577844804</v>
      </c>
      <c r="AG35">
        <f t="shared" si="13"/>
        <v>2.5569595366381765</v>
      </c>
      <c r="AH35">
        <f t="shared" si="14"/>
        <v>27.224098595971171</v>
      </c>
      <c r="AI35">
        <f t="shared" si="15"/>
        <v>18.349944909991617</v>
      </c>
      <c r="AJ35">
        <f t="shared" si="16"/>
        <v>17.447488602942851</v>
      </c>
      <c r="AK35">
        <f t="shared" si="17"/>
        <v>20.756495062121672</v>
      </c>
      <c r="AL35">
        <f t="shared" si="26"/>
        <v>150.40938450812803</v>
      </c>
      <c r="AM35" s="9">
        <f t="shared" si="18"/>
        <v>6020678.6746386047</v>
      </c>
      <c r="AN35" s="9">
        <f t="shared" si="19"/>
        <v>170.50562006576524</v>
      </c>
      <c r="AO35" s="9">
        <f t="shared" si="20"/>
        <v>431.69522806170858</v>
      </c>
      <c r="AP35" s="9">
        <f t="shared" si="21"/>
        <v>68.634024196797014</v>
      </c>
      <c r="AQ35" s="9">
        <f t="shared" si="22"/>
        <v>287.44140277399441</v>
      </c>
    </row>
    <row r="36" spans="1:43" x14ac:dyDescent="0.25">
      <c r="A36" s="6">
        <f>'Texas pop'!A132</f>
        <v>2048</v>
      </c>
      <c r="B36" s="6">
        <f>'Texas pop'!B132</f>
        <v>38777240.357142925</v>
      </c>
      <c r="C36" s="6">
        <f>'Texas pop'!C132</f>
        <v>10857877.552029639</v>
      </c>
      <c r="D36" s="6">
        <f>'Texas pop'!D132</f>
        <v>9815627.2136301361</v>
      </c>
      <c r="E36" s="6">
        <f>'Texas pop'!E132</f>
        <v>839074.85924622079</v>
      </c>
      <c r="F36" s="47">
        <f t="shared" si="23"/>
        <v>11.659539833065244</v>
      </c>
      <c r="G36" s="47">
        <f t="shared" si="0"/>
        <v>483.64232933209195</v>
      </c>
      <c r="H36" s="6">
        <f t="shared" si="30"/>
        <v>435278.0963988828</v>
      </c>
      <c r="I36" s="9">
        <f t="shared" si="24"/>
        <v>96166.091064869455</v>
      </c>
      <c r="J36" s="47">
        <f t="shared" si="1"/>
        <v>161547.08265067489</v>
      </c>
      <c r="K36" s="9">
        <f t="shared" si="27"/>
        <v>69079.687395992703</v>
      </c>
      <c r="L36" s="9">
        <f t="shared" si="25"/>
        <v>1003.7037037037036</v>
      </c>
      <c r="M36" s="9">
        <f>'Plastics CCUS_RMTO'!M36</f>
        <v>1207.7372679419591</v>
      </c>
      <c r="N36" s="9">
        <f>'Plastics CCUS_RMTP'!M36</f>
        <v>1265.1364336576682</v>
      </c>
      <c r="O36" s="9">
        <f>'Plastics CCUS_ROCM'!M36</f>
        <v>1250.0327580522435</v>
      </c>
      <c r="P36" s="13">
        <v>5.42</v>
      </c>
      <c r="Q36" s="9">
        <f t="shared" si="28"/>
        <v>1003.7037037037036</v>
      </c>
      <c r="R36" s="41">
        <f t="shared" si="29"/>
        <v>1360.1647781691945</v>
      </c>
      <c r="S36" s="9">
        <f>'Plastics CCUS_RMTO'!Q36</f>
        <v>1.2032806728573027</v>
      </c>
      <c r="T36" s="9">
        <f>'Plastics CCUS_RMTP'!Q36</f>
        <v>1.2604680335334704</v>
      </c>
      <c r="U36" s="9">
        <f>'Plastics CCUS_ROCM'!Q36</f>
        <v>1.2454200910483608</v>
      </c>
      <c r="V36">
        <f t="shared" si="2"/>
        <v>11.888357751522438</v>
      </c>
      <c r="W36">
        <f t="shared" si="3"/>
        <v>11.106228952080171</v>
      </c>
      <c r="X36">
        <f t="shared" si="4"/>
        <v>16.737556308064487</v>
      </c>
      <c r="Y36">
        <f t="shared" si="5"/>
        <v>1.094980319219172</v>
      </c>
      <c r="Z36">
        <f t="shared" si="6"/>
        <v>1.094980319219172</v>
      </c>
      <c r="AA36">
        <f t="shared" si="7"/>
        <v>2.1899606384383437</v>
      </c>
      <c r="AB36">
        <f t="shared" si="8"/>
        <v>2.1899606384383437</v>
      </c>
      <c r="AC36">
        <f t="shared" si="9"/>
        <v>2.1899606384383437</v>
      </c>
      <c r="AD36">
        <f t="shared" si="10"/>
        <v>1.7206833587729848</v>
      </c>
      <c r="AE36">
        <f t="shared" si="11"/>
        <v>10.949803192191718</v>
      </c>
      <c r="AF36">
        <f t="shared" si="12"/>
        <v>5.4749015960958598</v>
      </c>
      <c r="AG36">
        <f t="shared" si="13"/>
        <v>2.6592379181037038</v>
      </c>
      <c r="AH36">
        <f t="shared" si="14"/>
        <v>28.313062539810019</v>
      </c>
      <c r="AI36">
        <f t="shared" si="15"/>
        <v>19.083942706391284</v>
      </c>
      <c r="AJ36">
        <f t="shared" si="16"/>
        <v>18.145388147060565</v>
      </c>
      <c r="AK36">
        <f t="shared" si="17"/>
        <v>21.586754864606537</v>
      </c>
      <c r="AL36">
        <f t="shared" si="26"/>
        <v>156.42575988845314</v>
      </c>
      <c r="AM36" s="9">
        <f t="shared" si="18"/>
        <v>6261505.8216241486</v>
      </c>
      <c r="AN36" s="9">
        <f t="shared" si="19"/>
        <v>177.32584486839585</v>
      </c>
      <c r="AO36" s="9">
        <f t="shared" si="20"/>
        <v>448.96303718417698</v>
      </c>
      <c r="AP36" s="9">
        <f t="shared" si="21"/>
        <v>71.379385164668903</v>
      </c>
      <c r="AQ36" s="9">
        <f t="shared" si="22"/>
        <v>298.93905888495414</v>
      </c>
    </row>
    <row r="37" spans="1:43" x14ac:dyDescent="0.25">
      <c r="A37" s="6">
        <f>'Texas pop'!A133</f>
        <v>2049</v>
      </c>
      <c r="B37" s="6">
        <f>'Texas pop'!B133</f>
        <v>39116173.000000119</v>
      </c>
      <c r="C37" s="6">
        <f>'Texas pop'!C133</f>
        <v>11696952.41127586</v>
      </c>
      <c r="D37" s="6">
        <f>'Texas pop'!D133</f>
        <v>10431442.018732436</v>
      </c>
      <c r="E37" s="6">
        <f>'Texas pop'!E133</f>
        <v>872637.85361606954</v>
      </c>
      <c r="F37" s="47">
        <f t="shared" si="23"/>
        <v>12.125921426387851</v>
      </c>
      <c r="G37" s="47">
        <f t="shared" si="0"/>
        <v>502.98802250537562</v>
      </c>
      <c r="H37" s="6">
        <f t="shared" si="30"/>
        <v>452689.22025483812</v>
      </c>
      <c r="I37" s="9">
        <f t="shared" si="24"/>
        <v>100012.73470746423</v>
      </c>
      <c r="J37" s="47">
        <f t="shared" si="1"/>
        <v>168008.96595670187</v>
      </c>
      <c r="K37" s="9">
        <f t="shared" si="27"/>
        <v>71842.874891832413</v>
      </c>
      <c r="L37" s="9">
        <f t="shared" si="25"/>
        <v>983.33333333333314</v>
      </c>
      <c r="M37" s="9">
        <f>'Plastics CCUS_RMTO'!M37</f>
        <v>1191.2412240942783</v>
      </c>
      <c r="N37" s="9">
        <f>'Plastics CCUS_RMTP'!M37</f>
        <v>1247.4502875106355</v>
      </c>
      <c r="O37" s="9">
        <f>'Plastics CCUS_ROCM'!M37</f>
        <v>1230.7314648203057</v>
      </c>
      <c r="P37" s="13">
        <v>5.31</v>
      </c>
      <c r="Q37" s="9">
        <f t="shared" si="28"/>
        <v>983.33333333333314</v>
      </c>
      <c r="R37" s="41">
        <f t="shared" si="29"/>
        <v>1346.5631303875025</v>
      </c>
      <c r="S37" s="9">
        <f>'Plastics CCUS_RMTO'!Q37</f>
        <v>1.2114317533162156</v>
      </c>
      <c r="T37" s="9">
        <f>'Plastics CCUS_RMTP'!Q37</f>
        <v>1.2685935127226804</v>
      </c>
      <c r="U37" s="9">
        <f>'Plastics CCUS_ROCM'!Q37</f>
        <v>1.2515913201562434</v>
      </c>
      <c r="V37">
        <f t="shared" si="2"/>
        <v>12.363892061583336</v>
      </c>
      <c r="W37">
        <f t="shared" si="3"/>
        <v>11.550478110163377</v>
      </c>
      <c r="X37">
        <f t="shared" si="4"/>
        <v>17.407058560387064</v>
      </c>
      <c r="Y37">
        <f t="shared" si="5"/>
        <v>1.1387795319879388</v>
      </c>
      <c r="Z37">
        <f t="shared" si="6"/>
        <v>1.1387795319879388</v>
      </c>
      <c r="AA37">
        <f t="shared" si="7"/>
        <v>2.2775590639758772</v>
      </c>
      <c r="AB37">
        <f t="shared" si="8"/>
        <v>2.2775590639758772</v>
      </c>
      <c r="AC37">
        <f t="shared" si="9"/>
        <v>2.2775590639758772</v>
      </c>
      <c r="AD37">
        <f t="shared" si="10"/>
        <v>1.789510693123904</v>
      </c>
      <c r="AE37">
        <f t="shared" si="11"/>
        <v>11.387795319879384</v>
      </c>
      <c r="AF37">
        <f t="shared" si="12"/>
        <v>5.6938976599396929</v>
      </c>
      <c r="AG37">
        <f t="shared" si="13"/>
        <v>2.7656074348278517</v>
      </c>
      <c r="AH37">
        <f t="shared" si="14"/>
        <v>29.445585041402417</v>
      </c>
      <c r="AI37">
        <f t="shared" si="15"/>
        <v>19.847300414646934</v>
      </c>
      <c r="AJ37">
        <f t="shared" si="16"/>
        <v>18.871203672942986</v>
      </c>
      <c r="AK37">
        <f t="shared" si="17"/>
        <v>22.450225059190799</v>
      </c>
      <c r="AL37">
        <f t="shared" si="26"/>
        <v>162.68279028399127</v>
      </c>
      <c r="AM37" s="9">
        <f t="shared" si="18"/>
        <v>6511966.0544891143</v>
      </c>
      <c r="AN37" s="9">
        <f t="shared" si="19"/>
        <v>184.41887866313166</v>
      </c>
      <c r="AO37" s="9">
        <f t="shared" si="20"/>
        <v>466.92155867154401</v>
      </c>
      <c r="AP37" s="9">
        <f t="shared" si="21"/>
        <v>74.234560571255642</v>
      </c>
      <c r="AQ37" s="9">
        <f t="shared" si="22"/>
        <v>310.89662124035226</v>
      </c>
    </row>
    <row r="38" spans="1:43" x14ac:dyDescent="0.25">
      <c r="A38" s="6">
        <f>'Texas pop'!A134</f>
        <v>2050</v>
      </c>
      <c r="B38" s="6">
        <f>'Texas pop'!B134</f>
        <v>39455105.642857194</v>
      </c>
      <c r="C38" s="6">
        <f>'Texas pop'!C134</f>
        <v>12569590.26489193</v>
      </c>
      <c r="D38" s="6">
        <f>'Texas pop'!D134</f>
        <v>11045098.209541559</v>
      </c>
      <c r="E38" s="6">
        <f>'Texas pop'!E134</f>
        <v>907543.3677607124</v>
      </c>
      <c r="F38" s="47">
        <f t="shared" si="23"/>
        <v>12.610958283443367</v>
      </c>
      <c r="G38" s="47">
        <f t="shared" si="0"/>
        <v>523.10754340559072</v>
      </c>
      <c r="H38" s="6">
        <f t="shared" si="30"/>
        <v>470796.78906503163</v>
      </c>
      <c r="I38" s="9">
        <f t="shared" si="24"/>
        <v>104013.2440957628</v>
      </c>
      <c r="J38" s="47">
        <f t="shared" si="1"/>
        <v>174729.32459496995</v>
      </c>
      <c r="K38" s="9">
        <f t="shared" si="27"/>
        <v>74716.589887505717</v>
      </c>
      <c r="L38" s="9">
        <f t="shared" si="25"/>
        <v>999.99999999999989</v>
      </c>
      <c r="M38" s="9">
        <f>'Plastics CCUS_RMTO'!M38</f>
        <v>1190.6605653332313</v>
      </c>
      <c r="N38" s="9">
        <f>'Plastics CCUS_RMTP'!M38</f>
        <v>1247.8875637946023</v>
      </c>
      <c r="O38" s="9">
        <f>'Plastics CCUS_ROCM'!M38</f>
        <v>1235.8653362781517</v>
      </c>
      <c r="P38" s="13">
        <v>5.4</v>
      </c>
      <c r="Q38" s="9">
        <f>$H$50/2.7*P38</f>
        <v>999.99999999999989</v>
      </c>
      <c r="R38" s="41">
        <f t="shared" si="29"/>
        <v>1333.0974990836276</v>
      </c>
      <c r="S38" s="9">
        <f>'Plastics CCUS_RMTO'!Q38</f>
        <v>1.1906605653332314</v>
      </c>
      <c r="T38" s="9">
        <f>'Plastics CCUS_RMTP'!Q38</f>
        <v>1.2478875637946025</v>
      </c>
      <c r="U38" s="9">
        <f>'Plastics CCUS_ROCM'!Q38</f>
        <v>1.235865336278152</v>
      </c>
      <c r="V38">
        <f t="shared" si="2"/>
        <v>12.85844774404667</v>
      </c>
      <c r="W38">
        <f t="shared" si="3"/>
        <v>12.012497234569915</v>
      </c>
      <c r="X38">
        <f t="shared" si="4"/>
        <v>18.10334090280255</v>
      </c>
      <c r="Y38">
        <f t="shared" si="5"/>
        <v>1.1843307132674565</v>
      </c>
      <c r="Z38">
        <f t="shared" si="6"/>
        <v>1.1843307132674565</v>
      </c>
      <c r="AA38">
        <f t="shared" si="7"/>
        <v>2.3686614265349126</v>
      </c>
      <c r="AB38">
        <f t="shared" si="8"/>
        <v>2.3686614265349126</v>
      </c>
      <c r="AC38">
        <f t="shared" si="9"/>
        <v>2.3686614265349126</v>
      </c>
      <c r="AD38">
        <f t="shared" si="10"/>
        <v>1.8610911208488603</v>
      </c>
      <c r="AE38">
        <f t="shared" si="11"/>
        <v>11.843307132674562</v>
      </c>
      <c r="AF38">
        <f t="shared" si="12"/>
        <v>5.921653566337282</v>
      </c>
      <c r="AG38">
        <f t="shared" si="13"/>
        <v>2.8762317322209658</v>
      </c>
      <c r="AH38">
        <f t="shared" si="14"/>
        <v>30.623408443058516</v>
      </c>
      <c r="AI38">
        <f t="shared" si="15"/>
        <v>20.641192431232813</v>
      </c>
      <c r="AJ38">
        <f t="shared" si="16"/>
        <v>19.626051819860709</v>
      </c>
      <c r="AK38">
        <f t="shared" si="17"/>
        <v>23.348234061558433</v>
      </c>
      <c r="AL38">
        <f t="shared" si="26"/>
        <v>169.19010189535095</v>
      </c>
      <c r="AM38" s="9">
        <f t="shared" si="18"/>
        <v>6772444.6966686798</v>
      </c>
      <c r="AN38" s="9">
        <f t="shared" si="19"/>
        <v>191.79563380965692</v>
      </c>
      <c r="AO38" s="9">
        <f t="shared" si="20"/>
        <v>485.59842101840576</v>
      </c>
      <c r="AP38" s="9">
        <f t="shared" si="21"/>
        <v>77.203942994105873</v>
      </c>
      <c r="AQ38" s="9">
        <f t="shared" si="22"/>
        <v>323.33248608996644</v>
      </c>
    </row>
    <row r="39" spans="1:43" x14ac:dyDescent="0.25">
      <c r="A39">
        <f>'Texas pop'!A135</f>
        <v>0</v>
      </c>
      <c r="B39">
        <f>'Texas pop'!B135</f>
        <v>0</v>
      </c>
      <c r="C39">
        <f>'Texas pop'!C135</f>
        <v>11036698.209541559</v>
      </c>
      <c r="D39">
        <f>'Texas pop'!D135</f>
        <v>12577990.26489193</v>
      </c>
      <c r="E39" s="91">
        <f>'Texas pop'!E135</f>
        <v>12569590.26489193</v>
      </c>
      <c r="F39" s="47">
        <f t="shared" si="23"/>
        <v>174.66336497136163</v>
      </c>
      <c r="G39" s="47">
        <f t="shared" si="0"/>
        <v>7245.1055438885751</v>
      </c>
      <c r="H39" s="91"/>
      <c r="I39" s="91"/>
      <c r="J39">
        <f>$E39*I$2</f>
        <v>178091125.25827596</v>
      </c>
      <c r="K39">
        <f>$E39*J$2</f>
        <v>166374603.85970515</v>
      </c>
      <c r="M39">
        <f>$E39*K$2</f>
        <v>250733557.92941481</v>
      </c>
      <c r="N39">
        <f>$E39*L$2</f>
        <v>16403129.957999101</v>
      </c>
      <c r="O39">
        <f>$E39*M$2</f>
        <v>16403129.957999101</v>
      </c>
      <c r="Q39">
        <f>$E39*P$2</f>
        <v>32806259.915998194</v>
      </c>
      <c r="R39">
        <f>$E39*R$2</f>
        <v>32806259.915998194</v>
      </c>
      <c r="S39">
        <f>$E39*S$2</f>
        <v>32806259.915998194</v>
      </c>
      <c r="V39">
        <f t="shared" ref="V39:AC39" si="31">$E39*V$2</f>
        <v>25776347.076855734</v>
      </c>
      <c r="W39">
        <f t="shared" si="31"/>
        <v>164031299.57999095</v>
      </c>
      <c r="X39">
        <f t="shared" si="31"/>
        <v>82015649.789995492</v>
      </c>
      <c r="Y39">
        <f t="shared" si="31"/>
        <v>39836172.755140677</v>
      </c>
      <c r="Z39">
        <f t="shared" si="31"/>
        <v>424138074.62826246</v>
      </c>
      <c r="AA39">
        <f t="shared" si="31"/>
        <v>285883122.1251272</v>
      </c>
      <c r="AB39">
        <f t="shared" si="31"/>
        <v>271823296.44684225</v>
      </c>
      <c r="AC39">
        <f t="shared" si="31"/>
        <v>323375990.60055375</v>
      </c>
    </row>
    <row r="40" spans="1:43" x14ac:dyDescent="0.25">
      <c r="A40">
        <f>'Texas pop'!A136</f>
        <v>0</v>
      </c>
      <c r="B40">
        <f>'Texas pop'!B136</f>
        <v>13427775.03937426</v>
      </c>
      <c r="C40">
        <f>'Texas pop'!C136</f>
        <v>0</v>
      </c>
      <c r="D40">
        <f>'Texas pop'!D136</f>
        <v>0</v>
      </c>
      <c r="E40">
        <f>'Texas pop'!E136</f>
        <v>0</v>
      </c>
      <c r="K40" s="38" t="s">
        <v>212</v>
      </c>
    </row>
    <row r="41" spans="1:43" x14ac:dyDescent="0.25">
      <c r="B41" s="1">
        <v>2029</v>
      </c>
      <c r="C41" s="1" t="s">
        <v>186</v>
      </c>
      <c r="D41" s="1">
        <f>576.3995*0.9</f>
        <v>518.75954999999999</v>
      </c>
      <c r="E41">
        <f>E17*D41/1000</f>
        <v>115818.28522067577</v>
      </c>
      <c r="K41" s="38" t="s">
        <v>214</v>
      </c>
    </row>
    <row r="42" spans="1:43" x14ac:dyDescent="0.25">
      <c r="C42" s="108" t="s">
        <v>187</v>
      </c>
      <c r="D42" s="108">
        <v>4.3</v>
      </c>
      <c r="E42" s="11">
        <f>E41/7.2</f>
        <v>16085.872947316078</v>
      </c>
      <c r="F42" t="s">
        <v>188</v>
      </c>
    </row>
    <row r="43" spans="1:43" x14ac:dyDescent="0.25">
      <c r="C43" t="s">
        <v>190</v>
      </c>
      <c r="D43">
        <v>0.95</v>
      </c>
      <c r="E43" s="11">
        <f>E42*D43</f>
        <v>15281.579299950274</v>
      </c>
      <c r="F43" t="s">
        <v>189</v>
      </c>
      <c r="I43" s="100" t="s">
        <v>218</v>
      </c>
    </row>
    <row r="44" spans="1:43" x14ac:dyDescent="0.25">
      <c r="B44" t="s">
        <v>191</v>
      </c>
      <c r="D44">
        <v>8.09</v>
      </c>
      <c r="E44" s="46">
        <f>E17*D44/1000</f>
        <v>1806.1738380243157</v>
      </c>
      <c r="F44" t="s">
        <v>192</v>
      </c>
      <c r="I44" s="100">
        <v>2021</v>
      </c>
      <c r="J44" s="99">
        <v>710</v>
      </c>
      <c r="K44" s="38" t="s">
        <v>219</v>
      </c>
    </row>
    <row r="45" spans="1:43" x14ac:dyDescent="0.25">
      <c r="B45" t="s">
        <v>193</v>
      </c>
      <c r="D45">
        <v>192.53</v>
      </c>
      <c r="E45" s="46">
        <f>D45*E18/1000</f>
        <v>49861.739540221621</v>
      </c>
      <c r="F45" t="s">
        <v>194</v>
      </c>
      <c r="J45" s="102">
        <f>J51*J44</f>
        <v>1054.7407345378406</v>
      </c>
      <c r="L45" s="104">
        <v>45717</v>
      </c>
      <c r="M45" s="101"/>
    </row>
    <row r="46" spans="1:43" x14ac:dyDescent="0.25">
      <c r="A46" s="106" t="s">
        <v>225</v>
      </c>
      <c r="B46" s="1" t="s">
        <v>224</v>
      </c>
      <c r="C46" s="1">
        <v>72.174251876015134</v>
      </c>
      <c r="I46" t="s">
        <v>220</v>
      </c>
      <c r="L46" s="98">
        <f>L45-J44+J45</f>
        <v>46061.740734537838</v>
      </c>
      <c r="M46" s="105">
        <f>L46/L45-1</f>
        <v>7.5407558356375137E-3</v>
      </c>
      <c r="N46" s="100" t="s">
        <v>222</v>
      </c>
    </row>
    <row r="47" spans="1:43" x14ac:dyDescent="0.25">
      <c r="D47" t="s">
        <v>198</v>
      </c>
      <c r="N47" s="38" t="s">
        <v>221</v>
      </c>
    </row>
    <row r="48" spans="1:43" x14ac:dyDescent="0.25">
      <c r="D48" t="s">
        <v>195</v>
      </c>
      <c r="F48" t="s">
        <v>196</v>
      </c>
      <c r="H48" t="s">
        <v>197</v>
      </c>
      <c r="J48" t="s">
        <v>200</v>
      </c>
    </row>
    <row r="49" spans="1:12" x14ac:dyDescent="0.25">
      <c r="D49" s="95">
        <f>E43</f>
        <v>15281.579299950274</v>
      </c>
      <c r="E49" s="95"/>
      <c r="F49" s="95">
        <f>E45</f>
        <v>49861.739540221621</v>
      </c>
      <c r="G49" s="95"/>
      <c r="H49" s="96">
        <f>F49-D49</f>
        <v>34580.160240271347</v>
      </c>
    </row>
    <row r="50" spans="1:12" x14ac:dyDescent="0.25">
      <c r="B50" s="115" t="s">
        <v>199</v>
      </c>
      <c r="C50" s="115"/>
      <c r="D50" s="107">
        <v>1764.5098914</v>
      </c>
      <c r="E50" s="91"/>
      <c r="F50" s="91"/>
      <c r="G50" s="91"/>
      <c r="H50" s="6">
        <v>500</v>
      </c>
      <c r="J50" s="19">
        <f>D49/$F$49*D50+H49/$F$49*H50</f>
        <v>887.54580885435985</v>
      </c>
    </row>
    <row r="51" spans="1:12" x14ac:dyDescent="0.25">
      <c r="J51" s="93">
        <f>'Plastics CCUS_ROCM'!Q13</f>
        <v>1.4855503303349866</v>
      </c>
    </row>
    <row r="52" spans="1:12" ht="45" x14ac:dyDescent="0.25">
      <c r="E52" s="111" t="s">
        <v>120</v>
      </c>
      <c r="F52" s="112" t="s">
        <v>232</v>
      </c>
      <c r="G52" s="112" t="s">
        <v>233</v>
      </c>
      <c r="H52" s="112" t="s">
        <v>229</v>
      </c>
      <c r="I52" s="112" t="s">
        <v>230</v>
      </c>
      <c r="J52" s="112" t="s">
        <v>231</v>
      </c>
      <c r="K52" s="92">
        <v>2.0632836303879314</v>
      </c>
      <c r="L52" t="s">
        <v>201</v>
      </c>
    </row>
    <row r="53" spans="1:12" x14ac:dyDescent="0.25">
      <c r="E53" s="10" t="s">
        <v>227</v>
      </c>
      <c r="F53" s="113">
        <f>'Plastics CCUS_RMTO'!Q13</f>
        <v>1.5329537133250417</v>
      </c>
      <c r="G53" s="113">
        <f>'Plastics CCUS_ROCM'!M13</f>
        <v>1248.9626851334885</v>
      </c>
      <c r="H53" s="114">
        <f>'Plastics CCUS_RMTO'!M46</f>
        <v>8.2769459164158121E-3</v>
      </c>
      <c r="I53" s="113">
        <f>'Plastics CCUS_RMTO'!Q38</f>
        <v>1.1906605653332314</v>
      </c>
      <c r="J53" s="113">
        <f>'Plastics CCUS_RMTO'!M38</f>
        <v>1190.6605653332313</v>
      </c>
      <c r="K53" s="92">
        <v>1.8506269043103447</v>
      </c>
      <c r="L53" t="s">
        <v>202</v>
      </c>
    </row>
    <row r="54" spans="1:12" x14ac:dyDescent="0.25">
      <c r="E54" s="10" t="s">
        <v>228</v>
      </c>
      <c r="F54" s="113">
        <f>'Plastics CCUS_RMTP'!Q13</f>
        <v>1.5831236397336581</v>
      </c>
      <c r="G54" s="113">
        <f>'Plastics CCUS_RMTP'!M13</f>
        <v>1330.9965415538531</v>
      </c>
      <c r="H54" s="114">
        <f>'Plastics CCUS_RMTP'!M46</f>
        <v>9.0561013235972432E-3</v>
      </c>
      <c r="I54" s="113">
        <f>'Plastics CCUS_RMTP'!Q38</f>
        <v>1.2478875637946025</v>
      </c>
      <c r="J54" s="113">
        <f>'Plastics CCUS_RMTP'!M38</f>
        <v>1247.8875637946023</v>
      </c>
      <c r="K54" s="92">
        <v>1.6379701782327589</v>
      </c>
      <c r="L54" t="s">
        <v>203</v>
      </c>
    </row>
    <row r="55" spans="1:12" x14ac:dyDescent="0.25">
      <c r="E55" s="10" t="s">
        <v>187</v>
      </c>
      <c r="F55" s="113">
        <f>'Plastics CCUS_ROCM'!Q13</f>
        <v>1.4855503303349866</v>
      </c>
      <c r="G55" s="113">
        <f>'Plastics CCUS_ROCM'!M13</f>
        <v>1248.9626851334885</v>
      </c>
      <c r="H55" s="114">
        <f>'Plastics CCUS_ROCM'!M46</f>
        <v>7.5407558356375137E-3</v>
      </c>
      <c r="I55" s="113">
        <f>'Plastics CCUS_ROCM'!Q38</f>
        <v>1.235865336278152</v>
      </c>
      <c r="J55" s="113">
        <f>'Plastics CCUS_ROCM'!M38</f>
        <v>1235.8653362781517</v>
      </c>
      <c r="K55" s="94">
        <v>1.4253134521551725</v>
      </c>
      <c r="L55" t="s">
        <v>204</v>
      </c>
    </row>
    <row r="56" spans="1:12" x14ac:dyDescent="0.25">
      <c r="K56" s="94">
        <v>1.2126567260775862</v>
      </c>
      <c r="L56" t="s">
        <v>204</v>
      </c>
    </row>
    <row r="57" spans="1:12" x14ac:dyDescent="0.25">
      <c r="K57">
        <v>1</v>
      </c>
      <c r="L57" t="s">
        <v>205</v>
      </c>
    </row>
    <row r="58" spans="1:12" x14ac:dyDescent="0.25">
      <c r="A58" s="38" t="s">
        <v>235</v>
      </c>
    </row>
    <row r="59" spans="1:12" x14ac:dyDescent="0.25">
      <c r="A59" t="s">
        <v>234</v>
      </c>
    </row>
  </sheetData>
  <mergeCells count="1">
    <mergeCell ref="B50:C50"/>
  </mergeCells>
  <hyperlinks>
    <hyperlink ref="K40" r:id="rId1" xr:uid="{1563C7B5-EF17-4FF3-BBBD-1CC70CDF85AD}"/>
    <hyperlink ref="K41" r:id="rId2" xr:uid="{11716D05-CBC0-4B92-9369-12962869059A}"/>
    <hyperlink ref="K44" r:id="rId3" xr:uid="{B7CA746E-E779-491A-A977-8C687646BE33}"/>
    <hyperlink ref="N47" r:id="rId4" location=":~:text=As%20auto%20prices%20soar%20across,costs%20almost%20%2430%2C000%20(%2429%2C969%20)." xr:uid="{27B81C65-6038-4F16-AD7B-654A4D3219B5}"/>
    <hyperlink ref="A58" r:id="rId5" display="https://www.iea.org/reports/carbon-capture-utilisation-and-storage-2" xr:uid="{F10BF8C4-6B2F-438F-9D1B-A733EC8F9876}"/>
  </hyperlinks>
  <pageMargins left="0.7" right="0.7" top="0.75" bottom="0.75" header="0.3" footer="0.3"/>
  <ignoredErrors>
    <ignoredError sqref="G54" formula="1"/>
  </ignoredErrors>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B1115-418F-4673-80EE-0466CDACAD32}">
  <dimension ref="A1:AP57"/>
  <sheetViews>
    <sheetView topLeftCell="A2" zoomScale="58" zoomScaleNormal="75" workbookViewId="0">
      <selection activeCell="J52" sqref="J52"/>
    </sheetView>
  </sheetViews>
  <sheetFormatPr defaultColWidth="11.42578125" defaultRowHeight="15" x14ac:dyDescent="0.25"/>
  <cols>
    <col min="5" max="5" width="24.85546875" customWidth="1"/>
    <col min="6" max="6" width="12.5703125" bestFit="1" customWidth="1"/>
    <col min="8" max="9" width="13.28515625" customWidth="1"/>
    <col min="10" max="10" width="15.140625" customWidth="1"/>
    <col min="13" max="13" width="13.85546875" customWidth="1"/>
    <col min="24" max="24" width="16.28515625" customWidth="1"/>
    <col min="25" max="25" width="11.5703125" customWidth="1"/>
    <col min="26" max="26" width="14.42578125" customWidth="1"/>
  </cols>
  <sheetData>
    <row r="1" spans="1:42" ht="50.45" customHeight="1" x14ac:dyDescent="0.25">
      <c r="W1" s="86" t="s">
        <v>175</v>
      </c>
      <c r="X1" s="86" t="s">
        <v>184</v>
      </c>
      <c r="Y1" s="86" t="s">
        <v>176</v>
      </c>
      <c r="Z1" s="86" t="s">
        <v>185</v>
      </c>
      <c r="AA1" s="86" t="s">
        <v>177</v>
      </c>
      <c r="AC1" s="86" t="s">
        <v>180</v>
      </c>
    </row>
    <row r="2" spans="1:42" x14ac:dyDescent="0.25">
      <c r="E2" t="s">
        <v>171</v>
      </c>
      <c r="I2">
        <v>14.168411340797761</v>
      </c>
      <c r="J2">
        <v>13.236279015745275</v>
      </c>
      <c r="K2">
        <v>19.947631756123162</v>
      </c>
      <c r="L2">
        <v>1.304985255073478</v>
      </c>
      <c r="M2">
        <v>1.304985255073478</v>
      </c>
      <c r="N2">
        <v>2.6099705101469555</v>
      </c>
      <c r="P2">
        <v>2.6099705101469555</v>
      </c>
      <c r="Q2">
        <v>2.6099705101469555</v>
      </c>
      <c r="R2">
        <v>2.0506911151154656</v>
      </c>
      <c r="S2">
        <v>13.049852550734776</v>
      </c>
      <c r="T2">
        <v>6.5249262753673891</v>
      </c>
      <c r="U2">
        <v>3.1692499051784466</v>
      </c>
      <c r="V2">
        <v>33.743190166899929</v>
      </c>
      <c r="W2">
        <v>22.744028731280615</v>
      </c>
      <c r="X2">
        <v>21.625469941217634</v>
      </c>
      <c r="Y2">
        <v>25.72685217144857</v>
      </c>
      <c r="AA2">
        <v>7.4623923629998226</v>
      </c>
      <c r="AB2" s="9">
        <f>28.32*7.46239236299982</f>
        <v>211.33495172015489</v>
      </c>
      <c r="AC2">
        <v>22.472902571142505</v>
      </c>
      <c r="AD2">
        <f>0.00378541*22.4729025711425</f>
        <v>8.506915012182853E-2</v>
      </c>
      <c r="AE2">
        <v>356.27221527469521</v>
      </c>
      <c r="AG2" s="87">
        <v>2636.4</v>
      </c>
      <c r="AH2" s="6">
        <v>50000</v>
      </c>
    </row>
    <row r="3" spans="1:42" x14ac:dyDescent="0.25">
      <c r="A3" s="84" t="str">
        <f>'Texas pop'!A99</f>
        <v>Year</v>
      </c>
      <c r="B3" s="6" t="str">
        <f>'Texas pop'!B99</f>
        <v>Population</v>
      </c>
      <c r="C3" s="6" t="str">
        <f>'Texas pop'!C99</f>
        <v>EVs</v>
      </c>
      <c r="D3" s="6" t="str">
        <f>'Texas pop'!D99</f>
        <v>EVs w retirement</v>
      </c>
      <c r="E3" s="84" t="str">
        <f>'Texas pop'!E99</f>
        <v xml:space="preserve"> Sales Difference/New cars</v>
      </c>
      <c r="F3" t="s">
        <v>226</v>
      </c>
      <c r="G3" t="s">
        <v>223</v>
      </c>
      <c r="H3" t="s">
        <v>206</v>
      </c>
      <c r="I3" t="s">
        <v>210</v>
      </c>
      <c r="J3" t="s">
        <v>207</v>
      </c>
      <c r="K3" t="s">
        <v>208</v>
      </c>
      <c r="L3" t="s">
        <v>215</v>
      </c>
      <c r="M3" t="s">
        <v>209</v>
      </c>
      <c r="N3" t="s">
        <v>213</v>
      </c>
      <c r="O3" t="s">
        <v>216</v>
      </c>
      <c r="P3" s="84" t="s">
        <v>211</v>
      </c>
      <c r="Q3" s="84" t="s">
        <v>217</v>
      </c>
      <c r="R3" s="6" t="s">
        <v>155</v>
      </c>
      <c r="S3" s="6" t="s">
        <v>156</v>
      </c>
      <c r="T3" s="6" t="s">
        <v>157</v>
      </c>
      <c r="U3" s="6" t="s">
        <v>158</v>
      </c>
      <c r="V3" s="6" t="s">
        <v>159</v>
      </c>
      <c r="W3" s="84" t="s">
        <v>160</v>
      </c>
      <c r="X3" s="84" t="s">
        <v>161</v>
      </c>
      <c r="Y3" s="84" t="s">
        <v>162</v>
      </c>
      <c r="Z3" s="6" t="s">
        <v>163</v>
      </c>
      <c r="AA3" s="6" t="s">
        <v>164</v>
      </c>
      <c r="AB3" s="6" t="s">
        <v>165</v>
      </c>
      <c r="AC3" s="6" t="s">
        <v>166</v>
      </c>
      <c r="AD3" s="6" t="s">
        <v>167</v>
      </c>
      <c r="AE3" s="6" t="s">
        <v>168</v>
      </c>
      <c r="AF3" s="6" t="s">
        <v>169</v>
      </c>
      <c r="AG3" s="6" t="s">
        <v>170</v>
      </c>
      <c r="AH3" s="6" t="s">
        <v>50</v>
      </c>
      <c r="AI3" s="85" t="s">
        <v>172</v>
      </c>
      <c r="AJ3" s="85" t="s">
        <v>172</v>
      </c>
      <c r="AK3" s="85" t="s">
        <v>173</v>
      </c>
      <c r="AL3" s="85"/>
      <c r="AM3" s="85" t="s">
        <v>174</v>
      </c>
      <c r="AO3" s="6">
        <f>AP3*AG2/AH2</f>
        <v>393.47702451625452</v>
      </c>
      <c r="AP3" s="6">
        <f>7.46239236299982*1000</f>
        <v>7462.3923629998199</v>
      </c>
    </row>
    <row r="4" spans="1:42" x14ac:dyDescent="0.25">
      <c r="A4" s="6">
        <f>'Texas pop'!A100</f>
        <v>2016</v>
      </c>
      <c r="B4" s="6">
        <f>'Texas pop'!B100</f>
        <v>27914064</v>
      </c>
      <c r="C4" s="6">
        <f>'Texas pop'!C100</f>
        <v>11900</v>
      </c>
      <c r="D4" s="6">
        <f>'Texas pop'!D100</f>
        <v>11900</v>
      </c>
      <c r="E4" s="6">
        <f>'Texas pop'!E100</f>
        <v>4200</v>
      </c>
      <c r="F4" s="47">
        <f>E4*$C$46*$D$45/1000000000</f>
        <v>5.8361976597494619E-2</v>
      </c>
      <c r="G4" s="47">
        <f t="shared" ref="G4:G39" si="0">E4/1000*$D$41/0.9/1000</f>
        <v>2.4208778999999998</v>
      </c>
      <c r="H4" s="6">
        <v>0</v>
      </c>
      <c r="I4" s="9">
        <f>H4/$D$42*$D$43</f>
        <v>0</v>
      </c>
      <c r="J4" s="47">
        <f t="shared" ref="J4:J38" si="1">$D$45*E4/1000</f>
        <v>808.62599999999998</v>
      </c>
      <c r="K4" s="9"/>
      <c r="L4" s="9">
        <f>O4</f>
        <v>453.7037037037037</v>
      </c>
      <c r="M4" s="9">
        <f>O4</f>
        <v>453.7037037037037</v>
      </c>
      <c r="N4" s="9">
        <v>2.4500000000000002</v>
      </c>
      <c r="O4" s="9">
        <f>$H$50/2.7*N4</f>
        <v>453.7037037037037</v>
      </c>
      <c r="P4" s="6">
        <f>P5/D43</f>
        <v>1955.1356137396124</v>
      </c>
      <c r="Q4" s="9">
        <f>M4/L4</f>
        <v>1</v>
      </c>
      <c r="R4">
        <f t="shared" ref="R4:R38" si="2">$E4*I$2/1000000</f>
        <v>5.9507327631350596E-2</v>
      </c>
      <c r="S4">
        <f t="shared" ref="S4:S38" si="3">$E4*J$2/1000000</f>
        <v>5.5592371866130155E-2</v>
      </c>
      <c r="T4">
        <f t="shared" ref="T4:T38" si="4">$E4*K$2/1000000</f>
        <v>8.3780053375717284E-2</v>
      </c>
      <c r="U4">
        <f t="shared" ref="U4:U38" si="5">$E4*L$2/1000000</f>
        <v>5.4809380713086078E-3</v>
      </c>
      <c r="V4">
        <f t="shared" ref="V4:V38" si="6">$E4*M$2/1000000</f>
        <v>5.4809380713086078E-3</v>
      </c>
      <c r="W4">
        <f t="shared" ref="W4:W38" si="7">$E4*N$2/1000000</f>
        <v>1.0961876142617214E-2</v>
      </c>
      <c r="X4">
        <f t="shared" ref="X4:X38" si="8">$E4*P$2/1000000</f>
        <v>1.0961876142617214E-2</v>
      </c>
      <c r="Y4">
        <f t="shared" ref="Y4:Y38" si="9">$E4*Q$2/1000000</f>
        <v>1.0961876142617214E-2</v>
      </c>
      <c r="Z4">
        <f t="shared" ref="Z4:Z38" si="10">$E4*R$2/1000000</f>
        <v>8.6129026834849548E-3</v>
      </c>
      <c r="AA4">
        <f t="shared" ref="AA4:AA38" si="11">$E4*S$2/1000000</f>
        <v>5.480938071308606E-2</v>
      </c>
      <c r="AB4">
        <f t="shared" ref="AB4:AB38" si="12">$E4*T$2/1000000</f>
        <v>2.7404690356543034E-2</v>
      </c>
      <c r="AC4">
        <f t="shared" ref="AC4:AC38" si="13">$E4*U$2/1000000</f>
        <v>1.3310849601749476E-2</v>
      </c>
      <c r="AD4">
        <f t="shared" ref="AD4:AD38" si="14">$E4*V$2/1000000</f>
        <v>0.14172139870097972</v>
      </c>
      <c r="AE4">
        <f t="shared" ref="AE4:AE38" si="15">$E4*W$2/1000000</f>
        <v>9.5524920671378577E-2</v>
      </c>
      <c r="AF4">
        <f t="shared" ref="AF4:AF38" si="16">$E4*X$2/1000000</f>
        <v>9.0826973753114076E-2</v>
      </c>
      <c r="AG4">
        <f t="shared" ref="AG4:AG38" si="17">$E4*Y$2/1000000</f>
        <v>0.108052779120084</v>
      </c>
      <c r="AH4">
        <f>SUM(R4:AG4)</f>
        <v>0.78299115304408684</v>
      </c>
      <c r="AI4" s="9">
        <f t="shared" ref="AI4:AI38" si="18">$E4*AA$2</f>
        <v>31342.047924599254</v>
      </c>
      <c r="AJ4" s="9">
        <f t="shared" ref="AJ4:AJ38" si="19">$E4*AB$2/1000000</f>
        <v>0.88760679722465052</v>
      </c>
      <c r="AK4" s="9">
        <f t="shared" ref="AK4:AK38" si="20">$E4*AC$2/(42*1000)</f>
        <v>2.2472902571142503</v>
      </c>
      <c r="AL4" s="9">
        <f t="shared" ref="AL4:AL38" si="21">$E4*AD$2/1000</f>
        <v>0.3572904305116798</v>
      </c>
      <c r="AM4" s="9">
        <f t="shared" ref="AM4:AM38" si="22">$E4*AE$2/1000000</f>
        <v>1.49634330415372</v>
      </c>
      <c r="AO4" s="84">
        <f>AO3*AP5</f>
        <v>178.4780305043769</v>
      </c>
      <c r="AP4" s="6" t="s">
        <v>179</v>
      </c>
    </row>
    <row r="5" spans="1:42" x14ac:dyDescent="0.25">
      <c r="A5" s="6">
        <f>'Texas pop'!A101</f>
        <v>2017</v>
      </c>
      <c r="B5" s="6">
        <f>'Texas pop'!B101</f>
        <v>28291024</v>
      </c>
      <c r="C5" s="6">
        <f>'Texas pop'!C101</f>
        <v>16100</v>
      </c>
      <c r="D5" s="6">
        <f>'Texas pop'!D101</f>
        <v>16100</v>
      </c>
      <c r="E5" s="6">
        <f>'Texas pop'!E101</f>
        <v>8400</v>
      </c>
      <c r="F5" s="47">
        <f t="shared" ref="F5:F39" si="23">E5*$C$46*$D$45/1000000000</f>
        <v>0.11672395319498924</v>
      </c>
      <c r="G5" s="47">
        <f t="shared" si="0"/>
        <v>4.8417557999999996</v>
      </c>
      <c r="H5" s="6">
        <v>0</v>
      </c>
      <c r="I5" s="9">
        <f t="shared" ref="I5:I37" si="24">H5/$D$42*$D$43</f>
        <v>0</v>
      </c>
      <c r="J5" s="47">
        <f t="shared" si="1"/>
        <v>1617.252</v>
      </c>
      <c r="K5" s="9">
        <f>J5-I4</f>
        <v>1617.252</v>
      </c>
      <c r="L5" s="9">
        <f t="shared" ref="L5:L38" si="25">O5</f>
        <v>711.11111111111097</v>
      </c>
      <c r="M5" s="9">
        <f t="shared" ref="M5:M11" si="26">O5</f>
        <v>711.11111111111097</v>
      </c>
      <c r="N5" s="9">
        <v>3.84</v>
      </c>
      <c r="O5" s="9">
        <f>$H$50/2.7*N5</f>
        <v>711.11111111111097</v>
      </c>
      <c r="P5" s="6">
        <f>D50/D43</f>
        <v>1857.3788330526318</v>
      </c>
      <c r="Q5" s="9">
        <f t="shared" ref="Q5:Q38" si="27">M5/L5</f>
        <v>1</v>
      </c>
      <c r="R5">
        <f t="shared" si="2"/>
        <v>0.11901465526270119</v>
      </c>
      <c r="S5">
        <f t="shared" si="3"/>
        <v>0.11118474373226031</v>
      </c>
      <c r="T5">
        <f t="shared" si="4"/>
        <v>0.16756010675143457</v>
      </c>
      <c r="U5">
        <f t="shared" si="5"/>
        <v>1.0961876142617216E-2</v>
      </c>
      <c r="V5">
        <f t="shared" si="6"/>
        <v>1.0961876142617216E-2</v>
      </c>
      <c r="W5">
        <f t="shared" si="7"/>
        <v>2.1923752285234428E-2</v>
      </c>
      <c r="X5">
        <f t="shared" si="8"/>
        <v>2.1923752285234428E-2</v>
      </c>
      <c r="Y5">
        <f t="shared" si="9"/>
        <v>2.1923752285234428E-2</v>
      </c>
      <c r="Z5">
        <f t="shared" si="10"/>
        <v>1.722580536696991E-2</v>
      </c>
      <c r="AA5">
        <f t="shared" si="11"/>
        <v>0.10961876142617212</v>
      </c>
      <c r="AB5">
        <f t="shared" si="12"/>
        <v>5.4809380713086067E-2</v>
      </c>
      <c r="AC5">
        <f t="shared" si="13"/>
        <v>2.6621699203498952E-2</v>
      </c>
      <c r="AD5">
        <f t="shared" si="14"/>
        <v>0.28344279740195943</v>
      </c>
      <c r="AE5">
        <f t="shared" si="15"/>
        <v>0.19104984134275715</v>
      </c>
      <c r="AF5">
        <f t="shared" si="16"/>
        <v>0.18165394750622815</v>
      </c>
      <c r="AG5">
        <f t="shared" si="17"/>
        <v>0.216105558240168</v>
      </c>
      <c r="AH5">
        <f t="shared" ref="AH5:AH38" si="28">SUM(R5:AG5)</f>
        <v>1.5659823060881737</v>
      </c>
      <c r="AI5" s="9">
        <f t="shared" si="18"/>
        <v>62684.095849198507</v>
      </c>
      <c r="AJ5" s="9">
        <f t="shared" si="19"/>
        <v>1.775213594449301</v>
      </c>
      <c r="AK5" s="9">
        <f t="shared" si="20"/>
        <v>4.4945805142285007</v>
      </c>
      <c r="AL5" s="9">
        <f t="shared" si="21"/>
        <v>0.7145808610233596</v>
      </c>
      <c r="AM5" s="9">
        <f t="shared" si="22"/>
        <v>2.9926866083074399</v>
      </c>
      <c r="AO5" s="6" t="s">
        <v>178</v>
      </c>
      <c r="AP5" s="6">
        <v>0.453592</v>
      </c>
    </row>
    <row r="6" spans="1:42" x14ac:dyDescent="0.25">
      <c r="A6" s="6">
        <f>'Texas pop'!A102</f>
        <v>2018</v>
      </c>
      <c r="B6" s="6">
        <f>'Texas pop'!B102</f>
        <v>28624564</v>
      </c>
      <c r="C6" s="6">
        <f>'Texas pop'!C102</f>
        <v>24500</v>
      </c>
      <c r="D6" s="6">
        <f>'Texas pop'!D102</f>
        <v>24500</v>
      </c>
      <c r="E6" s="6">
        <f>'Texas pop'!E102</f>
        <v>13900</v>
      </c>
      <c r="F6" s="47">
        <f t="shared" si="23"/>
        <v>0.19315035112027978</v>
      </c>
      <c r="G6" s="47">
        <f t="shared" si="0"/>
        <v>8.0119530500000007</v>
      </c>
      <c r="H6" s="6">
        <v>0</v>
      </c>
      <c r="I6" s="9">
        <f t="shared" si="24"/>
        <v>0</v>
      </c>
      <c r="J6" s="47">
        <f t="shared" si="1"/>
        <v>2676.1669999999999</v>
      </c>
      <c r="K6" s="9">
        <f t="shared" ref="K6:K38" si="29">J6-I5</f>
        <v>2676.1669999999999</v>
      </c>
      <c r="L6" s="9">
        <f t="shared" si="25"/>
        <v>620.37037037037032</v>
      </c>
      <c r="M6" s="9">
        <f t="shared" si="26"/>
        <v>620.37037037037032</v>
      </c>
      <c r="N6" s="9">
        <v>3.35</v>
      </c>
      <c r="O6" s="9">
        <f t="shared" ref="O6:O37" si="30">$H$50/2.7*N6</f>
        <v>620.37037037037032</v>
      </c>
      <c r="P6" s="41">
        <f>P5*(1-0.01)</f>
        <v>1838.8050447221053</v>
      </c>
      <c r="Q6" s="9">
        <f t="shared" si="27"/>
        <v>1</v>
      </c>
      <c r="R6">
        <f t="shared" si="2"/>
        <v>0.19694091763708885</v>
      </c>
      <c r="S6">
        <f t="shared" si="3"/>
        <v>0.18398427831885933</v>
      </c>
      <c r="T6">
        <f t="shared" si="4"/>
        <v>0.277272081410112</v>
      </c>
      <c r="U6">
        <f t="shared" si="5"/>
        <v>1.8139295045521343E-2</v>
      </c>
      <c r="V6">
        <f t="shared" si="6"/>
        <v>1.8139295045521343E-2</v>
      </c>
      <c r="W6">
        <f t="shared" si="7"/>
        <v>3.627859009104268E-2</v>
      </c>
      <c r="X6">
        <f t="shared" si="8"/>
        <v>3.627859009104268E-2</v>
      </c>
      <c r="Y6">
        <f t="shared" si="9"/>
        <v>3.627859009104268E-2</v>
      </c>
      <c r="Z6">
        <f t="shared" si="10"/>
        <v>2.8504606500104973E-2</v>
      </c>
      <c r="AA6">
        <f t="shared" si="11"/>
        <v>0.18139295045521339</v>
      </c>
      <c r="AB6">
        <f t="shared" si="12"/>
        <v>9.069647522760671E-2</v>
      </c>
      <c r="AC6">
        <f t="shared" si="13"/>
        <v>4.4052573681980407E-2</v>
      </c>
      <c r="AD6">
        <f t="shared" si="14"/>
        <v>0.469030343319909</v>
      </c>
      <c r="AE6">
        <f t="shared" si="15"/>
        <v>0.31614199936480053</v>
      </c>
      <c r="AF6">
        <f t="shared" si="16"/>
        <v>0.30059403218292507</v>
      </c>
      <c r="AG6">
        <f t="shared" si="17"/>
        <v>0.35760324518313513</v>
      </c>
      <c r="AH6">
        <f t="shared" si="28"/>
        <v>2.5913278636459065</v>
      </c>
      <c r="AI6" s="9">
        <f t="shared" si="18"/>
        <v>103727.25384569753</v>
      </c>
      <c r="AJ6" s="9">
        <f t="shared" si="19"/>
        <v>2.9375558289101531</v>
      </c>
      <c r="AK6" s="9">
        <f t="shared" si="20"/>
        <v>7.4374606128304954</v>
      </c>
      <c r="AL6" s="9">
        <f t="shared" si="21"/>
        <v>1.1824611866934165</v>
      </c>
      <c r="AM6" s="9">
        <f t="shared" si="22"/>
        <v>4.9521837923182632</v>
      </c>
    </row>
    <row r="7" spans="1:42" x14ac:dyDescent="0.25">
      <c r="A7" s="6">
        <f>'Texas pop'!A103</f>
        <v>2019</v>
      </c>
      <c r="B7" s="6">
        <f>'Texas pop'!B103</f>
        <v>28986794</v>
      </c>
      <c r="C7" s="6">
        <f>'Texas pop'!C103</f>
        <v>38400</v>
      </c>
      <c r="D7" s="6">
        <f>'Texas pop'!D103</f>
        <v>38400</v>
      </c>
      <c r="E7" s="6">
        <f>'Texas pop'!E103</f>
        <v>13800</v>
      </c>
      <c r="F7" s="47">
        <f t="shared" si="23"/>
        <v>0.19176078024891088</v>
      </c>
      <c r="G7" s="47">
        <f t="shared" si="0"/>
        <v>7.9543131000000002</v>
      </c>
      <c r="H7" s="6">
        <v>0</v>
      </c>
      <c r="I7" s="9">
        <f t="shared" si="24"/>
        <v>0</v>
      </c>
      <c r="J7" s="47">
        <f t="shared" si="1"/>
        <v>2656.9140000000002</v>
      </c>
      <c r="K7" s="9">
        <f t="shared" si="29"/>
        <v>2656.9140000000002</v>
      </c>
      <c r="L7" s="9">
        <f t="shared" si="25"/>
        <v>725.92592592592587</v>
      </c>
      <c r="M7" s="9">
        <f t="shared" si="26"/>
        <v>725.92592592592587</v>
      </c>
      <c r="N7" s="9">
        <v>3.92</v>
      </c>
      <c r="O7" s="9">
        <f t="shared" si="30"/>
        <v>725.92592592592587</v>
      </c>
      <c r="P7" s="41">
        <f t="shared" ref="P7:P38" si="31">P6*(1-0.01)</f>
        <v>1820.4169942748842</v>
      </c>
      <c r="Q7" s="9">
        <f t="shared" si="27"/>
        <v>1</v>
      </c>
      <c r="R7">
        <f t="shared" si="2"/>
        <v>0.1955240765030091</v>
      </c>
      <c r="S7">
        <f t="shared" si="3"/>
        <v>0.1826606504172848</v>
      </c>
      <c r="T7">
        <f t="shared" si="4"/>
        <v>0.27527731823449963</v>
      </c>
      <c r="U7">
        <f t="shared" si="5"/>
        <v>1.8008796520013994E-2</v>
      </c>
      <c r="V7">
        <f t="shared" si="6"/>
        <v>1.8008796520013994E-2</v>
      </c>
      <c r="W7">
        <f t="shared" si="7"/>
        <v>3.6017593040027981E-2</v>
      </c>
      <c r="X7">
        <f t="shared" si="8"/>
        <v>3.6017593040027981E-2</v>
      </c>
      <c r="Y7">
        <f t="shared" si="9"/>
        <v>3.6017593040027981E-2</v>
      </c>
      <c r="Z7">
        <f t="shared" si="10"/>
        <v>2.8299537388593424E-2</v>
      </c>
      <c r="AA7">
        <f t="shared" si="11"/>
        <v>0.18008796520013992</v>
      </c>
      <c r="AB7">
        <f t="shared" si="12"/>
        <v>9.0043982600069974E-2</v>
      </c>
      <c r="AC7">
        <f t="shared" si="13"/>
        <v>4.3735648691462563E-2</v>
      </c>
      <c r="AD7">
        <f t="shared" si="14"/>
        <v>0.46565602430321901</v>
      </c>
      <c r="AE7">
        <f t="shared" si="15"/>
        <v>0.31386759649167251</v>
      </c>
      <c r="AF7">
        <f t="shared" si="16"/>
        <v>0.29843148518880336</v>
      </c>
      <c r="AG7">
        <f t="shared" si="17"/>
        <v>0.35503055996599026</v>
      </c>
      <c r="AH7">
        <f t="shared" si="28"/>
        <v>2.5726852171448562</v>
      </c>
      <c r="AI7" s="9">
        <f t="shared" si="18"/>
        <v>102981.01460939755</v>
      </c>
      <c r="AJ7" s="9">
        <f t="shared" si="19"/>
        <v>2.9164223337381374</v>
      </c>
      <c r="AK7" s="9">
        <f t="shared" si="20"/>
        <v>7.3839537019468233</v>
      </c>
      <c r="AL7" s="9">
        <f t="shared" si="21"/>
        <v>1.1739542716812337</v>
      </c>
      <c r="AM7" s="9">
        <f t="shared" si="22"/>
        <v>4.9165565707907941</v>
      </c>
      <c r="AO7" t="s">
        <v>181</v>
      </c>
    </row>
    <row r="8" spans="1:42" x14ac:dyDescent="0.25">
      <c r="A8" s="6">
        <f>'Texas pop'!A104</f>
        <v>2020</v>
      </c>
      <c r="B8" s="6">
        <f>'Texas pop'!B104</f>
        <v>29232474</v>
      </c>
      <c r="C8" s="6">
        <f>'Texas pop'!C104</f>
        <v>52200</v>
      </c>
      <c r="D8" s="6">
        <f>'Texas pop'!D104</f>
        <v>52200</v>
      </c>
      <c r="E8" s="6">
        <f>'Texas pop'!E104</f>
        <v>28700</v>
      </c>
      <c r="F8" s="47">
        <f t="shared" si="23"/>
        <v>0.39880684008287987</v>
      </c>
      <c r="G8" s="47">
        <f t="shared" si="0"/>
        <v>16.54266565</v>
      </c>
      <c r="H8" s="6">
        <v>0</v>
      </c>
      <c r="I8" s="9">
        <f t="shared" si="24"/>
        <v>0</v>
      </c>
      <c r="J8" s="47">
        <f t="shared" si="1"/>
        <v>5525.6109999999999</v>
      </c>
      <c r="K8" s="9">
        <f t="shared" si="29"/>
        <v>5525.6109999999999</v>
      </c>
      <c r="L8" s="9">
        <f t="shared" si="25"/>
        <v>429.62962962962956</v>
      </c>
      <c r="M8" s="9">
        <f t="shared" si="26"/>
        <v>429.62962962962956</v>
      </c>
      <c r="N8" s="9">
        <v>2.3199999999999998</v>
      </c>
      <c r="O8" s="9">
        <f t="shared" si="30"/>
        <v>429.62962962962956</v>
      </c>
      <c r="P8" s="41">
        <f>P7*(1-0.01)</f>
        <v>1802.2128243321354</v>
      </c>
      <c r="Q8" s="9">
        <f t="shared" si="27"/>
        <v>1</v>
      </c>
      <c r="R8">
        <f t="shared" si="2"/>
        <v>0.40663340548089572</v>
      </c>
      <c r="S8">
        <f t="shared" si="3"/>
        <v>0.37988120775188938</v>
      </c>
      <c r="T8">
        <f t="shared" si="4"/>
        <v>0.57249703140073482</v>
      </c>
      <c r="U8">
        <f t="shared" si="5"/>
        <v>3.7453076820608819E-2</v>
      </c>
      <c r="V8">
        <f t="shared" si="6"/>
        <v>3.7453076820608819E-2</v>
      </c>
      <c r="W8">
        <f t="shared" si="7"/>
        <v>7.4906153641217624E-2</v>
      </c>
      <c r="X8">
        <f t="shared" si="8"/>
        <v>7.4906153641217624E-2</v>
      </c>
      <c r="Y8">
        <f t="shared" si="9"/>
        <v>7.4906153641217624E-2</v>
      </c>
      <c r="Z8">
        <f t="shared" si="10"/>
        <v>5.8854835003813867E-2</v>
      </c>
      <c r="AA8">
        <f t="shared" si="11"/>
        <v>0.3745307682060881</v>
      </c>
      <c r="AB8">
        <f t="shared" si="12"/>
        <v>0.18726538410304408</v>
      </c>
      <c r="AC8">
        <f t="shared" si="13"/>
        <v>9.0957472278621415E-2</v>
      </c>
      <c r="AD8">
        <f t="shared" si="14"/>
        <v>0.96842955779002793</v>
      </c>
      <c r="AE8">
        <f t="shared" si="15"/>
        <v>0.65275362458775366</v>
      </c>
      <c r="AF8">
        <f t="shared" si="16"/>
        <v>0.6206509873129461</v>
      </c>
      <c r="AG8">
        <f t="shared" si="17"/>
        <v>0.73836065732057388</v>
      </c>
      <c r="AH8">
        <f t="shared" si="28"/>
        <v>5.3504395458012599</v>
      </c>
      <c r="AI8" s="9">
        <f t="shared" si="18"/>
        <v>214170.66081809491</v>
      </c>
      <c r="AJ8" s="9">
        <f t="shared" si="19"/>
        <v>6.0653131143684451</v>
      </c>
      <c r="AK8" s="9">
        <f t="shared" si="20"/>
        <v>15.356483423614046</v>
      </c>
      <c r="AL8" s="9">
        <f t="shared" si="21"/>
        <v>2.441484608496479</v>
      </c>
      <c r="AM8" s="9">
        <f t="shared" si="22"/>
        <v>10.225012578383753</v>
      </c>
      <c r="AO8">
        <v>7.2</v>
      </c>
      <c r="AP8">
        <f>AO8*AC2</f>
        <v>161.80489851222603</v>
      </c>
    </row>
    <row r="9" spans="1:42" x14ac:dyDescent="0.25">
      <c r="A9" s="6">
        <f>'Texas pop'!A105</f>
        <v>2021</v>
      </c>
      <c r="B9" s="6">
        <f>'Texas pop'!B105</f>
        <v>29558864</v>
      </c>
      <c r="C9" s="6">
        <f>'Texas pop'!C105</f>
        <v>80900</v>
      </c>
      <c r="D9" s="6">
        <f>'Texas pop'!D105</f>
        <v>80900</v>
      </c>
      <c r="E9" s="6">
        <f>'Texas pop'!E105</f>
        <v>68100</v>
      </c>
      <c r="F9" s="47">
        <f t="shared" si="23"/>
        <v>0.94629776340223404</v>
      </c>
      <c r="G9" s="47">
        <f t="shared" si="0"/>
        <v>39.252805949999996</v>
      </c>
      <c r="H9" s="6">
        <v>0</v>
      </c>
      <c r="I9" s="9">
        <f t="shared" si="24"/>
        <v>0</v>
      </c>
      <c r="J9" s="47">
        <f t="shared" si="1"/>
        <v>13111.293</v>
      </c>
      <c r="K9" s="9">
        <f t="shared" si="29"/>
        <v>13111.293</v>
      </c>
      <c r="L9" s="9">
        <f t="shared" si="25"/>
        <v>511.11111111111103</v>
      </c>
      <c r="M9" s="9">
        <f t="shared" si="26"/>
        <v>511.11111111111103</v>
      </c>
      <c r="N9" s="9">
        <v>2.76</v>
      </c>
      <c r="O9" s="9">
        <f t="shared" si="30"/>
        <v>511.11111111111103</v>
      </c>
      <c r="P9" s="41">
        <f t="shared" si="31"/>
        <v>1784.1906960888141</v>
      </c>
      <c r="Q9" s="9">
        <f t="shared" si="27"/>
        <v>1</v>
      </c>
      <c r="R9">
        <f t="shared" si="2"/>
        <v>0.96486881230832755</v>
      </c>
      <c r="S9">
        <f t="shared" si="3"/>
        <v>0.90139060097225321</v>
      </c>
      <c r="T9">
        <f t="shared" si="4"/>
        <v>1.3584337225919874</v>
      </c>
      <c r="U9">
        <f t="shared" si="5"/>
        <v>8.8869495870503842E-2</v>
      </c>
      <c r="V9">
        <f t="shared" si="6"/>
        <v>8.8869495870503842E-2</v>
      </c>
      <c r="W9">
        <f t="shared" si="7"/>
        <v>0.17773899174100766</v>
      </c>
      <c r="X9">
        <f t="shared" si="8"/>
        <v>0.17773899174100766</v>
      </c>
      <c r="Y9">
        <f t="shared" si="9"/>
        <v>0.17773899174100766</v>
      </c>
      <c r="Z9">
        <f t="shared" si="10"/>
        <v>0.13965206493936322</v>
      </c>
      <c r="AA9">
        <f t="shared" si="11"/>
        <v>0.88869495870503834</v>
      </c>
      <c r="AB9">
        <f t="shared" si="12"/>
        <v>0.44434747935251923</v>
      </c>
      <c r="AC9">
        <f t="shared" si="13"/>
        <v>0.21582591854265221</v>
      </c>
      <c r="AD9">
        <f t="shared" si="14"/>
        <v>2.2979112503658849</v>
      </c>
      <c r="AE9">
        <f t="shared" si="15"/>
        <v>1.5488683566002099</v>
      </c>
      <c r="AF9">
        <f t="shared" si="16"/>
        <v>1.472694502996921</v>
      </c>
      <c r="AG9">
        <f t="shared" si="17"/>
        <v>1.7519986328756476</v>
      </c>
      <c r="AH9">
        <f t="shared" si="28"/>
        <v>12.695642267214835</v>
      </c>
      <c r="AI9" s="9">
        <f t="shared" si="18"/>
        <v>508188.91992028791</v>
      </c>
      <c r="AJ9" s="9">
        <f t="shared" si="19"/>
        <v>14.391910212142548</v>
      </c>
      <c r="AK9" s="9">
        <f t="shared" si="20"/>
        <v>36.438206311781066</v>
      </c>
      <c r="AL9" s="9">
        <f t="shared" si="21"/>
        <v>5.7932091232965233</v>
      </c>
      <c r="AM9" s="9">
        <f t="shared" si="22"/>
        <v>24.262137860206746</v>
      </c>
      <c r="AO9" t="s">
        <v>179</v>
      </c>
      <c r="AP9" s="46">
        <f>AP5*AP8</f>
        <v>73.393407525957628</v>
      </c>
    </row>
    <row r="10" spans="1:42" x14ac:dyDescent="0.25">
      <c r="A10" s="6">
        <f>'Texas pop'!A106</f>
        <v>2022</v>
      </c>
      <c r="B10" s="6">
        <f>'Texas pop'!B106</f>
        <v>30029572</v>
      </c>
      <c r="C10" s="6">
        <f>'Texas pop'!C106</f>
        <v>149000</v>
      </c>
      <c r="D10" s="6">
        <f>'Texas pop'!D106</f>
        <v>149000</v>
      </c>
      <c r="E10" s="6">
        <f>'Texas pop'!E106</f>
        <v>78996</v>
      </c>
      <c r="F10" s="47">
        <f t="shared" si="23"/>
        <v>1.0977054055465916</v>
      </c>
      <c r="G10" s="47">
        <f t="shared" si="0"/>
        <v>45.533254901999996</v>
      </c>
      <c r="H10" s="6">
        <v>0</v>
      </c>
      <c r="I10" s="9">
        <f t="shared" si="24"/>
        <v>0</v>
      </c>
      <c r="J10" s="47">
        <f t="shared" si="1"/>
        <v>15209.099880000002</v>
      </c>
      <c r="K10" s="9">
        <f t="shared" si="29"/>
        <v>15209.099880000002</v>
      </c>
      <c r="L10" s="9">
        <f t="shared" si="25"/>
        <v>901.85185185185173</v>
      </c>
      <c r="M10" s="9">
        <f t="shared" si="26"/>
        <v>901.85185185185173</v>
      </c>
      <c r="N10" s="9">
        <v>4.87</v>
      </c>
      <c r="O10" s="9">
        <f t="shared" si="30"/>
        <v>901.85185185185173</v>
      </c>
      <c r="P10" s="41">
        <f t="shared" si="31"/>
        <v>1766.348789127926</v>
      </c>
      <c r="Q10" s="9">
        <f t="shared" si="27"/>
        <v>1</v>
      </c>
      <c r="R10">
        <f t="shared" si="2"/>
        <v>1.1192478222776598</v>
      </c>
      <c r="S10">
        <f t="shared" si="3"/>
        <v>1.0456130971278137</v>
      </c>
      <c r="T10">
        <f t="shared" si="4"/>
        <v>1.5757831182067052</v>
      </c>
      <c r="U10">
        <f t="shared" si="5"/>
        <v>0.10308861520978446</v>
      </c>
      <c r="V10">
        <f t="shared" si="6"/>
        <v>0.10308861520978446</v>
      </c>
      <c r="W10">
        <f t="shared" si="7"/>
        <v>0.2061772304195689</v>
      </c>
      <c r="X10">
        <f t="shared" si="8"/>
        <v>0.2061772304195689</v>
      </c>
      <c r="Y10">
        <f t="shared" si="9"/>
        <v>0.2061772304195689</v>
      </c>
      <c r="Z10">
        <f t="shared" si="10"/>
        <v>0.16199639532966131</v>
      </c>
      <c r="AA10">
        <f t="shared" si="11"/>
        <v>1.0308861520978445</v>
      </c>
      <c r="AB10">
        <f t="shared" si="12"/>
        <v>0.51544307604892226</v>
      </c>
      <c r="AC10">
        <f t="shared" si="13"/>
        <v>0.25035806550947659</v>
      </c>
      <c r="AD10">
        <f t="shared" si="14"/>
        <v>2.6655770504244267</v>
      </c>
      <c r="AE10">
        <f t="shared" si="15"/>
        <v>1.7966872936562435</v>
      </c>
      <c r="AF10">
        <f t="shared" si="16"/>
        <v>1.7083256234764281</v>
      </c>
      <c r="AG10">
        <f t="shared" si="17"/>
        <v>2.0323184141357511</v>
      </c>
      <c r="AH10">
        <f t="shared" si="28"/>
        <v>14.726945029969208</v>
      </c>
      <c r="AI10" s="9">
        <f t="shared" si="18"/>
        <v>589499.14710753399</v>
      </c>
      <c r="AJ10" s="9">
        <f t="shared" si="19"/>
        <v>16.694615846085355</v>
      </c>
      <c r="AK10" s="9">
        <f t="shared" si="20"/>
        <v>42.268319321666027</v>
      </c>
      <c r="AL10" s="9">
        <f t="shared" si="21"/>
        <v>6.7201225830239668</v>
      </c>
      <c r="AM10" s="9">
        <f t="shared" si="22"/>
        <v>28.144079917839822</v>
      </c>
      <c r="AO10" t="s">
        <v>179</v>
      </c>
      <c r="AP10" s="46">
        <f>AO4+AP9</f>
        <v>251.87143803033453</v>
      </c>
    </row>
    <row r="11" spans="1:42" x14ac:dyDescent="0.25">
      <c r="A11" s="6">
        <f>'Texas pop'!A107</f>
        <v>2023</v>
      </c>
      <c r="B11" s="6">
        <f>'Texas pop'!B107</f>
        <v>30303924.285714388</v>
      </c>
      <c r="C11" s="6">
        <f>'Texas pop'!C107</f>
        <v>227996</v>
      </c>
      <c r="D11" s="6">
        <f>'Texas pop'!D107</f>
        <v>227996</v>
      </c>
      <c r="E11" s="6">
        <f>'Texas pop'!E107</f>
        <v>91635.36</v>
      </c>
      <c r="F11" s="47">
        <f t="shared" si="23"/>
        <v>1.2733382704340463</v>
      </c>
      <c r="G11" s="47">
        <f t="shared" si="0"/>
        <v>52.818575686320003</v>
      </c>
      <c r="H11" s="6">
        <v>0</v>
      </c>
      <c r="I11" s="9">
        <f t="shared" si="24"/>
        <v>0</v>
      </c>
      <c r="J11" s="47">
        <f t="shared" si="1"/>
        <v>17642.555860800003</v>
      </c>
      <c r="K11" s="9">
        <f t="shared" si="29"/>
        <v>17642.555860800003</v>
      </c>
      <c r="L11" s="9">
        <f t="shared" si="25"/>
        <v>831.48148148148141</v>
      </c>
      <c r="M11" s="9">
        <f t="shared" si="26"/>
        <v>831.48148148148141</v>
      </c>
      <c r="N11" s="9">
        <v>4.49</v>
      </c>
      <c r="O11" s="9">
        <f t="shared" si="30"/>
        <v>831.48148148148141</v>
      </c>
      <c r="P11" s="41">
        <f t="shared" si="31"/>
        <v>1748.6853012366466</v>
      </c>
      <c r="Q11" s="9">
        <f t="shared" si="27"/>
        <v>1</v>
      </c>
      <c r="R11">
        <f t="shared" si="2"/>
        <v>1.2983274738420856</v>
      </c>
      <c r="S11">
        <f t="shared" si="3"/>
        <v>1.2129111926682641</v>
      </c>
      <c r="T11">
        <f t="shared" si="4"/>
        <v>1.8279084171197781</v>
      </c>
      <c r="U11">
        <f t="shared" si="5"/>
        <v>0.11958279364334999</v>
      </c>
      <c r="V11">
        <f t="shared" si="6"/>
        <v>0.11958279364334999</v>
      </c>
      <c r="W11">
        <f t="shared" si="7"/>
        <v>0.2391655872866999</v>
      </c>
      <c r="X11">
        <f t="shared" si="8"/>
        <v>0.2391655872866999</v>
      </c>
      <c r="Y11">
        <f t="shared" si="9"/>
        <v>0.2391655872866999</v>
      </c>
      <c r="Z11">
        <f t="shared" si="10"/>
        <v>0.18791581858240713</v>
      </c>
      <c r="AA11">
        <f t="shared" si="11"/>
        <v>1.1958279364334994</v>
      </c>
      <c r="AB11">
        <f t="shared" si="12"/>
        <v>0.5979139682167498</v>
      </c>
      <c r="AC11">
        <f t="shared" si="13"/>
        <v>0.29041535599099277</v>
      </c>
      <c r="AD11">
        <f t="shared" si="14"/>
        <v>3.0920693784923348</v>
      </c>
      <c r="AE11">
        <f t="shared" si="15"/>
        <v>2.0841572606412422</v>
      </c>
      <c r="AF11">
        <f t="shared" si="16"/>
        <v>1.9816577232326567</v>
      </c>
      <c r="AG11">
        <f t="shared" si="17"/>
        <v>2.3574893603974716</v>
      </c>
      <c r="AH11">
        <f t="shared" si="28"/>
        <v>17.083256234764278</v>
      </c>
      <c r="AI11" s="9">
        <f t="shared" si="18"/>
        <v>683819.01064473938</v>
      </c>
      <c r="AJ11" s="9">
        <f t="shared" si="19"/>
        <v>19.365754381459013</v>
      </c>
      <c r="AK11" s="9">
        <f t="shared" si="20"/>
        <v>49.031250413132597</v>
      </c>
      <c r="AL11" s="9">
        <f t="shared" si="21"/>
        <v>7.7953421963078009</v>
      </c>
      <c r="AM11" s="9">
        <f t="shared" si="22"/>
        <v>32.647132704694194</v>
      </c>
      <c r="AO11" t="s">
        <v>182</v>
      </c>
      <c r="AP11">
        <v>186.43</v>
      </c>
    </row>
    <row r="12" spans="1:42" x14ac:dyDescent="0.25">
      <c r="A12" s="6">
        <f>'Texas pop'!A108</f>
        <v>2024</v>
      </c>
      <c r="B12" s="6">
        <f>'Texas pop'!B108</f>
        <v>30642856.928571463</v>
      </c>
      <c r="C12" s="6">
        <f>'Texas pop'!C108</f>
        <v>319631.35999999999</v>
      </c>
      <c r="D12" s="6">
        <f>'Texas pop'!D108</f>
        <v>319631.35999999999</v>
      </c>
      <c r="E12" s="6">
        <f>'Texas pop'!E108</f>
        <v>106297.01759999999</v>
      </c>
      <c r="F12" s="47">
        <f t="shared" si="23"/>
        <v>1.4770723937034933</v>
      </c>
      <c r="G12" s="47">
        <f t="shared" si="0"/>
        <v>61.269547796131192</v>
      </c>
      <c r="H12" s="6">
        <f t="shared" ref="H12:H38" si="32">E12*$D$41/1000</f>
        <v>55142.593016518069</v>
      </c>
      <c r="I12" s="9">
        <f t="shared" si="24"/>
        <v>12182.665898998179</v>
      </c>
      <c r="J12" s="47">
        <f t="shared" si="1"/>
        <v>20465.364798527997</v>
      </c>
      <c r="K12" s="9">
        <f t="shared" si="29"/>
        <v>20465.364798527997</v>
      </c>
      <c r="L12" s="9">
        <f t="shared" si="25"/>
        <v>833.33333333333326</v>
      </c>
      <c r="M12" s="9">
        <f>I11/J12*P12+K12/J12*O12</f>
        <v>833.33333333333326</v>
      </c>
      <c r="N12" s="13">
        <v>4.5</v>
      </c>
      <c r="O12" s="9">
        <f t="shared" si="30"/>
        <v>833.33333333333326</v>
      </c>
      <c r="P12" s="41">
        <f t="shared" si="31"/>
        <v>1731.1984482242801</v>
      </c>
      <c r="Q12" s="9">
        <f t="shared" si="27"/>
        <v>1</v>
      </c>
      <c r="R12">
        <f t="shared" si="2"/>
        <v>1.5060598696568193</v>
      </c>
      <c r="S12">
        <f t="shared" si="3"/>
        <v>1.4069769834951862</v>
      </c>
      <c r="T12">
        <f t="shared" si="4"/>
        <v>2.1203737638589422</v>
      </c>
      <c r="U12">
        <f t="shared" si="5"/>
        <v>0.13871604062628598</v>
      </c>
      <c r="V12">
        <f t="shared" si="6"/>
        <v>0.13871604062628598</v>
      </c>
      <c r="W12">
        <f t="shared" si="7"/>
        <v>0.2774320812525719</v>
      </c>
      <c r="X12">
        <f t="shared" si="8"/>
        <v>0.2774320812525719</v>
      </c>
      <c r="Y12">
        <f t="shared" si="9"/>
        <v>0.2774320812525719</v>
      </c>
      <c r="Z12">
        <f t="shared" si="10"/>
        <v>0.21798234955559226</v>
      </c>
      <c r="AA12">
        <f t="shared" si="11"/>
        <v>1.3871604062628593</v>
      </c>
      <c r="AB12">
        <f t="shared" si="12"/>
        <v>0.69358020313142976</v>
      </c>
      <c r="AC12">
        <f t="shared" si="13"/>
        <v>0.33688181294955161</v>
      </c>
      <c r="AD12">
        <f t="shared" si="14"/>
        <v>3.5868004790511083</v>
      </c>
      <c r="AE12">
        <f t="shared" si="15"/>
        <v>2.4176224223438409</v>
      </c>
      <c r="AF12">
        <f t="shared" si="16"/>
        <v>2.2987229589498814</v>
      </c>
      <c r="AG12">
        <f t="shared" si="17"/>
        <v>2.7346876580610666</v>
      </c>
      <c r="AH12">
        <f t="shared" si="28"/>
        <v>19.816577232326566</v>
      </c>
      <c r="AI12" s="9">
        <f t="shared" si="18"/>
        <v>793230.05234789767</v>
      </c>
      <c r="AJ12" s="9">
        <f t="shared" si="19"/>
        <v>22.464275082492453</v>
      </c>
      <c r="AK12" s="9">
        <f t="shared" si="20"/>
        <v>56.876250479233804</v>
      </c>
      <c r="AL12" s="9">
        <f t="shared" si="21"/>
        <v>9.0425969477170494</v>
      </c>
      <c r="AM12" s="9">
        <f t="shared" si="22"/>
        <v>37.870673937445261</v>
      </c>
      <c r="AO12" s="46" t="s">
        <v>183</v>
      </c>
      <c r="AP12" s="88">
        <f>AP10/AP11</f>
        <v>1.351024180820332</v>
      </c>
    </row>
    <row r="13" spans="1:42" x14ac:dyDescent="0.25">
      <c r="A13" s="6">
        <f>'Texas pop'!A109</f>
        <v>2025</v>
      </c>
      <c r="B13" s="6">
        <f>'Texas pop'!B109</f>
        <v>30981789.571428657</v>
      </c>
      <c r="C13" s="6">
        <f>'Texas pop'!C109</f>
        <v>425928.37760000001</v>
      </c>
      <c r="D13" s="6">
        <f>'Texas pop'!D109</f>
        <v>425928.37760000001</v>
      </c>
      <c r="E13" s="6">
        <f>'Texas pop'!E109</f>
        <v>123304.54041599999</v>
      </c>
      <c r="F13" s="47">
        <f t="shared" si="23"/>
        <v>1.7134039766960523</v>
      </c>
      <c r="G13" s="47">
        <f t="shared" si="0"/>
        <v>71.072675443512182</v>
      </c>
      <c r="H13" s="6">
        <f t="shared" si="32"/>
        <v>63965.407899160964</v>
      </c>
      <c r="I13" s="9">
        <f>H13/$D$42*$D$43</f>
        <v>14131.892442837887</v>
      </c>
      <c r="J13" s="47">
        <f t="shared" si="1"/>
        <v>23739.823166292477</v>
      </c>
      <c r="K13" s="9">
        <f t="shared" si="29"/>
        <v>11557.157267294298</v>
      </c>
      <c r="L13" s="9">
        <f t="shared" si="25"/>
        <v>840.74074074074065</v>
      </c>
      <c r="M13" s="9">
        <f t="shared" ref="M13:M38" si="33">I12/J13*P13+K13/J13*O13</f>
        <v>1288.8166404621645</v>
      </c>
      <c r="N13" s="13">
        <v>4.54</v>
      </c>
      <c r="O13" s="9">
        <f t="shared" si="30"/>
        <v>840.74074074074065</v>
      </c>
      <c r="P13" s="41">
        <f t="shared" si="31"/>
        <v>1713.8864637420372</v>
      </c>
      <c r="Q13" s="110">
        <f t="shared" si="27"/>
        <v>1.5329537133250417</v>
      </c>
      <c r="R13">
        <f t="shared" si="2"/>
        <v>1.74702944880191</v>
      </c>
      <c r="S13">
        <f t="shared" si="3"/>
        <v>1.6320933008544158</v>
      </c>
      <c r="T13">
        <f t="shared" si="4"/>
        <v>2.4596335660763731</v>
      </c>
      <c r="U13">
        <f t="shared" si="5"/>
        <v>0.16091060712649172</v>
      </c>
      <c r="V13">
        <f t="shared" si="6"/>
        <v>0.16091060712649172</v>
      </c>
      <c r="W13">
        <f t="shared" si="7"/>
        <v>0.32182121425298338</v>
      </c>
      <c r="X13">
        <f t="shared" si="8"/>
        <v>0.32182121425298338</v>
      </c>
      <c r="Y13">
        <f t="shared" si="9"/>
        <v>0.32182121425298338</v>
      </c>
      <c r="Z13">
        <f t="shared" si="10"/>
        <v>0.25285952548448698</v>
      </c>
      <c r="AA13">
        <f t="shared" si="11"/>
        <v>1.6091060712649168</v>
      </c>
      <c r="AB13">
        <f t="shared" si="12"/>
        <v>0.8045530356324585</v>
      </c>
      <c r="AC13">
        <f t="shared" si="13"/>
        <v>0.39078290302147989</v>
      </c>
      <c r="AD13">
        <f t="shared" si="14"/>
        <v>4.1606885556992852</v>
      </c>
      <c r="AE13">
        <f t="shared" si="15"/>
        <v>2.8044420099188554</v>
      </c>
      <c r="AF13">
        <f t="shared" si="16"/>
        <v>2.6665186323818624</v>
      </c>
      <c r="AG13">
        <f t="shared" si="17"/>
        <v>3.1722376833508372</v>
      </c>
      <c r="AH13">
        <f t="shared" si="28"/>
        <v>22.987229589498813</v>
      </c>
      <c r="AI13" s="9">
        <f t="shared" si="18"/>
        <v>920146.86072356126</v>
      </c>
      <c r="AJ13" s="9">
        <f t="shared" si="19"/>
        <v>26.058559095691244</v>
      </c>
      <c r="AK13" s="9">
        <f t="shared" si="20"/>
        <v>65.976450555911228</v>
      </c>
      <c r="AL13" s="9">
        <f t="shared" si="21"/>
        <v>10.489412459351776</v>
      </c>
      <c r="AM13" s="9">
        <f t="shared" si="22"/>
        <v>43.929981767436502</v>
      </c>
    </row>
    <row r="14" spans="1:42" x14ac:dyDescent="0.25">
      <c r="A14" s="6">
        <f>'Texas pop'!A110</f>
        <v>2026</v>
      </c>
      <c r="B14" s="6">
        <f>'Texas pop'!B110</f>
        <v>31320722.214285731</v>
      </c>
      <c r="C14" s="6">
        <f>'Texas pop'!C110</f>
        <v>549232.91801599995</v>
      </c>
      <c r="D14" s="6">
        <f>'Texas pop'!D110</f>
        <v>549232.91801599995</v>
      </c>
      <c r="E14" s="6">
        <f>'Texas pop'!E110</f>
        <v>143033.26688255998</v>
      </c>
      <c r="F14" s="47">
        <f t="shared" si="23"/>
        <v>1.9875486129674209</v>
      </c>
      <c r="G14" s="47">
        <f t="shared" si="0"/>
        <v>82.444303514474129</v>
      </c>
      <c r="H14" s="6">
        <f t="shared" si="32"/>
        <v>74199.873163026714</v>
      </c>
      <c r="I14" s="9">
        <f t="shared" si="24"/>
        <v>16392.995233691949</v>
      </c>
      <c r="J14" s="47">
        <f t="shared" si="1"/>
        <v>27538.194872899276</v>
      </c>
      <c r="K14" s="9">
        <f t="shared" si="29"/>
        <v>13406.302430061389</v>
      </c>
      <c r="L14" s="9">
        <f t="shared" si="25"/>
        <v>848.14814814814804</v>
      </c>
      <c r="M14" s="9">
        <f t="shared" si="33"/>
        <v>1283.6275331738495</v>
      </c>
      <c r="N14" s="13">
        <v>4.58</v>
      </c>
      <c r="O14" s="9">
        <f t="shared" si="30"/>
        <v>848.14814814814804</v>
      </c>
      <c r="P14" s="41">
        <f t="shared" si="31"/>
        <v>1696.7475991046169</v>
      </c>
      <c r="Q14" s="9">
        <f t="shared" si="27"/>
        <v>1.5134473098556307</v>
      </c>
      <c r="R14">
        <f t="shared" si="2"/>
        <v>2.0265541606102153</v>
      </c>
      <c r="S14">
        <f t="shared" si="3"/>
        <v>1.8932282289911222</v>
      </c>
      <c r="T14">
        <f t="shared" si="4"/>
        <v>2.853174936648593</v>
      </c>
      <c r="U14">
        <f t="shared" si="5"/>
        <v>0.18665630426673038</v>
      </c>
      <c r="V14">
        <f t="shared" si="6"/>
        <v>0.18665630426673038</v>
      </c>
      <c r="W14">
        <f t="shared" si="7"/>
        <v>0.37331260853346071</v>
      </c>
      <c r="X14">
        <f t="shared" si="8"/>
        <v>0.37331260853346071</v>
      </c>
      <c r="Y14">
        <f t="shared" si="9"/>
        <v>0.37331260853346071</v>
      </c>
      <c r="Z14">
        <f t="shared" si="10"/>
        <v>0.29331704956200494</v>
      </c>
      <c r="AA14">
        <f t="shared" si="11"/>
        <v>1.8665630426673034</v>
      </c>
      <c r="AB14">
        <f t="shared" si="12"/>
        <v>0.93328152133365183</v>
      </c>
      <c r="AC14">
        <f t="shared" si="13"/>
        <v>0.45330816750491665</v>
      </c>
      <c r="AD14">
        <f t="shared" si="14"/>
        <v>4.8263987246111713</v>
      </c>
      <c r="AE14">
        <f t="shared" si="15"/>
        <v>3.2531527315058724</v>
      </c>
      <c r="AF14">
        <f t="shared" si="16"/>
        <v>3.0931616135629607</v>
      </c>
      <c r="AG14">
        <f t="shared" si="17"/>
        <v>3.6797957126869711</v>
      </c>
      <c r="AH14">
        <f t="shared" si="28"/>
        <v>26.66518632381862</v>
      </c>
      <c r="AI14" s="9">
        <f t="shared" si="18"/>
        <v>1067370.3584393309</v>
      </c>
      <c r="AJ14" s="9">
        <f t="shared" si="19"/>
        <v>30.227928551001842</v>
      </c>
      <c r="AK14" s="9">
        <f t="shared" si="20"/>
        <v>76.532682644857005</v>
      </c>
      <c r="AL14" s="9">
        <f t="shared" si="21"/>
        <v>12.16771845284806</v>
      </c>
      <c r="AM14" s="9">
        <f t="shared" si="22"/>
        <v>50.958778850226345</v>
      </c>
    </row>
    <row r="15" spans="1:42" x14ac:dyDescent="0.25">
      <c r="A15" s="6">
        <f>'Texas pop'!A111</f>
        <v>2027</v>
      </c>
      <c r="B15" s="6">
        <f>'Texas pop'!B111</f>
        <v>31659654.857142925</v>
      </c>
      <c r="C15" s="6">
        <f>'Texas pop'!C111</f>
        <v>692266.18489855994</v>
      </c>
      <c r="D15" s="6">
        <f>'Texas pop'!D111</f>
        <v>692266.18489855994</v>
      </c>
      <c r="E15" s="6">
        <f>'Texas pop'!E111</f>
        <v>165918.58958376959</v>
      </c>
      <c r="F15" s="47">
        <f t="shared" si="23"/>
        <v>2.3055563910422081</v>
      </c>
      <c r="G15" s="47">
        <f t="shared" si="0"/>
        <v>95.635392076789998</v>
      </c>
      <c r="H15" s="6">
        <f t="shared" si="32"/>
        <v>86071.852869110997</v>
      </c>
      <c r="I15" s="9">
        <f t="shared" si="24"/>
        <v>19015.874471082665</v>
      </c>
      <c r="J15" s="47">
        <f t="shared" si="1"/>
        <v>31944.306052563155</v>
      </c>
      <c r="K15" s="9">
        <f t="shared" si="29"/>
        <v>15551.310818871207</v>
      </c>
      <c r="L15" s="9">
        <f t="shared" si="25"/>
        <v>888.8888888888888</v>
      </c>
      <c r="M15" s="9">
        <f t="shared" si="33"/>
        <v>1294.7539031947374</v>
      </c>
      <c r="N15" s="13">
        <v>4.8</v>
      </c>
      <c r="O15" s="9">
        <f t="shared" si="30"/>
        <v>888.8888888888888</v>
      </c>
      <c r="P15" s="41">
        <f t="shared" si="31"/>
        <v>1679.7801231135707</v>
      </c>
      <c r="Q15" s="9">
        <f t="shared" si="27"/>
        <v>1.4565981410940798</v>
      </c>
      <c r="R15">
        <f t="shared" si="2"/>
        <v>2.35080282630785</v>
      </c>
      <c r="S15">
        <f t="shared" si="3"/>
        <v>2.1961447456297019</v>
      </c>
      <c r="T15">
        <f t="shared" si="4"/>
        <v>3.3096829265123682</v>
      </c>
      <c r="U15">
        <f t="shared" si="5"/>
        <v>0.21652131294940727</v>
      </c>
      <c r="V15">
        <f t="shared" si="6"/>
        <v>0.21652131294940727</v>
      </c>
      <c r="W15">
        <f t="shared" si="7"/>
        <v>0.43304262589881443</v>
      </c>
      <c r="X15">
        <f t="shared" si="8"/>
        <v>0.43304262589881443</v>
      </c>
      <c r="Y15">
        <f t="shared" si="9"/>
        <v>0.43304262589881443</v>
      </c>
      <c r="Z15">
        <f t="shared" si="10"/>
        <v>0.34024777749192575</v>
      </c>
      <c r="AA15">
        <f t="shared" si="11"/>
        <v>2.165213129494072</v>
      </c>
      <c r="AB15">
        <f t="shared" si="12"/>
        <v>1.0826065647470362</v>
      </c>
      <c r="AC15">
        <f t="shared" si="13"/>
        <v>0.52583747430570327</v>
      </c>
      <c r="AD15">
        <f t="shared" si="14"/>
        <v>5.5986225205489593</v>
      </c>
      <c r="AE15">
        <f t="shared" si="15"/>
        <v>3.7736571685468121</v>
      </c>
      <c r="AF15">
        <f t="shared" si="16"/>
        <v>3.5880674717330345</v>
      </c>
      <c r="AG15">
        <f t="shared" si="17"/>
        <v>4.2685630267168868</v>
      </c>
      <c r="AH15">
        <f t="shared" si="28"/>
        <v>30.931616135629607</v>
      </c>
      <c r="AI15" s="9">
        <f t="shared" si="18"/>
        <v>1238149.6157896242</v>
      </c>
      <c r="AJ15" s="9">
        <f t="shared" si="19"/>
        <v>35.064397119162145</v>
      </c>
      <c r="AK15" s="9">
        <f t="shared" si="20"/>
        <v>88.777911868034124</v>
      </c>
      <c r="AL15" s="9">
        <f t="shared" si="21"/>
        <v>14.11455340530375</v>
      </c>
      <c r="AM15" s="9">
        <f t="shared" si="22"/>
        <v>59.112183466262564</v>
      </c>
    </row>
    <row r="16" spans="1:42" x14ac:dyDescent="0.25">
      <c r="A16" s="6">
        <f>'Texas pop'!A112</f>
        <v>2028</v>
      </c>
      <c r="B16" s="6">
        <f>'Texas pop'!B112</f>
        <v>31998587.500000119</v>
      </c>
      <c r="C16" s="6">
        <f>'Texas pop'!C112</f>
        <v>858184.77448232949</v>
      </c>
      <c r="D16" s="6">
        <f>'Texas pop'!D112</f>
        <v>858184.77448232949</v>
      </c>
      <c r="E16" s="6">
        <f>'Texas pop'!E112</f>
        <v>192465.56391717272</v>
      </c>
      <c r="F16" s="47">
        <f t="shared" si="23"/>
        <v>2.6744454136089617</v>
      </c>
      <c r="G16" s="47">
        <f t="shared" si="0"/>
        <v>110.93705480907639</v>
      </c>
      <c r="H16" s="6">
        <f t="shared" si="32"/>
        <v>99843.34932816877</v>
      </c>
      <c r="I16" s="9">
        <f>H16/$D$42*$D$43</f>
        <v>22058.41438645589</v>
      </c>
      <c r="J16" s="47">
        <f t="shared" si="1"/>
        <v>37055.395020973265</v>
      </c>
      <c r="K16" s="9">
        <f t="shared" si="29"/>
        <v>18039.5205498906</v>
      </c>
      <c r="L16" s="9">
        <f t="shared" si="25"/>
        <v>907.40740740740739</v>
      </c>
      <c r="M16" s="9">
        <f t="shared" si="33"/>
        <v>1295.1489958866</v>
      </c>
      <c r="N16" s="13">
        <v>4.9000000000000004</v>
      </c>
      <c r="O16" s="9">
        <f t="shared" si="30"/>
        <v>907.40740740740739</v>
      </c>
      <c r="P16" s="41">
        <f t="shared" si="31"/>
        <v>1662.9823218824349</v>
      </c>
      <c r="Q16" s="9">
        <f t="shared" si="27"/>
        <v>1.427307056691355</v>
      </c>
      <c r="R16">
        <f t="shared" si="2"/>
        <v>2.7269312785171063</v>
      </c>
      <c r="S16">
        <f t="shared" si="3"/>
        <v>2.5475279049304542</v>
      </c>
      <c r="T16">
        <f t="shared" si="4"/>
        <v>3.8392321947543468</v>
      </c>
      <c r="U16">
        <f t="shared" si="5"/>
        <v>0.25116472302131243</v>
      </c>
      <c r="V16">
        <f t="shared" si="6"/>
        <v>0.25116472302131243</v>
      </c>
      <c r="W16">
        <f t="shared" si="7"/>
        <v>0.50232944604262475</v>
      </c>
      <c r="X16">
        <f t="shared" si="8"/>
        <v>0.50232944604262475</v>
      </c>
      <c r="Y16">
        <f t="shared" si="9"/>
        <v>0.50232944604262475</v>
      </c>
      <c r="Z16">
        <f t="shared" si="10"/>
        <v>0.39468742189063388</v>
      </c>
      <c r="AA16">
        <f t="shared" si="11"/>
        <v>2.5116472302131236</v>
      </c>
      <c r="AB16">
        <f t="shared" si="12"/>
        <v>1.2558236151065618</v>
      </c>
      <c r="AC16">
        <f t="shared" si="13"/>
        <v>0.60997147019461584</v>
      </c>
      <c r="AD16">
        <f t="shared" si="14"/>
        <v>6.4944021238367924</v>
      </c>
      <c r="AE16">
        <f t="shared" si="15"/>
        <v>4.3774423155143021</v>
      </c>
      <c r="AF16">
        <f t="shared" si="16"/>
        <v>4.1621582672103203</v>
      </c>
      <c r="AG16">
        <f t="shared" si="17"/>
        <v>4.9515331109915888</v>
      </c>
      <c r="AH16">
        <f t="shared" si="28"/>
        <v>35.880674717330344</v>
      </c>
      <c r="AI16" s="9">
        <f t="shared" si="18"/>
        <v>1436253.554315964</v>
      </c>
      <c r="AJ16" s="9">
        <f t="shared" si="19"/>
        <v>40.674700658228083</v>
      </c>
      <c r="AK16" s="9">
        <f t="shared" si="20"/>
        <v>102.98237776691958</v>
      </c>
      <c r="AL16" s="9">
        <f t="shared" si="21"/>
        <v>16.372881950152351</v>
      </c>
      <c r="AM16" s="9">
        <f t="shared" si="22"/>
        <v>68.570132820864572</v>
      </c>
    </row>
    <row r="17" spans="1:39" x14ac:dyDescent="0.25">
      <c r="A17" s="6">
        <f>'Texas pop'!A113</f>
        <v>2029</v>
      </c>
      <c r="B17" s="6">
        <f>'Texas pop'!B113</f>
        <v>32337520.142857194</v>
      </c>
      <c r="C17" s="6">
        <f>'Texas pop'!C113</f>
        <v>1050650.3383995022</v>
      </c>
      <c r="D17" s="6">
        <f>'Texas pop'!D113</f>
        <v>1050650.3383995022</v>
      </c>
      <c r="E17" s="6">
        <f>'Texas pop'!E113</f>
        <v>223260.05414392037</v>
      </c>
      <c r="F17" s="47">
        <f t="shared" si="23"/>
        <v>3.1023566797863955</v>
      </c>
      <c r="G17" s="47">
        <f t="shared" si="0"/>
        <v>128.68698357852864</v>
      </c>
      <c r="H17" s="6">
        <f t="shared" si="32"/>
        <v>115818.28522067577</v>
      </c>
      <c r="I17" s="9">
        <f t="shared" si="24"/>
        <v>25587.760688288832</v>
      </c>
      <c r="J17" s="47">
        <f t="shared" si="1"/>
        <v>42984.258224328987</v>
      </c>
      <c r="K17" s="9">
        <f>J17-I16</f>
        <v>20925.843837873097</v>
      </c>
      <c r="L17" s="9">
        <f t="shared" si="25"/>
        <v>944.44444444444423</v>
      </c>
      <c r="M17" s="9">
        <f t="shared" si="33"/>
        <v>1304.6455822738737</v>
      </c>
      <c r="N17" s="13">
        <v>5.0999999999999996</v>
      </c>
      <c r="O17" s="9">
        <f t="shared" si="30"/>
        <v>944.44444444444423</v>
      </c>
      <c r="P17" s="41">
        <f t="shared" si="31"/>
        <v>1646.3524986636105</v>
      </c>
      <c r="Q17" s="9">
        <f t="shared" si="27"/>
        <v>1.3813894400546902</v>
      </c>
      <c r="R17">
        <f t="shared" si="2"/>
        <v>3.1632402830798436</v>
      </c>
      <c r="S17">
        <f t="shared" si="3"/>
        <v>2.955132369719327</v>
      </c>
      <c r="T17">
        <f t="shared" si="4"/>
        <v>4.4535093459150428</v>
      </c>
      <c r="U17">
        <f t="shared" si="5"/>
        <v>0.29135107870472238</v>
      </c>
      <c r="V17">
        <f t="shared" si="6"/>
        <v>0.29135107870472238</v>
      </c>
      <c r="W17">
        <f t="shared" si="7"/>
        <v>0.58270215740944464</v>
      </c>
      <c r="X17">
        <f t="shared" si="8"/>
        <v>0.58270215740944464</v>
      </c>
      <c r="Y17">
        <f t="shared" si="9"/>
        <v>0.58270215740944464</v>
      </c>
      <c r="Z17">
        <f t="shared" si="10"/>
        <v>0.45783740939313528</v>
      </c>
      <c r="AA17">
        <f t="shared" si="11"/>
        <v>2.9135107870472234</v>
      </c>
      <c r="AB17">
        <f t="shared" si="12"/>
        <v>1.4567553935236117</v>
      </c>
      <c r="AC17">
        <f t="shared" si="13"/>
        <v>0.70756690542575451</v>
      </c>
      <c r="AD17">
        <f t="shared" si="14"/>
        <v>7.5335064636506788</v>
      </c>
      <c r="AE17">
        <f t="shared" si="15"/>
        <v>5.0778330859965903</v>
      </c>
      <c r="AF17">
        <f t="shared" si="16"/>
        <v>4.8281035899639715</v>
      </c>
      <c r="AG17">
        <f t="shared" si="17"/>
        <v>5.7437784087502424</v>
      </c>
      <c r="AH17">
        <f t="shared" si="28"/>
        <v>41.621582672103202</v>
      </c>
      <c r="AI17" s="9">
        <f t="shared" si="18"/>
        <v>1666054.1230065182</v>
      </c>
      <c r="AJ17" s="9">
        <f t="shared" si="19"/>
        <v>47.182652763544574</v>
      </c>
      <c r="AK17" s="9">
        <f t="shared" si="20"/>
        <v>119.45955820962673</v>
      </c>
      <c r="AL17" s="9">
        <f t="shared" si="21"/>
        <v>18.992543062176725</v>
      </c>
      <c r="AM17" s="9">
        <f t="shared" si="22"/>
        <v>79.541354072202907</v>
      </c>
    </row>
    <row r="18" spans="1:39" x14ac:dyDescent="0.25">
      <c r="A18" s="10">
        <f>'Texas pop'!A114</f>
        <v>2030</v>
      </c>
      <c r="B18" s="10">
        <f>'Texas pop'!B114</f>
        <v>32676452.785714388</v>
      </c>
      <c r="C18" s="10">
        <f>'Texas pop'!C114</f>
        <v>1273910.3925434225</v>
      </c>
      <c r="D18" s="10">
        <f>'Texas pop'!D114</f>
        <v>1273910.3925434225</v>
      </c>
      <c r="E18" s="10">
        <f>'Texas pop'!E114</f>
        <v>258981.66280694763</v>
      </c>
      <c r="F18" s="47">
        <f t="shared" si="23"/>
        <v>3.5987337485522191</v>
      </c>
      <c r="G18" s="47">
        <f t="shared" si="0"/>
        <v>149.27690095109318</v>
      </c>
      <c r="H18" s="10">
        <f t="shared" si="32"/>
        <v>134349.2108559839</v>
      </c>
      <c r="I18" s="9">
        <f t="shared" si="24"/>
        <v>29681.802398415046</v>
      </c>
      <c r="J18" s="69">
        <f t="shared" si="1"/>
        <v>49861.739540221621</v>
      </c>
      <c r="K18" s="97">
        <f t="shared" si="29"/>
        <v>24273.978851932789</v>
      </c>
      <c r="L18" s="9">
        <f t="shared" si="25"/>
        <v>962.96296296296282</v>
      </c>
      <c r="M18" s="9">
        <f t="shared" si="33"/>
        <v>1305.2122169261033</v>
      </c>
      <c r="N18" s="13">
        <v>5.2</v>
      </c>
      <c r="O18" s="9">
        <f t="shared" si="30"/>
        <v>962.96296296296282</v>
      </c>
      <c r="P18" s="41">
        <f t="shared" si="31"/>
        <v>1629.8889736769743</v>
      </c>
      <c r="Q18" s="9">
        <f t="shared" si="27"/>
        <v>1.3554126868078769</v>
      </c>
      <c r="R18">
        <f t="shared" si="2"/>
        <v>3.6693587283726186</v>
      </c>
      <c r="S18">
        <f t="shared" si="3"/>
        <v>3.4279535488744197</v>
      </c>
      <c r="T18">
        <f t="shared" si="4"/>
        <v>5.1660708412614493</v>
      </c>
      <c r="U18">
        <f t="shared" si="5"/>
        <v>0.33796725129747796</v>
      </c>
      <c r="V18">
        <f t="shared" si="6"/>
        <v>0.33796725129747796</v>
      </c>
      <c r="W18">
        <f t="shared" si="7"/>
        <v>0.6759345025949558</v>
      </c>
      <c r="X18">
        <f t="shared" si="8"/>
        <v>0.6759345025949558</v>
      </c>
      <c r="Y18">
        <f t="shared" si="9"/>
        <v>0.6759345025949558</v>
      </c>
      <c r="Z18">
        <f t="shared" si="10"/>
        <v>0.53109139489603696</v>
      </c>
      <c r="AA18">
        <f t="shared" si="11"/>
        <v>3.3796725129747793</v>
      </c>
      <c r="AB18">
        <f t="shared" si="12"/>
        <v>1.6898362564873899</v>
      </c>
      <c r="AC18">
        <f t="shared" si="13"/>
        <v>0.82077761029387519</v>
      </c>
      <c r="AD18">
        <f t="shared" si="14"/>
        <v>8.7388674978347893</v>
      </c>
      <c r="AE18">
        <f t="shared" si="15"/>
        <v>5.8902863797560459</v>
      </c>
      <c r="AF18">
        <f t="shared" si="16"/>
        <v>5.6006001643582071</v>
      </c>
      <c r="AG18">
        <f t="shared" si="17"/>
        <v>6.6627829541502814</v>
      </c>
      <c r="AH18">
        <f t="shared" si="28"/>
        <v>48.281035899639711</v>
      </c>
      <c r="AI18" s="9">
        <f t="shared" si="18"/>
        <v>1932622.7826875611</v>
      </c>
      <c r="AJ18" s="9">
        <f t="shared" si="19"/>
        <v>54.731877205711704</v>
      </c>
      <c r="AK18" s="9">
        <f t="shared" si="20"/>
        <v>138.57308752316703</v>
      </c>
      <c r="AL18" s="9">
        <f t="shared" si="21"/>
        <v>22.031349952125005</v>
      </c>
      <c r="AM18" s="9">
        <f t="shared" si="22"/>
        <v>92.267970723755369</v>
      </c>
    </row>
    <row r="19" spans="1:39" x14ac:dyDescent="0.25">
      <c r="A19" s="6">
        <f>'Texas pop'!A115</f>
        <v>2031</v>
      </c>
      <c r="B19" s="6">
        <f>'Texas pop'!B115</f>
        <v>33015385.428571463</v>
      </c>
      <c r="C19" s="6">
        <f>'Texas pop'!C115</f>
        <v>1532892.0553503702</v>
      </c>
      <c r="D19" s="6">
        <f>'Texas pop'!D115</f>
        <v>1532892.0553503702</v>
      </c>
      <c r="E19" s="6">
        <f>'Texas pop'!E115</f>
        <v>282290.01245957293</v>
      </c>
      <c r="F19" s="47">
        <f t="shared" si="23"/>
        <v>3.9226197859219183</v>
      </c>
      <c r="G19" s="47">
        <f t="shared" si="0"/>
        <v>162.71182203669161</v>
      </c>
      <c r="H19" s="6">
        <f t="shared" si="32"/>
        <v>146440.63983302243</v>
      </c>
      <c r="I19" s="9">
        <f t="shared" si="24"/>
        <v>32353.164614272398</v>
      </c>
      <c r="J19" s="47">
        <f t="shared" si="1"/>
        <v>54349.29609884158</v>
      </c>
      <c r="K19" s="9">
        <f t="shared" si="29"/>
        <v>24667.493700426534</v>
      </c>
      <c r="L19" s="9">
        <f t="shared" si="25"/>
        <v>981.4814814814813</v>
      </c>
      <c r="M19" s="9">
        <f t="shared" si="33"/>
        <v>1326.6952005036494</v>
      </c>
      <c r="N19" s="13">
        <v>5.3</v>
      </c>
      <c r="O19" s="9">
        <f t="shared" si="30"/>
        <v>981.4814814814813</v>
      </c>
      <c r="P19" s="41">
        <f t="shared" si="31"/>
        <v>1613.5900839402045</v>
      </c>
      <c r="Q19" s="9">
        <f t="shared" si="27"/>
        <v>1.3517271854188129</v>
      </c>
      <c r="R19">
        <f t="shared" si="2"/>
        <v>3.9996010139261542</v>
      </c>
      <c r="S19">
        <f t="shared" si="3"/>
        <v>3.7364693682731174</v>
      </c>
      <c r="T19">
        <f t="shared" si="4"/>
        <v>5.6310172169749801</v>
      </c>
      <c r="U19">
        <f t="shared" si="5"/>
        <v>0.36838430391425103</v>
      </c>
      <c r="V19">
        <f t="shared" si="6"/>
        <v>0.36838430391425103</v>
      </c>
      <c r="W19">
        <f t="shared" si="7"/>
        <v>0.73676860782850195</v>
      </c>
      <c r="X19">
        <f t="shared" si="8"/>
        <v>0.73676860782850195</v>
      </c>
      <c r="Y19">
        <f t="shared" si="9"/>
        <v>0.73676860782850195</v>
      </c>
      <c r="Z19">
        <f t="shared" si="10"/>
        <v>0.57888962043668024</v>
      </c>
      <c r="AA19">
        <f t="shared" si="11"/>
        <v>3.6838430391425097</v>
      </c>
      <c r="AB19">
        <f t="shared" si="12"/>
        <v>1.8419215195712551</v>
      </c>
      <c r="AC19">
        <f t="shared" si="13"/>
        <v>0.894647595220324</v>
      </c>
      <c r="AD19">
        <f t="shared" si="14"/>
        <v>9.5253655726399202</v>
      </c>
      <c r="AE19">
        <f t="shared" si="15"/>
        <v>6.4204121539340893</v>
      </c>
      <c r="AF19">
        <f t="shared" si="16"/>
        <v>6.1046541791504456</v>
      </c>
      <c r="AG19">
        <f t="shared" si="17"/>
        <v>7.2624334200238074</v>
      </c>
      <c r="AH19">
        <f t="shared" si="28"/>
        <v>52.626329130607289</v>
      </c>
      <c r="AI19" s="9">
        <f t="shared" si="18"/>
        <v>2106558.8331294418</v>
      </c>
      <c r="AJ19" s="9">
        <f t="shared" si="19"/>
        <v>59.657746154225769</v>
      </c>
      <c r="AK19" s="9">
        <f t="shared" si="20"/>
        <v>151.04466540025206</v>
      </c>
      <c r="AL19" s="9">
        <f t="shared" si="21"/>
        <v>24.014171447816253</v>
      </c>
      <c r="AM19" s="9">
        <f t="shared" si="22"/>
        <v>100.57208808889335</v>
      </c>
    </row>
    <row r="20" spans="1:39" x14ac:dyDescent="0.25">
      <c r="A20" s="6">
        <f>'Texas pop'!A116</f>
        <v>2032</v>
      </c>
      <c r="B20" s="6">
        <f>'Texas pop'!B116</f>
        <v>33354318.071428657</v>
      </c>
      <c r="C20" s="6">
        <f>'Texas pop'!C116</f>
        <v>1815182.0678099431</v>
      </c>
      <c r="D20" s="6">
        <f>'Texas pop'!D116</f>
        <v>1815182.0678099431</v>
      </c>
      <c r="E20" s="6">
        <f>'Texas pop'!E116</f>
        <v>307696.11358093447</v>
      </c>
      <c r="F20" s="47">
        <f t="shared" si="23"/>
        <v>4.2756555666548914</v>
      </c>
      <c r="G20" s="47">
        <f t="shared" si="0"/>
        <v>177.35588601999385</v>
      </c>
      <c r="H20" s="6">
        <f t="shared" si="32"/>
        <v>159620.29741799444</v>
      </c>
      <c r="I20" s="9">
        <f t="shared" si="24"/>
        <v>35264.949429556909</v>
      </c>
      <c r="J20" s="47">
        <f t="shared" si="1"/>
        <v>59240.732747737311</v>
      </c>
      <c r="K20" s="9">
        <f t="shared" si="29"/>
        <v>26887.568133464913</v>
      </c>
      <c r="L20" s="9">
        <f t="shared" si="25"/>
        <v>999.99999999999989</v>
      </c>
      <c r="M20" s="9">
        <f t="shared" si="33"/>
        <v>1326.2878873841105</v>
      </c>
      <c r="N20" s="13">
        <v>5.4</v>
      </c>
      <c r="O20" s="9">
        <f t="shared" si="30"/>
        <v>999.99999999999989</v>
      </c>
      <c r="P20" s="41">
        <f t="shared" si="31"/>
        <v>1597.4541831008025</v>
      </c>
      <c r="Q20" s="9">
        <f t="shared" si="27"/>
        <v>1.3262878873841106</v>
      </c>
      <c r="R20">
        <f t="shared" si="2"/>
        <v>4.3595651051795086</v>
      </c>
      <c r="S20">
        <f t="shared" si="3"/>
        <v>4.072751611417698</v>
      </c>
      <c r="T20">
        <f t="shared" si="4"/>
        <v>6.1378087665027277</v>
      </c>
      <c r="U20">
        <f t="shared" si="5"/>
        <v>0.40153889126653364</v>
      </c>
      <c r="V20">
        <f t="shared" si="6"/>
        <v>0.40153889126653364</v>
      </c>
      <c r="W20">
        <f t="shared" si="7"/>
        <v>0.80307778253306705</v>
      </c>
      <c r="X20">
        <f t="shared" si="8"/>
        <v>0.80307778253306705</v>
      </c>
      <c r="Y20">
        <f t="shared" si="9"/>
        <v>0.80307778253306705</v>
      </c>
      <c r="Z20">
        <f t="shared" si="10"/>
        <v>0.63098968627598151</v>
      </c>
      <c r="AA20">
        <f t="shared" si="11"/>
        <v>4.015388912665335</v>
      </c>
      <c r="AB20">
        <f t="shared" si="12"/>
        <v>2.007694456332668</v>
      </c>
      <c r="AC20">
        <f t="shared" si="13"/>
        <v>0.97516587879015304</v>
      </c>
      <c r="AD20">
        <f t="shared" si="14"/>
        <v>10.382648474177511</v>
      </c>
      <c r="AE20">
        <f t="shared" si="15"/>
        <v>6.9982492477881575</v>
      </c>
      <c r="AF20">
        <f t="shared" si="16"/>
        <v>6.6540730552739857</v>
      </c>
      <c r="AG20">
        <f t="shared" si="17"/>
        <v>7.9160524278259503</v>
      </c>
      <c r="AH20">
        <f t="shared" si="28"/>
        <v>57.36269875236195</v>
      </c>
      <c r="AI20" s="9">
        <f t="shared" si="18"/>
        <v>2296149.1281110914</v>
      </c>
      <c r="AJ20" s="9">
        <f t="shared" si="19"/>
        <v>65.026943308106084</v>
      </c>
      <c r="AK20" s="9">
        <f t="shared" si="20"/>
        <v>164.63868528627472</v>
      </c>
      <c r="AL20" s="9">
        <f t="shared" si="21"/>
        <v>26.175446878119718</v>
      </c>
      <c r="AM20" s="9">
        <f t="shared" si="22"/>
        <v>109.62357601689376</v>
      </c>
    </row>
    <row r="21" spans="1:39" x14ac:dyDescent="0.25">
      <c r="A21" s="6">
        <f>'Texas pop'!A117</f>
        <v>2033</v>
      </c>
      <c r="B21" s="6">
        <f>'Texas pop'!B117</f>
        <v>33693250.714285731</v>
      </c>
      <c r="C21" s="6">
        <f>'Texas pop'!C117</f>
        <v>2122878.1813908778</v>
      </c>
      <c r="D21" s="6">
        <f>'Texas pop'!D117</f>
        <v>2122878.1813908778</v>
      </c>
      <c r="E21" s="6">
        <f>'Texas pop'!E117</f>
        <v>335388.76380321855</v>
      </c>
      <c r="F21" s="47">
        <f t="shared" si="23"/>
        <v>4.6604645676538308</v>
      </c>
      <c r="G21" s="47">
        <f t="shared" si="0"/>
        <v>193.31791576179327</v>
      </c>
      <c r="H21" s="6">
        <f t="shared" si="32"/>
        <v>173986.12418561394</v>
      </c>
      <c r="I21" s="9">
        <f t="shared" si="24"/>
        <v>38438.794878217035</v>
      </c>
      <c r="J21" s="47">
        <f t="shared" si="1"/>
        <v>64572.398695033669</v>
      </c>
      <c r="K21" s="9">
        <f t="shared" si="29"/>
        <v>29307.44926547676</v>
      </c>
      <c r="L21" s="9">
        <f t="shared" si="25"/>
        <v>996.29629629629619</v>
      </c>
      <c r="M21" s="9">
        <f t="shared" si="33"/>
        <v>1315.8827060403801</v>
      </c>
      <c r="N21" s="13">
        <v>5.38</v>
      </c>
      <c r="O21" s="9">
        <f t="shared" si="30"/>
        <v>996.29629629629619</v>
      </c>
      <c r="P21" s="41">
        <f t="shared" si="31"/>
        <v>1581.4796412697945</v>
      </c>
      <c r="Q21" s="9">
        <f t="shared" si="27"/>
        <v>1.3207744633119058</v>
      </c>
      <c r="R21">
        <f t="shared" si="2"/>
        <v>4.7519259646456629</v>
      </c>
      <c r="S21">
        <f t="shared" si="3"/>
        <v>4.4392992564452909</v>
      </c>
      <c r="T21">
        <f t="shared" si="4"/>
        <v>6.6902115554879726</v>
      </c>
      <c r="U21">
        <f t="shared" si="5"/>
        <v>0.43767739148052159</v>
      </c>
      <c r="V21">
        <f t="shared" si="6"/>
        <v>0.43767739148052159</v>
      </c>
      <c r="W21">
        <f t="shared" si="7"/>
        <v>0.87535478296104308</v>
      </c>
      <c r="X21">
        <f t="shared" si="8"/>
        <v>0.87535478296104308</v>
      </c>
      <c r="Y21">
        <f t="shared" si="9"/>
        <v>0.87535478296104308</v>
      </c>
      <c r="Z21">
        <f t="shared" si="10"/>
        <v>0.68777875804081978</v>
      </c>
      <c r="AA21">
        <f t="shared" si="11"/>
        <v>4.3767739148052147</v>
      </c>
      <c r="AB21">
        <f t="shared" si="12"/>
        <v>2.1883869574026078</v>
      </c>
      <c r="AC21">
        <f t="shared" si="13"/>
        <v>1.0629308078812667</v>
      </c>
      <c r="AD21">
        <f t="shared" si="14"/>
        <v>11.317086836853488</v>
      </c>
      <c r="AE21">
        <f t="shared" si="15"/>
        <v>7.6280916800890912</v>
      </c>
      <c r="AF21">
        <f t="shared" si="16"/>
        <v>7.2529396302486431</v>
      </c>
      <c r="AG21">
        <f t="shared" si="17"/>
        <v>8.6284971463302842</v>
      </c>
      <c r="AH21">
        <f t="shared" si="28"/>
        <v>62.525341640074508</v>
      </c>
      <c r="AI21" s="9">
        <f t="shared" si="18"/>
        <v>2502802.5496410895</v>
      </c>
      <c r="AJ21" s="9">
        <f t="shared" si="19"/>
        <v>70.879368205835632</v>
      </c>
      <c r="AK21" s="9">
        <f t="shared" si="20"/>
        <v>179.45616696203945</v>
      </c>
      <c r="AL21" s="9">
        <f t="shared" si="21"/>
        <v>28.531237097150491</v>
      </c>
      <c r="AM21" s="9">
        <f t="shared" si="22"/>
        <v>119.48969785841419</v>
      </c>
    </row>
    <row r="22" spans="1:39" x14ac:dyDescent="0.25">
      <c r="A22" s="6">
        <f>'Texas pop'!A118</f>
        <v>2034</v>
      </c>
      <c r="B22" s="6">
        <f>'Texas pop'!B118</f>
        <v>34032183.357142925</v>
      </c>
      <c r="C22" s="6">
        <f>'Texas pop'!C118</f>
        <v>2458266.9451940963</v>
      </c>
      <c r="D22" s="6">
        <f>'Texas pop'!D118</f>
        <v>2458266.9451940963</v>
      </c>
      <c r="E22" s="6">
        <f>'Texas pop'!E118</f>
        <v>365573.75254550821</v>
      </c>
      <c r="F22" s="47">
        <f t="shared" si="23"/>
        <v>5.0799063787426748</v>
      </c>
      <c r="G22" s="47">
        <f t="shared" si="0"/>
        <v>210.71652818035466</v>
      </c>
      <c r="H22" s="6">
        <f t="shared" si="32"/>
        <v>189644.8753623192</v>
      </c>
      <c r="I22" s="9">
        <f t="shared" si="24"/>
        <v>41898.286417256568</v>
      </c>
      <c r="J22" s="47">
        <f t="shared" si="1"/>
        <v>70383.914577586693</v>
      </c>
      <c r="K22" s="9">
        <f t="shared" si="29"/>
        <v>31945.119699369658</v>
      </c>
      <c r="L22" s="9">
        <f t="shared" si="25"/>
        <v>985.18518518518511</v>
      </c>
      <c r="M22" s="9">
        <f t="shared" si="33"/>
        <v>1302.2027694303679</v>
      </c>
      <c r="N22" s="13">
        <v>5.32</v>
      </c>
      <c r="O22" s="9">
        <f t="shared" si="30"/>
        <v>985.18518518518511</v>
      </c>
      <c r="P22" s="41">
        <f t="shared" si="31"/>
        <v>1565.6648448570966</v>
      </c>
      <c r="Q22" s="9">
        <f t="shared" si="27"/>
        <v>1.3217847659631554</v>
      </c>
      <c r="R22">
        <f t="shared" si="2"/>
        <v>5.1795993014637727</v>
      </c>
      <c r="S22">
        <f t="shared" si="3"/>
        <v>4.8388361895253658</v>
      </c>
      <c r="T22">
        <f t="shared" si="4"/>
        <v>7.2923305954818902</v>
      </c>
      <c r="U22">
        <f t="shared" si="5"/>
        <v>0.47706835671376857</v>
      </c>
      <c r="V22">
        <f t="shared" si="6"/>
        <v>0.47706835671376857</v>
      </c>
      <c r="W22">
        <f t="shared" si="7"/>
        <v>0.95413671342753692</v>
      </c>
      <c r="X22">
        <f t="shared" si="8"/>
        <v>0.95413671342753692</v>
      </c>
      <c r="Y22">
        <f t="shared" si="9"/>
        <v>0.95413671342753692</v>
      </c>
      <c r="Z22">
        <f t="shared" si="10"/>
        <v>0.74967884626449355</v>
      </c>
      <c r="AA22">
        <f t="shared" si="11"/>
        <v>4.7706835671376844</v>
      </c>
      <c r="AB22">
        <f t="shared" si="12"/>
        <v>2.3853417835688422</v>
      </c>
      <c r="AC22">
        <f t="shared" si="13"/>
        <v>1.1585945805905808</v>
      </c>
      <c r="AD22">
        <f t="shared" si="14"/>
        <v>12.335624652170301</v>
      </c>
      <c r="AE22">
        <f t="shared" si="15"/>
        <v>8.3146199312971092</v>
      </c>
      <c r="AF22">
        <f t="shared" si="16"/>
        <v>7.9057041969710218</v>
      </c>
      <c r="AG22">
        <f t="shared" si="17"/>
        <v>9.4050618895000113</v>
      </c>
      <c r="AH22">
        <f t="shared" si="28"/>
        <v>68.15262238768122</v>
      </c>
      <c r="AI22" s="9">
        <f t="shared" si="18"/>
        <v>2728054.7791087874</v>
      </c>
      <c r="AJ22" s="9">
        <f t="shared" si="19"/>
        <v>77.258511344360826</v>
      </c>
      <c r="AK22" s="9">
        <f t="shared" si="20"/>
        <v>195.607221988623</v>
      </c>
      <c r="AL22" s="9">
        <f t="shared" si="21"/>
        <v>31.099048435894034</v>
      </c>
      <c r="AM22" s="9">
        <f t="shared" si="22"/>
        <v>130.24377066567146</v>
      </c>
    </row>
    <row r="23" spans="1:39" x14ac:dyDescent="0.25">
      <c r="A23" s="6">
        <f>'Texas pop'!A119</f>
        <v>2035</v>
      </c>
      <c r="B23" s="6">
        <f>'Texas pop'!B119</f>
        <v>34371116.000000119</v>
      </c>
      <c r="C23" s="6">
        <f>'Texas pop'!C119</f>
        <v>2823840.6977396044</v>
      </c>
      <c r="D23" s="6">
        <f>'Texas pop'!D119</f>
        <v>2823840.6977396044</v>
      </c>
      <c r="E23" s="6">
        <f>'Texas pop'!E119</f>
        <v>398475.39027460397</v>
      </c>
      <c r="F23" s="47">
        <f t="shared" si="23"/>
        <v>5.5370979528295168</v>
      </c>
      <c r="G23" s="47">
        <f t="shared" si="0"/>
        <v>229.68101571658659</v>
      </c>
      <c r="H23" s="6">
        <f t="shared" si="32"/>
        <v>206712.91414492793</v>
      </c>
      <c r="I23" s="9">
        <f t="shared" si="24"/>
        <v>45669.132194809652</v>
      </c>
      <c r="J23" s="47">
        <f t="shared" si="1"/>
        <v>76718.466889569507</v>
      </c>
      <c r="K23" s="9">
        <f t="shared" si="29"/>
        <v>34820.180472312939</v>
      </c>
      <c r="L23" s="9">
        <f t="shared" si="25"/>
        <v>994.44444444444434</v>
      </c>
      <c r="M23" s="9">
        <f t="shared" si="33"/>
        <v>1297.8546942392234</v>
      </c>
      <c r="N23" s="13">
        <v>5.37</v>
      </c>
      <c r="O23" s="9">
        <f t="shared" si="30"/>
        <v>994.44444444444434</v>
      </c>
      <c r="P23" s="41">
        <f t="shared" si="31"/>
        <v>1550.0081964085257</v>
      </c>
      <c r="Q23" s="9">
        <f t="shared" si="27"/>
        <v>1.3051052791232416</v>
      </c>
      <c r="R23">
        <f t="shared" si="2"/>
        <v>5.6457632385955128</v>
      </c>
      <c r="S23">
        <f t="shared" si="3"/>
        <v>5.2743314465826492</v>
      </c>
      <c r="T23">
        <f t="shared" si="4"/>
        <v>7.9486403490752604</v>
      </c>
      <c r="U23">
        <f t="shared" si="5"/>
        <v>0.52000450881800775</v>
      </c>
      <c r="V23">
        <f t="shared" si="6"/>
        <v>0.52000450881800775</v>
      </c>
      <c r="W23">
        <f t="shared" si="7"/>
        <v>1.0400090176360153</v>
      </c>
      <c r="X23">
        <f t="shared" si="8"/>
        <v>1.0400090176360153</v>
      </c>
      <c r="Y23">
        <f t="shared" si="9"/>
        <v>1.0400090176360153</v>
      </c>
      <c r="Z23">
        <f t="shared" si="10"/>
        <v>0.81714994242829797</v>
      </c>
      <c r="AA23">
        <f t="shared" si="11"/>
        <v>5.2000450881800759</v>
      </c>
      <c r="AB23">
        <f t="shared" si="12"/>
        <v>2.6000225440900384</v>
      </c>
      <c r="AC23">
        <f t="shared" si="13"/>
        <v>1.262868092843733</v>
      </c>
      <c r="AD23">
        <f t="shared" si="14"/>
        <v>13.445830870865628</v>
      </c>
      <c r="AE23">
        <f t="shared" si="15"/>
        <v>9.0629357251138476</v>
      </c>
      <c r="AF23">
        <f t="shared" si="16"/>
        <v>8.6172175746984152</v>
      </c>
      <c r="AG23">
        <f t="shared" si="17"/>
        <v>10.251517459555011</v>
      </c>
      <c r="AH23">
        <f t="shared" si="28"/>
        <v>74.286358402572517</v>
      </c>
      <c r="AI23" s="9">
        <f t="shared" si="18"/>
        <v>2973579.7092285785</v>
      </c>
      <c r="AJ23" s="9">
        <f t="shared" si="19"/>
        <v>84.211777365353299</v>
      </c>
      <c r="AK23" s="9">
        <f t="shared" si="20"/>
        <v>213.21187196759905</v>
      </c>
      <c r="AL23" s="9">
        <f t="shared" si="21"/>
        <v>33.897962795124499</v>
      </c>
      <c r="AM23" s="9">
        <f t="shared" si="22"/>
        <v>141.9657100255819</v>
      </c>
    </row>
    <row r="24" spans="1:39" x14ac:dyDescent="0.25">
      <c r="A24" s="6">
        <f>'Texas pop'!A120</f>
        <v>2036</v>
      </c>
      <c r="B24" s="6">
        <f>'Texas pop'!B120</f>
        <v>34710048.642857194</v>
      </c>
      <c r="C24" s="6">
        <f>'Texas pop'!C120</f>
        <v>3222316.0880142082</v>
      </c>
      <c r="D24" s="6">
        <f>'Texas pop'!D120</f>
        <v>3210416.0880142082</v>
      </c>
      <c r="E24" s="6">
        <f>'Texas pop'!E120</f>
        <v>434338.17539931834</v>
      </c>
      <c r="F24" s="47">
        <f t="shared" si="23"/>
        <v>6.035436768584173</v>
      </c>
      <c r="G24" s="47">
        <f t="shared" si="0"/>
        <v>250.35230713107941</v>
      </c>
      <c r="H24" s="6">
        <f t="shared" si="32"/>
        <v>225317.07641797143</v>
      </c>
      <c r="I24" s="9">
        <f t="shared" si="24"/>
        <v>49779.354092342524</v>
      </c>
      <c r="J24" s="47">
        <f t="shared" si="1"/>
        <v>83623.128909630759</v>
      </c>
      <c r="K24" s="9">
        <f t="shared" si="29"/>
        <v>37953.996714821107</v>
      </c>
      <c r="L24" s="9">
        <f t="shared" si="25"/>
        <v>962.96296296296282</v>
      </c>
      <c r="M24" s="9">
        <f t="shared" si="33"/>
        <v>1275.1011407453057</v>
      </c>
      <c r="N24" s="13">
        <v>5.2</v>
      </c>
      <c r="O24" s="9">
        <f t="shared" si="30"/>
        <v>962.96296296296282</v>
      </c>
      <c r="P24" s="41">
        <f t="shared" si="31"/>
        <v>1534.5081144444405</v>
      </c>
      <c r="Q24" s="9">
        <f t="shared" si="27"/>
        <v>1.3241434923124329</v>
      </c>
      <c r="R24">
        <f t="shared" si="2"/>
        <v>6.1538819300691081</v>
      </c>
      <c r="S24">
        <f t="shared" si="3"/>
        <v>5.7490212767750881</v>
      </c>
      <c r="T24">
        <f t="shared" si="4"/>
        <v>8.6640179804920354</v>
      </c>
      <c r="U24">
        <f t="shared" si="5"/>
        <v>0.56680491461162841</v>
      </c>
      <c r="V24">
        <f t="shared" si="6"/>
        <v>0.56680491461162841</v>
      </c>
      <c r="W24">
        <f t="shared" si="7"/>
        <v>1.1336098292232568</v>
      </c>
      <c r="X24">
        <f t="shared" si="8"/>
        <v>1.1336098292232568</v>
      </c>
      <c r="Y24">
        <f t="shared" si="9"/>
        <v>1.1336098292232568</v>
      </c>
      <c r="Z24">
        <f t="shared" si="10"/>
        <v>0.89069343724684491</v>
      </c>
      <c r="AA24">
        <f t="shared" si="11"/>
        <v>5.6680491461162825</v>
      </c>
      <c r="AB24">
        <f t="shared" si="12"/>
        <v>2.8340245730581417</v>
      </c>
      <c r="AC24">
        <f t="shared" si="13"/>
        <v>1.3765262211996692</v>
      </c>
      <c r="AD24">
        <f t="shared" si="14"/>
        <v>14.655955649243536</v>
      </c>
      <c r="AE24">
        <f t="shared" si="15"/>
        <v>9.8785999403740945</v>
      </c>
      <c r="AF24">
        <f t="shared" si="16"/>
        <v>9.3927671564212716</v>
      </c>
      <c r="AG24">
        <f t="shared" si="17"/>
        <v>11.174154030914963</v>
      </c>
      <c r="AH24">
        <f t="shared" si="28"/>
        <v>80.972130658804062</v>
      </c>
      <c r="AI24" s="9">
        <f t="shared" si="18"/>
        <v>3241201.8830591505</v>
      </c>
      <c r="AJ24" s="9">
        <f t="shared" si="19"/>
        <v>91.790837328235099</v>
      </c>
      <c r="AK24" s="9">
        <f t="shared" si="20"/>
        <v>232.40094044468299</v>
      </c>
      <c r="AL24" s="9">
        <f t="shared" si="21"/>
        <v>36.948779446685698</v>
      </c>
      <c r="AM24" s="9">
        <f t="shared" si="22"/>
        <v>154.74262392788427</v>
      </c>
    </row>
    <row r="25" spans="1:39" x14ac:dyDescent="0.25">
      <c r="A25" s="6">
        <f>'Texas pop'!A121</f>
        <v>2037</v>
      </c>
      <c r="B25" s="6">
        <f>'Texas pop'!B121</f>
        <v>35048981.285714388</v>
      </c>
      <c r="C25" s="6">
        <f>'Texas pop'!C121</f>
        <v>3656654.2634135266</v>
      </c>
      <c r="D25" s="6">
        <f>'Texas pop'!D121</f>
        <v>3640554.2634135266</v>
      </c>
      <c r="E25" s="6">
        <f>'Texas pop'!E121</f>
        <v>473428.61118525697</v>
      </c>
      <c r="F25" s="47">
        <f t="shared" si="23"/>
        <v>6.5786260777567485</v>
      </c>
      <c r="G25" s="47">
        <f t="shared" si="0"/>
        <v>272.88401477287653</v>
      </c>
      <c r="H25" s="6">
        <f t="shared" si="32"/>
        <v>245595.61329558888</v>
      </c>
      <c r="I25" s="9">
        <f t="shared" si="24"/>
        <v>54259.495960653359</v>
      </c>
      <c r="J25" s="47">
        <f t="shared" si="1"/>
        <v>91149.210511497527</v>
      </c>
      <c r="K25" s="9">
        <f t="shared" si="29"/>
        <v>41369.856419155003</v>
      </c>
      <c r="L25" s="9">
        <f t="shared" si="25"/>
        <v>999.99999999999989</v>
      </c>
      <c r="M25" s="9">
        <f t="shared" si="33"/>
        <v>1283.5307110316135</v>
      </c>
      <c r="N25" s="13">
        <v>5.4</v>
      </c>
      <c r="O25" s="9">
        <f t="shared" si="30"/>
        <v>999.99999999999989</v>
      </c>
      <c r="P25" s="41">
        <f t="shared" si="31"/>
        <v>1519.163033299996</v>
      </c>
      <c r="Q25" s="9">
        <f t="shared" si="27"/>
        <v>1.2835307110316136</v>
      </c>
      <c r="R25">
        <f t="shared" si="2"/>
        <v>6.7077313037753283</v>
      </c>
      <c r="S25">
        <f t="shared" si="3"/>
        <v>6.2664331916848459</v>
      </c>
      <c r="T25">
        <f t="shared" si="4"/>
        <v>9.4437795987363184</v>
      </c>
      <c r="U25">
        <f t="shared" si="5"/>
        <v>0.61781735692667494</v>
      </c>
      <c r="V25">
        <f t="shared" si="6"/>
        <v>0.61781735692667494</v>
      </c>
      <c r="W25">
        <f t="shared" si="7"/>
        <v>1.2356347138533497</v>
      </c>
      <c r="X25">
        <f t="shared" si="8"/>
        <v>1.2356347138533497</v>
      </c>
      <c r="Y25">
        <f t="shared" si="9"/>
        <v>1.2356347138533497</v>
      </c>
      <c r="Z25">
        <f t="shared" si="10"/>
        <v>0.97085584659906077</v>
      </c>
      <c r="AA25">
        <f t="shared" si="11"/>
        <v>6.1781735692667485</v>
      </c>
      <c r="AB25">
        <f t="shared" si="12"/>
        <v>3.0890867846333747</v>
      </c>
      <c r="AC25">
        <f t="shared" si="13"/>
        <v>1.5004135811076393</v>
      </c>
      <c r="AD25">
        <f t="shared" si="14"/>
        <v>15.974991657675453</v>
      </c>
      <c r="AE25">
        <f t="shared" si="15"/>
        <v>10.767673935007764</v>
      </c>
      <c r="AF25">
        <f t="shared" si="16"/>
        <v>10.238116200499187</v>
      </c>
      <c r="AG25">
        <f t="shared" si="17"/>
        <v>12.179827893697308</v>
      </c>
      <c r="AH25">
        <f t="shared" si="28"/>
        <v>88.259622418096441</v>
      </c>
      <c r="AI25" s="9">
        <f t="shared" si="18"/>
        <v>3532910.0525344741</v>
      </c>
      <c r="AJ25" s="9">
        <f t="shared" si="19"/>
        <v>100.05201268777627</v>
      </c>
      <c r="AK25" s="9">
        <f t="shared" si="20"/>
        <v>253.31702508470443</v>
      </c>
      <c r="AL25" s="9">
        <f t="shared" si="21"/>
        <v>40.274169596887411</v>
      </c>
      <c r="AM25" s="9">
        <f t="shared" si="22"/>
        <v>168.66946008139385</v>
      </c>
    </row>
    <row r="26" spans="1:39" x14ac:dyDescent="0.25">
      <c r="A26" s="6">
        <f>'Texas pop'!A122</f>
        <v>2038</v>
      </c>
      <c r="B26" s="6">
        <f>'Texas pop'!B122</f>
        <v>35387913.928571463</v>
      </c>
      <c r="C26" s="6">
        <f>'Texas pop'!C122</f>
        <v>4130082.8745987834</v>
      </c>
      <c r="D26" s="6">
        <f>'Texas pop'!D122</f>
        <v>4100082.8745987834</v>
      </c>
      <c r="E26" s="6">
        <f>'Texas pop'!E122</f>
        <v>516037.18619193009</v>
      </c>
      <c r="F26" s="47">
        <f t="shared" si="23"/>
        <v>7.1707024247548565</v>
      </c>
      <c r="G26" s="47">
        <f t="shared" si="0"/>
        <v>297.44357610243543</v>
      </c>
      <c r="H26" s="6">
        <f t="shared" si="32"/>
        <v>267699.21849219187</v>
      </c>
      <c r="I26" s="9">
        <f>H26/$D$42*$D$43</f>
        <v>59142.850597112156</v>
      </c>
      <c r="J26" s="47">
        <f t="shared" si="1"/>
        <v>99352.639457532307</v>
      </c>
      <c r="K26" s="9">
        <f t="shared" si="29"/>
        <v>45093.143496878947</v>
      </c>
      <c r="L26" s="9">
        <f t="shared" si="25"/>
        <v>1009.2592592592591</v>
      </c>
      <c r="M26" s="9">
        <f t="shared" si="33"/>
        <v>1279.4365963663413</v>
      </c>
      <c r="N26" s="13">
        <v>5.45</v>
      </c>
      <c r="O26" s="9">
        <f t="shared" si="30"/>
        <v>1009.2592592592591</v>
      </c>
      <c r="P26" s="41">
        <f t="shared" si="31"/>
        <v>1503.971402966996</v>
      </c>
      <c r="Q26" s="9">
        <f t="shared" si="27"/>
        <v>1.2676986459409623</v>
      </c>
      <c r="R26">
        <f t="shared" si="2"/>
        <v>7.3114271211151083</v>
      </c>
      <c r="S26">
        <f t="shared" si="3"/>
        <v>6.8304121789364816</v>
      </c>
      <c r="T26">
        <f t="shared" si="4"/>
        <v>10.293719762622585</v>
      </c>
      <c r="U26">
        <f t="shared" si="5"/>
        <v>0.67342091905007573</v>
      </c>
      <c r="V26">
        <f t="shared" si="6"/>
        <v>0.67342091905007573</v>
      </c>
      <c r="W26">
        <f t="shared" si="7"/>
        <v>1.3468418381001512</v>
      </c>
      <c r="X26">
        <f t="shared" si="8"/>
        <v>1.3468418381001512</v>
      </c>
      <c r="Y26">
        <f t="shared" si="9"/>
        <v>1.3468418381001512</v>
      </c>
      <c r="Z26">
        <f t="shared" si="10"/>
        <v>1.0582328727929762</v>
      </c>
      <c r="AA26">
        <f t="shared" si="11"/>
        <v>6.7342091905007555</v>
      </c>
      <c r="AB26">
        <f t="shared" si="12"/>
        <v>3.3671045952503782</v>
      </c>
      <c r="AC26">
        <f t="shared" si="13"/>
        <v>1.6354508034073267</v>
      </c>
      <c r="AD26">
        <f t="shared" si="14"/>
        <v>17.41274090686624</v>
      </c>
      <c r="AE26">
        <f t="shared" si="15"/>
        <v>11.736764589158462</v>
      </c>
      <c r="AF26">
        <f t="shared" si="16"/>
        <v>11.159546658544112</v>
      </c>
      <c r="AG26">
        <f t="shared" si="17"/>
        <v>13.276012404130066</v>
      </c>
      <c r="AH26">
        <f t="shared" si="28"/>
        <v>96.202988435725103</v>
      </c>
      <c r="AI26" s="9">
        <f t="shared" si="18"/>
        <v>3850871.9572625766</v>
      </c>
      <c r="AJ26" s="9">
        <f t="shared" si="19"/>
        <v>109.05669382967612</v>
      </c>
      <c r="AK26" s="9">
        <f t="shared" si="20"/>
        <v>276.1155573423278</v>
      </c>
      <c r="AL26" s="9">
        <f t="shared" si="21"/>
        <v>43.898844860607277</v>
      </c>
      <c r="AM26" s="9">
        <f t="shared" si="22"/>
        <v>183.84971148871929</v>
      </c>
    </row>
    <row r="27" spans="1:39" x14ac:dyDescent="0.25">
      <c r="A27" s="6">
        <f>'Texas pop'!A123</f>
        <v>2039</v>
      </c>
      <c r="B27" s="6">
        <f>'Texas pop'!B123</f>
        <v>35726846.571428657</v>
      </c>
      <c r="C27" s="6">
        <f>'Texas pop'!C123</f>
        <v>4646120.0607907139</v>
      </c>
      <c r="D27" s="6">
        <f>'Texas pop'!D123</f>
        <v>4602320.0607907139</v>
      </c>
      <c r="E27" s="6">
        <f>'Texas pop'!E123</f>
        <v>562480.53294920374</v>
      </c>
      <c r="F27" s="47">
        <f t="shared" si="23"/>
        <v>7.8160656429827915</v>
      </c>
      <c r="G27" s="47">
        <f t="shared" si="0"/>
        <v>324.21349795165452</v>
      </c>
      <c r="H27" s="6">
        <f t="shared" si="32"/>
        <v>291792.14815648907</v>
      </c>
      <c r="I27" s="9">
        <f>H27/$D$42*$D$43</f>
        <v>64465.707150852235</v>
      </c>
      <c r="J27" s="47">
        <f t="shared" si="1"/>
        <v>108294.37700871019</v>
      </c>
      <c r="K27" s="9">
        <f t="shared" si="29"/>
        <v>49151.526411598032</v>
      </c>
      <c r="L27" s="9">
        <f t="shared" si="25"/>
        <v>1018.5185185185184</v>
      </c>
      <c r="M27" s="9">
        <f t="shared" si="33"/>
        <v>1275.4254478114003</v>
      </c>
      <c r="N27" s="13">
        <v>5.5</v>
      </c>
      <c r="O27" s="9">
        <f t="shared" si="30"/>
        <v>1018.5185185185184</v>
      </c>
      <c r="P27" s="41">
        <f t="shared" si="31"/>
        <v>1488.931688937326</v>
      </c>
      <c r="Q27" s="9">
        <f t="shared" si="27"/>
        <v>1.2522358942148295</v>
      </c>
      <c r="R27">
        <f t="shared" si="2"/>
        <v>7.9694555620154661</v>
      </c>
      <c r="S27">
        <f t="shared" si="3"/>
        <v>7.4451492750407642</v>
      </c>
      <c r="T27">
        <f t="shared" si="4"/>
        <v>11.220154541258616</v>
      </c>
      <c r="U27">
        <f t="shared" si="5"/>
        <v>0.73402880176458252</v>
      </c>
      <c r="V27">
        <f t="shared" si="6"/>
        <v>0.73402880176458252</v>
      </c>
      <c r="W27">
        <f t="shared" si="7"/>
        <v>1.4680576035291648</v>
      </c>
      <c r="X27">
        <f t="shared" si="8"/>
        <v>1.4680576035291648</v>
      </c>
      <c r="Y27">
        <f t="shared" si="9"/>
        <v>1.4680576035291648</v>
      </c>
      <c r="Z27">
        <f t="shared" si="10"/>
        <v>1.153473831344344</v>
      </c>
      <c r="AA27">
        <f t="shared" si="11"/>
        <v>7.3402880176458227</v>
      </c>
      <c r="AB27">
        <f t="shared" si="12"/>
        <v>3.6701440088229118</v>
      </c>
      <c r="AC27">
        <f t="shared" si="13"/>
        <v>1.7826413757139861</v>
      </c>
      <c r="AD27">
        <f t="shared" si="14"/>
        <v>18.979887588484203</v>
      </c>
      <c r="AE27">
        <f t="shared" si="15"/>
        <v>12.793073402182722</v>
      </c>
      <c r="AF27">
        <f t="shared" si="16"/>
        <v>12.163905857813081</v>
      </c>
      <c r="AG27">
        <f t="shared" si="17"/>
        <v>14.470853520501771</v>
      </c>
      <c r="AH27">
        <f t="shared" si="28"/>
        <v>104.86125739494035</v>
      </c>
      <c r="AI27" s="9">
        <f t="shared" si="18"/>
        <v>4197450.4334162083</v>
      </c>
      <c r="AJ27" s="9">
        <f t="shared" si="19"/>
        <v>118.87179627434696</v>
      </c>
      <c r="AK27" s="9">
        <f t="shared" si="20"/>
        <v>300.9659575031373</v>
      </c>
      <c r="AL27" s="9">
        <f t="shared" si="21"/>
        <v>47.849740898061931</v>
      </c>
      <c r="AM27" s="9">
        <f t="shared" si="22"/>
        <v>200.396185522704</v>
      </c>
    </row>
    <row r="28" spans="1:39" x14ac:dyDescent="0.25">
      <c r="A28" s="6">
        <f>'Texas pop'!A124</f>
        <v>2040</v>
      </c>
      <c r="B28" s="6">
        <f>'Texas pop'!B124</f>
        <v>36065779.214285731</v>
      </c>
      <c r="C28" s="6">
        <f>'Texas pop'!C124</f>
        <v>5208600.5937399175</v>
      </c>
      <c r="D28" s="6">
        <f>'Texas pop'!D124</f>
        <v>5136100.5937399175</v>
      </c>
      <c r="E28" s="6">
        <f>'Texas pop'!E124</f>
        <v>613103.78091463214</v>
      </c>
      <c r="F28" s="47">
        <f t="shared" si="23"/>
        <v>8.5195115508512451</v>
      </c>
      <c r="G28" s="47">
        <f t="shared" si="0"/>
        <v>353.39271276730352</v>
      </c>
      <c r="H28" s="6">
        <f t="shared" si="32"/>
        <v>318053.44149057317</v>
      </c>
      <c r="I28" s="9">
        <f t="shared" si="24"/>
        <v>70267.620794428949</v>
      </c>
      <c r="J28" s="47">
        <f t="shared" si="1"/>
        <v>118040.87093949414</v>
      </c>
      <c r="K28" s="9">
        <f t="shared" si="29"/>
        <v>53575.163788641905</v>
      </c>
      <c r="L28" s="9">
        <f t="shared" si="25"/>
        <v>1037.037037037037</v>
      </c>
      <c r="M28" s="9">
        <f t="shared" si="33"/>
        <v>1275.6989320734961</v>
      </c>
      <c r="N28" s="13">
        <v>5.6</v>
      </c>
      <c r="O28" s="9">
        <f t="shared" si="30"/>
        <v>1037.037037037037</v>
      </c>
      <c r="P28" s="41">
        <f t="shared" si="31"/>
        <v>1474.0423720479528</v>
      </c>
      <c r="Q28" s="9">
        <f t="shared" si="27"/>
        <v>1.2301382559280141</v>
      </c>
      <c r="R28">
        <f t="shared" si="2"/>
        <v>8.6867065625968589</v>
      </c>
      <c r="S28">
        <f t="shared" si="3"/>
        <v>8.1152127097944344</v>
      </c>
      <c r="T28">
        <f t="shared" si="4"/>
        <v>12.229968449971894</v>
      </c>
      <c r="U28">
        <f t="shared" si="5"/>
        <v>0.80009139392339501</v>
      </c>
      <c r="V28">
        <f t="shared" si="6"/>
        <v>0.80009139392339501</v>
      </c>
      <c r="W28">
        <f t="shared" si="7"/>
        <v>1.6001827878467898</v>
      </c>
      <c r="X28">
        <f t="shared" si="8"/>
        <v>1.6001827878467898</v>
      </c>
      <c r="Y28">
        <f t="shared" si="9"/>
        <v>1.6001827878467898</v>
      </c>
      <c r="Z28">
        <f t="shared" si="10"/>
        <v>1.2572864761653351</v>
      </c>
      <c r="AA28">
        <f t="shared" si="11"/>
        <v>8.0009139392339481</v>
      </c>
      <c r="AB28">
        <f t="shared" si="12"/>
        <v>4.0004569696169741</v>
      </c>
      <c r="AC28">
        <f t="shared" si="13"/>
        <v>1.943079099528245</v>
      </c>
      <c r="AD28">
        <f t="shared" si="14"/>
        <v>20.688077471447784</v>
      </c>
      <c r="AE28">
        <f t="shared" si="15"/>
        <v>13.944450008379169</v>
      </c>
      <c r="AF28">
        <f t="shared" si="16"/>
        <v>13.258657385016258</v>
      </c>
      <c r="AG28">
        <f t="shared" si="17"/>
        <v>15.773230337346932</v>
      </c>
      <c r="AH28">
        <f t="shared" si="28"/>
        <v>114.298770560485</v>
      </c>
      <c r="AI28" s="9">
        <f t="shared" si="18"/>
        <v>4575220.9724236671</v>
      </c>
      <c r="AJ28" s="9">
        <f t="shared" si="19"/>
        <v>129.57025793903821</v>
      </c>
      <c r="AK28" s="9">
        <f t="shared" si="20"/>
        <v>328.05289367841971</v>
      </c>
      <c r="AL28" s="9">
        <f t="shared" si="21"/>
        <v>52.156217578887507</v>
      </c>
      <c r="AM28" s="9">
        <f t="shared" si="22"/>
        <v>218.43184221974738</v>
      </c>
    </row>
    <row r="29" spans="1:39" x14ac:dyDescent="0.25">
      <c r="A29" s="6">
        <f>'Texas pop'!A125</f>
        <v>2041</v>
      </c>
      <c r="B29" s="6">
        <f>'Texas pop'!B125</f>
        <v>36404711.857142925</v>
      </c>
      <c r="C29" s="6">
        <f>'Texas pop'!C125</f>
        <v>5821704.3746545501</v>
      </c>
      <c r="D29" s="6">
        <f>'Texas pop'!D125</f>
        <v>5681104.3746545501</v>
      </c>
      <c r="E29" s="6">
        <f>'Texas pop'!E125</f>
        <v>637627.93215121748</v>
      </c>
      <c r="F29" s="47">
        <f t="shared" si="23"/>
        <v>8.8602920128852958</v>
      </c>
      <c r="G29" s="47">
        <f t="shared" si="0"/>
        <v>367.52842127799568</v>
      </c>
      <c r="H29" s="6">
        <f t="shared" si="32"/>
        <v>330775.57915019605</v>
      </c>
      <c r="I29" s="9">
        <f t="shared" si="24"/>
        <v>73078.325626206104</v>
      </c>
      <c r="J29" s="47">
        <f t="shared" si="1"/>
        <v>122762.50577707391</v>
      </c>
      <c r="K29" s="9">
        <f>J29-I28</f>
        <v>52494.884982644959</v>
      </c>
      <c r="L29" s="9">
        <f t="shared" si="25"/>
        <v>1027.7777777777776</v>
      </c>
      <c r="M29" s="9">
        <f t="shared" si="33"/>
        <v>1274.7764569582023</v>
      </c>
      <c r="N29" s="13">
        <v>5.55</v>
      </c>
      <c r="O29" s="9">
        <f t="shared" si="30"/>
        <v>1027.7777777777776</v>
      </c>
      <c r="P29" s="41">
        <f t="shared" si="31"/>
        <v>1459.3019483274732</v>
      </c>
      <c r="Q29" s="9">
        <f t="shared" si="27"/>
        <v>1.2403230392025755</v>
      </c>
      <c r="R29">
        <f t="shared" si="2"/>
        <v>9.0341748251007346</v>
      </c>
      <c r="S29">
        <f t="shared" si="3"/>
        <v>8.4398212181862124</v>
      </c>
      <c r="T29">
        <f t="shared" si="4"/>
        <v>12.71916718797077</v>
      </c>
      <c r="U29">
        <f t="shared" si="5"/>
        <v>0.83209504968033077</v>
      </c>
      <c r="V29">
        <f t="shared" si="6"/>
        <v>0.83209504968033077</v>
      </c>
      <c r="W29">
        <f t="shared" si="7"/>
        <v>1.6641900993606613</v>
      </c>
      <c r="X29">
        <f t="shared" si="8"/>
        <v>1.6641900993606613</v>
      </c>
      <c r="Y29">
        <f t="shared" si="9"/>
        <v>1.6641900993606613</v>
      </c>
      <c r="Z29">
        <f t="shared" si="10"/>
        <v>1.3075779352119485</v>
      </c>
      <c r="AA29">
        <f t="shared" si="11"/>
        <v>8.3209504968033059</v>
      </c>
      <c r="AB29">
        <f t="shared" si="12"/>
        <v>4.1604752484016538</v>
      </c>
      <c r="AC29">
        <f t="shared" si="13"/>
        <v>2.020802263509375</v>
      </c>
      <c r="AD29">
        <f t="shared" si="14"/>
        <v>21.515600570305697</v>
      </c>
      <c r="AE29">
        <f t="shared" si="15"/>
        <v>14.502228008714336</v>
      </c>
      <c r="AF29">
        <f t="shared" si="16"/>
        <v>13.78900368041691</v>
      </c>
      <c r="AG29">
        <f t="shared" si="17"/>
        <v>16.404159550840813</v>
      </c>
      <c r="AH29">
        <f t="shared" si="28"/>
        <v>118.87072138290439</v>
      </c>
      <c r="AI29" s="9">
        <f t="shared" si="18"/>
        <v>4758229.8113206141</v>
      </c>
      <c r="AJ29" s="9">
        <f t="shared" si="19"/>
        <v>134.75306825659976</v>
      </c>
      <c r="AK29" s="9">
        <f t="shared" si="20"/>
        <v>341.17500942555648</v>
      </c>
      <c r="AL29" s="9">
        <f t="shared" si="21"/>
        <v>54.242466282043019</v>
      </c>
      <c r="AM29" s="9">
        <f t="shared" si="22"/>
        <v>227.16911590853729</v>
      </c>
    </row>
    <row r="30" spans="1:39" x14ac:dyDescent="0.25">
      <c r="A30" s="6">
        <f>'Texas pop'!A126</f>
        <v>2042</v>
      </c>
      <c r="B30" s="6">
        <f>'Texas pop'!B126</f>
        <v>36743644.500000119</v>
      </c>
      <c r="C30" s="6">
        <f>'Texas pop'!C126</f>
        <v>6459332.3068057671</v>
      </c>
      <c r="D30" s="6">
        <f>'Texas pop'!D126</f>
        <v>6239736.3068057671</v>
      </c>
      <c r="E30" s="6">
        <f>'Texas pop'!E126</f>
        <v>663133.04943726619</v>
      </c>
      <c r="F30" s="47">
        <f t="shared" si="23"/>
        <v>9.2147036934007076</v>
      </c>
      <c r="G30" s="47">
        <f t="shared" si="0"/>
        <v>382.22955812911556</v>
      </c>
      <c r="H30" s="6">
        <f t="shared" si="32"/>
        <v>344006.60231620393</v>
      </c>
      <c r="I30" s="9">
        <f t="shared" si="24"/>
        <v>76001.458651254361</v>
      </c>
      <c r="J30" s="47">
        <f t="shared" si="1"/>
        <v>127673.00600815687</v>
      </c>
      <c r="K30" s="9">
        <f t="shared" si="29"/>
        <v>54594.680381950762</v>
      </c>
      <c r="L30" s="9">
        <f>O30</f>
        <v>1020.3703703703702</v>
      </c>
      <c r="M30" s="9">
        <f t="shared" si="33"/>
        <v>1263.2561010464706</v>
      </c>
      <c r="N30" s="13">
        <v>5.51</v>
      </c>
      <c r="O30" s="9">
        <f t="shared" si="30"/>
        <v>1020.3703703703702</v>
      </c>
      <c r="P30" s="41">
        <f t="shared" si="31"/>
        <v>1444.7089288441985</v>
      </c>
      <c r="Q30" s="9">
        <f t="shared" si="27"/>
        <v>1.2380368322415503</v>
      </c>
      <c r="R30">
        <f t="shared" si="2"/>
        <v>9.3955418181047641</v>
      </c>
      <c r="S30">
        <f t="shared" si="3"/>
        <v>8.7774140669136607</v>
      </c>
      <c r="T30">
        <f t="shared" si="4"/>
        <v>13.227933875489601</v>
      </c>
      <c r="U30">
        <f t="shared" si="5"/>
        <v>0.86537885166754414</v>
      </c>
      <c r="V30">
        <f t="shared" si="6"/>
        <v>0.86537885166754414</v>
      </c>
      <c r="W30">
        <f t="shared" si="7"/>
        <v>1.730757703335088</v>
      </c>
      <c r="X30">
        <f t="shared" si="8"/>
        <v>1.730757703335088</v>
      </c>
      <c r="Y30">
        <f t="shared" si="9"/>
        <v>1.730757703335088</v>
      </c>
      <c r="Z30">
        <f t="shared" si="10"/>
        <v>1.3598810526204266</v>
      </c>
      <c r="AA30">
        <f t="shared" si="11"/>
        <v>8.6537885166754389</v>
      </c>
      <c r="AB30">
        <f t="shared" si="12"/>
        <v>4.3268942583377203</v>
      </c>
      <c r="AC30">
        <f t="shared" si="13"/>
        <v>2.1016343540497502</v>
      </c>
      <c r="AD30">
        <f t="shared" si="14"/>
        <v>22.376224593117925</v>
      </c>
      <c r="AE30">
        <f t="shared" si="15"/>
        <v>15.082317129062911</v>
      </c>
      <c r="AF30">
        <f t="shared" si="16"/>
        <v>14.340563827633588</v>
      </c>
      <c r="AG30">
        <f t="shared" si="17"/>
        <v>17.060325932874445</v>
      </c>
      <c r="AH30">
        <f t="shared" si="28"/>
        <v>123.62555023822058</v>
      </c>
      <c r="AI30" s="9">
        <f t="shared" si="18"/>
        <v>4948559.0037734387</v>
      </c>
      <c r="AJ30" s="9">
        <f t="shared" si="19"/>
        <v>140.14319098686374</v>
      </c>
      <c r="AK30" s="9">
        <f t="shared" si="20"/>
        <v>354.8220098025788</v>
      </c>
      <c r="AL30" s="9">
        <f t="shared" si="21"/>
        <v>56.412164933324739</v>
      </c>
      <c r="AM30" s="9">
        <f t="shared" si="22"/>
        <v>236.25588054487881</v>
      </c>
    </row>
    <row r="31" spans="1:39" x14ac:dyDescent="0.25">
      <c r="A31" s="6">
        <f>'Texas pop'!A127</f>
        <v>2043</v>
      </c>
      <c r="B31" s="6">
        <f>'Texas pop'!B127</f>
        <v>37082577.142857194</v>
      </c>
      <c r="C31" s="6">
        <f>'Texas pop'!C127</f>
        <v>7122465.356243033</v>
      </c>
      <c r="D31" s="6">
        <f>'Texas pop'!D127</f>
        <v>6811233.9962430326</v>
      </c>
      <c r="E31" s="6">
        <f>'Texas pop'!E127</f>
        <v>689658.37141475675</v>
      </c>
      <c r="F31" s="47">
        <f t="shared" si="23"/>
        <v>9.5832918411367345</v>
      </c>
      <c r="G31" s="47">
        <f t="shared" si="0"/>
        <v>397.51874045428008</v>
      </c>
      <c r="H31" s="6">
        <f t="shared" si="32"/>
        <v>357766.86640885205</v>
      </c>
      <c r="I31" s="9">
        <f t="shared" si="24"/>
        <v>79041.516997304527</v>
      </c>
      <c r="J31" s="47">
        <f t="shared" si="1"/>
        <v>132779.92624848313</v>
      </c>
      <c r="K31" s="9">
        <f t="shared" si="29"/>
        <v>56778.467597228766</v>
      </c>
      <c r="L31" s="9">
        <f t="shared" si="25"/>
        <v>1092.5925925925926</v>
      </c>
      <c r="M31" s="9">
        <f t="shared" si="33"/>
        <v>1285.8699654301474</v>
      </c>
      <c r="N31" s="13">
        <v>5.9</v>
      </c>
      <c r="O31" s="9">
        <f t="shared" si="30"/>
        <v>1092.5925925925926</v>
      </c>
      <c r="P31" s="41">
        <f t="shared" si="31"/>
        <v>1430.2618395557565</v>
      </c>
      <c r="Q31" s="9">
        <f t="shared" si="27"/>
        <v>1.1768979344614909</v>
      </c>
      <c r="R31">
        <f t="shared" si="2"/>
        <v>9.7713634908289535</v>
      </c>
      <c r="S31">
        <f t="shared" si="3"/>
        <v>9.1285106295902061</v>
      </c>
      <c r="T31">
        <f t="shared" si="4"/>
        <v>13.757051230509184</v>
      </c>
      <c r="U31">
        <f t="shared" si="5"/>
        <v>0.89999400573424571</v>
      </c>
      <c r="V31">
        <f t="shared" si="6"/>
        <v>0.89999400573424571</v>
      </c>
      <c r="W31">
        <f t="shared" si="7"/>
        <v>1.7999880114684912</v>
      </c>
      <c r="X31">
        <f t="shared" si="8"/>
        <v>1.7999880114684912</v>
      </c>
      <c r="Y31">
        <f t="shared" si="9"/>
        <v>1.7999880114684912</v>
      </c>
      <c r="Z31">
        <f t="shared" si="10"/>
        <v>1.4142762947252434</v>
      </c>
      <c r="AA31">
        <f t="shared" si="11"/>
        <v>8.9999400573424548</v>
      </c>
      <c r="AB31">
        <f t="shared" si="12"/>
        <v>4.4999700286712283</v>
      </c>
      <c r="AC31">
        <f t="shared" si="13"/>
        <v>2.1856997282117394</v>
      </c>
      <c r="AD31">
        <f t="shared" si="14"/>
        <v>23.271273576842638</v>
      </c>
      <c r="AE31">
        <f t="shared" si="15"/>
        <v>15.685609814225426</v>
      </c>
      <c r="AF31">
        <f t="shared" si="16"/>
        <v>14.914186380738929</v>
      </c>
      <c r="AG31">
        <f t="shared" si="17"/>
        <v>17.742738970189418</v>
      </c>
      <c r="AH31">
        <f t="shared" si="28"/>
        <v>128.5705722477494</v>
      </c>
      <c r="AI31" s="9">
        <f t="shared" si="18"/>
        <v>5146501.3639243757</v>
      </c>
      <c r="AJ31" s="9">
        <f t="shared" si="19"/>
        <v>145.74891862633828</v>
      </c>
      <c r="AK31" s="9">
        <f t="shared" si="20"/>
        <v>369.01489019468193</v>
      </c>
      <c r="AL31" s="9">
        <f t="shared" si="21"/>
        <v>58.668651530657719</v>
      </c>
      <c r="AM31" s="9">
        <f t="shared" si="22"/>
        <v>245.70611576667392</v>
      </c>
    </row>
    <row r="32" spans="1:39" x14ac:dyDescent="0.25">
      <c r="A32" s="6">
        <f>'Texas pop'!A128</f>
        <v>2044</v>
      </c>
      <c r="B32" s="6">
        <f>'Texas pop'!B128</f>
        <v>37421509.785714388</v>
      </c>
      <c r="C32" s="6">
        <f>'Texas pop'!C128</f>
        <v>7812123.7276577894</v>
      </c>
      <c r="D32" s="6">
        <f>'Texas pop'!D128</f>
        <v>7394595.3500577891</v>
      </c>
      <c r="E32" s="6">
        <f>'Texas pop'!E128</f>
        <v>717244.70627134701</v>
      </c>
      <c r="F32" s="47">
        <f t="shared" si="23"/>
        <v>9.9666235147822029</v>
      </c>
      <c r="G32" s="47">
        <f t="shared" si="0"/>
        <v>413.41949007245131</v>
      </c>
      <c r="H32" s="6">
        <f t="shared" si="32"/>
        <v>372077.54106520617</v>
      </c>
      <c r="I32" s="9">
        <f t="shared" si="24"/>
        <v>82203.177677196712</v>
      </c>
      <c r="J32" s="47">
        <f t="shared" si="1"/>
        <v>138091.12329842243</v>
      </c>
      <c r="K32" s="9">
        <f t="shared" si="29"/>
        <v>59049.606301117907</v>
      </c>
      <c r="L32" s="9">
        <f t="shared" si="25"/>
        <v>1074.0740740740739</v>
      </c>
      <c r="M32" s="9">
        <f t="shared" si="33"/>
        <v>1269.7645719066934</v>
      </c>
      <c r="N32" s="13">
        <v>5.8</v>
      </c>
      <c r="O32" s="9">
        <f t="shared" si="30"/>
        <v>1074.0740740740739</v>
      </c>
      <c r="P32" s="41">
        <f t="shared" si="31"/>
        <v>1415.9592211601989</v>
      </c>
      <c r="Q32" s="9">
        <f t="shared" si="27"/>
        <v>1.1821946014303699</v>
      </c>
      <c r="R32">
        <f t="shared" si="2"/>
        <v>10.162218030462112</v>
      </c>
      <c r="S32">
        <f t="shared" si="3"/>
        <v>9.4936510547738138</v>
      </c>
      <c r="T32">
        <f t="shared" si="4"/>
        <v>14.307333279729551</v>
      </c>
      <c r="U32">
        <f t="shared" si="5"/>
        <v>0.9359937659636155</v>
      </c>
      <c r="V32">
        <f t="shared" si="6"/>
        <v>0.9359937659636155</v>
      </c>
      <c r="W32">
        <f t="shared" si="7"/>
        <v>1.8719875319272308</v>
      </c>
      <c r="X32">
        <f t="shared" si="8"/>
        <v>1.8719875319272308</v>
      </c>
      <c r="Y32">
        <f t="shared" si="9"/>
        <v>1.8719875319272308</v>
      </c>
      <c r="Z32">
        <f t="shared" si="10"/>
        <v>1.4708473465142531</v>
      </c>
      <c r="AA32">
        <f t="shared" si="11"/>
        <v>9.3599376596361523</v>
      </c>
      <c r="AB32">
        <f t="shared" si="12"/>
        <v>4.679968829818077</v>
      </c>
      <c r="AC32">
        <f t="shared" si="13"/>
        <v>2.2731277173402096</v>
      </c>
      <c r="AD32">
        <f t="shared" si="14"/>
        <v>24.202124519916346</v>
      </c>
      <c r="AE32">
        <f t="shared" si="15"/>
        <v>16.313034206794441</v>
      </c>
      <c r="AF32">
        <f t="shared" si="16"/>
        <v>15.510753835968485</v>
      </c>
      <c r="AG32">
        <f t="shared" si="17"/>
        <v>18.452448528996996</v>
      </c>
      <c r="AH32">
        <f t="shared" si="28"/>
        <v>133.71339513765938</v>
      </c>
      <c r="AI32" s="9">
        <f t="shared" si="18"/>
        <v>5352361.4184813509</v>
      </c>
      <c r="AJ32" s="9">
        <f t="shared" si="19"/>
        <v>151.5788753713918</v>
      </c>
      <c r="AK32" s="9">
        <f t="shared" si="20"/>
        <v>383.77548580246918</v>
      </c>
      <c r="AL32" s="9">
        <f t="shared" si="21"/>
        <v>61.015397591884032</v>
      </c>
      <c r="AM32" s="9">
        <f t="shared" si="22"/>
        <v>255.53436039734086</v>
      </c>
    </row>
    <row r="33" spans="1:39" x14ac:dyDescent="0.25">
      <c r="A33" s="6">
        <f>'Texas pop'!A129</f>
        <v>2045</v>
      </c>
      <c r="B33" s="6">
        <f>'Texas pop'!B129</f>
        <v>37760442.428571463</v>
      </c>
      <c r="C33" s="6">
        <f>'Texas pop'!C129</f>
        <v>8529368.433929136</v>
      </c>
      <c r="D33" s="6">
        <f>'Texas pop'!D129</f>
        <v>7988535.5159131354</v>
      </c>
      <c r="E33" s="6">
        <f>'Texas pop'!E129</f>
        <v>745934.49452220078</v>
      </c>
      <c r="F33" s="47">
        <f t="shared" si="23"/>
        <v>10.36528845537349</v>
      </c>
      <c r="G33" s="47">
        <f t="shared" si="0"/>
        <v>429.95626967534923</v>
      </c>
      <c r="H33" s="6">
        <f t="shared" si="32"/>
        <v>386960.64270781435</v>
      </c>
      <c r="I33" s="9">
        <f t="shared" si="24"/>
        <v>85491.30478428457</v>
      </c>
      <c r="J33" s="47">
        <f t="shared" si="1"/>
        <v>143614.7682303593</v>
      </c>
      <c r="K33" s="9">
        <f t="shared" si="29"/>
        <v>61411.59055316259</v>
      </c>
      <c r="L33" s="9">
        <f t="shared" si="25"/>
        <v>1059.2592592592591</v>
      </c>
      <c r="M33" s="9">
        <f t="shared" si="33"/>
        <v>1255.3247977700323</v>
      </c>
      <c r="N33" s="13">
        <v>5.72</v>
      </c>
      <c r="O33" s="9">
        <f t="shared" si="30"/>
        <v>1059.2592592592591</v>
      </c>
      <c r="P33" s="41">
        <f t="shared" si="31"/>
        <v>1401.7996289485968</v>
      </c>
      <c r="Q33" s="9">
        <f t="shared" si="27"/>
        <v>1.185096837055625</v>
      </c>
      <c r="R33">
        <f t="shared" si="2"/>
        <v>10.568706751680594</v>
      </c>
      <c r="S33">
        <f t="shared" si="3"/>
        <v>9.8733970969647658</v>
      </c>
      <c r="T33">
        <f t="shared" si="4"/>
        <v>14.879626610918731</v>
      </c>
      <c r="U33">
        <f t="shared" si="5"/>
        <v>0.97343351660216004</v>
      </c>
      <c r="V33">
        <f t="shared" si="6"/>
        <v>0.97343351660216004</v>
      </c>
      <c r="W33">
        <f t="shared" si="7"/>
        <v>1.9468670332043196</v>
      </c>
      <c r="X33">
        <f t="shared" si="8"/>
        <v>1.9468670332043196</v>
      </c>
      <c r="Y33">
        <f t="shared" si="9"/>
        <v>1.9468670332043196</v>
      </c>
      <c r="Z33">
        <f t="shared" si="10"/>
        <v>1.529681240374823</v>
      </c>
      <c r="AA33">
        <f t="shared" si="11"/>
        <v>9.734335166021598</v>
      </c>
      <c r="AB33">
        <f t="shared" si="12"/>
        <v>4.867167583010799</v>
      </c>
      <c r="AC33">
        <f t="shared" si="13"/>
        <v>2.3640528260338169</v>
      </c>
      <c r="AD33">
        <f t="shared" si="14"/>
        <v>25.170209500712996</v>
      </c>
      <c r="AE33">
        <f t="shared" si="15"/>
        <v>16.965555575066215</v>
      </c>
      <c r="AF33">
        <f t="shared" si="16"/>
        <v>16.131183989407223</v>
      </c>
      <c r="AG33">
        <f t="shared" si="17"/>
        <v>19.190546470156875</v>
      </c>
      <c r="AH33">
        <f t="shared" si="28"/>
        <v>139.06193094316569</v>
      </c>
      <c r="AI33" s="9">
        <f t="shared" si="18"/>
        <v>5566455.8752206042</v>
      </c>
      <c r="AJ33" s="9">
        <f t="shared" si="19"/>
        <v>157.64203038624746</v>
      </c>
      <c r="AK33" s="9">
        <f t="shared" si="20"/>
        <v>399.1265052345679</v>
      </c>
      <c r="AL33" s="9">
        <f t="shared" si="21"/>
        <v>63.456013495559382</v>
      </c>
      <c r="AM33" s="9">
        <f t="shared" si="22"/>
        <v>265.75573481323448</v>
      </c>
    </row>
    <row r="34" spans="1:39" x14ac:dyDescent="0.25">
      <c r="A34" s="6">
        <f>'Texas pop'!A130</f>
        <v>2046</v>
      </c>
      <c r="B34" s="6">
        <f>'Texas pop'!B130</f>
        <v>38099375.071428657</v>
      </c>
      <c r="C34" s="6">
        <f>'Texas pop'!C130</f>
        <v>9275302.9284513369</v>
      </c>
      <c r="D34" s="6">
        <f>'Texas pop'!D130</f>
        <v>8591436.7435527761</v>
      </c>
      <c r="E34" s="6">
        <f>'Texas pop'!E130</f>
        <v>775771.87430308876</v>
      </c>
      <c r="F34" s="47">
        <f t="shared" si="23"/>
        <v>10.779899993588428</v>
      </c>
      <c r="G34" s="47">
        <f t="shared" si="0"/>
        <v>447.15452046236322</v>
      </c>
      <c r="H34" s="6">
        <f t="shared" si="32"/>
        <v>402439.06841612689</v>
      </c>
      <c r="I34" s="9">
        <f t="shared" si="24"/>
        <v>88910.956975655936</v>
      </c>
      <c r="J34" s="47">
        <f t="shared" si="1"/>
        <v>149359.3589595737</v>
      </c>
      <c r="K34" s="9">
        <f t="shared" si="29"/>
        <v>63868.054175289129</v>
      </c>
      <c r="L34" s="9">
        <f t="shared" si="25"/>
        <v>1049.9999999999998</v>
      </c>
      <c r="M34" s="9">
        <f t="shared" si="33"/>
        <v>1243.3417009108173</v>
      </c>
      <c r="N34" s="13">
        <v>5.67</v>
      </c>
      <c r="O34" s="9">
        <f t="shared" si="30"/>
        <v>1049.9999999999998</v>
      </c>
      <c r="P34" s="41">
        <f t="shared" si="31"/>
        <v>1387.7816326591108</v>
      </c>
      <c r="Q34" s="9">
        <f t="shared" si="27"/>
        <v>1.1841349532483976</v>
      </c>
      <c r="R34">
        <f t="shared" si="2"/>
        <v>10.991455021747818</v>
      </c>
      <c r="S34">
        <f t="shared" si="3"/>
        <v>10.268332980843354</v>
      </c>
      <c r="T34">
        <f t="shared" si="4"/>
        <v>15.474811675355479</v>
      </c>
      <c r="U34">
        <f t="shared" si="5"/>
        <v>1.0123708572662464</v>
      </c>
      <c r="V34">
        <f t="shared" si="6"/>
        <v>1.0123708572662464</v>
      </c>
      <c r="W34">
        <f t="shared" si="7"/>
        <v>2.0247417145324924</v>
      </c>
      <c r="X34">
        <f t="shared" si="8"/>
        <v>2.0247417145324924</v>
      </c>
      <c r="Y34">
        <f t="shared" si="9"/>
        <v>2.0247417145324924</v>
      </c>
      <c r="Z34">
        <f t="shared" si="10"/>
        <v>1.590868489989816</v>
      </c>
      <c r="AA34">
        <f t="shared" si="11"/>
        <v>10.123708572662462</v>
      </c>
      <c r="AB34">
        <f t="shared" si="12"/>
        <v>5.0618542863312319</v>
      </c>
      <c r="AC34">
        <f t="shared" si="13"/>
        <v>2.4586149390751699</v>
      </c>
      <c r="AD34">
        <f t="shared" si="14"/>
        <v>26.177017880741509</v>
      </c>
      <c r="AE34">
        <f t="shared" si="15"/>
        <v>17.644177798068867</v>
      </c>
      <c r="AF34">
        <f t="shared" si="16"/>
        <v>16.776431348983511</v>
      </c>
      <c r="AG34">
        <f t="shared" si="17"/>
        <v>19.958168328963147</v>
      </c>
      <c r="AH34">
        <f t="shared" si="28"/>
        <v>144.62440818089235</v>
      </c>
      <c r="AI34" s="9">
        <f t="shared" si="18"/>
        <v>5789114.1102294279</v>
      </c>
      <c r="AJ34" s="9">
        <f t="shared" si="19"/>
        <v>163.94771160169734</v>
      </c>
      <c r="AK34" s="9">
        <f t="shared" si="20"/>
        <v>415.09156544395057</v>
      </c>
      <c r="AL34" s="9">
        <f t="shared" si="21"/>
        <v>65.994254035381744</v>
      </c>
      <c r="AM34" s="9">
        <f t="shared" si="22"/>
        <v>276.3859642057638</v>
      </c>
    </row>
    <row r="35" spans="1:39" x14ac:dyDescent="0.25">
      <c r="A35" s="6">
        <f>'Texas pop'!A131</f>
        <v>2047</v>
      </c>
      <c r="B35" s="6">
        <f>'Texas pop'!B131</f>
        <v>38438307.714285731</v>
      </c>
      <c r="C35" s="6">
        <f>'Texas pop'!C131</f>
        <v>10051074.802754426</v>
      </c>
      <c r="D35" s="6">
        <f>'Texas pop'!D131</f>
        <v>9201290.0282720961</v>
      </c>
      <c r="E35" s="6">
        <f>'Texas pop'!E131</f>
        <v>806802.74927521229</v>
      </c>
      <c r="F35" s="47">
        <f t="shared" si="23"/>
        <v>11.211095993331966</v>
      </c>
      <c r="G35" s="47">
        <f t="shared" si="0"/>
        <v>465.04070128085766</v>
      </c>
      <c r="H35" s="6">
        <f t="shared" si="32"/>
        <v>418536.63115277194</v>
      </c>
      <c r="I35" s="9">
        <f t="shared" si="24"/>
        <v>92467.395254682182</v>
      </c>
      <c r="J35" s="47">
        <f t="shared" si="1"/>
        <v>155333.73331795662</v>
      </c>
      <c r="K35" s="9">
        <f t="shared" si="29"/>
        <v>66422.776342300684</v>
      </c>
      <c r="L35" s="9">
        <f t="shared" si="25"/>
        <v>999.99999999999989</v>
      </c>
      <c r="M35" s="9">
        <f t="shared" si="33"/>
        <v>1214.0175570165813</v>
      </c>
      <c r="N35" s="13">
        <v>5.4</v>
      </c>
      <c r="O35" s="9">
        <f t="shared" si="30"/>
        <v>999.99999999999989</v>
      </c>
      <c r="P35" s="41">
        <f t="shared" si="31"/>
        <v>1373.9038163325197</v>
      </c>
      <c r="Q35" s="9">
        <f t="shared" si="27"/>
        <v>1.2140175570165814</v>
      </c>
      <c r="R35">
        <f t="shared" si="2"/>
        <v>11.43111322261773</v>
      </c>
      <c r="S35">
        <f t="shared" si="3"/>
        <v>10.679066300077087</v>
      </c>
      <c r="T35">
        <f t="shared" si="4"/>
        <v>16.093804142369699</v>
      </c>
      <c r="U35">
        <f t="shared" si="5"/>
        <v>1.0528656915568961</v>
      </c>
      <c r="V35">
        <f t="shared" si="6"/>
        <v>1.0528656915568961</v>
      </c>
      <c r="W35">
        <f t="shared" si="7"/>
        <v>2.1057313831137923</v>
      </c>
      <c r="X35">
        <f t="shared" si="8"/>
        <v>2.1057313831137923</v>
      </c>
      <c r="Y35">
        <f t="shared" si="9"/>
        <v>2.1057313831137923</v>
      </c>
      <c r="Z35">
        <f t="shared" si="10"/>
        <v>1.6545032295894084</v>
      </c>
      <c r="AA35">
        <f t="shared" si="11"/>
        <v>10.528656915568959</v>
      </c>
      <c r="AB35">
        <f t="shared" si="12"/>
        <v>5.2643284577844804</v>
      </c>
      <c r="AC35">
        <f t="shared" si="13"/>
        <v>2.5569595366381765</v>
      </c>
      <c r="AD35">
        <f t="shared" si="14"/>
        <v>27.224098595971171</v>
      </c>
      <c r="AE35">
        <f t="shared" si="15"/>
        <v>18.349944909991617</v>
      </c>
      <c r="AF35">
        <f t="shared" si="16"/>
        <v>17.447488602942851</v>
      </c>
      <c r="AG35">
        <f t="shared" si="17"/>
        <v>20.756495062121672</v>
      </c>
      <c r="AH35">
        <f t="shared" si="28"/>
        <v>150.40938450812803</v>
      </c>
      <c r="AI35" s="9">
        <f t="shared" si="18"/>
        <v>6020678.6746386047</v>
      </c>
      <c r="AJ35" s="9">
        <f t="shared" si="19"/>
        <v>170.50562006576524</v>
      </c>
      <c r="AK35" s="9">
        <f t="shared" si="20"/>
        <v>431.69522806170858</v>
      </c>
      <c r="AL35" s="9">
        <f t="shared" si="21"/>
        <v>68.634024196797014</v>
      </c>
      <c r="AM35" s="9">
        <f t="shared" si="22"/>
        <v>287.44140277399441</v>
      </c>
    </row>
    <row r="36" spans="1:39" x14ac:dyDescent="0.25">
      <c r="A36" s="6">
        <f>'Texas pop'!A132</f>
        <v>2048</v>
      </c>
      <c r="B36" s="6">
        <f>'Texas pop'!B132</f>
        <v>38777240.357142925</v>
      </c>
      <c r="C36" s="6">
        <f>'Texas pop'!C132</f>
        <v>10857877.552029639</v>
      </c>
      <c r="D36" s="6">
        <f>'Texas pop'!D132</f>
        <v>9815627.2136301361</v>
      </c>
      <c r="E36" s="6">
        <f>'Texas pop'!E132</f>
        <v>839074.85924622079</v>
      </c>
      <c r="F36" s="47">
        <f t="shared" si="23"/>
        <v>11.659539833065244</v>
      </c>
      <c r="G36" s="47">
        <f t="shared" si="0"/>
        <v>483.64232933209195</v>
      </c>
      <c r="H36" s="6">
        <f t="shared" si="32"/>
        <v>435278.0963988828</v>
      </c>
      <c r="I36" s="9">
        <f t="shared" si="24"/>
        <v>96166.091064869455</v>
      </c>
      <c r="J36" s="47">
        <f t="shared" si="1"/>
        <v>161547.08265067489</v>
      </c>
      <c r="K36" s="9">
        <f t="shared" si="29"/>
        <v>69079.687395992703</v>
      </c>
      <c r="L36" s="9">
        <f t="shared" si="25"/>
        <v>1003.7037037037036</v>
      </c>
      <c r="M36" s="9">
        <f t="shared" si="33"/>
        <v>1207.7372679419591</v>
      </c>
      <c r="N36" s="13">
        <v>5.42</v>
      </c>
      <c r="O36" s="9">
        <f t="shared" si="30"/>
        <v>1003.7037037037036</v>
      </c>
      <c r="P36" s="41">
        <f t="shared" si="31"/>
        <v>1360.1647781691945</v>
      </c>
      <c r="Q36" s="9">
        <f t="shared" si="27"/>
        <v>1.2032806728573027</v>
      </c>
      <c r="R36">
        <f t="shared" si="2"/>
        <v>11.888357751522438</v>
      </c>
      <c r="S36">
        <f t="shared" si="3"/>
        <v>11.106228952080171</v>
      </c>
      <c r="T36">
        <f t="shared" si="4"/>
        <v>16.737556308064487</v>
      </c>
      <c r="U36">
        <f t="shared" si="5"/>
        <v>1.094980319219172</v>
      </c>
      <c r="V36">
        <f t="shared" si="6"/>
        <v>1.094980319219172</v>
      </c>
      <c r="W36">
        <f t="shared" si="7"/>
        <v>2.1899606384383437</v>
      </c>
      <c r="X36">
        <f t="shared" si="8"/>
        <v>2.1899606384383437</v>
      </c>
      <c r="Y36">
        <f t="shared" si="9"/>
        <v>2.1899606384383437</v>
      </c>
      <c r="Z36">
        <f t="shared" si="10"/>
        <v>1.7206833587729848</v>
      </c>
      <c r="AA36">
        <f t="shared" si="11"/>
        <v>10.949803192191718</v>
      </c>
      <c r="AB36">
        <f t="shared" si="12"/>
        <v>5.4749015960958598</v>
      </c>
      <c r="AC36">
        <f t="shared" si="13"/>
        <v>2.6592379181037038</v>
      </c>
      <c r="AD36">
        <f t="shared" si="14"/>
        <v>28.313062539810019</v>
      </c>
      <c r="AE36">
        <f t="shared" si="15"/>
        <v>19.083942706391284</v>
      </c>
      <c r="AF36">
        <f t="shared" si="16"/>
        <v>18.145388147060565</v>
      </c>
      <c r="AG36">
        <f t="shared" si="17"/>
        <v>21.586754864606537</v>
      </c>
      <c r="AH36">
        <f t="shared" si="28"/>
        <v>156.42575988845314</v>
      </c>
      <c r="AI36" s="9">
        <f t="shared" si="18"/>
        <v>6261505.8216241486</v>
      </c>
      <c r="AJ36" s="9">
        <f t="shared" si="19"/>
        <v>177.32584486839585</v>
      </c>
      <c r="AK36" s="9">
        <f t="shared" si="20"/>
        <v>448.96303718417698</v>
      </c>
      <c r="AL36" s="9">
        <f t="shared" si="21"/>
        <v>71.379385164668903</v>
      </c>
      <c r="AM36" s="9">
        <f t="shared" si="22"/>
        <v>298.93905888495414</v>
      </c>
    </row>
    <row r="37" spans="1:39" x14ac:dyDescent="0.25">
      <c r="A37" s="6">
        <f>'Texas pop'!A133</f>
        <v>2049</v>
      </c>
      <c r="B37" s="6">
        <f>'Texas pop'!B133</f>
        <v>39116173.000000119</v>
      </c>
      <c r="C37" s="6">
        <f>'Texas pop'!C133</f>
        <v>11696952.41127586</v>
      </c>
      <c r="D37" s="6">
        <f>'Texas pop'!D133</f>
        <v>10431442.018732436</v>
      </c>
      <c r="E37" s="6">
        <f>'Texas pop'!E133</f>
        <v>872637.85361606954</v>
      </c>
      <c r="F37" s="47">
        <f t="shared" si="23"/>
        <v>12.125921426387851</v>
      </c>
      <c r="G37" s="47">
        <f t="shared" si="0"/>
        <v>502.98802250537562</v>
      </c>
      <c r="H37" s="6">
        <f t="shared" si="32"/>
        <v>452689.22025483812</v>
      </c>
      <c r="I37" s="9">
        <f t="shared" si="24"/>
        <v>100012.73470746423</v>
      </c>
      <c r="J37" s="47">
        <f t="shared" si="1"/>
        <v>168008.96595670187</v>
      </c>
      <c r="K37" s="9">
        <f t="shared" si="29"/>
        <v>71842.874891832413</v>
      </c>
      <c r="L37" s="9">
        <f t="shared" si="25"/>
        <v>983.33333333333314</v>
      </c>
      <c r="M37" s="9">
        <f t="shared" si="33"/>
        <v>1191.2412240942783</v>
      </c>
      <c r="N37" s="13">
        <v>5.31</v>
      </c>
      <c r="O37" s="9">
        <f t="shared" si="30"/>
        <v>983.33333333333314</v>
      </c>
      <c r="P37" s="41">
        <f t="shared" si="31"/>
        <v>1346.5631303875025</v>
      </c>
      <c r="Q37" s="9">
        <f t="shared" si="27"/>
        <v>1.2114317533162156</v>
      </c>
      <c r="R37">
        <f t="shared" si="2"/>
        <v>12.363892061583336</v>
      </c>
      <c r="S37">
        <f t="shared" si="3"/>
        <v>11.550478110163377</v>
      </c>
      <c r="T37">
        <f t="shared" si="4"/>
        <v>17.407058560387064</v>
      </c>
      <c r="U37">
        <f t="shared" si="5"/>
        <v>1.1387795319879388</v>
      </c>
      <c r="V37">
        <f t="shared" si="6"/>
        <v>1.1387795319879388</v>
      </c>
      <c r="W37">
        <f t="shared" si="7"/>
        <v>2.2775590639758772</v>
      </c>
      <c r="X37">
        <f t="shared" si="8"/>
        <v>2.2775590639758772</v>
      </c>
      <c r="Y37">
        <f t="shared" si="9"/>
        <v>2.2775590639758772</v>
      </c>
      <c r="Z37">
        <f t="shared" si="10"/>
        <v>1.789510693123904</v>
      </c>
      <c r="AA37">
        <f t="shared" si="11"/>
        <v>11.387795319879384</v>
      </c>
      <c r="AB37">
        <f t="shared" si="12"/>
        <v>5.6938976599396929</v>
      </c>
      <c r="AC37">
        <f t="shared" si="13"/>
        <v>2.7656074348278517</v>
      </c>
      <c r="AD37">
        <f t="shared" si="14"/>
        <v>29.445585041402417</v>
      </c>
      <c r="AE37">
        <f t="shared" si="15"/>
        <v>19.847300414646934</v>
      </c>
      <c r="AF37">
        <f t="shared" si="16"/>
        <v>18.871203672942986</v>
      </c>
      <c r="AG37">
        <f t="shared" si="17"/>
        <v>22.450225059190799</v>
      </c>
      <c r="AH37">
        <f t="shared" si="28"/>
        <v>162.68279028399127</v>
      </c>
      <c r="AI37" s="9">
        <f t="shared" si="18"/>
        <v>6511966.0544891143</v>
      </c>
      <c r="AJ37" s="9">
        <f t="shared" si="19"/>
        <v>184.41887866313166</v>
      </c>
      <c r="AK37" s="9">
        <f t="shared" si="20"/>
        <v>466.92155867154401</v>
      </c>
      <c r="AL37" s="9">
        <f t="shared" si="21"/>
        <v>74.234560571255642</v>
      </c>
      <c r="AM37" s="9">
        <f t="shared" si="22"/>
        <v>310.89662124035226</v>
      </c>
    </row>
    <row r="38" spans="1:39" x14ac:dyDescent="0.25">
      <c r="A38" s="6">
        <f>'Texas pop'!A134</f>
        <v>2050</v>
      </c>
      <c r="B38" s="6">
        <f>'Texas pop'!B134</f>
        <v>39455105.642857194</v>
      </c>
      <c r="C38" s="6">
        <f>'Texas pop'!C134</f>
        <v>12569590.26489193</v>
      </c>
      <c r="D38" s="6">
        <f>'Texas pop'!D134</f>
        <v>11045098.209541559</v>
      </c>
      <c r="E38" s="6">
        <f>'Texas pop'!E134</f>
        <v>907543.3677607124</v>
      </c>
      <c r="F38" s="47">
        <f t="shared" si="23"/>
        <v>12.610958283443367</v>
      </c>
      <c r="G38" s="47">
        <f t="shared" si="0"/>
        <v>523.10754340559072</v>
      </c>
      <c r="H38" s="6">
        <f t="shared" si="32"/>
        <v>470796.78906503163</v>
      </c>
      <c r="I38" s="9">
        <f>H38/$D$42*$D$43</f>
        <v>104013.2440957628</v>
      </c>
      <c r="J38" s="47">
        <f t="shared" si="1"/>
        <v>174729.32459496995</v>
      </c>
      <c r="K38" s="9">
        <f t="shared" si="29"/>
        <v>74716.589887505717</v>
      </c>
      <c r="L38" s="9">
        <f t="shared" si="25"/>
        <v>999.99999999999989</v>
      </c>
      <c r="M38" s="9">
        <f t="shared" si="33"/>
        <v>1190.6605653332313</v>
      </c>
      <c r="N38" s="13">
        <v>5.4</v>
      </c>
      <c r="O38" s="9">
        <f>$H$50/2.7*N38</f>
        <v>999.99999999999989</v>
      </c>
      <c r="P38" s="41">
        <f t="shared" si="31"/>
        <v>1333.0974990836276</v>
      </c>
      <c r="Q38" s="9">
        <f t="shared" si="27"/>
        <v>1.1906605653332314</v>
      </c>
      <c r="R38">
        <f t="shared" si="2"/>
        <v>12.85844774404667</v>
      </c>
      <c r="S38">
        <f t="shared" si="3"/>
        <v>12.012497234569915</v>
      </c>
      <c r="T38">
        <f t="shared" si="4"/>
        <v>18.10334090280255</v>
      </c>
      <c r="U38">
        <f t="shared" si="5"/>
        <v>1.1843307132674565</v>
      </c>
      <c r="V38">
        <f t="shared" si="6"/>
        <v>1.1843307132674565</v>
      </c>
      <c r="W38">
        <f t="shared" si="7"/>
        <v>2.3686614265349126</v>
      </c>
      <c r="X38">
        <f t="shared" si="8"/>
        <v>2.3686614265349126</v>
      </c>
      <c r="Y38">
        <f t="shared" si="9"/>
        <v>2.3686614265349126</v>
      </c>
      <c r="Z38">
        <f t="shared" si="10"/>
        <v>1.8610911208488603</v>
      </c>
      <c r="AA38">
        <f t="shared" si="11"/>
        <v>11.843307132674562</v>
      </c>
      <c r="AB38">
        <f t="shared" si="12"/>
        <v>5.921653566337282</v>
      </c>
      <c r="AC38">
        <f t="shared" si="13"/>
        <v>2.8762317322209658</v>
      </c>
      <c r="AD38">
        <f t="shared" si="14"/>
        <v>30.623408443058516</v>
      </c>
      <c r="AE38">
        <f t="shared" si="15"/>
        <v>20.641192431232813</v>
      </c>
      <c r="AF38">
        <f t="shared" si="16"/>
        <v>19.626051819860709</v>
      </c>
      <c r="AG38">
        <f t="shared" si="17"/>
        <v>23.348234061558433</v>
      </c>
      <c r="AH38">
        <f t="shared" si="28"/>
        <v>169.19010189535095</v>
      </c>
      <c r="AI38" s="9">
        <f t="shared" si="18"/>
        <v>6772444.6966686798</v>
      </c>
      <c r="AJ38" s="9">
        <f t="shared" si="19"/>
        <v>191.79563380965692</v>
      </c>
      <c r="AK38" s="9">
        <f t="shared" si="20"/>
        <v>485.59842101840576</v>
      </c>
      <c r="AL38" s="9">
        <f t="shared" si="21"/>
        <v>77.203942994105873</v>
      </c>
      <c r="AM38" s="9">
        <f t="shared" si="22"/>
        <v>323.33248608996644</v>
      </c>
    </row>
    <row r="39" spans="1:39" x14ac:dyDescent="0.25">
      <c r="A39">
        <f>'Texas pop'!A135</f>
        <v>0</v>
      </c>
      <c r="B39">
        <f>'Texas pop'!B135</f>
        <v>0</v>
      </c>
      <c r="C39">
        <f>'Texas pop'!C135</f>
        <v>11036698.209541559</v>
      </c>
      <c r="D39">
        <f>'Texas pop'!D135</f>
        <v>12577990.26489193</v>
      </c>
      <c r="E39" s="91">
        <f>'Texas pop'!E135</f>
        <v>12569590.26489193</v>
      </c>
      <c r="F39" s="47">
        <f t="shared" si="23"/>
        <v>174.66336497136163</v>
      </c>
      <c r="G39" s="47">
        <f t="shared" si="0"/>
        <v>7245.1055438885751</v>
      </c>
      <c r="H39" s="91"/>
      <c r="I39" s="91"/>
      <c r="J39">
        <f>$E39*I$2</f>
        <v>178091125.25827596</v>
      </c>
      <c r="K39">
        <f>$E39*J$2</f>
        <v>166374603.85970515</v>
      </c>
      <c r="M39">
        <f>$E39*K$2</f>
        <v>250733557.92941481</v>
      </c>
      <c r="N39">
        <f>$E39*L$2</f>
        <v>16403129.957999101</v>
      </c>
      <c r="O39">
        <f>$E39*M$2</f>
        <v>16403129.957999101</v>
      </c>
      <c r="Q39">
        <f>$E39*N$2</f>
        <v>32806259.915998194</v>
      </c>
      <c r="R39">
        <f t="shared" ref="R39:AA39" si="34">$E39*P$2</f>
        <v>32806259.915998194</v>
      </c>
      <c r="S39">
        <f t="shared" si="34"/>
        <v>32806259.915998194</v>
      </c>
      <c r="T39">
        <f t="shared" si="34"/>
        <v>25776347.076855734</v>
      </c>
      <c r="U39">
        <f t="shared" si="34"/>
        <v>164031299.57999095</v>
      </c>
      <c r="V39">
        <f t="shared" si="34"/>
        <v>82015649.789995492</v>
      </c>
      <c r="W39">
        <f t="shared" si="34"/>
        <v>39836172.755140677</v>
      </c>
      <c r="X39">
        <f t="shared" si="34"/>
        <v>424138074.62826246</v>
      </c>
      <c r="Y39">
        <f t="shared" si="34"/>
        <v>285883122.1251272</v>
      </c>
      <c r="Z39">
        <f t="shared" si="34"/>
        <v>271823296.44684225</v>
      </c>
      <c r="AA39">
        <f t="shared" si="34"/>
        <v>323375990.60055375</v>
      </c>
    </row>
    <row r="40" spans="1:39" x14ac:dyDescent="0.25">
      <c r="A40">
        <f>'Texas pop'!A136</f>
        <v>0</v>
      </c>
      <c r="B40">
        <f>'Texas pop'!B136</f>
        <v>13427775.03937426</v>
      </c>
      <c r="C40">
        <f>'Texas pop'!C136</f>
        <v>0</v>
      </c>
      <c r="D40">
        <f>'Texas pop'!D136</f>
        <v>0</v>
      </c>
      <c r="E40">
        <f>'Texas pop'!E136</f>
        <v>0</v>
      </c>
      <c r="K40" s="38" t="s">
        <v>212</v>
      </c>
    </row>
    <row r="41" spans="1:39" x14ac:dyDescent="0.25">
      <c r="B41" s="1">
        <v>2029</v>
      </c>
      <c r="C41" s="1" t="s">
        <v>186</v>
      </c>
      <c r="D41" s="1">
        <f>576.3995*0.9</f>
        <v>518.75954999999999</v>
      </c>
      <c r="E41">
        <f>E17*D41/1000</f>
        <v>115818.28522067577</v>
      </c>
      <c r="K41" s="38" t="s">
        <v>214</v>
      </c>
    </row>
    <row r="42" spans="1:39" x14ac:dyDescent="0.25">
      <c r="C42" s="108" t="s">
        <v>187</v>
      </c>
      <c r="D42" s="108">
        <v>4.3</v>
      </c>
      <c r="E42" s="11">
        <f>E41/7.2</f>
        <v>16085.872947316078</v>
      </c>
      <c r="F42" t="s">
        <v>188</v>
      </c>
    </row>
    <row r="43" spans="1:39" x14ac:dyDescent="0.25">
      <c r="C43" t="s">
        <v>190</v>
      </c>
      <c r="D43">
        <v>0.95</v>
      </c>
      <c r="E43" s="11">
        <f>E42*D43</f>
        <v>15281.579299950274</v>
      </c>
      <c r="F43" t="s">
        <v>189</v>
      </c>
      <c r="I43" s="100" t="s">
        <v>218</v>
      </c>
    </row>
    <row r="44" spans="1:39" x14ac:dyDescent="0.25">
      <c r="B44" t="s">
        <v>191</v>
      </c>
      <c r="D44">
        <v>8.09</v>
      </c>
      <c r="E44" s="46">
        <f>E17*D44/1000</f>
        <v>1806.1738380243157</v>
      </c>
      <c r="F44" t="s">
        <v>192</v>
      </c>
      <c r="I44" s="100">
        <v>2021</v>
      </c>
      <c r="J44" s="99">
        <v>710</v>
      </c>
      <c r="K44" s="38" t="s">
        <v>219</v>
      </c>
    </row>
    <row r="45" spans="1:39" x14ac:dyDescent="0.25">
      <c r="B45" t="s">
        <v>193</v>
      </c>
      <c r="D45">
        <v>192.53</v>
      </c>
      <c r="E45" s="46">
        <f>D45*E18/1000</f>
        <v>49861.739540221621</v>
      </c>
      <c r="F45" t="s">
        <v>194</v>
      </c>
      <c r="J45" s="102">
        <f>J51*J44</f>
        <v>1088.3971364607796</v>
      </c>
      <c r="L45" s="104">
        <v>45717</v>
      </c>
      <c r="M45" s="101"/>
    </row>
    <row r="46" spans="1:39" x14ac:dyDescent="0.25">
      <c r="A46" s="106" t="s">
        <v>225</v>
      </c>
      <c r="B46" s="1" t="s">
        <v>224</v>
      </c>
      <c r="C46" s="1">
        <v>72.174251876015134</v>
      </c>
      <c r="I46" t="s">
        <v>220</v>
      </c>
      <c r="L46" s="98">
        <f>L45-J44+J45</f>
        <v>46095.397136460779</v>
      </c>
      <c r="M46" s="105">
        <f>L46/L45-1</f>
        <v>8.2769459164158121E-3</v>
      </c>
      <c r="N46" s="100" t="s">
        <v>222</v>
      </c>
    </row>
    <row r="47" spans="1:39" x14ac:dyDescent="0.25">
      <c r="D47" t="s">
        <v>198</v>
      </c>
      <c r="N47" s="38" t="s">
        <v>221</v>
      </c>
    </row>
    <row r="48" spans="1:39" x14ac:dyDescent="0.25">
      <c r="D48" t="s">
        <v>195</v>
      </c>
      <c r="F48" t="s">
        <v>196</v>
      </c>
      <c r="H48" t="s">
        <v>197</v>
      </c>
      <c r="J48" t="s">
        <v>200</v>
      </c>
    </row>
    <row r="49" spans="2:11" x14ac:dyDescent="0.25">
      <c r="D49" s="95">
        <f>E43</f>
        <v>15281.579299950274</v>
      </c>
      <c r="E49" s="95"/>
      <c r="F49" s="95">
        <f>E45</f>
        <v>49861.739540221621</v>
      </c>
      <c r="G49" s="95"/>
      <c r="H49" s="96">
        <f>F49-D49</f>
        <v>34580.160240271347</v>
      </c>
    </row>
    <row r="50" spans="2:11" x14ac:dyDescent="0.25">
      <c r="B50" s="115" t="s">
        <v>199</v>
      </c>
      <c r="C50" s="115"/>
      <c r="D50" s="107">
        <v>1764.5098914</v>
      </c>
      <c r="E50" s="91"/>
      <c r="F50" s="91"/>
      <c r="G50" s="91"/>
      <c r="H50" s="6">
        <v>500</v>
      </c>
      <c r="J50" s="19">
        <f>D49/$F$49*D50+H49/$F$49*H50</f>
        <v>887.54580885435985</v>
      </c>
    </row>
    <row r="51" spans="2:11" x14ac:dyDescent="0.25">
      <c r="J51" s="93">
        <f>Q13</f>
        <v>1.5329537133250417</v>
      </c>
    </row>
    <row r="52" spans="2:11" x14ac:dyDescent="0.25">
      <c r="J52" s="92">
        <v>2.0632836303879314</v>
      </c>
      <c r="K52" t="s">
        <v>201</v>
      </c>
    </row>
    <row r="53" spans="2:11" x14ac:dyDescent="0.25">
      <c r="J53" s="92">
        <v>1.8506269043103447</v>
      </c>
      <c r="K53" t="s">
        <v>202</v>
      </c>
    </row>
    <row r="54" spans="2:11" x14ac:dyDescent="0.25">
      <c r="J54" s="92">
        <v>1.6379701782327589</v>
      </c>
      <c r="K54" t="s">
        <v>203</v>
      </c>
    </row>
    <row r="55" spans="2:11" x14ac:dyDescent="0.25">
      <c r="J55" s="94">
        <v>1.4253134521551725</v>
      </c>
      <c r="K55" t="s">
        <v>204</v>
      </c>
    </row>
    <row r="56" spans="2:11" x14ac:dyDescent="0.25">
      <c r="J56" s="94">
        <v>1.2126567260775862</v>
      </c>
      <c r="K56" t="s">
        <v>204</v>
      </c>
    </row>
    <row r="57" spans="2:11" x14ac:dyDescent="0.25">
      <c r="J57">
        <v>1</v>
      </c>
      <c r="K57" t="s">
        <v>205</v>
      </c>
    </row>
  </sheetData>
  <mergeCells count="1">
    <mergeCell ref="B50:C50"/>
  </mergeCells>
  <hyperlinks>
    <hyperlink ref="K40" r:id="rId1" xr:uid="{D134BF74-3252-4080-8E96-FF5219DCC957}"/>
    <hyperlink ref="K41" r:id="rId2" xr:uid="{135826F1-AF44-429C-875F-1824AFFCF5AA}"/>
    <hyperlink ref="K44" r:id="rId3" xr:uid="{EB0D9710-F175-44F9-A633-958A046F6517}"/>
    <hyperlink ref="N47" r:id="rId4" location=":~:text=As%20auto%20prices%20soar%20across,costs%20almost%20%2430%2C000%20(%2429%2C969%20)." xr:uid="{97BDE09E-14F8-4A2B-9AD0-893C2724B7E6}"/>
  </hyperlink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BAF73-70DE-4743-BA8B-F0550A8639B9}">
  <dimension ref="A1:AP57"/>
  <sheetViews>
    <sheetView zoomScale="57" zoomScaleNormal="75" workbookViewId="0">
      <selection activeCell="J52" sqref="J52"/>
    </sheetView>
  </sheetViews>
  <sheetFormatPr defaultColWidth="11.42578125" defaultRowHeight="15" x14ac:dyDescent="0.25"/>
  <cols>
    <col min="5" max="5" width="24.85546875" customWidth="1"/>
    <col min="6" max="6" width="12.5703125" bestFit="1" customWidth="1"/>
    <col min="8" max="9" width="13.28515625" customWidth="1"/>
    <col min="10" max="10" width="15.140625" customWidth="1"/>
    <col min="13" max="13" width="13.85546875" customWidth="1"/>
    <col min="24" max="24" width="16.28515625" customWidth="1"/>
    <col min="25" max="25" width="11.5703125" customWidth="1"/>
    <col min="26" max="26" width="14.42578125" customWidth="1"/>
  </cols>
  <sheetData>
    <row r="1" spans="1:42" ht="50.45" customHeight="1" x14ac:dyDescent="0.25">
      <c r="W1" s="86" t="s">
        <v>175</v>
      </c>
      <c r="X1" s="86" t="s">
        <v>184</v>
      </c>
      <c r="Y1" s="86" t="s">
        <v>176</v>
      </c>
      <c r="Z1" s="86" t="s">
        <v>185</v>
      </c>
      <c r="AA1" s="86" t="s">
        <v>177</v>
      </c>
      <c r="AC1" s="86" t="s">
        <v>180</v>
      </c>
    </row>
    <row r="2" spans="1:42" x14ac:dyDescent="0.25">
      <c r="E2" t="s">
        <v>171</v>
      </c>
      <c r="I2">
        <v>14.168411340797761</v>
      </c>
      <c r="J2">
        <v>13.236279015745275</v>
      </c>
      <c r="K2">
        <v>19.947631756123162</v>
      </c>
      <c r="L2">
        <v>1.304985255073478</v>
      </c>
      <c r="M2">
        <v>1.304985255073478</v>
      </c>
      <c r="N2">
        <v>2.6099705101469555</v>
      </c>
      <c r="P2">
        <v>2.6099705101469555</v>
      </c>
      <c r="Q2">
        <v>2.6099705101469555</v>
      </c>
      <c r="R2">
        <v>2.0506911151154656</v>
      </c>
      <c r="S2">
        <v>13.049852550734776</v>
      </c>
      <c r="T2">
        <v>6.5249262753673891</v>
      </c>
      <c r="U2">
        <v>3.1692499051784466</v>
      </c>
      <c r="V2">
        <v>33.743190166899929</v>
      </c>
      <c r="W2">
        <v>22.744028731280615</v>
      </c>
      <c r="X2">
        <v>21.625469941217634</v>
      </c>
      <c r="Y2">
        <v>25.72685217144857</v>
      </c>
      <c r="AA2">
        <v>7.4623923629998226</v>
      </c>
      <c r="AB2" s="9">
        <f>28.32*7.46239236299982</f>
        <v>211.33495172015489</v>
      </c>
      <c r="AC2">
        <v>22.472902571142505</v>
      </c>
      <c r="AD2">
        <f>0.00378541*22.4729025711425</f>
        <v>8.506915012182853E-2</v>
      </c>
      <c r="AE2">
        <v>356.27221527469521</v>
      </c>
      <c r="AG2" s="87">
        <v>2636.4</v>
      </c>
      <c r="AH2" s="6">
        <v>50000</v>
      </c>
    </row>
    <row r="3" spans="1:42" x14ac:dyDescent="0.25">
      <c r="A3" s="84" t="str">
        <f>'Texas pop'!A99</f>
        <v>Year</v>
      </c>
      <c r="B3" s="6" t="str">
        <f>'Texas pop'!B99</f>
        <v>Population</v>
      </c>
      <c r="C3" s="6" t="str">
        <f>'Texas pop'!C99</f>
        <v>EVs</v>
      </c>
      <c r="D3" s="6" t="str">
        <f>'Texas pop'!D99</f>
        <v>EVs w retirement</v>
      </c>
      <c r="E3" s="84" t="str">
        <f>'Texas pop'!E99</f>
        <v xml:space="preserve"> Sales Difference/New cars</v>
      </c>
      <c r="F3" t="s">
        <v>226</v>
      </c>
      <c r="G3" t="s">
        <v>223</v>
      </c>
      <c r="H3" t="s">
        <v>206</v>
      </c>
      <c r="I3" t="s">
        <v>210</v>
      </c>
      <c r="J3" t="s">
        <v>207</v>
      </c>
      <c r="K3" t="s">
        <v>208</v>
      </c>
      <c r="L3" t="s">
        <v>215</v>
      </c>
      <c r="M3" t="s">
        <v>209</v>
      </c>
      <c r="N3" t="s">
        <v>213</v>
      </c>
      <c r="O3" t="s">
        <v>216</v>
      </c>
      <c r="P3" s="84" t="s">
        <v>211</v>
      </c>
      <c r="Q3" s="84" t="s">
        <v>217</v>
      </c>
      <c r="R3" s="6" t="s">
        <v>155</v>
      </c>
      <c r="S3" s="6" t="s">
        <v>156</v>
      </c>
      <c r="T3" s="6" t="s">
        <v>157</v>
      </c>
      <c r="U3" s="6" t="s">
        <v>158</v>
      </c>
      <c r="V3" s="6" t="s">
        <v>159</v>
      </c>
      <c r="W3" s="84" t="s">
        <v>160</v>
      </c>
      <c r="X3" s="84" t="s">
        <v>161</v>
      </c>
      <c r="Y3" s="84" t="s">
        <v>162</v>
      </c>
      <c r="Z3" s="6" t="s">
        <v>163</v>
      </c>
      <c r="AA3" s="6" t="s">
        <v>164</v>
      </c>
      <c r="AB3" s="6" t="s">
        <v>165</v>
      </c>
      <c r="AC3" s="6" t="s">
        <v>166</v>
      </c>
      <c r="AD3" s="6" t="s">
        <v>167</v>
      </c>
      <c r="AE3" s="6" t="s">
        <v>168</v>
      </c>
      <c r="AF3" s="6" t="s">
        <v>169</v>
      </c>
      <c r="AG3" s="6" t="s">
        <v>170</v>
      </c>
      <c r="AH3" s="6" t="s">
        <v>50</v>
      </c>
      <c r="AI3" s="85" t="s">
        <v>172</v>
      </c>
      <c r="AJ3" s="85" t="s">
        <v>172</v>
      </c>
      <c r="AK3" s="85" t="s">
        <v>173</v>
      </c>
      <c r="AL3" s="85"/>
      <c r="AM3" s="85" t="s">
        <v>174</v>
      </c>
      <c r="AO3" s="6">
        <f>AP3*AG2/AH2</f>
        <v>393.47702451625452</v>
      </c>
      <c r="AP3" s="6">
        <f>7.46239236299982*1000</f>
        <v>7462.3923629998199</v>
      </c>
    </row>
    <row r="4" spans="1:42" x14ac:dyDescent="0.25">
      <c r="A4" s="6">
        <f>'Texas pop'!A100</f>
        <v>2016</v>
      </c>
      <c r="B4" s="6">
        <f>'Texas pop'!B100</f>
        <v>27914064</v>
      </c>
      <c r="C4" s="6">
        <f>'Texas pop'!C100</f>
        <v>11900</v>
      </c>
      <c r="D4" s="6">
        <f>'Texas pop'!D100</f>
        <v>11900</v>
      </c>
      <c r="E4" s="6">
        <f>'Texas pop'!E100</f>
        <v>4200</v>
      </c>
      <c r="F4" s="47">
        <f>E4*$C$46*$D$45/1000000000</f>
        <v>5.8361976597494619E-2</v>
      </c>
      <c r="G4" s="47">
        <f t="shared" ref="G4:G39" si="0">E4/1000*$D$41/0.9/1000</f>
        <v>2.4208778999999998</v>
      </c>
      <c r="H4" s="6">
        <v>0</v>
      </c>
      <c r="I4" s="9">
        <f>H4/$D$42*$D$43</f>
        <v>0</v>
      </c>
      <c r="J4" s="47">
        <f t="shared" ref="J4:J38" si="1">$D$45*E4/1000</f>
        <v>808.62599999999998</v>
      </c>
      <c r="K4" s="9"/>
      <c r="L4" s="9">
        <f>O4</f>
        <v>453.7037037037037</v>
      </c>
      <c r="M4" s="9">
        <f>O4</f>
        <v>453.7037037037037</v>
      </c>
      <c r="N4" s="9">
        <v>2.4500000000000002</v>
      </c>
      <c r="O4" s="9">
        <f>$H$50/2.7*N4</f>
        <v>453.7037037037037</v>
      </c>
      <c r="P4" s="6">
        <f>P5/D43</f>
        <v>2175.6221451523543</v>
      </c>
      <c r="Q4" s="9">
        <f>M4/L4</f>
        <v>1</v>
      </c>
      <c r="R4">
        <f t="shared" ref="R4:R38" si="2">$E4*I$2/1000000</f>
        <v>5.9507327631350596E-2</v>
      </c>
      <c r="S4">
        <f t="shared" ref="S4:S38" si="3">$E4*J$2/1000000</f>
        <v>5.5592371866130155E-2</v>
      </c>
      <c r="T4">
        <f t="shared" ref="T4:T38" si="4">$E4*K$2/1000000</f>
        <v>8.3780053375717284E-2</v>
      </c>
      <c r="U4">
        <f t="shared" ref="U4:U38" si="5">$E4*L$2/1000000</f>
        <v>5.4809380713086078E-3</v>
      </c>
      <c r="V4">
        <f t="shared" ref="V4:V38" si="6">$E4*M$2/1000000</f>
        <v>5.4809380713086078E-3</v>
      </c>
      <c r="W4">
        <f t="shared" ref="W4:W38" si="7">$E4*N$2/1000000</f>
        <v>1.0961876142617214E-2</v>
      </c>
      <c r="X4">
        <f t="shared" ref="X4:X38" si="8">$E4*P$2/1000000</f>
        <v>1.0961876142617214E-2</v>
      </c>
      <c r="Y4">
        <f t="shared" ref="Y4:Y38" si="9">$E4*Q$2/1000000</f>
        <v>1.0961876142617214E-2</v>
      </c>
      <c r="Z4">
        <f t="shared" ref="Z4:Z38" si="10">$E4*R$2/1000000</f>
        <v>8.6129026834849548E-3</v>
      </c>
      <c r="AA4">
        <f t="shared" ref="AA4:AA38" si="11">$E4*S$2/1000000</f>
        <v>5.480938071308606E-2</v>
      </c>
      <c r="AB4">
        <f t="shared" ref="AB4:AB38" si="12">$E4*T$2/1000000</f>
        <v>2.7404690356543034E-2</v>
      </c>
      <c r="AC4">
        <f t="shared" ref="AC4:AC38" si="13">$E4*U$2/1000000</f>
        <v>1.3310849601749476E-2</v>
      </c>
      <c r="AD4">
        <f t="shared" ref="AD4:AD38" si="14">$E4*V$2/1000000</f>
        <v>0.14172139870097972</v>
      </c>
      <c r="AE4">
        <f t="shared" ref="AE4:AE38" si="15">$E4*W$2/1000000</f>
        <v>9.5524920671378577E-2</v>
      </c>
      <c r="AF4">
        <f t="shared" ref="AF4:AF38" si="16">$E4*X$2/1000000</f>
        <v>9.0826973753114076E-2</v>
      </c>
      <c r="AG4">
        <f t="shared" ref="AG4:AG38" si="17">$E4*Y$2/1000000</f>
        <v>0.108052779120084</v>
      </c>
      <c r="AH4">
        <f>SUM(R4:AG4)</f>
        <v>0.78299115304408684</v>
      </c>
      <c r="AI4" s="9">
        <f t="shared" ref="AI4:AI38" si="18">$E4*AA$2</f>
        <v>31342.047924599254</v>
      </c>
      <c r="AJ4" s="9">
        <f t="shared" ref="AJ4:AJ38" si="19">$E4*AB$2/1000000</f>
        <v>0.88760679722465052</v>
      </c>
      <c r="AK4" s="9">
        <f t="shared" ref="AK4:AK38" si="20">$E4*AC$2/(42*1000)</f>
        <v>2.2472902571142503</v>
      </c>
      <c r="AL4" s="9">
        <f t="shared" ref="AL4:AL38" si="21">$E4*AD$2/1000</f>
        <v>0.3572904305116798</v>
      </c>
      <c r="AM4" s="9">
        <f t="shared" ref="AM4:AM38" si="22">$E4*AE$2/1000000</f>
        <v>1.49634330415372</v>
      </c>
      <c r="AO4" s="84">
        <f>AO3*AP5</f>
        <v>178.4780305043769</v>
      </c>
      <c r="AP4" s="6" t="s">
        <v>179</v>
      </c>
    </row>
    <row r="5" spans="1:42" x14ac:dyDescent="0.25">
      <c r="A5" s="6">
        <f>'Texas pop'!A101</f>
        <v>2017</v>
      </c>
      <c r="B5" s="6">
        <f>'Texas pop'!B101</f>
        <v>28291024</v>
      </c>
      <c r="C5" s="6">
        <f>'Texas pop'!C101</f>
        <v>16100</v>
      </c>
      <c r="D5" s="6">
        <f>'Texas pop'!D101</f>
        <v>16100</v>
      </c>
      <c r="E5" s="6">
        <f>'Texas pop'!E101</f>
        <v>8400</v>
      </c>
      <c r="F5" s="47">
        <f t="shared" ref="F5:F39" si="23">E5*$C$46*$D$45/1000000000</f>
        <v>0.11672395319498924</v>
      </c>
      <c r="G5" s="47">
        <f t="shared" si="0"/>
        <v>4.8417557999999996</v>
      </c>
      <c r="H5" s="6">
        <v>0</v>
      </c>
      <c r="I5" s="9">
        <f t="shared" ref="I5:I38" si="24">H5/$D$42*$D$43</f>
        <v>0</v>
      </c>
      <c r="J5" s="47">
        <f t="shared" si="1"/>
        <v>1617.252</v>
      </c>
      <c r="K5" s="9">
        <f>J5-I4</f>
        <v>1617.252</v>
      </c>
      <c r="L5" s="9">
        <f t="shared" ref="L5:L38" si="25">O5</f>
        <v>711.11111111111097</v>
      </c>
      <c r="M5" s="9">
        <f t="shared" ref="M5:M11" si="26">O5</f>
        <v>711.11111111111097</v>
      </c>
      <c r="N5" s="9">
        <v>3.84</v>
      </c>
      <c r="O5" s="9">
        <f>$H$50/2.7*N5</f>
        <v>711.11111111111097</v>
      </c>
      <c r="P5" s="6">
        <f>D50/D43</f>
        <v>2066.8410378947365</v>
      </c>
      <c r="Q5" s="9">
        <f t="shared" ref="Q5:Q38" si="27">M5/L5</f>
        <v>1</v>
      </c>
      <c r="R5">
        <f t="shared" si="2"/>
        <v>0.11901465526270119</v>
      </c>
      <c r="S5">
        <f t="shared" si="3"/>
        <v>0.11118474373226031</v>
      </c>
      <c r="T5">
        <f t="shared" si="4"/>
        <v>0.16756010675143457</v>
      </c>
      <c r="U5">
        <f t="shared" si="5"/>
        <v>1.0961876142617216E-2</v>
      </c>
      <c r="V5">
        <f t="shared" si="6"/>
        <v>1.0961876142617216E-2</v>
      </c>
      <c r="W5">
        <f t="shared" si="7"/>
        <v>2.1923752285234428E-2</v>
      </c>
      <c r="X5">
        <f t="shared" si="8"/>
        <v>2.1923752285234428E-2</v>
      </c>
      <c r="Y5">
        <f t="shared" si="9"/>
        <v>2.1923752285234428E-2</v>
      </c>
      <c r="Z5">
        <f t="shared" si="10"/>
        <v>1.722580536696991E-2</v>
      </c>
      <c r="AA5">
        <f t="shared" si="11"/>
        <v>0.10961876142617212</v>
      </c>
      <c r="AB5">
        <f t="shared" si="12"/>
        <v>5.4809380713086067E-2</v>
      </c>
      <c r="AC5">
        <f t="shared" si="13"/>
        <v>2.6621699203498952E-2</v>
      </c>
      <c r="AD5">
        <f t="shared" si="14"/>
        <v>0.28344279740195943</v>
      </c>
      <c r="AE5">
        <f t="shared" si="15"/>
        <v>0.19104984134275715</v>
      </c>
      <c r="AF5">
        <f t="shared" si="16"/>
        <v>0.18165394750622815</v>
      </c>
      <c r="AG5">
        <f t="shared" si="17"/>
        <v>0.216105558240168</v>
      </c>
      <c r="AH5">
        <f t="shared" ref="AH5:AH38" si="28">SUM(R5:AG5)</f>
        <v>1.5659823060881737</v>
      </c>
      <c r="AI5" s="9">
        <f t="shared" si="18"/>
        <v>62684.095849198507</v>
      </c>
      <c r="AJ5" s="9">
        <f t="shared" si="19"/>
        <v>1.775213594449301</v>
      </c>
      <c r="AK5" s="9">
        <f t="shared" si="20"/>
        <v>4.4945805142285007</v>
      </c>
      <c r="AL5" s="9">
        <f t="shared" si="21"/>
        <v>0.7145808610233596</v>
      </c>
      <c r="AM5" s="9">
        <f t="shared" si="22"/>
        <v>2.9926866083074399</v>
      </c>
      <c r="AO5" s="6" t="s">
        <v>178</v>
      </c>
      <c r="AP5" s="6">
        <v>0.453592</v>
      </c>
    </row>
    <row r="6" spans="1:42" x14ac:dyDescent="0.25">
      <c r="A6" s="6">
        <f>'Texas pop'!A102</f>
        <v>2018</v>
      </c>
      <c r="B6" s="6">
        <f>'Texas pop'!B102</f>
        <v>28624564</v>
      </c>
      <c r="C6" s="6">
        <f>'Texas pop'!C102</f>
        <v>24500</v>
      </c>
      <c r="D6" s="6">
        <f>'Texas pop'!D102</f>
        <v>24500</v>
      </c>
      <c r="E6" s="6">
        <f>'Texas pop'!E102</f>
        <v>13900</v>
      </c>
      <c r="F6" s="47">
        <f t="shared" si="23"/>
        <v>0.19315035112027978</v>
      </c>
      <c r="G6" s="47">
        <f t="shared" si="0"/>
        <v>8.0119530500000007</v>
      </c>
      <c r="H6" s="6">
        <v>0</v>
      </c>
      <c r="I6" s="9">
        <f t="shared" si="24"/>
        <v>0</v>
      </c>
      <c r="J6" s="47">
        <f t="shared" si="1"/>
        <v>2676.1669999999999</v>
      </c>
      <c r="K6" s="9">
        <f t="shared" ref="K6:K38" si="29">J6-I5</f>
        <v>2676.1669999999999</v>
      </c>
      <c r="L6" s="9">
        <f t="shared" si="25"/>
        <v>620.37037037037032</v>
      </c>
      <c r="M6" s="9">
        <f t="shared" si="26"/>
        <v>620.37037037037032</v>
      </c>
      <c r="N6" s="9">
        <v>3.35</v>
      </c>
      <c r="O6" s="9">
        <f t="shared" ref="O6:O37" si="30">$H$50/2.7*N6</f>
        <v>620.37037037037032</v>
      </c>
      <c r="P6" s="41">
        <f>P5*(1-0.01)</f>
        <v>2046.1726275157891</v>
      </c>
      <c r="Q6" s="9">
        <f t="shared" si="27"/>
        <v>1</v>
      </c>
      <c r="R6">
        <f t="shared" si="2"/>
        <v>0.19694091763708885</v>
      </c>
      <c r="S6">
        <f t="shared" si="3"/>
        <v>0.18398427831885933</v>
      </c>
      <c r="T6">
        <f t="shared" si="4"/>
        <v>0.277272081410112</v>
      </c>
      <c r="U6">
        <f t="shared" si="5"/>
        <v>1.8139295045521343E-2</v>
      </c>
      <c r="V6">
        <f t="shared" si="6"/>
        <v>1.8139295045521343E-2</v>
      </c>
      <c r="W6">
        <f t="shared" si="7"/>
        <v>3.627859009104268E-2</v>
      </c>
      <c r="X6">
        <f t="shared" si="8"/>
        <v>3.627859009104268E-2</v>
      </c>
      <c r="Y6">
        <f t="shared" si="9"/>
        <v>3.627859009104268E-2</v>
      </c>
      <c r="Z6">
        <f t="shared" si="10"/>
        <v>2.8504606500104973E-2</v>
      </c>
      <c r="AA6">
        <f t="shared" si="11"/>
        <v>0.18139295045521339</v>
      </c>
      <c r="AB6">
        <f t="shared" si="12"/>
        <v>9.069647522760671E-2</v>
      </c>
      <c r="AC6">
        <f t="shared" si="13"/>
        <v>4.4052573681980407E-2</v>
      </c>
      <c r="AD6">
        <f t="shared" si="14"/>
        <v>0.469030343319909</v>
      </c>
      <c r="AE6">
        <f t="shared" si="15"/>
        <v>0.31614199936480053</v>
      </c>
      <c r="AF6">
        <f t="shared" si="16"/>
        <v>0.30059403218292507</v>
      </c>
      <c r="AG6">
        <f t="shared" si="17"/>
        <v>0.35760324518313513</v>
      </c>
      <c r="AH6">
        <f t="shared" si="28"/>
        <v>2.5913278636459065</v>
      </c>
      <c r="AI6" s="9">
        <f t="shared" si="18"/>
        <v>103727.25384569753</v>
      </c>
      <c r="AJ6" s="9">
        <f t="shared" si="19"/>
        <v>2.9375558289101531</v>
      </c>
      <c r="AK6" s="9">
        <f t="shared" si="20"/>
        <v>7.4374606128304954</v>
      </c>
      <c r="AL6" s="9">
        <f t="shared" si="21"/>
        <v>1.1824611866934165</v>
      </c>
      <c r="AM6" s="9">
        <f t="shared" si="22"/>
        <v>4.9521837923182632</v>
      </c>
    </row>
    <row r="7" spans="1:42" x14ac:dyDescent="0.25">
      <c r="A7" s="6">
        <f>'Texas pop'!A103</f>
        <v>2019</v>
      </c>
      <c r="B7" s="6">
        <f>'Texas pop'!B103</f>
        <v>28986794</v>
      </c>
      <c r="C7" s="6">
        <f>'Texas pop'!C103</f>
        <v>38400</v>
      </c>
      <c r="D7" s="6">
        <f>'Texas pop'!D103</f>
        <v>38400</v>
      </c>
      <c r="E7" s="6">
        <f>'Texas pop'!E103</f>
        <v>13800</v>
      </c>
      <c r="F7" s="47">
        <f t="shared" si="23"/>
        <v>0.19176078024891088</v>
      </c>
      <c r="G7" s="47">
        <f t="shared" si="0"/>
        <v>7.9543131000000002</v>
      </c>
      <c r="H7" s="6">
        <v>0</v>
      </c>
      <c r="I7" s="9">
        <f t="shared" si="24"/>
        <v>0</v>
      </c>
      <c r="J7" s="47">
        <f t="shared" si="1"/>
        <v>2656.9140000000002</v>
      </c>
      <c r="K7" s="9">
        <f t="shared" si="29"/>
        <v>2656.9140000000002</v>
      </c>
      <c r="L7" s="9">
        <f t="shared" si="25"/>
        <v>725.92592592592587</v>
      </c>
      <c r="M7" s="9">
        <f t="shared" si="26"/>
        <v>725.92592592592587</v>
      </c>
      <c r="N7" s="9">
        <v>3.92</v>
      </c>
      <c r="O7" s="9">
        <f t="shared" si="30"/>
        <v>725.92592592592587</v>
      </c>
      <c r="P7" s="41">
        <f t="shared" ref="P7:P38" si="31">P6*(1-0.01)</f>
        <v>2025.7109012406313</v>
      </c>
      <c r="Q7" s="9">
        <f t="shared" si="27"/>
        <v>1</v>
      </c>
      <c r="R7">
        <f t="shared" si="2"/>
        <v>0.1955240765030091</v>
      </c>
      <c r="S7">
        <f t="shared" si="3"/>
        <v>0.1826606504172848</v>
      </c>
      <c r="T7">
        <f t="shared" si="4"/>
        <v>0.27527731823449963</v>
      </c>
      <c r="U7">
        <f t="shared" si="5"/>
        <v>1.8008796520013994E-2</v>
      </c>
      <c r="V7">
        <f t="shared" si="6"/>
        <v>1.8008796520013994E-2</v>
      </c>
      <c r="W7">
        <f t="shared" si="7"/>
        <v>3.6017593040027981E-2</v>
      </c>
      <c r="X7">
        <f t="shared" si="8"/>
        <v>3.6017593040027981E-2</v>
      </c>
      <c r="Y7">
        <f t="shared" si="9"/>
        <v>3.6017593040027981E-2</v>
      </c>
      <c r="Z7">
        <f t="shared" si="10"/>
        <v>2.8299537388593424E-2</v>
      </c>
      <c r="AA7">
        <f t="shared" si="11"/>
        <v>0.18008796520013992</v>
      </c>
      <c r="AB7">
        <f t="shared" si="12"/>
        <v>9.0043982600069974E-2</v>
      </c>
      <c r="AC7">
        <f t="shared" si="13"/>
        <v>4.3735648691462563E-2</v>
      </c>
      <c r="AD7">
        <f t="shared" si="14"/>
        <v>0.46565602430321901</v>
      </c>
      <c r="AE7">
        <f t="shared" si="15"/>
        <v>0.31386759649167251</v>
      </c>
      <c r="AF7">
        <f t="shared" si="16"/>
        <v>0.29843148518880336</v>
      </c>
      <c r="AG7">
        <f t="shared" si="17"/>
        <v>0.35503055996599026</v>
      </c>
      <c r="AH7">
        <f t="shared" si="28"/>
        <v>2.5726852171448562</v>
      </c>
      <c r="AI7" s="9">
        <f t="shared" si="18"/>
        <v>102981.01460939755</v>
      </c>
      <c r="AJ7" s="9">
        <f t="shared" si="19"/>
        <v>2.9164223337381374</v>
      </c>
      <c r="AK7" s="9">
        <f t="shared" si="20"/>
        <v>7.3839537019468233</v>
      </c>
      <c r="AL7" s="9">
        <f t="shared" si="21"/>
        <v>1.1739542716812337</v>
      </c>
      <c r="AM7" s="9">
        <f t="shared" si="22"/>
        <v>4.9165565707907941</v>
      </c>
      <c r="AO7" t="s">
        <v>181</v>
      </c>
    </row>
    <row r="8" spans="1:42" x14ac:dyDescent="0.25">
      <c r="A8" s="6">
        <f>'Texas pop'!A104</f>
        <v>2020</v>
      </c>
      <c r="B8" s="6">
        <f>'Texas pop'!B104</f>
        <v>29232474</v>
      </c>
      <c r="C8" s="6">
        <f>'Texas pop'!C104</f>
        <v>52200</v>
      </c>
      <c r="D8" s="6">
        <f>'Texas pop'!D104</f>
        <v>52200</v>
      </c>
      <c r="E8" s="6">
        <f>'Texas pop'!E104</f>
        <v>28700</v>
      </c>
      <c r="F8" s="47">
        <f t="shared" si="23"/>
        <v>0.39880684008287987</v>
      </c>
      <c r="G8" s="47">
        <f t="shared" si="0"/>
        <v>16.54266565</v>
      </c>
      <c r="H8" s="6">
        <v>0</v>
      </c>
      <c r="I8" s="9">
        <f t="shared" si="24"/>
        <v>0</v>
      </c>
      <c r="J8" s="47">
        <f t="shared" si="1"/>
        <v>5525.6109999999999</v>
      </c>
      <c r="K8" s="9">
        <f t="shared" si="29"/>
        <v>5525.6109999999999</v>
      </c>
      <c r="L8" s="9">
        <f t="shared" si="25"/>
        <v>429.62962962962956</v>
      </c>
      <c r="M8" s="9">
        <f t="shared" si="26"/>
        <v>429.62962962962956</v>
      </c>
      <c r="N8" s="9">
        <v>2.3199999999999998</v>
      </c>
      <c r="O8" s="9">
        <f t="shared" si="30"/>
        <v>429.62962962962956</v>
      </c>
      <c r="P8" s="41">
        <f>P7*(1-0.01)</f>
        <v>2005.453792228225</v>
      </c>
      <c r="Q8" s="9">
        <f t="shared" si="27"/>
        <v>1</v>
      </c>
      <c r="R8">
        <f t="shared" si="2"/>
        <v>0.40663340548089572</v>
      </c>
      <c r="S8">
        <f t="shared" si="3"/>
        <v>0.37988120775188938</v>
      </c>
      <c r="T8">
        <f t="shared" si="4"/>
        <v>0.57249703140073482</v>
      </c>
      <c r="U8">
        <f t="shared" si="5"/>
        <v>3.7453076820608819E-2</v>
      </c>
      <c r="V8">
        <f t="shared" si="6"/>
        <v>3.7453076820608819E-2</v>
      </c>
      <c r="W8">
        <f t="shared" si="7"/>
        <v>7.4906153641217624E-2</v>
      </c>
      <c r="X8">
        <f t="shared" si="8"/>
        <v>7.4906153641217624E-2</v>
      </c>
      <c r="Y8">
        <f t="shared" si="9"/>
        <v>7.4906153641217624E-2</v>
      </c>
      <c r="Z8">
        <f t="shared" si="10"/>
        <v>5.8854835003813867E-2</v>
      </c>
      <c r="AA8">
        <f t="shared" si="11"/>
        <v>0.3745307682060881</v>
      </c>
      <c r="AB8">
        <f t="shared" si="12"/>
        <v>0.18726538410304408</v>
      </c>
      <c r="AC8">
        <f t="shared" si="13"/>
        <v>9.0957472278621415E-2</v>
      </c>
      <c r="AD8">
        <f t="shared" si="14"/>
        <v>0.96842955779002793</v>
      </c>
      <c r="AE8">
        <f t="shared" si="15"/>
        <v>0.65275362458775366</v>
      </c>
      <c r="AF8">
        <f t="shared" si="16"/>
        <v>0.6206509873129461</v>
      </c>
      <c r="AG8">
        <f t="shared" si="17"/>
        <v>0.73836065732057388</v>
      </c>
      <c r="AH8">
        <f t="shared" si="28"/>
        <v>5.3504395458012599</v>
      </c>
      <c r="AI8" s="9">
        <f t="shared" si="18"/>
        <v>214170.66081809491</v>
      </c>
      <c r="AJ8" s="9">
        <f t="shared" si="19"/>
        <v>6.0653131143684451</v>
      </c>
      <c r="AK8" s="9">
        <f t="shared" si="20"/>
        <v>15.356483423614046</v>
      </c>
      <c r="AL8" s="9">
        <f t="shared" si="21"/>
        <v>2.441484608496479</v>
      </c>
      <c r="AM8" s="9">
        <f t="shared" si="22"/>
        <v>10.225012578383753</v>
      </c>
      <c r="AO8">
        <v>7.2</v>
      </c>
      <c r="AP8">
        <f>AO8*AC2</f>
        <v>161.80489851222603</v>
      </c>
    </row>
    <row r="9" spans="1:42" x14ac:dyDescent="0.25">
      <c r="A9" s="6">
        <f>'Texas pop'!A105</f>
        <v>2021</v>
      </c>
      <c r="B9" s="6">
        <f>'Texas pop'!B105</f>
        <v>29558864</v>
      </c>
      <c r="C9" s="6">
        <f>'Texas pop'!C105</f>
        <v>80900</v>
      </c>
      <c r="D9" s="6">
        <f>'Texas pop'!D105</f>
        <v>80900</v>
      </c>
      <c r="E9" s="6">
        <f>'Texas pop'!E105</f>
        <v>68100</v>
      </c>
      <c r="F9" s="47">
        <f t="shared" si="23"/>
        <v>0.94629776340223404</v>
      </c>
      <c r="G9" s="47">
        <f t="shared" si="0"/>
        <v>39.252805949999996</v>
      </c>
      <c r="H9" s="6">
        <v>0</v>
      </c>
      <c r="I9" s="9">
        <f t="shared" si="24"/>
        <v>0</v>
      </c>
      <c r="J9" s="47">
        <f t="shared" si="1"/>
        <v>13111.293</v>
      </c>
      <c r="K9" s="9">
        <f t="shared" si="29"/>
        <v>13111.293</v>
      </c>
      <c r="L9" s="9">
        <f t="shared" si="25"/>
        <v>511.11111111111103</v>
      </c>
      <c r="M9" s="9">
        <f t="shared" si="26"/>
        <v>511.11111111111103</v>
      </c>
      <c r="N9" s="9">
        <v>2.76</v>
      </c>
      <c r="O9" s="9">
        <f t="shared" si="30"/>
        <v>511.11111111111103</v>
      </c>
      <c r="P9" s="41">
        <f t="shared" si="31"/>
        <v>1985.3992543059428</v>
      </c>
      <c r="Q9" s="9">
        <f t="shared" si="27"/>
        <v>1</v>
      </c>
      <c r="R9">
        <f t="shared" si="2"/>
        <v>0.96486881230832755</v>
      </c>
      <c r="S9">
        <f t="shared" si="3"/>
        <v>0.90139060097225321</v>
      </c>
      <c r="T9">
        <f t="shared" si="4"/>
        <v>1.3584337225919874</v>
      </c>
      <c r="U9">
        <f t="shared" si="5"/>
        <v>8.8869495870503842E-2</v>
      </c>
      <c r="V9">
        <f t="shared" si="6"/>
        <v>8.8869495870503842E-2</v>
      </c>
      <c r="W9">
        <f t="shared" si="7"/>
        <v>0.17773899174100766</v>
      </c>
      <c r="X9">
        <f t="shared" si="8"/>
        <v>0.17773899174100766</v>
      </c>
      <c r="Y9">
        <f t="shared" si="9"/>
        <v>0.17773899174100766</v>
      </c>
      <c r="Z9">
        <f t="shared" si="10"/>
        <v>0.13965206493936322</v>
      </c>
      <c r="AA9">
        <f t="shared" si="11"/>
        <v>0.88869495870503834</v>
      </c>
      <c r="AB9">
        <f t="shared" si="12"/>
        <v>0.44434747935251923</v>
      </c>
      <c r="AC9">
        <f t="shared" si="13"/>
        <v>0.21582591854265221</v>
      </c>
      <c r="AD9">
        <f t="shared" si="14"/>
        <v>2.2979112503658849</v>
      </c>
      <c r="AE9">
        <f t="shared" si="15"/>
        <v>1.5488683566002099</v>
      </c>
      <c r="AF9">
        <f t="shared" si="16"/>
        <v>1.472694502996921</v>
      </c>
      <c r="AG9">
        <f t="shared" si="17"/>
        <v>1.7519986328756476</v>
      </c>
      <c r="AH9">
        <f t="shared" si="28"/>
        <v>12.695642267214835</v>
      </c>
      <c r="AI9" s="9">
        <f t="shared" si="18"/>
        <v>508188.91992028791</v>
      </c>
      <c r="AJ9" s="9">
        <f t="shared" si="19"/>
        <v>14.391910212142548</v>
      </c>
      <c r="AK9" s="9">
        <f t="shared" si="20"/>
        <v>36.438206311781066</v>
      </c>
      <c r="AL9" s="9">
        <f t="shared" si="21"/>
        <v>5.7932091232965233</v>
      </c>
      <c r="AM9" s="9">
        <f t="shared" si="22"/>
        <v>24.262137860206746</v>
      </c>
      <c r="AO9" t="s">
        <v>179</v>
      </c>
      <c r="AP9" s="46">
        <f>AP5*AP8</f>
        <v>73.393407525957628</v>
      </c>
    </row>
    <row r="10" spans="1:42" x14ac:dyDescent="0.25">
      <c r="A10" s="6">
        <f>'Texas pop'!A106</f>
        <v>2022</v>
      </c>
      <c r="B10" s="6">
        <f>'Texas pop'!B106</f>
        <v>30029572</v>
      </c>
      <c r="C10" s="6">
        <f>'Texas pop'!C106</f>
        <v>149000</v>
      </c>
      <c r="D10" s="6">
        <f>'Texas pop'!D106</f>
        <v>149000</v>
      </c>
      <c r="E10" s="6">
        <f>'Texas pop'!E106</f>
        <v>78996</v>
      </c>
      <c r="F10" s="47">
        <f t="shared" si="23"/>
        <v>1.0977054055465916</v>
      </c>
      <c r="G10" s="47">
        <f t="shared" si="0"/>
        <v>45.533254901999996</v>
      </c>
      <c r="H10" s="6">
        <v>0</v>
      </c>
      <c r="I10" s="9">
        <f t="shared" si="24"/>
        <v>0</v>
      </c>
      <c r="J10" s="47">
        <f t="shared" si="1"/>
        <v>15209.099880000002</v>
      </c>
      <c r="K10" s="9">
        <f t="shared" si="29"/>
        <v>15209.099880000002</v>
      </c>
      <c r="L10" s="9">
        <f t="shared" si="25"/>
        <v>901.85185185185173</v>
      </c>
      <c r="M10" s="9">
        <f t="shared" si="26"/>
        <v>901.85185185185173</v>
      </c>
      <c r="N10" s="9">
        <v>4.87</v>
      </c>
      <c r="O10" s="9">
        <f t="shared" si="30"/>
        <v>901.85185185185173</v>
      </c>
      <c r="P10" s="41">
        <f t="shared" si="31"/>
        <v>1965.5452617628835</v>
      </c>
      <c r="Q10" s="9">
        <f t="shared" si="27"/>
        <v>1</v>
      </c>
      <c r="R10">
        <f t="shared" si="2"/>
        <v>1.1192478222776598</v>
      </c>
      <c r="S10">
        <f t="shared" si="3"/>
        <v>1.0456130971278137</v>
      </c>
      <c r="T10">
        <f t="shared" si="4"/>
        <v>1.5757831182067052</v>
      </c>
      <c r="U10">
        <f t="shared" si="5"/>
        <v>0.10308861520978446</v>
      </c>
      <c r="V10">
        <f t="shared" si="6"/>
        <v>0.10308861520978446</v>
      </c>
      <c r="W10">
        <f t="shared" si="7"/>
        <v>0.2061772304195689</v>
      </c>
      <c r="X10">
        <f t="shared" si="8"/>
        <v>0.2061772304195689</v>
      </c>
      <c r="Y10">
        <f t="shared" si="9"/>
        <v>0.2061772304195689</v>
      </c>
      <c r="Z10">
        <f t="shared" si="10"/>
        <v>0.16199639532966131</v>
      </c>
      <c r="AA10">
        <f t="shared" si="11"/>
        <v>1.0308861520978445</v>
      </c>
      <c r="AB10">
        <f t="shared" si="12"/>
        <v>0.51544307604892226</v>
      </c>
      <c r="AC10">
        <f t="shared" si="13"/>
        <v>0.25035806550947659</v>
      </c>
      <c r="AD10">
        <f t="shared" si="14"/>
        <v>2.6655770504244267</v>
      </c>
      <c r="AE10">
        <f t="shared" si="15"/>
        <v>1.7966872936562435</v>
      </c>
      <c r="AF10">
        <f t="shared" si="16"/>
        <v>1.7083256234764281</v>
      </c>
      <c r="AG10">
        <f t="shared" si="17"/>
        <v>2.0323184141357511</v>
      </c>
      <c r="AH10">
        <f t="shared" si="28"/>
        <v>14.726945029969208</v>
      </c>
      <c r="AI10" s="9">
        <f t="shared" si="18"/>
        <v>589499.14710753399</v>
      </c>
      <c r="AJ10" s="9">
        <f t="shared" si="19"/>
        <v>16.694615846085355</v>
      </c>
      <c r="AK10" s="9">
        <f t="shared" si="20"/>
        <v>42.268319321666027</v>
      </c>
      <c r="AL10" s="9">
        <f t="shared" si="21"/>
        <v>6.7201225830239668</v>
      </c>
      <c r="AM10" s="9">
        <f t="shared" si="22"/>
        <v>28.144079917839822</v>
      </c>
      <c r="AO10" t="s">
        <v>179</v>
      </c>
      <c r="AP10" s="46">
        <f>AO4+AP9</f>
        <v>251.87143803033453</v>
      </c>
    </row>
    <row r="11" spans="1:42" x14ac:dyDescent="0.25">
      <c r="A11" s="6">
        <f>'Texas pop'!A107</f>
        <v>2023</v>
      </c>
      <c r="B11" s="6">
        <f>'Texas pop'!B107</f>
        <v>30303924.285714388</v>
      </c>
      <c r="C11" s="6">
        <f>'Texas pop'!C107</f>
        <v>227996</v>
      </c>
      <c r="D11" s="6">
        <f>'Texas pop'!D107</f>
        <v>227996</v>
      </c>
      <c r="E11" s="6">
        <f>'Texas pop'!E107</f>
        <v>91635.36</v>
      </c>
      <c r="F11" s="47">
        <f t="shared" si="23"/>
        <v>1.2733382704340463</v>
      </c>
      <c r="G11" s="47">
        <f t="shared" si="0"/>
        <v>52.818575686320003</v>
      </c>
      <c r="H11" s="6">
        <v>0</v>
      </c>
      <c r="I11" s="9">
        <f t="shared" si="24"/>
        <v>0</v>
      </c>
      <c r="J11" s="47">
        <f t="shared" si="1"/>
        <v>17642.555860800003</v>
      </c>
      <c r="K11" s="9">
        <f t="shared" si="29"/>
        <v>17642.555860800003</v>
      </c>
      <c r="L11" s="9">
        <f t="shared" si="25"/>
        <v>831.48148148148141</v>
      </c>
      <c r="M11" s="9">
        <f t="shared" si="26"/>
        <v>831.48148148148141</v>
      </c>
      <c r="N11" s="9">
        <v>4.49</v>
      </c>
      <c r="O11" s="9">
        <f t="shared" si="30"/>
        <v>831.48148148148141</v>
      </c>
      <c r="P11" s="41">
        <f t="shared" si="31"/>
        <v>1945.8898091452545</v>
      </c>
      <c r="Q11" s="9">
        <f t="shared" si="27"/>
        <v>1</v>
      </c>
      <c r="R11">
        <f t="shared" si="2"/>
        <v>1.2983274738420856</v>
      </c>
      <c r="S11">
        <f t="shared" si="3"/>
        <v>1.2129111926682641</v>
      </c>
      <c r="T11">
        <f t="shared" si="4"/>
        <v>1.8279084171197781</v>
      </c>
      <c r="U11">
        <f t="shared" si="5"/>
        <v>0.11958279364334999</v>
      </c>
      <c r="V11">
        <f t="shared" si="6"/>
        <v>0.11958279364334999</v>
      </c>
      <c r="W11">
        <f t="shared" si="7"/>
        <v>0.2391655872866999</v>
      </c>
      <c r="X11">
        <f t="shared" si="8"/>
        <v>0.2391655872866999</v>
      </c>
      <c r="Y11">
        <f t="shared" si="9"/>
        <v>0.2391655872866999</v>
      </c>
      <c r="Z11">
        <f t="shared" si="10"/>
        <v>0.18791581858240713</v>
      </c>
      <c r="AA11">
        <f t="shared" si="11"/>
        <v>1.1958279364334994</v>
      </c>
      <c r="AB11">
        <f t="shared" si="12"/>
        <v>0.5979139682167498</v>
      </c>
      <c r="AC11">
        <f t="shared" si="13"/>
        <v>0.29041535599099277</v>
      </c>
      <c r="AD11">
        <f t="shared" si="14"/>
        <v>3.0920693784923348</v>
      </c>
      <c r="AE11">
        <f t="shared" si="15"/>
        <v>2.0841572606412422</v>
      </c>
      <c r="AF11">
        <f t="shared" si="16"/>
        <v>1.9816577232326567</v>
      </c>
      <c r="AG11">
        <f t="shared" si="17"/>
        <v>2.3574893603974716</v>
      </c>
      <c r="AH11">
        <f t="shared" si="28"/>
        <v>17.083256234764278</v>
      </c>
      <c r="AI11" s="9">
        <f t="shared" si="18"/>
        <v>683819.01064473938</v>
      </c>
      <c r="AJ11" s="9">
        <f t="shared" si="19"/>
        <v>19.365754381459013</v>
      </c>
      <c r="AK11" s="9">
        <f t="shared" si="20"/>
        <v>49.031250413132597</v>
      </c>
      <c r="AL11" s="9">
        <f t="shared" si="21"/>
        <v>7.7953421963078009</v>
      </c>
      <c r="AM11" s="9">
        <f t="shared" si="22"/>
        <v>32.647132704694194</v>
      </c>
      <c r="AO11" t="s">
        <v>182</v>
      </c>
      <c r="AP11">
        <v>186.43</v>
      </c>
    </row>
    <row r="12" spans="1:42" x14ac:dyDescent="0.25">
      <c r="A12" s="6">
        <f>'Texas pop'!A108</f>
        <v>2024</v>
      </c>
      <c r="B12" s="6">
        <f>'Texas pop'!B108</f>
        <v>30642856.928571463</v>
      </c>
      <c r="C12" s="6">
        <f>'Texas pop'!C108</f>
        <v>319631.35999999999</v>
      </c>
      <c r="D12" s="6">
        <f>'Texas pop'!D108</f>
        <v>319631.35999999999</v>
      </c>
      <c r="E12" s="6">
        <f>'Texas pop'!E108</f>
        <v>106297.01759999999</v>
      </c>
      <c r="F12" s="47">
        <f t="shared" si="23"/>
        <v>1.4770723937034933</v>
      </c>
      <c r="G12" s="47">
        <f t="shared" si="0"/>
        <v>61.269547796131192</v>
      </c>
      <c r="H12" s="6">
        <f t="shared" ref="H12:H38" si="32">E12*$D$41/1000</f>
        <v>55142.593016518069</v>
      </c>
      <c r="I12" s="9">
        <f t="shared" si="24"/>
        <v>10913.638201185868</v>
      </c>
      <c r="J12" s="47">
        <f t="shared" si="1"/>
        <v>20465.364798527997</v>
      </c>
      <c r="K12" s="9">
        <f t="shared" si="29"/>
        <v>20465.364798527997</v>
      </c>
      <c r="L12" s="9">
        <f t="shared" si="25"/>
        <v>833.33333333333326</v>
      </c>
      <c r="M12" s="9">
        <f>I11/J12*P12+K12/J12*O12</f>
        <v>833.33333333333326</v>
      </c>
      <c r="N12" s="13">
        <v>4.5</v>
      </c>
      <c r="O12" s="9">
        <f t="shared" si="30"/>
        <v>833.33333333333326</v>
      </c>
      <c r="P12" s="41">
        <f t="shared" si="31"/>
        <v>1926.430911053802</v>
      </c>
      <c r="Q12" s="9">
        <f t="shared" si="27"/>
        <v>1</v>
      </c>
      <c r="R12">
        <f t="shared" si="2"/>
        <v>1.5060598696568193</v>
      </c>
      <c r="S12">
        <f t="shared" si="3"/>
        <v>1.4069769834951862</v>
      </c>
      <c r="T12">
        <f t="shared" si="4"/>
        <v>2.1203737638589422</v>
      </c>
      <c r="U12">
        <f t="shared" si="5"/>
        <v>0.13871604062628598</v>
      </c>
      <c r="V12">
        <f t="shared" si="6"/>
        <v>0.13871604062628598</v>
      </c>
      <c r="W12">
        <f t="shared" si="7"/>
        <v>0.2774320812525719</v>
      </c>
      <c r="X12">
        <f t="shared" si="8"/>
        <v>0.2774320812525719</v>
      </c>
      <c r="Y12">
        <f t="shared" si="9"/>
        <v>0.2774320812525719</v>
      </c>
      <c r="Z12">
        <f t="shared" si="10"/>
        <v>0.21798234955559226</v>
      </c>
      <c r="AA12">
        <f t="shared" si="11"/>
        <v>1.3871604062628593</v>
      </c>
      <c r="AB12">
        <f t="shared" si="12"/>
        <v>0.69358020313142976</v>
      </c>
      <c r="AC12">
        <f t="shared" si="13"/>
        <v>0.33688181294955161</v>
      </c>
      <c r="AD12">
        <f t="shared" si="14"/>
        <v>3.5868004790511083</v>
      </c>
      <c r="AE12">
        <f t="shared" si="15"/>
        <v>2.4176224223438409</v>
      </c>
      <c r="AF12">
        <f t="shared" si="16"/>
        <v>2.2987229589498814</v>
      </c>
      <c r="AG12">
        <f t="shared" si="17"/>
        <v>2.7346876580610666</v>
      </c>
      <c r="AH12">
        <f t="shared" si="28"/>
        <v>19.816577232326566</v>
      </c>
      <c r="AI12" s="9">
        <f t="shared" si="18"/>
        <v>793230.05234789767</v>
      </c>
      <c r="AJ12" s="9">
        <f t="shared" si="19"/>
        <v>22.464275082492453</v>
      </c>
      <c r="AK12" s="9">
        <f t="shared" si="20"/>
        <v>56.876250479233804</v>
      </c>
      <c r="AL12" s="9">
        <f t="shared" si="21"/>
        <v>9.0425969477170494</v>
      </c>
      <c r="AM12" s="9">
        <f t="shared" si="22"/>
        <v>37.870673937445261</v>
      </c>
      <c r="AO12" s="46" t="s">
        <v>183</v>
      </c>
      <c r="AP12" s="88">
        <f>AP10/AP11</f>
        <v>1.351024180820332</v>
      </c>
    </row>
    <row r="13" spans="1:42" x14ac:dyDescent="0.25">
      <c r="A13" s="6">
        <f>'Texas pop'!A109</f>
        <v>2025</v>
      </c>
      <c r="B13" s="6">
        <f>'Texas pop'!B109</f>
        <v>30981789.571428657</v>
      </c>
      <c r="C13" s="6">
        <f>'Texas pop'!C109</f>
        <v>425928.37760000001</v>
      </c>
      <c r="D13" s="6">
        <f>'Texas pop'!D109</f>
        <v>425928.37760000001</v>
      </c>
      <c r="E13" s="6">
        <f>'Texas pop'!E109</f>
        <v>123304.54041599999</v>
      </c>
      <c r="F13" s="47">
        <f t="shared" si="23"/>
        <v>1.7134039766960523</v>
      </c>
      <c r="G13" s="47">
        <f t="shared" si="0"/>
        <v>71.072675443512182</v>
      </c>
      <c r="H13" s="6">
        <f t="shared" si="32"/>
        <v>63965.407899160964</v>
      </c>
      <c r="I13" s="9">
        <f t="shared" si="24"/>
        <v>12659.820313375607</v>
      </c>
      <c r="J13" s="47">
        <f t="shared" si="1"/>
        <v>23739.823166292477</v>
      </c>
      <c r="K13" s="9">
        <f t="shared" si="29"/>
        <v>12826.18496510661</v>
      </c>
      <c r="L13" s="9">
        <f t="shared" si="25"/>
        <v>840.74074074074065</v>
      </c>
      <c r="M13" s="9">
        <f t="shared" ref="M13:M38" si="33">I12/J13*P13+K13/J13*O13</f>
        <v>1330.9965415538531</v>
      </c>
      <c r="N13" s="13">
        <v>4.54</v>
      </c>
      <c r="O13" s="9">
        <f t="shared" si="30"/>
        <v>840.74074074074065</v>
      </c>
      <c r="P13" s="41">
        <f t="shared" si="31"/>
        <v>1907.1666019432639</v>
      </c>
      <c r="Q13" s="110">
        <f t="shared" si="27"/>
        <v>1.5831236397336581</v>
      </c>
      <c r="R13">
        <f t="shared" si="2"/>
        <v>1.74702944880191</v>
      </c>
      <c r="S13">
        <f t="shared" si="3"/>
        <v>1.6320933008544158</v>
      </c>
      <c r="T13">
        <f t="shared" si="4"/>
        <v>2.4596335660763731</v>
      </c>
      <c r="U13">
        <f t="shared" si="5"/>
        <v>0.16091060712649172</v>
      </c>
      <c r="V13">
        <f t="shared" si="6"/>
        <v>0.16091060712649172</v>
      </c>
      <c r="W13">
        <f t="shared" si="7"/>
        <v>0.32182121425298338</v>
      </c>
      <c r="X13">
        <f t="shared" si="8"/>
        <v>0.32182121425298338</v>
      </c>
      <c r="Y13">
        <f t="shared" si="9"/>
        <v>0.32182121425298338</v>
      </c>
      <c r="Z13">
        <f t="shared" si="10"/>
        <v>0.25285952548448698</v>
      </c>
      <c r="AA13">
        <f t="shared" si="11"/>
        <v>1.6091060712649168</v>
      </c>
      <c r="AB13">
        <f t="shared" si="12"/>
        <v>0.8045530356324585</v>
      </c>
      <c r="AC13">
        <f t="shared" si="13"/>
        <v>0.39078290302147989</v>
      </c>
      <c r="AD13">
        <f t="shared" si="14"/>
        <v>4.1606885556992852</v>
      </c>
      <c r="AE13">
        <f t="shared" si="15"/>
        <v>2.8044420099188554</v>
      </c>
      <c r="AF13">
        <f t="shared" si="16"/>
        <v>2.6665186323818624</v>
      </c>
      <c r="AG13">
        <f t="shared" si="17"/>
        <v>3.1722376833508372</v>
      </c>
      <c r="AH13">
        <f t="shared" si="28"/>
        <v>22.987229589498813</v>
      </c>
      <c r="AI13" s="9">
        <f t="shared" si="18"/>
        <v>920146.86072356126</v>
      </c>
      <c r="AJ13" s="9">
        <f t="shared" si="19"/>
        <v>26.058559095691244</v>
      </c>
      <c r="AK13" s="9">
        <f t="shared" si="20"/>
        <v>65.976450555911228</v>
      </c>
      <c r="AL13" s="9">
        <f t="shared" si="21"/>
        <v>10.489412459351776</v>
      </c>
      <c r="AM13" s="9">
        <f t="shared" si="22"/>
        <v>43.929981767436502</v>
      </c>
    </row>
    <row r="14" spans="1:42" x14ac:dyDescent="0.25">
      <c r="A14" s="6">
        <f>'Texas pop'!A110</f>
        <v>2026</v>
      </c>
      <c r="B14" s="6">
        <f>'Texas pop'!B110</f>
        <v>31320722.214285731</v>
      </c>
      <c r="C14" s="6">
        <f>'Texas pop'!C110</f>
        <v>549232.91801599995</v>
      </c>
      <c r="D14" s="6">
        <f>'Texas pop'!D110</f>
        <v>549232.91801599995</v>
      </c>
      <c r="E14" s="6">
        <f>'Texas pop'!E110</f>
        <v>143033.26688255998</v>
      </c>
      <c r="F14" s="47">
        <f t="shared" si="23"/>
        <v>1.9875486129674209</v>
      </c>
      <c r="G14" s="47">
        <f t="shared" si="0"/>
        <v>82.444303514474129</v>
      </c>
      <c r="H14" s="6">
        <f t="shared" si="32"/>
        <v>74199.873163026714</v>
      </c>
      <c r="I14" s="9">
        <f t="shared" si="24"/>
        <v>14685.391563515705</v>
      </c>
      <c r="J14" s="47">
        <f t="shared" si="1"/>
        <v>27538.194872899276</v>
      </c>
      <c r="K14" s="9">
        <f t="shared" si="29"/>
        <v>14878.374559523669</v>
      </c>
      <c r="L14" s="9">
        <f t="shared" si="25"/>
        <v>848.14814814814804</v>
      </c>
      <c r="M14" s="9">
        <f t="shared" si="33"/>
        <v>1326.2310264732155</v>
      </c>
      <c r="N14" s="13">
        <v>4.58</v>
      </c>
      <c r="O14" s="9">
        <f t="shared" si="30"/>
        <v>848.14814814814804</v>
      </c>
      <c r="P14" s="41">
        <f t="shared" si="31"/>
        <v>1888.0949359238311</v>
      </c>
      <c r="Q14" s="9">
        <f t="shared" si="27"/>
        <v>1.5636785028286821</v>
      </c>
      <c r="R14">
        <f t="shared" si="2"/>
        <v>2.0265541606102153</v>
      </c>
      <c r="S14">
        <f t="shared" si="3"/>
        <v>1.8932282289911222</v>
      </c>
      <c r="T14">
        <f t="shared" si="4"/>
        <v>2.853174936648593</v>
      </c>
      <c r="U14">
        <f t="shared" si="5"/>
        <v>0.18665630426673038</v>
      </c>
      <c r="V14">
        <f t="shared" si="6"/>
        <v>0.18665630426673038</v>
      </c>
      <c r="W14">
        <f t="shared" si="7"/>
        <v>0.37331260853346071</v>
      </c>
      <c r="X14">
        <f t="shared" si="8"/>
        <v>0.37331260853346071</v>
      </c>
      <c r="Y14">
        <f t="shared" si="9"/>
        <v>0.37331260853346071</v>
      </c>
      <c r="Z14">
        <f t="shared" si="10"/>
        <v>0.29331704956200494</v>
      </c>
      <c r="AA14">
        <f t="shared" si="11"/>
        <v>1.8665630426673034</v>
      </c>
      <c r="AB14">
        <f t="shared" si="12"/>
        <v>0.93328152133365183</v>
      </c>
      <c r="AC14">
        <f t="shared" si="13"/>
        <v>0.45330816750491665</v>
      </c>
      <c r="AD14">
        <f t="shared" si="14"/>
        <v>4.8263987246111713</v>
      </c>
      <c r="AE14">
        <f t="shared" si="15"/>
        <v>3.2531527315058724</v>
      </c>
      <c r="AF14">
        <f t="shared" si="16"/>
        <v>3.0931616135629607</v>
      </c>
      <c r="AG14">
        <f t="shared" si="17"/>
        <v>3.6797957126869711</v>
      </c>
      <c r="AH14">
        <f t="shared" si="28"/>
        <v>26.66518632381862</v>
      </c>
      <c r="AI14" s="9">
        <f t="shared" si="18"/>
        <v>1067370.3584393309</v>
      </c>
      <c r="AJ14" s="9">
        <f t="shared" si="19"/>
        <v>30.227928551001842</v>
      </c>
      <c r="AK14" s="9">
        <f t="shared" si="20"/>
        <v>76.532682644857005</v>
      </c>
      <c r="AL14" s="9">
        <f t="shared" si="21"/>
        <v>12.16771845284806</v>
      </c>
      <c r="AM14" s="9">
        <f t="shared" si="22"/>
        <v>50.958778850226345</v>
      </c>
    </row>
    <row r="15" spans="1:42" x14ac:dyDescent="0.25">
      <c r="A15" s="6">
        <f>'Texas pop'!A111</f>
        <v>2027</v>
      </c>
      <c r="B15" s="6">
        <f>'Texas pop'!B111</f>
        <v>31659654.857142925</v>
      </c>
      <c r="C15" s="6">
        <f>'Texas pop'!C111</f>
        <v>692266.18489855994</v>
      </c>
      <c r="D15" s="6">
        <f>'Texas pop'!D111</f>
        <v>692266.18489855994</v>
      </c>
      <c r="E15" s="6">
        <f>'Texas pop'!E111</f>
        <v>165918.58958376959</v>
      </c>
      <c r="F15" s="47">
        <f t="shared" si="23"/>
        <v>2.3055563910422081</v>
      </c>
      <c r="G15" s="47">
        <f t="shared" si="0"/>
        <v>95.635392076789998</v>
      </c>
      <c r="H15" s="6">
        <f t="shared" si="32"/>
        <v>86071.852869110997</v>
      </c>
      <c r="I15" s="9">
        <f t="shared" si="24"/>
        <v>17035.054213678217</v>
      </c>
      <c r="J15" s="47">
        <f t="shared" si="1"/>
        <v>31944.306052563155</v>
      </c>
      <c r="K15" s="9">
        <f t="shared" si="29"/>
        <v>17258.914489047449</v>
      </c>
      <c r="L15" s="9">
        <f t="shared" si="25"/>
        <v>888.8888888888888</v>
      </c>
      <c r="M15" s="9">
        <f t="shared" si="33"/>
        <v>1339.5625674850262</v>
      </c>
      <c r="N15" s="13">
        <v>4.8</v>
      </c>
      <c r="O15" s="9">
        <f t="shared" si="30"/>
        <v>888.8888888888888</v>
      </c>
      <c r="P15" s="41">
        <f t="shared" si="31"/>
        <v>1869.2139865645929</v>
      </c>
      <c r="Q15" s="9">
        <f t="shared" si="27"/>
        <v>1.5070078884206546</v>
      </c>
      <c r="R15">
        <f t="shared" si="2"/>
        <v>2.35080282630785</v>
      </c>
      <c r="S15">
        <f t="shared" si="3"/>
        <v>2.1961447456297019</v>
      </c>
      <c r="T15">
        <f t="shared" si="4"/>
        <v>3.3096829265123682</v>
      </c>
      <c r="U15">
        <f t="shared" si="5"/>
        <v>0.21652131294940727</v>
      </c>
      <c r="V15">
        <f t="shared" si="6"/>
        <v>0.21652131294940727</v>
      </c>
      <c r="W15">
        <f t="shared" si="7"/>
        <v>0.43304262589881443</v>
      </c>
      <c r="X15">
        <f t="shared" si="8"/>
        <v>0.43304262589881443</v>
      </c>
      <c r="Y15">
        <f t="shared" si="9"/>
        <v>0.43304262589881443</v>
      </c>
      <c r="Z15">
        <f t="shared" si="10"/>
        <v>0.34024777749192575</v>
      </c>
      <c r="AA15">
        <f t="shared" si="11"/>
        <v>2.165213129494072</v>
      </c>
      <c r="AB15">
        <f t="shared" si="12"/>
        <v>1.0826065647470362</v>
      </c>
      <c r="AC15">
        <f t="shared" si="13"/>
        <v>0.52583747430570327</v>
      </c>
      <c r="AD15">
        <f t="shared" si="14"/>
        <v>5.5986225205489593</v>
      </c>
      <c r="AE15">
        <f t="shared" si="15"/>
        <v>3.7736571685468121</v>
      </c>
      <c r="AF15">
        <f t="shared" si="16"/>
        <v>3.5880674717330345</v>
      </c>
      <c r="AG15">
        <f t="shared" si="17"/>
        <v>4.2685630267168868</v>
      </c>
      <c r="AH15">
        <f t="shared" si="28"/>
        <v>30.931616135629607</v>
      </c>
      <c r="AI15" s="9">
        <f t="shared" si="18"/>
        <v>1238149.6157896242</v>
      </c>
      <c r="AJ15" s="9">
        <f t="shared" si="19"/>
        <v>35.064397119162145</v>
      </c>
      <c r="AK15" s="9">
        <f t="shared" si="20"/>
        <v>88.777911868034124</v>
      </c>
      <c r="AL15" s="9">
        <f t="shared" si="21"/>
        <v>14.11455340530375</v>
      </c>
      <c r="AM15" s="9">
        <f t="shared" si="22"/>
        <v>59.112183466262564</v>
      </c>
    </row>
    <row r="16" spans="1:42" x14ac:dyDescent="0.25">
      <c r="A16" s="6">
        <f>'Texas pop'!A112</f>
        <v>2028</v>
      </c>
      <c r="B16" s="6">
        <f>'Texas pop'!B112</f>
        <v>31998587.500000119</v>
      </c>
      <c r="C16" s="6">
        <f>'Texas pop'!C112</f>
        <v>858184.77448232949</v>
      </c>
      <c r="D16" s="6">
        <f>'Texas pop'!D112</f>
        <v>858184.77448232949</v>
      </c>
      <c r="E16" s="6">
        <f>'Texas pop'!E112</f>
        <v>192465.56391717272</v>
      </c>
      <c r="F16" s="47">
        <f t="shared" si="23"/>
        <v>2.6744454136089617</v>
      </c>
      <c r="G16" s="47">
        <f t="shared" si="0"/>
        <v>110.93705480907639</v>
      </c>
      <c r="H16" s="6">
        <f t="shared" si="32"/>
        <v>99843.34932816877</v>
      </c>
      <c r="I16" s="9">
        <f t="shared" si="24"/>
        <v>19760.662887866736</v>
      </c>
      <c r="J16" s="47">
        <f t="shared" si="1"/>
        <v>37055.395020973265</v>
      </c>
      <c r="K16" s="9">
        <f t="shared" si="29"/>
        <v>20020.340807295048</v>
      </c>
      <c r="L16" s="9">
        <f t="shared" si="25"/>
        <v>907.40740740740739</v>
      </c>
      <c r="M16" s="9">
        <f t="shared" si="33"/>
        <v>1340.9746543343606</v>
      </c>
      <c r="N16" s="13">
        <v>4.9000000000000004</v>
      </c>
      <c r="O16" s="9">
        <f t="shared" si="30"/>
        <v>907.40740740740739</v>
      </c>
      <c r="P16" s="41">
        <f t="shared" si="31"/>
        <v>1850.521846698947</v>
      </c>
      <c r="Q16" s="9">
        <f t="shared" si="27"/>
        <v>1.477808802735826</v>
      </c>
      <c r="R16">
        <f t="shared" si="2"/>
        <v>2.7269312785171063</v>
      </c>
      <c r="S16">
        <f t="shared" si="3"/>
        <v>2.5475279049304542</v>
      </c>
      <c r="T16">
        <f t="shared" si="4"/>
        <v>3.8392321947543468</v>
      </c>
      <c r="U16">
        <f t="shared" si="5"/>
        <v>0.25116472302131243</v>
      </c>
      <c r="V16">
        <f t="shared" si="6"/>
        <v>0.25116472302131243</v>
      </c>
      <c r="W16">
        <f t="shared" si="7"/>
        <v>0.50232944604262475</v>
      </c>
      <c r="X16">
        <f t="shared" si="8"/>
        <v>0.50232944604262475</v>
      </c>
      <c r="Y16">
        <f t="shared" si="9"/>
        <v>0.50232944604262475</v>
      </c>
      <c r="Z16">
        <f t="shared" si="10"/>
        <v>0.39468742189063388</v>
      </c>
      <c r="AA16">
        <f t="shared" si="11"/>
        <v>2.5116472302131236</v>
      </c>
      <c r="AB16">
        <f t="shared" si="12"/>
        <v>1.2558236151065618</v>
      </c>
      <c r="AC16">
        <f t="shared" si="13"/>
        <v>0.60997147019461584</v>
      </c>
      <c r="AD16">
        <f t="shared" si="14"/>
        <v>6.4944021238367924</v>
      </c>
      <c r="AE16">
        <f t="shared" si="15"/>
        <v>4.3774423155143021</v>
      </c>
      <c r="AF16">
        <f t="shared" si="16"/>
        <v>4.1621582672103203</v>
      </c>
      <c r="AG16">
        <f t="shared" si="17"/>
        <v>4.9515331109915888</v>
      </c>
      <c r="AH16">
        <f t="shared" si="28"/>
        <v>35.880674717330344</v>
      </c>
      <c r="AI16" s="9">
        <f t="shared" si="18"/>
        <v>1436253.554315964</v>
      </c>
      <c r="AJ16" s="9">
        <f t="shared" si="19"/>
        <v>40.674700658228083</v>
      </c>
      <c r="AK16" s="9">
        <f t="shared" si="20"/>
        <v>102.98237776691958</v>
      </c>
      <c r="AL16" s="9">
        <f t="shared" si="21"/>
        <v>16.372881950152351</v>
      </c>
      <c r="AM16" s="9">
        <f t="shared" si="22"/>
        <v>68.570132820864572</v>
      </c>
    </row>
    <row r="17" spans="1:39" x14ac:dyDescent="0.25">
      <c r="A17" s="6">
        <f>'Texas pop'!A113</f>
        <v>2029</v>
      </c>
      <c r="B17" s="6">
        <f>'Texas pop'!B113</f>
        <v>32337520.142857194</v>
      </c>
      <c r="C17" s="6">
        <f>'Texas pop'!C113</f>
        <v>1050650.3383995022</v>
      </c>
      <c r="D17" s="6">
        <f>'Texas pop'!D113</f>
        <v>1050650.3383995022</v>
      </c>
      <c r="E17" s="6">
        <f>'Texas pop'!E113</f>
        <v>223260.05414392037</v>
      </c>
      <c r="F17" s="47">
        <f t="shared" si="23"/>
        <v>3.1023566797863955</v>
      </c>
      <c r="G17" s="47">
        <f t="shared" si="0"/>
        <v>128.68698357852864</v>
      </c>
      <c r="H17" s="6">
        <f t="shared" si="32"/>
        <v>115818.28522067577</v>
      </c>
      <c r="I17" s="9">
        <f t="shared" si="24"/>
        <v>22922.368949925411</v>
      </c>
      <c r="J17" s="47">
        <f t="shared" si="1"/>
        <v>42984.258224328987</v>
      </c>
      <c r="K17" s="9">
        <f>J17-I16</f>
        <v>23223.595336462251</v>
      </c>
      <c r="L17" s="9">
        <f t="shared" si="25"/>
        <v>944.44444444444423</v>
      </c>
      <c r="M17" s="9">
        <f t="shared" si="33"/>
        <v>1352.4778835918414</v>
      </c>
      <c r="N17" s="13">
        <v>5.0999999999999996</v>
      </c>
      <c r="O17" s="9">
        <f t="shared" si="30"/>
        <v>944.44444444444423</v>
      </c>
      <c r="P17" s="41">
        <f t="shared" si="31"/>
        <v>1832.0166282319576</v>
      </c>
      <c r="Q17" s="9">
        <f t="shared" si="27"/>
        <v>1.4320354061560676</v>
      </c>
      <c r="R17">
        <f t="shared" si="2"/>
        <v>3.1632402830798436</v>
      </c>
      <c r="S17">
        <f t="shared" si="3"/>
        <v>2.955132369719327</v>
      </c>
      <c r="T17">
        <f t="shared" si="4"/>
        <v>4.4535093459150428</v>
      </c>
      <c r="U17">
        <f t="shared" si="5"/>
        <v>0.29135107870472238</v>
      </c>
      <c r="V17">
        <f t="shared" si="6"/>
        <v>0.29135107870472238</v>
      </c>
      <c r="W17">
        <f t="shared" si="7"/>
        <v>0.58270215740944464</v>
      </c>
      <c r="X17">
        <f t="shared" si="8"/>
        <v>0.58270215740944464</v>
      </c>
      <c r="Y17">
        <f t="shared" si="9"/>
        <v>0.58270215740944464</v>
      </c>
      <c r="Z17">
        <f t="shared" si="10"/>
        <v>0.45783740939313528</v>
      </c>
      <c r="AA17">
        <f t="shared" si="11"/>
        <v>2.9135107870472234</v>
      </c>
      <c r="AB17">
        <f t="shared" si="12"/>
        <v>1.4567553935236117</v>
      </c>
      <c r="AC17">
        <f t="shared" si="13"/>
        <v>0.70756690542575451</v>
      </c>
      <c r="AD17">
        <f t="shared" si="14"/>
        <v>7.5335064636506788</v>
      </c>
      <c r="AE17">
        <f t="shared" si="15"/>
        <v>5.0778330859965903</v>
      </c>
      <c r="AF17">
        <f t="shared" si="16"/>
        <v>4.8281035899639715</v>
      </c>
      <c r="AG17">
        <f t="shared" si="17"/>
        <v>5.7437784087502424</v>
      </c>
      <c r="AH17">
        <f t="shared" si="28"/>
        <v>41.621582672103202</v>
      </c>
      <c r="AI17" s="9">
        <f t="shared" si="18"/>
        <v>1666054.1230065182</v>
      </c>
      <c r="AJ17" s="9">
        <f t="shared" si="19"/>
        <v>47.182652763544574</v>
      </c>
      <c r="AK17" s="9">
        <f t="shared" si="20"/>
        <v>119.45955820962673</v>
      </c>
      <c r="AL17" s="9">
        <f t="shared" si="21"/>
        <v>18.992543062176725</v>
      </c>
      <c r="AM17" s="9">
        <f t="shared" si="22"/>
        <v>79.541354072202907</v>
      </c>
    </row>
    <row r="18" spans="1:39" x14ac:dyDescent="0.25">
      <c r="A18" s="10">
        <f>'Texas pop'!A114</f>
        <v>2030</v>
      </c>
      <c r="B18" s="10">
        <f>'Texas pop'!B114</f>
        <v>32676452.785714388</v>
      </c>
      <c r="C18" s="10">
        <f>'Texas pop'!C114</f>
        <v>1273910.3925434225</v>
      </c>
      <c r="D18" s="10">
        <f>'Texas pop'!D114</f>
        <v>1273910.3925434225</v>
      </c>
      <c r="E18" s="10">
        <f>'Texas pop'!E114</f>
        <v>258981.66280694763</v>
      </c>
      <c r="F18" s="47">
        <f t="shared" si="23"/>
        <v>3.5987337485522191</v>
      </c>
      <c r="G18" s="47">
        <f t="shared" si="0"/>
        <v>149.27690095109318</v>
      </c>
      <c r="H18" s="10">
        <f t="shared" si="32"/>
        <v>134349.2108559839</v>
      </c>
      <c r="I18" s="9">
        <f t="shared" si="24"/>
        <v>26589.947981913479</v>
      </c>
      <c r="J18" s="69">
        <f t="shared" si="1"/>
        <v>49861.739540221621</v>
      </c>
      <c r="K18" s="97">
        <f t="shared" si="29"/>
        <v>26939.37059029621</v>
      </c>
      <c r="L18" s="9">
        <f t="shared" si="25"/>
        <v>962.96296296296282</v>
      </c>
      <c r="M18" s="9">
        <f t="shared" si="33"/>
        <v>1354.0609736150575</v>
      </c>
      <c r="N18" s="13">
        <v>5.2</v>
      </c>
      <c r="O18" s="9">
        <f t="shared" si="30"/>
        <v>962.96296296296282</v>
      </c>
      <c r="P18" s="41">
        <f t="shared" si="31"/>
        <v>1813.696461949638</v>
      </c>
      <c r="Q18" s="9">
        <f t="shared" si="27"/>
        <v>1.4061402418310214</v>
      </c>
      <c r="R18">
        <f t="shared" si="2"/>
        <v>3.6693587283726186</v>
      </c>
      <c r="S18">
        <f t="shared" si="3"/>
        <v>3.4279535488744197</v>
      </c>
      <c r="T18">
        <f t="shared" si="4"/>
        <v>5.1660708412614493</v>
      </c>
      <c r="U18">
        <f t="shared" si="5"/>
        <v>0.33796725129747796</v>
      </c>
      <c r="V18">
        <f t="shared" si="6"/>
        <v>0.33796725129747796</v>
      </c>
      <c r="W18">
        <f t="shared" si="7"/>
        <v>0.6759345025949558</v>
      </c>
      <c r="X18">
        <f t="shared" si="8"/>
        <v>0.6759345025949558</v>
      </c>
      <c r="Y18">
        <f t="shared" si="9"/>
        <v>0.6759345025949558</v>
      </c>
      <c r="Z18">
        <f t="shared" si="10"/>
        <v>0.53109139489603696</v>
      </c>
      <c r="AA18">
        <f t="shared" si="11"/>
        <v>3.3796725129747793</v>
      </c>
      <c r="AB18">
        <f t="shared" si="12"/>
        <v>1.6898362564873899</v>
      </c>
      <c r="AC18">
        <f t="shared" si="13"/>
        <v>0.82077761029387519</v>
      </c>
      <c r="AD18">
        <f t="shared" si="14"/>
        <v>8.7388674978347893</v>
      </c>
      <c r="AE18">
        <f t="shared" si="15"/>
        <v>5.8902863797560459</v>
      </c>
      <c r="AF18">
        <f t="shared" si="16"/>
        <v>5.6006001643582071</v>
      </c>
      <c r="AG18">
        <f t="shared" si="17"/>
        <v>6.6627829541502814</v>
      </c>
      <c r="AH18">
        <f t="shared" si="28"/>
        <v>48.281035899639711</v>
      </c>
      <c r="AI18" s="9">
        <f t="shared" si="18"/>
        <v>1932622.7826875611</v>
      </c>
      <c r="AJ18" s="9">
        <f t="shared" si="19"/>
        <v>54.731877205711704</v>
      </c>
      <c r="AK18" s="9">
        <f t="shared" si="20"/>
        <v>138.57308752316703</v>
      </c>
      <c r="AL18" s="9">
        <f t="shared" si="21"/>
        <v>22.031349952125005</v>
      </c>
      <c r="AM18" s="9">
        <f t="shared" si="22"/>
        <v>92.267970723755369</v>
      </c>
    </row>
    <row r="19" spans="1:39" x14ac:dyDescent="0.25">
      <c r="A19" s="6">
        <f>'Texas pop'!A115</f>
        <v>2031</v>
      </c>
      <c r="B19" s="6">
        <f>'Texas pop'!B115</f>
        <v>33015385.428571463</v>
      </c>
      <c r="C19" s="6">
        <f>'Texas pop'!C115</f>
        <v>1532892.0553503702</v>
      </c>
      <c r="D19" s="6">
        <f>'Texas pop'!D115</f>
        <v>1532892.0553503702</v>
      </c>
      <c r="E19" s="6">
        <f>'Texas pop'!E115</f>
        <v>282290.01245957293</v>
      </c>
      <c r="F19" s="47">
        <f t="shared" si="23"/>
        <v>3.9226197859219183</v>
      </c>
      <c r="G19" s="47">
        <f t="shared" si="0"/>
        <v>162.71182203669161</v>
      </c>
      <c r="H19" s="6">
        <f t="shared" si="32"/>
        <v>146440.63983302243</v>
      </c>
      <c r="I19" s="9">
        <f t="shared" si="24"/>
        <v>28983.043300285688</v>
      </c>
      <c r="J19" s="47">
        <f t="shared" si="1"/>
        <v>54349.29609884158</v>
      </c>
      <c r="K19" s="9">
        <f t="shared" si="29"/>
        <v>27759.3481169281</v>
      </c>
      <c r="L19" s="9">
        <f t="shared" si="25"/>
        <v>981.4814814814813</v>
      </c>
      <c r="M19" s="9">
        <f t="shared" si="33"/>
        <v>1379.7624832311358</v>
      </c>
      <c r="N19" s="13">
        <v>5.3</v>
      </c>
      <c r="O19" s="9">
        <f t="shared" si="30"/>
        <v>981.4814814814813</v>
      </c>
      <c r="P19" s="41">
        <f t="shared" si="31"/>
        <v>1795.5594973301415</v>
      </c>
      <c r="Q19" s="9">
        <f t="shared" si="27"/>
        <v>1.4057957376317236</v>
      </c>
      <c r="R19">
        <f t="shared" si="2"/>
        <v>3.9996010139261542</v>
      </c>
      <c r="S19">
        <f t="shared" si="3"/>
        <v>3.7364693682731174</v>
      </c>
      <c r="T19">
        <f t="shared" si="4"/>
        <v>5.6310172169749801</v>
      </c>
      <c r="U19">
        <f t="shared" si="5"/>
        <v>0.36838430391425103</v>
      </c>
      <c r="V19">
        <f t="shared" si="6"/>
        <v>0.36838430391425103</v>
      </c>
      <c r="W19">
        <f t="shared" si="7"/>
        <v>0.73676860782850195</v>
      </c>
      <c r="X19">
        <f t="shared" si="8"/>
        <v>0.73676860782850195</v>
      </c>
      <c r="Y19">
        <f t="shared" si="9"/>
        <v>0.73676860782850195</v>
      </c>
      <c r="Z19">
        <f t="shared" si="10"/>
        <v>0.57888962043668024</v>
      </c>
      <c r="AA19">
        <f t="shared" si="11"/>
        <v>3.6838430391425097</v>
      </c>
      <c r="AB19">
        <f t="shared" si="12"/>
        <v>1.8419215195712551</v>
      </c>
      <c r="AC19">
        <f t="shared" si="13"/>
        <v>0.894647595220324</v>
      </c>
      <c r="AD19">
        <f t="shared" si="14"/>
        <v>9.5253655726399202</v>
      </c>
      <c r="AE19">
        <f t="shared" si="15"/>
        <v>6.4204121539340893</v>
      </c>
      <c r="AF19">
        <f t="shared" si="16"/>
        <v>6.1046541791504456</v>
      </c>
      <c r="AG19">
        <f t="shared" si="17"/>
        <v>7.2624334200238074</v>
      </c>
      <c r="AH19">
        <f t="shared" si="28"/>
        <v>52.626329130607289</v>
      </c>
      <c r="AI19" s="9">
        <f t="shared" si="18"/>
        <v>2106558.8331294418</v>
      </c>
      <c r="AJ19" s="9">
        <f t="shared" si="19"/>
        <v>59.657746154225769</v>
      </c>
      <c r="AK19" s="9">
        <f t="shared" si="20"/>
        <v>151.04466540025206</v>
      </c>
      <c r="AL19" s="9">
        <f t="shared" si="21"/>
        <v>24.014171447816253</v>
      </c>
      <c r="AM19" s="9">
        <f t="shared" si="22"/>
        <v>100.57208808889335</v>
      </c>
    </row>
    <row r="20" spans="1:39" x14ac:dyDescent="0.25">
      <c r="A20" s="6">
        <f>'Texas pop'!A116</f>
        <v>2032</v>
      </c>
      <c r="B20" s="6">
        <f>'Texas pop'!B116</f>
        <v>33354318.071428657</v>
      </c>
      <c r="C20" s="6">
        <f>'Texas pop'!C116</f>
        <v>1815182.0678099431</v>
      </c>
      <c r="D20" s="6">
        <f>'Texas pop'!D116</f>
        <v>1815182.0678099431</v>
      </c>
      <c r="E20" s="6">
        <f>'Texas pop'!E116</f>
        <v>307696.11358093447</v>
      </c>
      <c r="F20" s="47">
        <f t="shared" si="23"/>
        <v>4.2756555666548914</v>
      </c>
      <c r="G20" s="47">
        <f t="shared" si="0"/>
        <v>177.35588601999385</v>
      </c>
      <c r="H20" s="6">
        <f t="shared" si="32"/>
        <v>159620.29741799444</v>
      </c>
      <c r="I20" s="9">
        <f t="shared" si="24"/>
        <v>31591.517197311401</v>
      </c>
      <c r="J20" s="47">
        <f t="shared" si="1"/>
        <v>59240.732747737311</v>
      </c>
      <c r="K20" s="9">
        <f t="shared" si="29"/>
        <v>30257.689447451623</v>
      </c>
      <c r="L20" s="9">
        <f t="shared" si="25"/>
        <v>999.99999999999989</v>
      </c>
      <c r="M20" s="9">
        <f t="shared" si="33"/>
        <v>1380.4363404559715</v>
      </c>
      <c r="N20" s="13">
        <v>5.4</v>
      </c>
      <c r="O20" s="9">
        <f t="shared" si="30"/>
        <v>999.99999999999989</v>
      </c>
      <c r="P20" s="41">
        <f t="shared" si="31"/>
        <v>1777.6039023568401</v>
      </c>
      <c r="Q20" s="9">
        <f t="shared" si="27"/>
        <v>1.3804363404559716</v>
      </c>
      <c r="R20">
        <f t="shared" si="2"/>
        <v>4.3595651051795086</v>
      </c>
      <c r="S20">
        <f t="shared" si="3"/>
        <v>4.072751611417698</v>
      </c>
      <c r="T20">
        <f t="shared" si="4"/>
        <v>6.1378087665027277</v>
      </c>
      <c r="U20">
        <f t="shared" si="5"/>
        <v>0.40153889126653364</v>
      </c>
      <c r="V20">
        <f t="shared" si="6"/>
        <v>0.40153889126653364</v>
      </c>
      <c r="W20">
        <f t="shared" si="7"/>
        <v>0.80307778253306705</v>
      </c>
      <c r="X20">
        <f t="shared" si="8"/>
        <v>0.80307778253306705</v>
      </c>
      <c r="Y20">
        <f t="shared" si="9"/>
        <v>0.80307778253306705</v>
      </c>
      <c r="Z20">
        <f t="shared" si="10"/>
        <v>0.63098968627598151</v>
      </c>
      <c r="AA20">
        <f t="shared" si="11"/>
        <v>4.015388912665335</v>
      </c>
      <c r="AB20">
        <f t="shared" si="12"/>
        <v>2.007694456332668</v>
      </c>
      <c r="AC20">
        <f t="shared" si="13"/>
        <v>0.97516587879015304</v>
      </c>
      <c r="AD20">
        <f t="shared" si="14"/>
        <v>10.382648474177511</v>
      </c>
      <c r="AE20">
        <f t="shared" si="15"/>
        <v>6.9982492477881575</v>
      </c>
      <c r="AF20">
        <f t="shared" si="16"/>
        <v>6.6540730552739857</v>
      </c>
      <c r="AG20">
        <f t="shared" si="17"/>
        <v>7.9160524278259503</v>
      </c>
      <c r="AH20">
        <f t="shared" si="28"/>
        <v>57.36269875236195</v>
      </c>
      <c r="AI20" s="9">
        <f t="shared" si="18"/>
        <v>2296149.1281110914</v>
      </c>
      <c r="AJ20" s="9">
        <f t="shared" si="19"/>
        <v>65.026943308106084</v>
      </c>
      <c r="AK20" s="9">
        <f t="shared" si="20"/>
        <v>164.63868528627472</v>
      </c>
      <c r="AL20" s="9">
        <f t="shared" si="21"/>
        <v>26.175446878119718</v>
      </c>
      <c r="AM20" s="9">
        <f t="shared" si="22"/>
        <v>109.62357601689376</v>
      </c>
    </row>
    <row r="21" spans="1:39" x14ac:dyDescent="0.25">
      <c r="A21" s="6">
        <f>'Texas pop'!A117</f>
        <v>2033</v>
      </c>
      <c r="B21" s="6">
        <f>'Texas pop'!B117</f>
        <v>33693250.714285731</v>
      </c>
      <c r="C21" s="6">
        <f>'Texas pop'!C117</f>
        <v>2122878.1813908778</v>
      </c>
      <c r="D21" s="6">
        <f>'Texas pop'!D117</f>
        <v>2122878.1813908778</v>
      </c>
      <c r="E21" s="6">
        <f>'Texas pop'!E117</f>
        <v>335388.76380321855</v>
      </c>
      <c r="F21" s="47">
        <f t="shared" si="23"/>
        <v>4.6604645676538308</v>
      </c>
      <c r="G21" s="47">
        <f t="shared" si="0"/>
        <v>193.31791576179327</v>
      </c>
      <c r="H21" s="6">
        <f t="shared" si="32"/>
        <v>173986.12418561394</v>
      </c>
      <c r="I21" s="9">
        <f t="shared" si="24"/>
        <v>34434.753745069422</v>
      </c>
      <c r="J21" s="47">
        <f t="shared" si="1"/>
        <v>64572.398695033669</v>
      </c>
      <c r="K21" s="9">
        <f t="shared" si="29"/>
        <v>32980.881497722265</v>
      </c>
      <c r="L21" s="9">
        <f t="shared" si="25"/>
        <v>996.29629629629619</v>
      </c>
      <c r="M21" s="9">
        <f t="shared" si="33"/>
        <v>1369.8478619530001</v>
      </c>
      <c r="N21" s="13">
        <v>5.38</v>
      </c>
      <c r="O21" s="9">
        <f t="shared" si="30"/>
        <v>996.29629629629619</v>
      </c>
      <c r="P21" s="41">
        <f t="shared" si="31"/>
        <v>1759.8278633332716</v>
      </c>
      <c r="Q21" s="9">
        <f t="shared" si="27"/>
        <v>1.3749402331870262</v>
      </c>
      <c r="R21">
        <f t="shared" si="2"/>
        <v>4.7519259646456629</v>
      </c>
      <c r="S21">
        <f t="shared" si="3"/>
        <v>4.4392992564452909</v>
      </c>
      <c r="T21">
        <f t="shared" si="4"/>
        <v>6.6902115554879726</v>
      </c>
      <c r="U21">
        <f t="shared" si="5"/>
        <v>0.43767739148052159</v>
      </c>
      <c r="V21">
        <f t="shared" si="6"/>
        <v>0.43767739148052159</v>
      </c>
      <c r="W21">
        <f t="shared" si="7"/>
        <v>0.87535478296104308</v>
      </c>
      <c r="X21">
        <f t="shared" si="8"/>
        <v>0.87535478296104308</v>
      </c>
      <c r="Y21">
        <f t="shared" si="9"/>
        <v>0.87535478296104308</v>
      </c>
      <c r="Z21">
        <f t="shared" si="10"/>
        <v>0.68777875804081978</v>
      </c>
      <c r="AA21">
        <f t="shared" si="11"/>
        <v>4.3767739148052147</v>
      </c>
      <c r="AB21">
        <f t="shared" si="12"/>
        <v>2.1883869574026078</v>
      </c>
      <c r="AC21">
        <f t="shared" si="13"/>
        <v>1.0629308078812667</v>
      </c>
      <c r="AD21">
        <f t="shared" si="14"/>
        <v>11.317086836853488</v>
      </c>
      <c r="AE21">
        <f t="shared" si="15"/>
        <v>7.6280916800890912</v>
      </c>
      <c r="AF21">
        <f t="shared" si="16"/>
        <v>7.2529396302486431</v>
      </c>
      <c r="AG21">
        <f t="shared" si="17"/>
        <v>8.6284971463302842</v>
      </c>
      <c r="AH21">
        <f t="shared" si="28"/>
        <v>62.525341640074508</v>
      </c>
      <c r="AI21" s="9">
        <f t="shared" si="18"/>
        <v>2502802.5496410895</v>
      </c>
      <c r="AJ21" s="9">
        <f t="shared" si="19"/>
        <v>70.879368205835632</v>
      </c>
      <c r="AK21" s="9">
        <f t="shared" si="20"/>
        <v>179.45616696203945</v>
      </c>
      <c r="AL21" s="9">
        <f t="shared" si="21"/>
        <v>28.531237097150491</v>
      </c>
      <c r="AM21" s="9">
        <f t="shared" si="22"/>
        <v>119.48969785841419</v>
      </c>
    </row>
    <row r="22" spans="1:39" x14ac:dyDescent="0.25">
      <c r="A22" s="6">
        <f>'Texas pop'!A118</f>
        <v>2034</v>
      </c>
      <c r="B22" s="6">
        <f>'Texas pop'!B118</f>
        <v>34032183.357142925</v>
      </c>
      <c r="C22" s="6">
        <f>'Texas pop'!C118</f>
        <v>2458266.9451940963</v>
      </c>
      <c r="D22" s="6">
        <f>'Texas pop'!D118</f>
        <v>2458266.9451940963</v>
      </c>
      <c r="E22" s="6">
        <f>'Texas pop'!E118</f>
        <v>365573.75254550821</v>
      </c>
      <c r="F22" s="47">
        <f t="shared" si="23"/>
        <v>5.0799063787426748</v>
      </c>
      <c r="G22" s="47">
        <f t="shared" si="0"/>
        <v>210.71652818035466</v>
      </c>
      <c r="H22" s="6">
        <f t="shared" si="32"/>
        <v>189644.8753623192</v>
      </c>
      <c r="I22" s="9">
        <f t="shared" si="24"/>
        <v>37533.881582125672</v>
      </c>
      <c r="J22" s="47">
        <f t="shared" si="1"/>
        <v>70383.914577586693</v>
      </c>
      <c r="K22" s="9">
        <f t="shared" si="29"/>
        <v>35949.160832517271</v>
      </c>
      <c r="L22" s="9">
        <f t="shared" si="25"/>
        <v>985.18518518518511</v>
      </c>
      <c r="M22" s="9">
        <f t="shared" si="33"/>
        <v>1355.5629572631804</v>
      </c>
      <c r="N22" s="13">
        <v>5.32</v>
      </c>
      <c r="O22" s="9">
        <f t="shared" si="30"/>
        <v>985.18518518518511</v>
      </c>
      <c r="P22" s="41">
        <f t="shared" si="31"/>
        <v>1742.2295846999389</v>
      </c>
      <c r="Q22" s="9">
        <f t="shared" si="27"/>
        <v>1.3759473626355592</v>
      </c>
      <c r="R22">
        <f t="shared" si="2"/>
        <v>5.1795993014637727</v>
      </c>
      <c r="S22">
        <f t="shared" si="3"/>
        <v>4.8388361895253658</v>
      </c>
      <c r="T22">
        <f t="shared" si="4"/>
        <v>7.2923305954818902</v>
      </c>
      <c r="U22">
        <f t="shared" si="5"/>
        <v>0.47706835671376857</v>
      </c>
      <c r="V22">
        <f t="shared" si="6"/>
        <v>0.47706835671376857</v>
      </c>
      <c r="W22">
        <f t="shared" si="7"/>
        <v>0.95413671342753692</v>
      </c>
      <c r="X22">
        <f t="shared" si="8"/>
        <v>0.95413671342753692</v>
      </c>
      <c r="Y22">
        <f t="shared" si="9"/>
        <v>0.95413671342753692</v>
      </c>
      <c r="Z22">
        <f t="shared" si="10"/>
        <v>0.74967884626449355</v>
      </c>
      <c r="AA22">
        <f t="shared" si="11"/>
        <v>4.7706835671376844</v>
      </c>
      <c r="AB22">
        <f t="shared" si="12"/>
        <v>2.3853417835688422</v>
      </c>
      <c r="AC22">
        <f t="shared" si="13"/>
        <v>1.1585945805905808</v>
      </c>
      <c r="AD22">
        <f t="shared" si="14"/>
        <v>12.335624652170301</v>
      </c>
      <c r="AE22">
        <f t="shared" si="15"/>
        <v>8.3146199312971092</v>
      </c>
      <c r="AF22">
        <f t="shared" si="16"/>
        <v>7.9057041969710218</v>
      </c>
      <c r="AG22">
        <f t="shared" si="17"/>
        <v>9.4050618895000113</v>
      </c>
      <c r="AH22">
        <f t="shared" si="28"/>
        <v>68.15262238768122</v>
      </c>
      <c r="AI22" s="9">
        <f t="shared" si="18"/>
        <v>2728054.7791087874</v>
      </c>
      <c r="AJ22" s="9">
        <f t="shared" si="19"/>
        <v>77.258511344360826</v>
      </c>
      <c r="AK22" s="9">
        <f t="shared" si="20"/>
        <v>195.607221988623</v>
      </c>
      <c r="AL22" s="9">
        <f t="shared" si="21"/>
        <v>31.099048435894034</v>
      </c>
      <c r="AM22" s="9">
        <f t="shared" si="22"/>
        <v>130.24377066567146</v>
      </c>
    </row>
    <row r="23" spans="1:39" x14ac:dyDescent="0.25">
      <c r="A23" s="6">
        <f>'Texas pop'!A119</f>
        <v>2035</v>
      </c>
      <c r="B23" s="6">
        <f>'Texas pop'!B119</f>
        <v>34371116.000000119</v>
      </c>
      <c r="C23" s="6">
        <f>'Texas pop'!C119</f>
        <v>2823840.6977396044</v>
      </c>
      <c r="D23" s="6">
        <f>'Texas pop'!D119</f>
        <v>2823840.6977396044</v>
      </c>
      <c r="E23" s="6">
        <f>'Texas pop'!E119</f>
        <v>398475.39027460397</v>
      </c>
      <c r="F23" s="47">
        <f t="shared" si="23"/>
        <v>5.5370979528295168</v>
      </c>
      <c r="G23" s="47">
        <f t="shared" si="0"/>
        <v>229.68101571658659</v>
      </c>
      <c r="H23" s="6">
        <f t="shared" si="32"/>
        <v>206712.91414492793</v>
      </c>
      <c r="I23" s="9">
        <f t="shared" si="24"/>
        <v>40911.930924516986</v>
      </c>
      <c r="J23" s="47">
        <f t="shared" si="1"/>
        <v>76718.466889569507</v>
      </c>
      <c r="K23" s="9">
        <f t="shared" si="29"/>
        <v>39184.585307443835</v>
      </c>
      <c r="L23" s="9">
        <f t="shared" si="25"/>
        <v>994.44444444444434</v>
      </c>
      <c r="M23" s="9">
        <f t="shared" si="33"/>
        <v>1351.7684842153694</v>
      </c>
      <c r="N23" s="13">
        <v>5.37</v>
      </c>
      <c r="O23" s="9">
        <f t="shared" si="30"/>
        <v>994.44444444444434</v>
      </c>
      <c r="P23" s="41">
        <f t="shared" si="31"/>
        <v>1724.8072888529396</v>
      </c>
      <c r="Q23" s="9">
        <f t="shared" si="27"/>
        <v>1.3593202634567962</v>
      </c>
      <c r="R23">
        <f t="shared" si="2"/>
        <v>5.6457632385955128</v>
      </c>
      <c r="S23">
        <f t="shared" si="3"/>
        <v>5.2743314465826492</v>
      </c>
      <c r="T23">
        <f t="shared" si="4"/>
        <v>7.9486403490752604</v>
      </c>
      <c r="U23">
        <f t="shared" si="5"/>
        <v>0.52000450881800775</v>
      </c>
      <c r="V23">
        <f t="shared" si="6"/>
        <v>0.52000450881800775</v>
      </c>
      <c r="W23">
        <f t="shared" si="7"/>
        <v>1.0400090176360153</v>
      </c>
      <c r="X23">
        <f t="shared" si="8"/>
        <v>1.0400090176360153</v>
      </c>
      <c r="Y23">
        <f t="shared" si="9"/>
        <v>1.0400090176360153</v>
      </c>
      <c r="Z23">
        <f t="shared" si="10"/>
        <v>0.81714994242829797</v>
      </c>
      <c r="AA23">
        <f t="shared" si="11"/>
        <v>5.2000450881800759</v>
      </c>
      <c r="AB23">
        <f t="shared" si="12"/>
        <v>2.6000225440900384</v>
      </c>
      <c r="AC23">
        <f t="shared" si="13"/>
        <v>1.262868092843733</v>
      </c>
      <c r="AD23">
        <f t="shared" si="14"/>
        <v>13.445830870865628</v>
      </c>
      <c r="AE23">
        <f t="shared" si="15"/>
        <v>9.0629357251138476</v>
      </c>
      <c r="AF23">
        <f t="shared" si="16"/>
        <v>8.6172175746984152</v>
      </c>
      <c r="AG23">
        <f t="shared" si="17"/>
        <v>10.251517459555011</v>
      </c>
      <c r="AH23">
        <f t="shared" si="28"/>
        <v>74.286358402572517</v>
      </c>
      <c r="AI23" s="9">
        <f t="shared" si="18"/>
        <v>2973579.7092285785</v>
      </c>
      <c r="AJ23" s="9">
        <f t="shared" si="19"/>
        <v>84.211777365353299</v>
      </c>
      <c r="AK23" s="9">
        <f t="shared" si="20"/>
        <v>213.21187196759905</v>
      </c>
      <c r="AL23" s="9">
        <f t="shared" si="21"/>
        <v>33.897962795124499</v>
      </c>
      <c r="AM23" s="9">
        <f t="shared" si="22"/>
        <v>141.9657100255819</v>
      </c>
    </row>
    <row r="24" spans="1:39" x14ac:dyDescent="0.25">
      <c r="A24" s="6">
        <f>'Texas pop'!A120</f>
        <v>2036</v>
      </c>
      <c r="B24" s="6">
        <f>'Texas pop'!B120</f>
        <v>34710048.642857194</v>
      </c>
      <c r="C24" s="6">
        <f>'Texas pop'!C120</f>
        <v>3222316.0880142082</v>
      </c>
      <c r="D24" s="6">
        <f>'Texas pop'!D120</f>
        <v>3210416.0880142082</v>
      </c>
      <c r="E24" s="6">
        <f>'Texas pop'!E120</f>
        <v>434338.17539931834</v>
      </c>
      <c r="F24" s="47">
        <f t="shared" si="23"/>
        <v>6.035436768584173</v>
      </c>
      <c r="G24" s="47">
        <f t="shared" si="0"/>
        <v>250.35230713107941</v>
      </c>
      <c r="H24" s="6">
        <f t="shared" si="32"/>
        <v>225317.07641797143</v>
      </c>
      <c r="I24" s="9">
        <f t="shared" si="24"/>
        <v>44594.004707723514</v>
      </c>
      <c r="J24" s="47">
        <f t="shared" si="1"/>
        <v>83623.128909630759</v>
      </c>
      <c r="K24" s="9">
        <f t="shared" si="29"/>
        <v>42711.197985113773</v>
      </c>
      <c r="L24" s="9">
        <f t="shared" si="25"/>
        <v>962.96296296296282</v>
      </c>
      <c r="M24" s="9">
        <f t="shared" si="33"/>
        <v>1327.2505813127832</v>
      </c>
      <c r="N24" s="13">
        <v>5.2</v>
      </c>
      <c r="O24" s="9">
        <f t="shared" si="30"/>
        <v>962.96296296296282</v>
      </c>
      <c r="P24" s="41">
        <f t="shared" si="31"/>
        <v>1707.5592159644102</v>
      </c>
      <c r="Q24" s="9">
        <f t="shared" si="27"/>
        <v>1.3782986805940443</v>
      </c>
      <c r="R24">
        <f t="shared" si="2"/>
        <v>6.1538819300691081</v>
      </c>
      <c r="S24">
        <f t="shared" si="3"/>
        <v>5.7490212767750881</v>
      </c>
      <c r="T24">
        <f t="shared" si="4"/>
        <v>8.6640179804920354</v>
      </c>
      <c r="U24">
        <f t="shared" si="5"/>
        <v>0.56680491461162841</v>
      </c>
      <c r="V24">
        <f t="shared" si="6"/>
        <v>0.56680491461162841</v>
      </c>
      <c r="W24">
        <f t="shared" si="7"/>
        <v>1.1336098292232568</v>
      </c>
      <c r="X24">
        <f t="shared" si="8"/>
        <v>1.1336098292232568</v>
      </c>
      <c r="Y24">
        <f t="shared" si="9"/>
        <v>1.1336098292232568</v>
      </c>
      <c r="Z24">
        <f t="shared" si="10"/>
        <v>0.89069343724684491</v>
      </c>
      <c r="AA24">
        <f t="shared" si="11"/>
        <v>5.6680491461162825</v>
      </c>
      <c r="AB24">
        <f t="shared" si="12"/>
        <v>2.8340245730581417</v>
      </c>
      <c r="AC24">
        <f t="shared" si="13"/>
        <v>1.3765262211996692</v>
      </c>
      <c r="AD24">
        <f t="shared" si="14"/>
        <v>14.655955649243536</v>
      </c>
      <c r="AE24">
        <f t="shared" si="15"/>
        <v>9.8785999403740945</v>
      </c>
      <c r="AF24">
        <f t="shared" si="16"/>
        <v>9.3927671564212716</v>
      </c>
      <c r="AG24">
        <f t="shared" si="17"/>
        <v>11.174154030914963</v>
      </c>
      <c r="AH24">
        <f t="shared" si="28"/>
        <v>80.972130658804062</v>
      </c>
      <c r="AI24" s="9">
        <f t="shared" si="18"/>
        <v>3241201.8830591505</v>
      </c>
      <c r="AJ24" s="9">
        <f t="shared" si="19"/>
        <v>91.790837328235099</v>
      </c>
      <c r="AK24" s="9">
        <f t="shared" si="20"/>
        <v>232.40094044468299</v>
      </c>
      <c r="AL24" s="9">
        <f t="shared" si="21"/>
        <v>36.948779446685698</v>
      </c>
      <c r="AM24" s="9">
        <f t="shared" si="22"/>
        <v>154.74262392788427</v>
      </c>
    </row>
    <row r="25" spans="1:39" x14ac:dyDescent="0.25">
      <c r="A25" s="6">
        <f>'Texas pop'!A121</f>
        <v>2037</v>
      </c>
      <c r="B25" s="6">
        <f>'Texas pop'!B121</f>
        <v>35048981.285714388</v>
      </c>
      <c r="C25" s="6">
        <f>'Texas pop'!C121</f>
        <v>3656654.2634135266</v>
      </c>
      <c r="D25" s="6">
        <f>'Texas pop'!D121</f>
        <v>3640554.2634135266</v>
      </c>
      <c r="E25" s="6">
        <f>'Texas pop'!E121</f>
        <v>473428.61118525697</v>
      </c>
      <c r="F25" s="47">
        <f t="shared" si="23"/>
        <v>6.5786260777567485</v>
      </c>
      <c r="G25" s="47">
        <f t="shared" si="0"/>
        <v>272.88401477287653</v>
      </c>
      <c r="H25" s="6">
        <f t="shared" si="32"/>
        <v>245595.61329558888</v>
      </c>
      <c r="I25" s="9">
        <f t="shared" si="24"/>
        <v>48607.465131418634</v>
      </c>
      <c r="J25" s="47">
        <f t="shared" si="1"/>
        <v>91149.210511497527</v>
      </c>
      <c r="K25" s="9">
        <f t="shared" si="29"/>
        <v>46555.205803774013</v>
      </c>
      <c r="L25" s="9">
        <f t="shared" si="25"/>
        <v>999.99999999999989</v>
      </c>
      <c r="M25" s="9">
        <f t="shared" si="33"/>
        <v>1337.813457711427</v>
      </c>
      <c r="N25" s="13">
        <v>5.4</v>
      </c>
      <c r="O25" s="9">
        <f t="shared" si="30"/>
        <v>999.99999999999989</v>
      </c>
      <c r="P25" s="41">
        <f t="shared" si="31"/>
        <v>1690.483623804766</v>
      </c>
      <c r="Q25" s="9">
        <f t="shared" si="27"/>
        <v>1.3378134577114271</v>
      </c>
      <c r="R25">
        <f t="shared" si="2"/>
        <v>6.7077313037753283</v>
      </c>
      <c r="S25">
        <f t="shared" si="3"/>
        <v>6.2664331916848459</v>
      </c>
      <c r="T25">
        <f t="shared" si="4"/>
        <v>9.4437795987363184</v>
      </c>
      <c r="U25">
        <f t="shared" si="5"/>
        <v>0.61781735692667494</v>
      </c>
      <c r="V25">
        <f t="shared" si="6"/>
        <v>0.61781735692667494</v>
      </c>
      <c r="W25">
        <f t="shared" si="7"/>
        <v>1.2356347138533497</v>
      </c>
      <c r="X25">
        <f t="shared" si="8"/>
        <v>1.2356347138533497</v>
      </c>
      <c r="Y25">
        <f t="shared" si="9"/>
        <v>1.2356347138533497</v>
      </c>
      <c r="Z25">
        <f t="shared" si="10"/>
        <v>0.97085584659906077</v>
      </c>
      <c r="AA25">
        <f t="shared" si="11"/>
        <v>6.1781735692667485</v>
      </c>
      <c r="AB25">
        <f t="shared" si="12"/>
        <v>3.0890867846333747</v>
      </c>
      <c r="AC25">
        <f t="shared" si="13"/>
        <v>1.5004135811076393</v>
      </c>
      <c r="AD25">
        <f t="shared" si="14"/>
        <v>15.974991657675453</v>
      </c>
      <c r="AE25">
        <f t="shared" si="15"/>
        <v>10.767673935007764</v>
      </c>
      <c r="AF25">
        <f t="shared" si="16"/>
        <v>10.238116200499187</v>
      </c>
      <c r="AG25">
        <f t="shared" si="17"/>
        <v>12.179827893697308</v>
      </c>
      <c r="AH25">
        <f t="shared" si="28"/>
        <v>88.259622418096441</v>
      </c>
      <c r="AI25" s="9">
        <f t="shared" si="18"/>
        <v>3532910.0525344741</v>
      </c>
      <c r="AJ25" s="9">
        <f t="shared" si="19"/>
        <v>100.05201268777627</v>
      </c>
      <c r="AK25" s="9">
        <f t="shared" si="20"/>
        <v>253.31702508470443</v>
      </c>
      <c r="AL25" s="9">
        <f t="shared" si="21"/>
        <v>40.274169596887411</v>
      </c>
      <c r="AM25" s="9">
        <f t="shared" si="22"/>
        <v>168.66946008139385</v>
      </c>
    </row>
    <row r="26" spans="1:39" x14ac:dyDescent="0.25">
      <c r="A26" s="6">
        <f>'Texas pop'!A122</f>
        <v>2038</v>
      </c>
      <c r="B26" s="6">
        <f>'Texas pop'!B122</f>
        <v>35387913.928571463</v>
      </c>
      <c r="C26" s="6">
        <f>'Texas pop'!C122</f>
        <v>4130082.8745987834</v>
      </c>
      <c r="D26" s="6">
        <f>'Texas pop'!D122</f>
        <v>4100082.8745987834</v>
      </c>
      <c r="E26" s="6">
        <f>'Texas pop'!E122</f>
        <v>516037.18619193009</v>
      </c>
      <c r="F26" s="47">
        <f t="shared" si="23"/>
        <v>7.1707024247548565</v>
      </c>
      <c r="G26" s="47">
        <f t="shared" si="0"/>
        <v>297.44357610243543</v>
      </c>
      <c r="H26" s="6">
        <f t="shared" si="32"/>
        <v>267699.21849219187</v>
      </c>
      <c r="I26" s="9">
        <f t="shared" si="24"/>
        <v>52982.136993246306</v>
      </c>
      <c r="J26" s="47">
        <f t="shared" si="1"/>
        <v>99352.639457532307</v>
      </c>
      <c r="K26" s="9">
        <f t="shared" si="29"/>
        <v>50745.174326113673</v>
      </c>
      <c r="L26" s="9">
        <f t="shared" si="25"/>
        <v>1009.2592592592591</v>
      </c>
      <c r="M26" s="9">
        <f t="shared" si="33"/>
        <v>1334.2721475391709</v>
      </c>
      <c r="N26" s="13">
        <v>5.45</v>
      </c>
      <c r="O26" s="9">
        <f t="shared" si="30"/>
        <v>1009.2592592592591</v>
      </c>
      <c r="P26" s="41">
        <f t="shared" si="31"/>
        <v>1673.5787875667183</v>
      </c>
      <c r="Q26" s="9">
        <f t="shared" si="27"/>
        <v>1.322031118662665</v>
      </c>
      <c r="R26">
        <f t="shared" si="2"/>
        <v>7.3114271211151083</v>
      </c>
      <c r="S26">
        <f t="shared" si="3"/>
        <v>6.8304121789364816</v>
      </c>
      <c r="T26">
        <f t="shared" si="4"/>
        <v>10.293719762622585</v>
      </c>
      <c r="U26">
        <f t="shared" si="5"/>
        <v>0.67342091905007573</v>
      </c>
      <c r="V26">
        <f t="shared" si="6"/>
        <v>0.67342091905007573</v>
      </c>
      <c r="W26">
        <f t="shared" si="7"/>
        <v>1.3468418381001512</v>
      </c>
      <c r="X26">
        <f t="shared" si="8"/>
        <v>1.3468418381001512</v>
      </c>
      <c r="Y26">
        <f t="shared" si="9"/>
        <v>1.3468418381001512</v>
      </c>
      <c r="Z26">
        <f t="shared" si="10"/>
        <v>1.0582328727929762</v>
      </c>
      <c r="AA26">
        <f t="shared" si="11"/>
        <v>6.7342091905007555</v>
      </c>
      <c r="AB26">
        <f t="shared" si="12"/>
        <v>3.3671045952503782</v>
      </c>
      <c r="AC26">
        <f t="shared" si="13"/>
        <v>1.6354508034073267</v>
      </c>
      <c r="AD26">
        <f t="shared" si="14"/>
        <v>17.41274090686624</v>
      </c>
      <c r="AE26">
        <f t="shared" si="15"/>
        <v>11.736764589158462</v>
      </c>
      <c r="AF26">
        <f t="shared" si="16"/>
        <v>11.159546658544112</v>
      </c>
      <c r="AG26">
        <f t="shared" si="17"/>
        <v>13.276012404130066</v>
      </c>
      <c r="AH26">
        <f t="shared" si="28"/>
        <v>96.202988435725103</v>
      </c>
      <c r="AI26" s="9">
        <f t="shared" si="18"/>
        <v>3850871.9572625766</v>
      </c>
      <c r="AJ26" s="9">
        <f t="shared" si="19"/>
        <v>109.05669382967612</v>
      </c>
      <c r="AK26" s="9">
        <f t="shared" si="20"/>
        <v>276.1155573423278</v>
      </c>
      <c r="AL26" s="9">
        <f t="shared" si="21"/>
        <v>43.898844860607277</v>
      </c>
      <c r="AM26" s="9">
        <f t="shared" si="22"/>
        <v>183.84971148871929</v>
      </c>
    </row>
    <row r="27" spans="1:39" x14ac:dyDescent="0.25">
      <c r="A27" s="6">
        <f>'Texas pop'!A123</f>
        <v>2039</v>
      </c>
      <c r="B27" s="6">
        <f>'Texas pop'!B123</f>
        <v>35726846.571428657</v>
      </c>
      <c r="C27" s="6">
        <f>'Texas pop'!C123</f>
        <v>4646120.0607907139</v>
      </c>
      <c r="D27" s="6">
        <f>'Texas pop'!D123</f>
        <v>4602320.0607907139</v>
      </c>
      <c r="E27" s="6">
        <f>'Texas pop'!E123</f>
        <v>562480.53294920374</v>
      </c>
      <c r="F27" s="47">
        <f t="shared" si="23"/>
        <v>7.8160656429827915</v>
      </c>
      <c r="G27" s="47">
        <f t="shared" si="0"/>
        <v>324.21349795165452</v>
      </c>
      <c r="H27" s="6">
        <f t="shared" si="32"/>
        <v>291792.14815648907</v>
      </c>
      <c r="I27" s="9">
        <f t="shared" si="24"/>
        <v>57750.52932263846</v>
      </c>
      <c r="J27" s="47">
        <f t="shared" si="1"/>
        <v>108294.37700871019</v>
      </c>
      <c r="K27" s="9">
        <f t="shared" si="29"/>
        <v>55312.240015463882</v>
      </c>
      <c r="L27" s="9">
        <f t="shared" si="25"/>
        <v>1018.5185185185184</v>
      </c>
      <c r="M27" s="9">
        <f t="shared" si="33"/>
        <v>1330.8135428936607</v>
      </c>
      <c r="N27" s="13">
        <v>5.5</v>
      </c>
      <c r="O27" s="9">
        <f t="shared" si="30"/>
        <v>1018.5185185185184</v>
      </c>
      <c r="P27" s="41">
        <f t="shared" si="31"/>
        <v>1656.8429996910511</v>
      </c>
      <c r="Q27" s="9">
        <f t="shared" si="27"/>
        <v>1.3066169330228672</v>
      </c>
      <c r="R27">
        <f t="shared" si="2"/>
        <v>7.9694555620154661</v>
      </c>
      <c r="S27">
        <f t="shared" si="3"/>
        <v>7.4451492750407642</v>
      </c>
      <c r="T27">
        <f t="shared" si="4"/>
        <v>11.220154541258616</v>
      </c>
      <c r="U27">
        <f t="shared" si="5"/>
        <v>0.73402880176458252</v>
      </c>
      <c r="V27">
        <f t="shared" si="6"/>
        <v>0.73402880176458252</v>
      </c>
      <c r="W27">
        <f t="shared" si="7"/>
        <v>1.4680576035291648</v>
      </c>
      <c r="X27">
        <f t="shared" si="8"/>
        <v>1.4680576035291648</v>
      </c>
      <c r="Y27">
        <f t="shared" si="9"/>
        <v>1.4680576035291648</v>
      </c>
      <c r="Z27">
        <f t="shared" si="10"/>
        <v>1.153473831344344</v>
      </c>
      <c r="AA27">
        <f t="shared" si="11"/>
        <v>7.3402880176458227</v>
      </c>
      <c r="AB27">
        <f t="shared" si="12"/>
        <v>3.6701440088229118</v>
      </c>
      <c r="AC27">
        <f t="shared" si="13"/>
        <v>1.7826413757139861</v>
      </c>
      <c r="AD27">
        <f t="shared" si="14"/>
        <v>18.979887588484203</v>
      </c>
      <c r="AE27">
        <f t="shared" si="15"/>
        <v>12.793073402182722</v>
      </c>
      <c r="AF27">
        <f t="shared" si="16"/>
        <v>12.163905857813081</v>
      </c>
      <c r="AG27">
        <f t="shared" si="17"/>
        <v>14.470853520501771</v>
      </c>
      <c r="AH27">
        <f t="shared" si="28"/>
        <v>104.86125739494035</v>
      </c>
      <c r="AI27" s="9">
        <f t="shared" si="18"/>
        <v>4197450.4334162083</v>
      </c>
      <c r="AJ27" s="9">
        <f t="shared" si="19"/>
        <v>118.87179627434696</v>
      </c>
      <c r="AK27" s="9">
        <f t="shared" si="20"/>
        <v>300.9659575031373</v>
      </c>
      <c r="AL27" s="9">
        <f t="shared" si="21"/>
        <v>47.849740898061931</v>
      </c>
      <c r="AM27" s="9">
        <f t="shared" si="22"/>
        <v>200.396185522704</v>
      </c>
    </row>
    <row r="28" spans="1:39" x14ac:dyDescent="0.25">
      <c r="A28" s="6">
        <f>'Texas pop'!A124</f>
        <v>2040</v>
      </c>
      <c r="B28" s="6">
        <f>'Texas pop'!B124</f>
        <v>36065779.214285731</v>
      </c>
      <c r="C28" s="6">
        <f>'Texas pop'!C124</f>
        <v>5208600.5937399175</v>
      </c>
      <c r="D28" s="6">
        <f>'Texas pop'!D124</f>
        <v>5136100.5937399175</v>
      </c>
      <c r="E28" s="6">
        <f>'Texas pop'!E124</f>
        <v>613103.78091463214</v>
      </c>
      <c r="F28" s="47">
        <f t="shared" si="23"/>
        <v>8.5195115508512451</v>
      </c>
      <c r="G28" s="47">
        <f t="shared" si="0"/>
        <v>353.39271276730352</v>
      </c>
      <c r="H28" s="6">
        <f t="shared" si="32"/>
        <v>318053.44149057317</v>
      </c>
      <c r="I28" s="9">
        <f t="shared" si="24"/>
        <v>62948.076961675935</v>
      </c>
      <c r="J28" s="47">
        <f t="shared" si="1"/>
        <v>118040.87093949414</v>
      </c>
      <c r="K28" s="9">
        <f t="shared" si="29"/>
        <v>60290.34161685568</v>
      </c>
      <c r="L28" s="9">
        <f t="shared" si="25"/>
        <v>1037.037037037037</v>
      </c>
      <c r="M28" s="9">
        <f t="shared" si="33"/>
        <v>1332.1660592219646</v>
      </c>
      <c r="N28" s="13">
        <v>5.6</v>
      </c>
      <c r="O28" s="9">
        <f t="shared" si="30"/>
        <v>1037.037037037037</v>
      </c>
      <c r="P28" s="41">
        <f t="shared" si="31"/>
        <v>1640.2745696941406</v>
      </c>
      <c r="Q28" s="9">
        <f t="shared" si="27"/>
        <v>1.2845886999640375</v>
      </c>
      <c r="R28">
        <f t="shared" si="2"/>
        <v>8.6867065625968589</v>
      </c>
      <c r="S28">
        <f t="shared" si="3"/>
        <v>8.1152127097944344</v>
      </c>
      <c r="T28">
        <f t="shared" si="4"/>
        <v>12.229968449971894</v>
      </c>
      <c r="U28">
        <f t="shared" si="5"/>
        <v>0.80009139392339501</v>
      </c>
      <c r="V28">
        <f t="shared" si="6"/>
        <v>0.80009139392339501</v>
      </c>
      <c r="W28">
        <f t="shared" si="7"/>
        <v>1.6001827878467898</v>
      </c>
      <c r="X28">
        <f t="shared" si="8"/>
        <v>1.6001827878467898</v>
      </c>
      <c r="Y28">
        <f t="shared" si="9"/>
        <v>1.6001827878467898</v>
      </c>
      <c r="Z28">
        <f t="shared" si="10"/>
        <v>1.2572864761653351</v>
      </c>
      <c r="AA28">
        <f t="shared" si="11"/>
        <v>8.0009139392339481</v>
      </c>
      <c r="AB28">
        <f t="shared" si="12"/>
        <v>4.0004569696169741</v>
      </c>
      <c r="AC28">
        <f t="shared" si="13"/>
        <v>1.943079099528245</v>
      </c>
      <c r="AD28">
        <f t="shared" si="14"/>
        <v>20.688077471447784</v>
      </c>
      <c r="AE28">
        <f t="shared" si="15"/>
        <v>13.944450008379169</v>
      </c>
      <c r="AF28">
        <f t="shared" si="16"/>
        <v>13.258657385016258</v>
      </c>
      <c r="AG28">
        <f t="shared" si="17"/>
        <v>15.773230337346932</v>
      </c>
      <c r="AH28">
        <f t="shared" si="28"/>
        <v>114.298770560485</v>
      </c>
      <c r="AI28" s="9">
        <f t="shared" si="18"/>
        <v>4575220.9724236671</v>
      </c>
      <c r="AJ28" s="9">
        <f t="shared" si="19"/>
        <v>129.57025793903821</v>
      </c>
      <c r="AK28" s="9">
        <f t="shared" si="20"/>
        <v>328.05289367841971</v>
      </c>
      <c r="AL28" s="9">
        <f t="shared" si="21"/>
        <v>52.156217578887507</v>
      </c>
      <c r="AM28" s="9">
        <f t="shared" si="22"/>
        <v>218.43184221974738</v>
      </c>
    </row>
    <row r="29" spans="1:39" x14ac:dyDescent="0.25">
      <c r="A29" s="6">
        <f>'Texas pop'!A125</f>
        <v>2041</v>
      </c>
      <c r="B29" s="6">
        <f>'Texas pop'!B125</f>
        <v>36404711.857142925</v>
      </c>
      <c r="C29" s="6">
        <f>'Texas pop'!C125</f>
        <v>5821704.3746545501</v>
      </c>
      <c r="D29" s="6">
        <f>'Texas pop'!D125</f>
        <v>5681104.3746545501</v>
      </c>
      <c r="E29" s="6">
        <f>'Texas pop'!E125</f>
        <v>637627.93215121748</v>
      </c>
      <c r="F29" s="47">
        <f t="shared" si="23"/>
        <v>8.8602920128852958</v>
      </c>
      <c r="G29" s="47">
        <f t="shared" si="0"/>
        <v>367.52842127799568</v>
      </c>
      <c r="H29" s="6">
        <f t="shared" si="32"/>
        <v>330775.57915019605</v>
      </c>
      <c r="I29" s="9">
        <f t="shared" si="24"/>
        <v>65466.000040142964</v>
      </c>
      <c r="J29" s="47">
        <f t="shared" si="1"/>
        <v>122762.50577707391</v>
      </c>
      <c r="K29" s="9">
        <f t="shared" si="29"/>
        <v>59814.428815397972</v>
      </c>
      <c r="L29" s="9">
        <f t="shared" si="25"/>
        <v>1027.7777777777776</v>
      </c>
      <c r="M29" s="9">
        <f t="shared" si="33"/>
        <v>1333.4327793623447</v>
      </c>
      <c r="N29" s="13">
        <v>5.55</v>
      </c>
      <c r="O29" s="9">
        <f t="shared" si="30"/>
        <v>1027.7777777777776</v>
      </c>
      <c r="P29" s="41">
        <f t="shared" si="31"/>
        <v>1623.8718239971993</v>
      </c>
      <c r="Q29" s="9">
        <f t="shared" si="27"/>
        <v>1.297394055595795</v>
      </c>
      <c r="R29">
        <f t="shared" si="2"/>
        <v>9.0341748251007346</v>
      </c>
      <c r="S29">
        <f t="shared" si="3"/>
        <v>8.4398212181862124</v>
      </c>
      <c r="T29">
        <f t="shared" si="4"/>
        <v>12.71916718797077</v>
      </c>
      <c r="U29">
        <f t="shared" si="5"/>
        <v>0.83209504968033077</v>
      </c>
      <c r="V29">
        <f t="shared" si="6"/>
        <v>0.83209504968033077</v>
      </c>
      <c r="W29">
        <f t="shared" si="7"/>
        <v>1.6641900993606613</v>
      </c>
      <c r="X29">
        <f t="shared" si="8"/>
        <v>1.6641900993606613</v>
      </c>
      <c r="Y29">
        <f t="shared" si="9"/>
        <v>1.6641900993606613</v>
      </c>
      <c r="Z29">
        <f t="shared" si="10"/>
        <v>1.3075779352119485</v>
      </c>
      <c r="AA29">
        <f t="shared" si="11"/>
        <v>8.3209504968033059</v>
      </c>
      <c r="AB29">
        <f t="shared" si="12"/>
        <v>4.1604752484016538</v>
      </c>
      <c r="AC29">
        <f t="shared" si="13"/>
        <v>2.020802263509375</v>
      </c>
      <c r="AD29">
        <f t="shared" si="14"/>
        <v>21.515600570305697</v>
      </c>
      <c r="AE29">
        <f t="shared" si="15"/>
        <v>14.502228008714336</v>
      </c>
      <c r="AF29">
        <f t="shared" si="16"/>
        <v>13.78900368041691</v>
      </c>
      <c r="AG29">
        <f t="shared" si="17"/>
        <v>16.404159550840813</v>
      </c>
      <c r="AH29">
        <f t="shared" si="28"/>
        <v>118.87072138290439</v>
      </c>
      <c r="AI29" s="9">
        <f t="shared" si="18"/>
        <v>4758229.8113206141</v>
      </c>
      <c r="AJ29" s="9">
        <f t="shared" si="19"/>
        <v>134.75306825659976</v>
      </c>
      <c r="AK29" s="9">
        <f t="shared" si="20"/>
        <v>341.17500942555648</v>
      </c>
      <c r="AL29" s="9">
        <f t="shared" si="21"/>
        <v>54.242466282043019</v>
      </c>
      <c r="AM29" s="9">
        <f t="shared" si="22"/>
        <v>227.16911590853729</v>
      </c>
    </row>
    <row r="30" spans="1:39" x14ac:dyDescent="0.25">
      <c r="A30" s="6">
        <f>'Texas pop'!A126</f>
        <v>2042</v>
      </c>
      <c r="B30" s="6">
        <f>'Texas pop'!B126</f>
        <v>36743644.500000119</v>
      </c>
      <c r="C30" s="6">
        <f>'Texas pop'!C126</f>
        <v>6459332.3068057671</v>
      </c>
      <c r="D30" s="6">
        <f>'Texas pop'!D126</f>
        <v>6239736.3068057671</v>
      </c>
      <c r="E30" s="6">
        <f>'Texas pop'!E126</f>
        <v>663133.04943726619</v>
      </c>
      <c r="F30" s="47">
        <f t="shared" si="23"/>
        <v>9.2147036934007076</v>
      </c>
      <c r="G30" s="47">
        <f t="shared" si="0"/>
        <v>382.22955812911556</v>
      </c>
      <c r="H30" s="6">
        <f t="shared" si="32"/>
        <v>344006.60231620393</v>
      </c>
      <c r="I30" s="9">
        <f t="shared" si="24"/>
        <v>68084.640041748688</v>
      </c>
      <c r="J30" s="47">
        <f t="shared" si="1"/>
        <v>127673.00600815687</v>
      </c>
      <c r="K30" s="9">
        <f t="shared" si="29"/>
        <v>62207.005968013902</v>
      </c>
      <c r="L30" s="9">
        <f t="shared" si="25"/>
        <v>1020.3703703703702</v>
      </c>
      <c r="M30" s="9">
        <f t="shared" si="33"/>
        <v>1321.4970020716257</v>
      </c>
      <c r="N30" s="13">
        <v>5.51</v>
      </c>
      <c r="O30" s="9">
        <f t="shared" si="30"/>
        <v>1020.3703703703702</v>
      </c>
      <c r="P30" s="41">
        <f t="shared" si="31"/>
        <v>1607.6331057572272</v>
      </c>
      <c r="Q30" s="9">
        <f t="shared" si="27"/>
        <v>1.2951150292534992</v>
      </c>
      <c r="R30">
        <f t="shared" si="2"/>
        <v>9.3955418181047641</v>
      </c>
      <c r="S30">
        <f t="shared" si="3"/>
        <v>8.7774140669136607</v>
      </c>
      <c r="T30">
        <f t="shared" si="4"/>
        <v>13.227933875489601</v>
      </c>
      <c r="U30">
        <f t="shared" si="5"/>
        <v>0.86537885166754414</v>
      </c>
      <c r="V30">
        <f t="shared" si="6"/>
        <v>0.86537885166754414</v>
      </c>
      <c r="W30">
        <f t="shared" si="7"/>
        <v>1.730757703335088</v>
      </c>
      <c r="X30">
        <f t="shared" si="8"/>
        <v>1.730757703335088</v>
      </c>
      <c r="Y30">
        <f t="shared" si="9"/>
        <v>1.730757703335088</v>
      </c>
      <c r="Z30">
        <f t="shared" si="10"/>
        <v>1.3598810526204266</v>
      </c>
      <c r="AA30">
        <f t="shared" si="11"/>
        <v>8.6537885166754389</v>
      </c>
      <c r="AB30">
        <f t="shared" si="12"/>
        <v>4.3268942583377203</v>
      </c>
      <c r="AC30">
        <f t="shared" si="13"/>
        <v>2.1016343540497502</v>
      </c>
      <c r="AD30">
        <f t="shared" si="14"/>
        <v>22.376224593117925</v>
      </c>
      <c r="AE30">
        <f t="shared" si="15"/>
        <v>15.082317129062911</v>
      </c>
      <c r="AF30">
        <f t="shared" si="16"/>
        <v>14.340563827633588</v>
      </c>
      <c r="AG30">
        <f t="shared" si="17"/>
        <v>17.060325932874445</v>
      </c>
      <c r="AH30">
        <f t="shared" si="28"/>
        <v>123.62555023822058</v>
      </c>
      <c r="AI30" s="9">
        <f t="shared" si="18"/>
        <v>4948559.0037734387</v>
      </c>
      <c r="AJ30" s="9">
        <f t="shared" si="19"/>
        <v>140.14319098686374</v>
      </c>
      <c r="AK30" s="9">
        <f t="shared" si="20"/>
        <v>354.8220098025788</v>
      </c>
      <c r="AL30" s="9">
        <f t="shared" si="21"/>
        <v>56.412164933324739</v>
      </c>
      <c r="AM30" s="9">
        <f t="shared" si="22"/>
        <v>236.25588054487881</v>
      </c>
    </row>
    <row r="31" spans="1:39" x14ac:dyDescent="0.25">
      <c r="A31" s="6">
        <f>'Texas pop'!A127</f>
        <v>2043</v>
      </c>
      <c r="B31" s="6">
        <f>'Texas pop'!B127</f>
        <v>37082577.142857194</v>
      </c>
      <c r="C31" s="6">
        <f>'Texas pop'!C127</f>
        <v>7122465.356243033</v>
      </c>
      <c r="D31" s="6">
        <f>'Texas pop'!D127</f>
        <v>6811233.9962430326</v>
      </c>
      <c r="E31" s="6">
        <f>'Texas pop'!E127</f>
        <v>689658.37141475675</v>
      </c>
      <c r="F31" s="47">
        <f t="shared" si="23"/>
        <v>9.5832918411367345</v>
      </c>
      <c r="G31" s="47">
        <f t="shared" si="0"/>
        <v>397.51874045428008</v>
      </c>
      <c r="H31" s="6">
        <f t="shared" si="32"/>
        <v>357766.86640885205</v>
      </c>
      <c r="I31" s="9">
        <f t="shared" si="24"/>
        <v>70808.02564341863</v>
      </c>
      <c r="J31" s="47">
        <f t="shared" si="1"/>
        <v>132779.92624848313</v>
      </c>
      <c r="K31" s="9">
        <f t="shared" si="29"/>
        <v>64695.286206734439</v>
      </c>
      <c r="L31" s="9">
        <f t="shared" si="25"/>
        <v>1092.5925925925926</v>
      </c>
      <c r="M31" s="9">
        <f t="shared" si="33"/>
        <v>1348.4429887504452</v>
      </c>
      <c r="N31" s="13">
        <v>5.9</v>
      </c>
      <c r="O31" s="9">
        <f t="shared" si="30"/>
        <v>1092.5925925925926</v>
      </c>
      <c r="P31" s="41">
        <f t="shared" si="31"/>
        <v>1591.5567746996549</v>
      </c>
      <c r="Q31" s="9">
        <f t="shared" si="27"/>
        <v>1.2341681591953226</v>
      </c>
      <c r="R31">
        <f t="shared" si="2"/>
        <v>9.7713634908289535</v>
      </c>
      <c r="S31">
        <f t="shared" si="3"/>
        <v>9.1285106295902061</v>
      </c>
      <c r="T31">
        <f t="shared" si="4"/>
        <v>13.757051230509184</v>
      </c>
      <c r="U31">
        <f t="shared" si="5"/>
        <v>0.89999400573424571</v>
      </c>
      <c r="V31">
        <f t="shared" si="6"/>
        <v>0.89999400573424571</v>
      </c>
      <c r="W31">
        <f t="shared" si="7"/>
        <v>1.7999880114684912</v>
      </c>
      <c r="X31">
        <f t="shared" si="8"/>
        <v>1.7999880114684912</v>
      </c>
      <c r="Y31">
        <f t="shared" si="9"/>
        <v>1.7999880114684912</v>
      </c>
      <c r="Z31">
        <f t="shared" si="10"/>
        <v>1.4142762947252434</v>
      </c>
      <c r="AA31">
        <f t="shared" si="11"/>
        <v>8.9999400573424548</v>
      </c>
      <c r="AB31">
        <f t="shared" si="12"/>
        <v>4.4999700286712283</v>
      </c>
      <c r="AC31">
        <f t="shared" si="13"/>
        <v>2.1856997282117394</v>
      </c>
      <c r="AD31">
        <f t="shared" si="14"/>
        <v>23.271273576842638</v>
      </c>
      <c r="AE31">
        <f t="shared" si="15"/>
        <v>15.685609814225426</v>
      </c>
      <c r="AF31">
        <f t="shared" si="16"/>
        <v>14.914186380738929</v>
      </c>
      <c r="AG31">
        <f t="shared" si="17"/>
        <v>17.742738970189418</v>
      </c>
      <c r="AH31">
        <f t="shared" si="28"/>
        <v>128.5705722477494</v>
      </c>
      <c r="AI31" s="9">
        <f t="shared" si="18"/>
        <v>5146501.3639243757</v>
      </c>
      <c r="AJ31" s="9">
        <f t="shared" si="19"/>
        <v>145.74891862633828</v>
      </c>
      <c r="AK31" s="9">
        <f t="shared" si="20"/>
        <v>369.01489019468193</v>
      </c>
      <c r="AL31" s="9">
        <f t="shared" si="21"/>
        <v>58.668651530657719</v>
      </c>
      <c r="AM31" s="9">
        <f t="shared" si="22"/>
        <v>245.70611576667392</v>
      </c>
    </row>
    <row r="32" spans="1:39" x14ac:dyDescent="0.25">
      <c r="A32" s="6">
        <f>'Texas pop'!A128</f>
        <v>2044</v>
      </c>
      <c r="B32" s="6">
        <f>'Texas pop'!B128</f>
        <v>37421509.785714388</v>
      </c>
      <c r="C32" s="6">
        <f>'Texas pop'!C128</f>
        <v>7812123.7276577894</v>
      </c>
      <c r="D32" s="6">
        <f>'Texas pop'!D128</f>
        <v>7394595.3500577891</v>
      </c>
      <c r="E32" s="6">
        <f>'Texas pop'!E128</f>
        <v>717244.70627134701</v>
      </c>
      <c r="F32" s="47">
        <f t="shared" si="23"/>
        <v>9.9666235147822029</v>
      </c>
      <c r="G32" s="47">
        <f t="shared" si="0"/>
        <v>413.41949007245131</v>
      </c>
      <c r="H32" s="6">
        <f t="shared" si="32"/>
        <v>372077.54106520617</v>
      </c>
      <c r="I32" s="9">
        <f t="shared" si="24"/>
        <v>73640.346669155391</v>
      </c>
      <c r="J32" s="47">
        <f t="shared" si="1"/>
        <v>138091.12329842243</v>
      </c>
      <c r="K32" s="9">
        <f t="shared" si="29"/>
        <v>67283.097655003803</v>
      </c>
      <c r="L32" s="9">
        <f t="shared" si="25"/>
        <v>1074.0740740740739</v>
      </c>
      <c r="M32" s="9">
        <f t="shared" si="33"/>
        <v>1331.2591672100966</v>
      </c>
      <c r="N32" s="13">
        <v>5.8</v>
      </c>
      <c r="O32" s="9">
        <f t="shared" si="30"/>
        <v>1074.0740740740739</v>
      </c>
      <c r="P32" s="41">
        <f t="shared" si="31"/>
        <v>1575.6412069526582</v>
      </c>
      <c r="Q32" s="9">
        <f t="shared" si="27"/>
        <v>1.2394481901611247</v>
      </c>
      <c r="R32">
        <f t="shared" si="2"/>
        <v>10.162218030462112</v>
      </c>
      <c r="S32">
        <f t="shared" si="3"/>
        <v>9.4936510547738138</v>
      </c>
      <c r="T32">
        <f t="shared" si="4"/>
        <v>14.307333279729551</v>
      </c>
      <c r="U32">
        <f t="shared" si="5"/>
        <v>0.9359937659636155</v>
      </c>
      <c r="V32">
        <f t="shared" si="6"/>
        <v>0.9359937659636155</v>
      </c>
      <c r="W32">
        <f t="shared" si="7"/>
        <v>1.8719875319272308</v>
      </c>
      <c r="X32">
        <f t="shared" si="8"/>
        <v>1.8719875319272308</v>
      </c>
      <c r="Y32">
        <f t="shared" si="9"/>
        <v>1.8719875319272308</v>
      </c>
      <c r="Z32">
        <f t="shared" si="10"/>
        <v>1.4708473465142531</v>
      </c>
      <c r="AA32">
        <f t="shared" si="11"/>
        <v>9.3599376596361523</v>
      </c>
      <c r="AB32">
        <f t="shared" si="12"/>
        <v>4.679968829818077</v>
      </c>
      <c r="AC32">
        <f t="shared" si="13"/>
        <v>2.2731277173402096</v>
      </c>
      <c r="AD32">
        <f t="shared" si="14"/>
        <v>24.202124519916346</v>
      </c>
      <c r="AE32">
        <f t="shared" si="15"/>
        <v>16.313034206794441</v>
      </c>
      <c r="AF32">
        <f t="shared" si="16"/>
        <v>15.510753835968485</v>
      </c>
      <c r="AG32">
        <f t="shared" si="17"/>
        <v>18.452448528996996</v>
      </c>
      <c r="AH32">
        <f t="shared" si="28"/>
        <v>133.71339513765938</v>
      </c>
      <c r="AI32" s="9">
        <f t="shared" si="18"/>
        <v>5352361.4184813509</v>
      </c>
      <c r="AJ32" s="9">
        <f t="shared" si="19"/>
        <v>151.5788753713918</v>
      </c>
      <c r="AK32" s="9">
        <f t="shared" si="20"/>
        <v>383.77548580246918</v>
      </c>
      <c r="AL32" s="9">
        <f t="shared" si="21"/>
        <v>61.015397591884032</v>
      </c>
      <c r="AM32" s="9">
        <f t="shared" si="22"/>
        <v>255.53436039734086</v>
      </c>
    </row>
    <row r="33" spans="1:39" x14ac:dyDescent="0.25">
      <c r="A33" s="6">
        <f>'Texas pop'!A129</f>
        <v>2045</v>
      </c>
      <c r="B33" s="6">
        <f>'Texas pop'!B129</f>
        <v>37760442.428571463</v>
      </c>
      <c r="C33" s="6">
        <f>'Texas pop'!C129</f>
        <v>8529368.433929136</v>
      </c>
      <c r="D33" s="6">
        <f>'Texas pop'!D129</f>
        <v>7988535.5159131354</v>
      </c>
      <c r="E33" s="6">
        <f>'Texas pop'!E129</f>
        <v>745934.49452220078</v>
      </c>
      <c r="F33" s="47">
        <f t="shared" si="23"/>
        <v>10.36528845537349</v>
      </c>
      <c r="G33" s="47">
        <f t="shared" si="0"/>
        <v>429.95626967534923</v>
      </c>
      <c r="H33" s="6">
        <f t="shared" si="32"/>
        <v>386960.64270781435</v>
      </c>
      <c r="I33" s="9">
        <f t="shared" si="24"/>
        <v>76585.960535921593</v>
      </c>
      <c r="J33" s="47">
        <f t="shared" si="1"/>
        <v>143614.7682303593</v>
      </c>
      <c r="K33" s="9">
        <f t="shared" si="29"/>
        <v>69974.421561203912</v>
      </c>
      <c r="L33" s="9">
        <f t="shared" si="25"/>
        <v>1059.2592592592591</v>
      </c>
      <c r="M33" s="9">
        <f t="shared" si="33"/>
        <v>1315.9615361145184</v>
      </c>
      <c r="N33" s="13">
        <v>5.72</v>
      </c>
      <c r="O33" s="9">
        <f t="shared" si="30"/>
        <v>1059.2592592592591</v>
      </c>
      <c r="P33" s="41">
        <f t="shared" si="31"/>
        <v>1559.8847948831317</v>
      </c>
      <c r="Q33" s="9">
        <f t="shared" si="27"/>
        <v>1.2423413103179022</v>
      </c>
      <c r="R33">
        <f t="shared" si="2"/>
        <v>10.568706751680594</v>
      </c>
      <c r="S33">
        <f t="shared" si="3"/>
        <v>9.8733970969647658</v>
      </c>
      <c r="T33">
        <f t="shared" si="4"/>
        <v>14.879626610918731</v>
      </c>
      <c r="U33">
        <f t="shared" si="5"/>
        <v>0.97343351660216004</v>
      </c>
      <c r="V33">
        <f t="shared" si="6"/>
        <v>0.97343351660216004</v>
      </c>
      <c r="W33">
        <f t="shared" si="7"/>
        <v>1.9468670332043196</v>
      </c>
      <c r="X33">
        <f t="shared" si="8"/>
        <v>1.9468670332043196</v>
      </c>
      <c r="Y33">
        <f t="shared" si="9"/>
        <v>1.9468670332043196</v>
      </c>
      <c r="Z33">
        <f t="shared" si="10"/>
        <v>1.529681240374823</v>
      </c>
      <c r="AA33">
        <f t="shared" si="11"/>
        <v>9.734335166021598</v>
      </c>
      <c r="AB33">
        <f t="shared" si="12"/>
        <v>4.867167583010799</v>
      </c>
      <c r="AC33">
        <f t="shared" si="13"/>
        <v>2.3640528260338169</v>
      </c>
      <c r="AD33">
        <f t="shared" si="14"/>
        <v>25.170209500712996</v>
      </c>
      <c r="AE33">
        <f t="shared" si="15"/>
        <v>16.965555575066215</v>
      </c>
      <c r="AF33">
        <f t="shared" si="16"/>
        <v>16.131183989407223</v>
      </c>
      <c r="AG33">
        <f t="shared" si="17"/>
        <v>19.190546470156875</v>
      </c>
      <c r="AH33">
        <f t="shared" si="28"/>
        <v>139.06193094316569</v>
      </c>
      <c r="AI33" s="9">
        <f t="shared" si="18"/>
        <v>5566455.8752206042</v>
      </c>
      <c r="AJ33" s="9">
        <f t="shared" si="19"/>
        <v>157.64203038624746</v>
      </c>
      <c r="AK33" s="9">
        <f t="shared" si="20"/>
        <v>399.1265052345679</v>
      </c>
      <c r="AL33" s="9">
        <f t="shared" si="21"/>
        <v>63.456013495559382</v>
      </c>
      <c r="AM33" s="9">
        <f t="shared" si="22"/>
        <v>265.75573481323448</v>
      </c>
    </row>
    <row r="34" spans="1:39" x14ac:dyDescent="0.25">
      <c r="A34" s="6">
        <f>'Texas pop'!A130</f>
        <v>2046</v>
      </c>
      <c r="B34" s="6">
        <f>'Texas pop'!B130</f>
        <v>38099375.071428657</v>
      </c>
      <c r="C34" s="6">
        <f>'Texas pop'!C130</f>
        <v>9275302.9284513369</v>
      </c>
      <c r="D34" s="6">
        <f>'Texas pop'!D130</f>
        <v>8591436.7435527761</v>
      </c>
      <c r="E34" s="6">
        <f>'Texas pop'!E130</f>
        <v>775771.87430308876</v>
      </c>
      <c r="F34" s="47">
        <f t="shared" si="23"/>
        <v>10.779899993588428</v>
      </c>
      <c r="G34" s="47">
        <f t="shared" si="0"/>
        <v>447.15452046236322</v>
      </c>
      <c r="H34" s="6">
        <f t="shared" si="32"/>
        <v>402439.06841612689</v>
      </c>
      <c r="I34" s="9">
        <f t="shared" si="24"/>
        <v>79649.398957358455</v>
      </c>
      <c r="J34" s="47">
        <f t="shared" si="1"/>
        <v>149359.3589595737</v>
      </c>
      <c r="K34" s="9">
        <f t="shared" si="29"/>
        <v>72773.398423652106</v>
      </c>
      <c r="L34" s="9">
        <f t="shared" si="25"/>
        <v>1049.9999999999998</v>
      </c>
      <c r="M34" s="9">
        <f t="shared" si="33"/>
        <v>1303.4515700192383</v>
      </c>
      <c r="N34" s="13">
        <v>5.67</v>
      </c>
      <c r="O34" s="9">
        <f t="shared" si="30"/>
        <v>1049.9999999999998</v>
      </c>
      <c r="P34" s="41">
        <f t="shared" si="31"/>
        <v>1544.2859469343005</v>
      </c>
      <c r="Q34" s="9">
        <f t="shared" si="27"/>
        <v>1.24138244763737</v>
      </c>
      <c r="R34">
        <f t="shared" si="2"/>
        <v>10.991455021747818</v>
      </c>
      <c r="S34">
        <f t="shared" si="3"/>
        <v>10.268332980843354</v>
      </c>
      <c r="T34">
        <f t="shared" si="4"/>
        <v>15.474811675355479</v>
      </c>
      <c r="U34">
        <f t="shared" si="5"/>
        <v>1.0123708572662464</v>
      </c>
      <c r="V34">
        <f t="shared" si="6"/>
        <v>1.0123708572662464</v>
      </c>
      <c r="W34">
        <f t="shared" si="7"/>
        <v>2.0247417145324924</v>
      </c>
      <c r="X34">
        <f t="shared" si="8"/>
        <v>2.0247417145324924</v>
      </c>
      <c r="Y34">
        <f t="shared" si="9"/>
        <v>2.0247417145324924</v>
      </c>
      <c r="Z34">
        <f t="shared" si="10"/>
        <v>1.590868489989816</v>
      </c>
      <c r="AA34">
        <f t="shared" si="11"/>
        <v>10.123708572662462</v>
      </c>
      <c r="AB34">
        <f t="shared" si="12"/>
        <v>5.0618542863312319</v>
      </c>
      <c r="AC34">
        <f t="shared" si="13"/>
        <v>2.4586149390751699</v>
      </c>
      <c r="AD34">
        <f t="shared" si="14"/>
        <v>26.177017880741509</v>
      </c>
      <c r="AE34">
        <f t="shared" si="15"/>
        <v>17.644177798068867</v>
      </c>
      <c r="AF34">
        <f t="shared" si="16"/>
        <v>16.776431348983511</v>
      </c>
      <c r="AG34">
        <f t="shared" si="17"/>
        <v>19.958168328963147</v>
      </c>
      <c r="AH34">
        <f t="shared" si="28"/>
        <v>144.62440818089235</v>
      </c>
      <c r="AI34" s="9">
        <f t="shared" si="18"/>
        <v>5789114.1102294279</v>
      </c>
      <c r="AJ34" s="9">
        <f t="shared" si="19"/>
        <v>163.94771160169734</v>
      </c>
      <c r="AK34" s="9">
        <f t="shared" si="20"/>
        <v>415.09156544395057</v>
      </c>
      <c r="AL34" s="9">
        <f t="shared" si="21"/>
        <v>65.994254035381744</v>
      </c>
      <c r="AM34" s="9">
        <f t="shared" si="22"/>
        <v>276.3859642057638</v>
      </c>
    </row>
    <row r="35" spans="1:39" x14ac:dyDescent="0.25">
      <c r="A35" s="6">
        <f>'Texas pop'!A131</f>
        <v>2047</v>
      </c>
      <c r="B35" s="6">
        <f>'Texas pop'!B131</f>
        <v>38438307.714285731</v>
      </c>
      <c r="C35" s="6">
        <f>'Texas pop'!C131</f>
        <v>10051074.802754426</v>
      </c>
      <c r="D35" s="6">
        <f>'Texas pop'!D131</f>
        <v>9201290.0282720961</v>
      </c>
      <c r="E35" s="6">
        <f>'Texas pop'!E131</f>
        <v>806802.74927521229</v>
      </c>
      <c r="F35" s="47">
        <f t="shared" si="23"/>
        <v>11.211095993331966</v>
      </c>
      <c r="G35" s="47">
        <f t="shared" si="0"/>
        <v>465.04070128085766</v>
      </c>
      <c r="H35" s="6">
        <f t="shared" si="32"/>
        <v>418536.63115277194</v>
      </c>
      <c r="I35" s="9">
        <f t="shared" si="24"/>
        <v>82835.374915652777</v>
      </c>
      <c r="J35" s="47">
        <f t="shared" si="1"/>
        <v>155333.73331795662</v>
      </c>
      <c r="K35" s="9">
        <f t="shared" si="29"/>
        <v>75684.334360598164</v>
      </c>
      <c r="L35" s="9">
        <f t="shared" si="25"/>
        <v>999.99999999999989</v>
      </c>
      <c r="M35" s="9">
        <f t="shared" si="33"/>
        <v>1271.1711948177858</v>
      </c>
      <c r="N35" s="13">
        <v>5.4</v>
      </c>
      <c r="O35" s="9">
        <f t="shared" si="30"/>
        <v>999.99999999999989</v>
      </c>
      <c r="P35" s="41">
        <f t="shared" si="31"/>
        <v>1528.8430874649575</v>
      </c>
      <c r="Q35" s="9">
        <f t="shared" si="27"/>
        <v>1.271171194817786</v>
      </c>
      <c r="R35">
        <f t="shared" si="2"/>
        <v>11.43111322261773</v>
      </c>
      <c r="S35">
        <f t="shared" si="3"/>
        <v>10.679066300077087</v>
      </c>
      <c r="T35">
        <f t="shared" si="4"/>
        <v>16.093804142369699</v>
      </c>
      <c r="U35">
        <f t="shared" si="5"/>
        <v>1.0528656915568961</v>
      </c>
      <c r="V35">
        <f t="shared" si="6"/>
        <v>1.0528656915568961</v>
      </c>
      <c r="W35">
        <f t="shared" si="7"/>
        <v>2.1057313831137923</v>
      </c>
      <c r="X35">
        <f t="shared" si="8"/>
        <v>2.1057313831137923</v>
      </c>
      <c r="Y35">
        <f t="shared" si="9"/>
        <v>2.1057313831137923</v>
      </c>
      <c r="Z35">
        <f t="shared" si="10"/>
        <v>1.6545032295894084</v>
      </c>
      <c r="AA35">
        <f t="shared" si="11"/>
        <v>10.528656915568959</v>
      </c>
      <c r="AB35">
        <f t="shared" si="12"/>
        <v>5.2643284577844804</v>
      </c>
      <c r="AC35">
        <f t="shared" si="13"/>
        <v>2.5569595366381765</v>
      </c>
      <c r="AD35">
        <f t="shared" si="14"/>
        <v>27.224098595971171</v>
      </c>
      <c r="AE35">
        <f t="shared" si="15"/>
        <v>18.349944909991617</v>
      </c>
      <c r="AF35">
        <f t="shared" si="16"/>
        <v>17.447488602942851</v>
      </c>
      <c r="AG35">
        <f t="shared" si="17"/>
        <v>20.756495062121672</v>
      </c>
      <c r="AH35">
        <f t="shared" si="28"/>
        <v>150.40938450812803</v>
      </c>
      <c r="AI35" s="9">
        <f t="shared" si="18"/>
        <v>6020678.6746386047</v>
      </c>
      <c r="AJ35" s="9">
        <f t="shared" si="19"/>
        <v>170.50562006576524</v>
      </c>
      <c r="AK35" s="9">
        <f t="shared" si="20"/>
        <v>431.69522806170858</v>
      </c>
      <c r="AL35" s="9">
        <f t="shared" si="21"/>
        <v>68.634024196797014</v>
      </c>
      <c r="AM35" s="9">
        <f t="shared" si="22"/>
        <v>287.44140277399441</v>
      </c>
    </row>
    <row r="36" spans="1:39" x14ac:dyDescent="0.25">
      <c r="A36" s="6">
        <f>'Texas pop'!A132</f>
        <v>2048</v>
      </c>
      <c r="B36" s="6">
        <f>'Texas pop'!B132</f>
        <v>38777240.357142925</v>
      </c>
      <c r="C36" s="6">
        <f>'Texas pop'!C132</f>
        <v>10857877.552029639</v>
      </c>
      <c r="D36" s="6">
        <f>'Texas pop'!D132</f>
        <v>9815627.2136301361</v>
      </c>
      <c r="E36" s="6">
        <f>'Texas pop'!E132</f>
        <v>839074.85924622079</v>
      </c>
      <c r="F36" s="47">
        <f t="shared" si="23"/>
        <v>11.659539833065244</v>
      </c>
      <c r="G36" s="47">
        <f t="shared" si="0"/>
        <v>483.64232933209195</v>
      </c>
      <c r="H36" s="6">
        <f t="shared" si="32"/>
        <v>435278.0963988828</v>
      </c>
      <c r="I36" s="9">
        <f t="shared" si="24"/>
        <v>86148.78991227888</v>
      </c>
      <c r="J36" s="47">
        <f t="shared" si="1"/>
        <v>161547.08265067489</v>
      </c>
      <c r="K36" s="9">
        <f t="shared" si="29"/>
        <v>78711.707735022108</v>
      </c>
      <c r="L36" s="9">
        <f t="shared" si="25"/>
        <v>1003.7037037037036</v>
      </c>
      <c r="M36" s="9">
        <f t="shared" si="33"/>
        <v>1265.1364336576682</v>
      </c>
      <c r="N36" s="13">
        <v>5.42</v>
      </c>
      <c r="O36" s="9">
        <f t="shared" si="30"/>
        <v>1003.7037037037036</v>
      </c>
      <c r="P36" s="41">
        <f t="shared" si="31"/>
        <v>1513.554656590308</v>
      </c>
      <c r="Q36" s="9">
        <f t="shared" si="27"/>
        <v>1.2604680335334704</v>
      </c>
      <c r="R36">
        <f t="shared" si="2"/>
        <v>11.888357751522438</v>
      </c>
      <c r="S36">
        <f t="shared" si="3"/>
        <v>11.106228952080171</v>
      </c>
      <c r="T36">
        <f t="shared" si="4"/>
        <v>16.737556308064487</v>
      </c>
      <c r="U36">
        <f t="shared" si="5"/>
        <v>1.094980319219172</v>
      </c>
      <c r="V36">
        <f t="shared" si="6"/>
        <v>1.094980319219172</v>
      </c>
      <c r="W36">
        <f t="shared" si="7"/>
        <v>2.1899606384383437</v>
      </c>
      <c r="X36">
        <f t="shared" si="8"/>
        <v>2.1899606384383437</v>
      </c>
      <c r="Y36">
        <f t="shared" si="9"/>
        <v>2.1899606384383437</v>
      </c>
      <c r="Z36">
        <f t="shared" si="10"/>
        <v>1.7206833587729848</v>
      </c>
      <c r="AA36">
        <f t="shared" si="11"/>
        <v>10.949803192191718</v>
      </c>
      <c r="AB36">
        <f t="shared" si="12"/>
        <v>5.4749015960958598</v>
      </c>
      <c r="AC36">
        <f t="shared" si="13"/>
        <v>2.6592379181037038</v>
      </c>
      <c r="AD36">
        <f t="shared" si="14"/>
        <v>28.313062539810019</v>
      </c>
      <c r="AE36">
        <f t="shared" si="15"/>
        <v>19.083942706391284</v>
      </c>
      <c r="AF36">
        <f t="shared" si="16"/>
        <v>18.145388147060565</v>
      </c>
      <c r="AG36">
        <f t="shared" si="17"/>
        <v>21.586754864606537</v>
      </c>
      <c r="AH36">
        <f t="shared" si="28"/>
        <v>156.42575988845314</v>
      </c>
      <c r="AI36" s="9">
        <f t="shared" si="18"/>
        <v>6261505.8216241486</v>
      </c>
      <c r="AJ36" s="9">
        <f t="shared" si="19"/>
        <v>177.32584486839585</v>
      </c>
      <c r="AK36" s="9">
        <f t="shared" si="20"/>
        <v>448.96303718417698</v>
      </c>
      <c r="AL36" s="9">
        <f t="shared" si="21"/>
        <v>71.379385164668903</v>
      </c>
      <c r="AM36" s="9">
        <f t="shared" si="22"/>
        <v>298.93905888495414</v>
      </c>
    </row>
    <row r="37" spans="1:39" x14ac:dyDescent="0.25">
      <c r="A37" s="6">
        <f>'Texas pop'!A133</f>
        <v>2049</v>
      </c>
      <c r="B37" s="6">
        <f>'Texas pop'!B133</f>
        <v>39116173.000000119</v>
      </c>
      <c r="C37" s="6">
        <f>'Texas pop'!C133</f>
        <v>11696952.41127586</v>
      </c>
      <c r="D37" s="6">
        <f>'Texas pop'!D133</f>
        <v>10431442.018732436</v>
      </c>
      <c r="E37" s="6">
        <f>'Texas pop'!E133</f>
        <v>872637.85361606954</v>
      </c>
      <c r="F37" s="47">
        <f t="shared" si="23"/>
        <v>12.125921426387851</v>
      </c>
      <c r="G37" s="47">
        <f t="shared" si="0"/>
        <v>502.98802250537562</v>
      </c>
      <c r="H37" s="6">
        <f t="shared" si="32"/>
        <v>452689.22025483812</v>
      </c>
      <c r="I37" s="9">
        <f t="shared" si="24"/>
        <v>89594.74150877005</v>
      </c>
      <c r="J37" s="47">
        <f t="shared" si="1"/>
        <v>168008.96595670187</v>
      </c>
      <c r="K37" s="9">
        <f t="shared" si="29"/>
        <v>81860.176044422988</v>
      </c>
      <c r="L37" s="9">
        <f t="shared" si="25"/>
        <v>983.33333333333314</v>
      </c>
      <c r="M37" s="9">
        <f t="shared" si="33"/>
        <v>1247.4502875106355</v>
      </c>
      <c r="N37" s="13">
        <v>5.31</v>
      </c>
      <c r="O37" s="9">
        <f t="shared" si="30"/>
        <v>983.33333333333314</v>
      </c>
      <c r="P37" s="41">
        <f t="shared" si="31"/>
        <v>1498.419110024405</v>
      </c>
      <c r="Q37" s="9">
        <f t="shared" si="27"/>
        <v>1.2685935127226804</v>
      </c>
      <c r="R37">
        <f t="shared" si="2"/>
        <v>12.363892061583336</v>
      </c>
      <c r="S37">
        <f t="shared" si="3"/>
        <v>11.550478110163377</v>
      </c>
      <c r="T37">
        <f t="shared" si="4"/>
        <v>17.407058560387064</v>
      </c>
      <c r="U37">
        <f t="shared" si="5"/>
        <v>1.1387795319879388</v>
      </c>
      <c r="V37">
        <f t="shared" si="6"/>
        <v>1.1387795319879388</v>
      </c>
      <c r="W37">
        <f t="shared" si="7"/>
        <v>2.2775590639758772</v>
      </c>
      <c r="X37">
        <f t="shared" si="8"/>
        <v>2.2775590639758772</v>
      </c>
      <c r="Y37">
        <f t="shared" si="9"/>
        <v>2.2775590639758772</v>
      </c>
      <c r="Z37">
        <f t="shared" si="10"/>
        <v>1.789510693123904</v>
      </c>
      <c r="AA37">
        <f t="shared" si="11"/>
        <v>11.387795319879384</v>
      </c>
      <c r="AB37">
        <f t="shared" si="12"/>
        <v>5.6938976599396929</v>
      </c>
      <c r="AC37">
        <f t="shared" si="13"/>
        <v>2.7656074348278517</v>
      </c>
      <c r="AD37">
        <f t="shared" si="14"/>
        <v>29.445585041402417</v>
      </c>
      <c r="AE37">
        <f t="shared" si="15"/>
        <v>19.847300414646934</v>
      </c>
      <c r="AF37">
        <f t="shared" si="16"/>
        <v>18.871203672942986</v>
      </c>
      <c r="AG37">
        <f t="shared" si="17"/>
        <v>22.450225059190799</v>
      </c>
      <c r="AH37">
        <f t="shared" si="28"/>
        <v>162.68279028399127</v>
      </c>
      <c r="AI37" s="9">
        <f t="shared" si="18"/>
        <v>6511966.0544891143</v>
      </c>
      <c r="AJ37" s="9">
        <f t="shared" si="19"/>
        <v>184.41887866313166</v>
      </c>
      <c r="AK37" s="9">
        <f t="shared" si="20"/>
        <v>466.92155867154401</v>
      </c>
      <c r="AL37" s="9">
        <f t="shared" si="21"/>
        <v>74.234560571255642</v>
      </c>
      <c r="AM37" s="9">
        <f t="shared" si="22"/>
        <v>310.89662124035226</v>
      </c>
    </row>
    <row r="38" spans="1:39" x14ac:dyDescent="0.25">
      <c r="A38" s="6">
        <f>'Texas pop'!A134</f>
        <v>2050</v>
      </c>
      <c r="B38" s="6">
        <f>'Texas pop'!B134</f>
        <v>39455105.642857194</v>
      </c>
      <c r="C38" s="6">
        <f>'Texas pop'!C134</f>
        <v>12569590.26489193</v>
      </c>
      <c r="D38" s="6">
        <f>'Texas pop'!D134</f>
        <v>11045098.209541559</v>
      </c>
      <c r="E38" s="6">
        <f>'Texas pop'!E134</f>
        <v>907543.3677607124</v>
      </c>
      <c r="F38" s="47">
        <f t="shared" si="23"/>
        <v>12.610958283443367</v>
      </c>
      <c r="G38" s="47">
        <f t="shared" si="0"/>
        <v>523.10754340559072</v>
      </c>
      <c r="H38" s="6">
        <f t="shared" si="32"/>
        <v>470796.78906503163</v>
      </c>
      <c r="I38" s="9">
        <f t="shared" si="24"/>
        <v>93178.531169120848</v>
      </c>
      <c r="J38" s="47">
        <f t="shared" si="1"/>
        <v>174729.32459496995</v>
      </c>
      <c r="K38" s="9">
        <f t="shared" si="29"/>
        <v>85134.583086199898</v>
      </c>
      <c r="L38" s="9">
        <f t="shared" si="25"/>
        <v>999.99999999999989</v>
      </c>
      <c r="M38" s="9">
        <f t="shared" si="33"/>
        <v>1247.8875637946023</v>
      </c>
      <c r="N38" s="13">
        <v>5.4</v>
      </c>
      <c r="O38" s="9">
        <f>$H$50/2.7*N38</f>
        <v>999.99999999999989</v>
      </c>
      <c r="P38" s="41">
        <f t="shared" si="31"/>
        <v>1483.4349189241609</v>
      </c>
      <c r="Q38" s="9">
        <f t="shared" si="27"/>
        <v>1.2478875637946025</v>
      </c>
      <c r="R38">
        <f t="shared" si="2"/>
        <v>12.85844774404667</v>
      </c>
      <c r="S38">
        <f t="shared" si="3"/>
        <v>12.012497234569915</v>
      </c>
      <c r="T38">
        <f t="shared" si="4"/>
        <v>18.10334090280255</v>
      </c>
      <c r="U38">
        <f t="shared" si="5"/>
        <v>1.1843307132674565</v>
      </c>
      <c r="V38">
        <f t="shared" si="6"/>
        <v>1.1843307132674565</v>
      </c>
      <c r="W38">
        <f t="shared" si="7"/>
        <v>2.3686614265349126</v>
      </c>
      <c r="X38">
        <f t="shared" si="8"/>
        <v>2.3686614265349126</v>
      </c>
      <c r="Y38">
        <f t="shared" si="9"/>
        <v>2.3686614265349126</v>
      </c>
      <c r="Z38">
        <f t="shared" si="10"/>
        <v>1.8610911208488603</v>
      </c>
      <c r="AA38">
        <f t="shared" si="11"/>
        <v>11.843307132674562</v>
      </c>
      <c r="AB38">
        <f t="shared" si="12"/>
        <v>5.921653566337282</v>
      </c>
      <c r="AC38">
        <f t="shared" si="13"/>
        <v>2.8762317322209658</v>
      </c>
      <c r="AD38">
        <f t="shared" si="14"/>
        <v>30.623408443058516</v>
      </c>
      <c r="AE38">
        <f t="shared" si="15"/>
        <v>20.641192431232813</v>
      </c>
      <c r="AF38">
        <f t="shared" si="16"/>
        <v>19.626051819860709</v>
      </c>
      <c r="AG38">
        <f t="shared" si="17"/>
        <v>23.348234061558433</v>
      </c>
      <c r="AH38">
        <f t="shared" si="28"/>
        <v>169.19010189535095</v>
      </c>
      <c r="AI38" s="9">
        <f t="shared" si="18"/>
        <v>6772444.6966686798</v>
      </c>
      <c r="AJ38" s="9">
        <f t="shared" si="19"/>
        <v>191.79563380965692</v>
      </c>
      <c r="AK38" s="9">
        <f t="shared" si="20"/>
        <v>485.59842101840576</v>
      </c>
      <c r="AL38" s="9">
        <f t="shared" si="21"/>
        <v>77.203942994105873</v>
      </c>
      <c r="AM38" s="9">
        <f t="shared" si="22"/>
        <v>323.33248608996644</v>
      </c>
    </row>
    <row r="39" spans="1:39" x14ac:dyDescent="0.25">
      <c r="A39">
        <f>'Texas pop'!A135</f>
        <v>0</v>
      </c>
      <c r="B39">
        <f>'Texas pop'!B135</f>
        <v>0</v>
      </c>
      <c r="C39">
        <f>'Texas pop'!C135</f>
        <v>11036698.209541559</v>
      </c>
      <c r="D39">
        <f>'Texas pop'!D135</f>
        <v>12577990.26489193</v>
      </c>
      <c r="E39" s="91">
        <f>'Texas pop'!E135</f>
        <v>12569590.26489193</v>
      </c>
      <c r="F39" s="47">
        <f t="shared" si="23"/>
        <v>174.66336497136163</v>
      </c>
      <c r="G39" s="47">
        <f t="shared" si="0"/>
        <v>7245.1055438885751</v>
      </c>
      <c r="H39" s="91"/>
      <c r="I39" s="91"/>
      <c r="J39">
        <f>$E39*I$2</f>
        <v>178091125.25827596</v>
      </c>
      <c r="K39">
        <f>$E39*J$2</f>
        <v>166374603.85970515</v>
      </c>
      <c r="M39">
        <f>$E39*K$2</f>
        <v>250733557.92941481</v>
      </c>
      <c r="N39">
        <f>$E39*L$2</f>
        <v>16403129.957999101</v>
      </c>
      <c r="O39">
        <f>$E39*M$2</f>
        <v>16403129.957999101</v>
      </c>
      <c r="Q39">
        <f>$E39*N$2</f>
        <v>32806259.915998194</v>
      </c>
      <c r="R39">
        <f t="shared" ref="R39:AA39" si="34">$E39*P$2</f>
        <v>32806259.915998194</v>
      </c>
      <c r="S39">
        <f t="shared" si="34"/>
        <v>32806259.915998194</v>
      </c>
      <c r="T39">
        <f t="shared" si="34"/>
        <v>25776347.076855734</v>
      </c>
      <c r="U39">
        <f t="shared" si="34"/>
        <v>164031299.57999095</v>
      </c>
      <c r="V39">
        <f t="shared" si="34"/>
        <v>82015649.789995492</v>
      </c>
      <c r="W39">
        <f t="shared" si="34"/>
        <v>39836172.755140677</v>
      </c>
      <c r="X39">
        <f t="shared" si="34"/>
        <v>424138074.62826246</v>
      </c>
      <c r="Y39">
        <f t="shared" si="34"/>
        <v>285883122.1251272</v>
      </c>
      <c r="Z39">
        <f t="shared" si="34"/>
        <v>271823296.44684225</v>
      </c>
      <c r="AA39">
        <f t="shared" si="34"/>
        <v>323375990.60055375</v>
      </c>
    </row>
    <row r="40" spans="1:39" x14ac:dyDescent="0.25">
      <c r="A40">
        <f>'Texas pop'!A136</f>
        <v>0</v>
      </c>
      <c r="B40">
        <f>'Texas pop'!B136</f>
        <v>13427775.03937426</v>
      </c>
      <c r="C40">
        <f>'Texas pop'!C136</f>
        <v>0</v>
      </c>
      <c r="D40">
        <f>'Texas pop'!D136</f>
        <v>0</v>
      </c>
      <c r="E40">
        <f>'Texas pop'!E136</f>
        <v>0</v>
      </c>
      <c r="K40" s="38" t="s">
        <v>212</v>
      </c>
    </row>
    <row r="41" spans="1:39" x14ac:dyDescent="0.25">
      <c r="B41" s="1">
        <v>2029</v>
      </c>
      <c r="C41" s="1" t="s">
        <v>186</v>
      </c>
      <c r="D41" s="1">
        <f>576.3995*0.9</f>
        <v>518.75954999999999</v>
      </c>
      <c r="E41">
        <f>E17*D41/1000</f>
        <v>115818.28522067577</v>
      </c>
      <c r="K41" s="38" t="s">
        <v>214</v>
      </c>
    </row>
    <row r="42" spans="1:39" x14ac:dyDescent="0.25">
      <c r="C42" s="108" t="s">
        <v>187</v>
      </c>
      <c r="D42" s="108">
        <v>4.8</v>
      </c>
      <c r="E42" s="11">
        <f>E41/7.2</f>
        <v>16085.872947316078</v>
      </c>
      <c r="F42" t="s">
        <v>188</v>
      </c>
    </row>
    <row r="43" spans="1:39" x14ac:dyDescent="0.25">
      <c r="C43" t="s">
        <v>190</v>
      </c>
      <c r="D43">
        <v>0.95</v>
      </c>
      <c r="E43" s="11">
        <f>E42*D43</f>
        <v>15281.579299950274</v>
      </c>
      <c r="F43" t="s">
        <v>189</v>
      </c>
      <c r="I43" s="100" t="s">
        <v>218</v>
      </c>
    </row>
    <row r="44" spans="1:39" x14ac:dyDescent="0.25">
      <c r="B44" t="s">
        <v>191</v>
      </c>
      <c r="D44">
        <v>8.09</v>
      </c>
      <c r="E44" s="46">
        <f>E17*D44/1000</f>
        <v>1806.1738380243157</v>
      </c>
      <c r="F44" t="s">
        <v>192</v>
      </c>
      <c r="I44" s="100">
        <v>2021</v>
      </c>
      <c r="J44" s="99">
        <v>710</v>
      </c>
      <c r="K44" s="38" t="s">
        <v>219</v>
      </c>
    </row>
    <row r="45" spans="1:39" x14ac:dyDescent="0.25">
      <c r="B45" t="s">
        <v>193</v>
      </c>
      <c r="D45">
        <v>192.53</v>
      </c>
      <c r="E45" s="46">
        <f>D45*E18/1000</f>
        <v>49861.739540221621</v>
      </c>
      <c r="F45" t="s">
        <v>194</v>
      </c>
      <c r="J45" s="102">
        <f>J51*J44</f>
        <v>1124.0177842108972</v>
      </c>
      <c r="L45" s="104">
        <v>45717</v>
      </c>
      <c r="M45" s="101"/>
    </row>
    <row r="46" spans="1:39" x14ac:dyDescent="0.25">
      <c r="A46" s="106" t="s">
        <v>225</v>
      </c>
      <c r="B46" s="1" t="s">
        <v>224</v>
      </c>
      <c r="C46" s="1">
        <v>72.174251876015134</v>
      </c>
      <c r="I46" t="s">
        <v>220</v>
      </c>
      <c r="L46" s="98">
        <f>L45-J44+J45</f>
        <v>46131.017784210897</v>
      </c>
      <c r="M46" s="105">
        <f>L46/L45-1</f>
        <v>9.0561013235972432E-3</v>
      </c>
      <c r="N46" s="100" t="s">
        <v>222</v>
      </c>
    </row>
    <row r="47" spans="1:39" x14ac:dyDescent="0.25">
      <c r="D47" t="s">
        <v>198</v>
      </c>
      <c r="N47" s="38" t="s">
        <v>221</v>
      </c>
    </row>
    <row r="48" spans="1:39" x14ac:dyDescent="0.25">
      <c r="D48" t="s">
        <v>195</v>
      </c>
      <c r="F48" t="s">
        <v>196</v>
      </c>
      <c r="H48" t="s">
        <v>197</v>
      </c>
      <c r="J48" t="s">
        <v>200</v>
      </c>
    </row>
    <row r="49" spans="2:11" x14ac:dyDescent="0.25">
      <c r="D49" s="95">
        <f>E43</f>
        <v>15281.579299950274</v>
      </c>
      <c r="E49" s="95"/>
      <c r="F49" s="95">
        <f>E45</f>
        <v>49861.739540221621</v>
      </c>
      <c r="G49" s="95"/>
      <c r="H49" s="96">
        <f>F49-D49</f>
        <v>34580.160240271347</v>
      </c>
    </row>
    <row r="50" spans="2:11" x14ac:dyDescent="0.25">
      <c r="B50" s="115" t="s">
        <v>199</v>
      </c>
      <c r="C50" s="115"/>
      <c r="D50" s="107">
        <v>1963.4989859999996</v>
      </c>
      <c r="E50" s="91"/>
      <c r="F50" s="91"/>
      <c r="G50" s="91"/>
      <c r="H50" s="6">
        <v>500</v>
      </c>
      <c r="J50" s="19">
        <f>D49/$F$49*D50+H49/$F$49*H50</f>
        <v>948.53180045824774</v>
      </c>
    </row>
    <row r="51" spans="2:11" x14ac:dyDescent="0.25">
      <c r="J51" s="93">
        <f>Q13</f>
        <v>1.5831236397336581</v>
      </c>
    </row>
    <row r="52" spans="2:11" x14ac:dyDescent="0.25">
      <c r="J52" s="92">
        <v>2.0632836303879314</v>
      </c>
      <c r="K52" t="s">
        <v>201</v>
      </c>
    </row>
    <row r="53" spans="2:11" x14ac:dyDescent="0.25">
      <c r="J53" s="92">
        <v>1.8506269043103447</v>
      </c>
      <c r="K53" t="s">
        <v>202</v>
      </c>
    </row>
    <row r="54" spans="2:11" x14ac:dyDescent="0.25">
      <c r="J54" s="92">
        <v>1.6379701782327589</v>
      </c>
      <c r="K54" t="s">
        <v>203</v>
      </c>
    </row>
    <row r="55" spans="2:11" x14ac:dyDescent="0.25">
      <c r="J55" s="94">
        <v>1.4253134521551725</v>
      </c>
      <c r="K55" t="s">
        <v>204</v>
      </c>
    </row>
    <row r="56" spans="2:11" x14ac:dyDescent="0.25">
      <c r="J56" s="94">
        <v>1.2126567260775862</v>
      </c>
      <c r="K56" t="s">
        <v>204</v>
      </c>
    </row>
    <row r="57" spans="2:11" x14ac:dyDescent="0.25">
      <c r="J57">
        <v>1</v>
      </c>
      <c r="K57" t="s">
        <v>205</v>
      </c>
    </row>
  </sheetData>
  <mergeCells count="1">
    <mergeCell ref="B50:C50"/>
  </mergeCells>
  <hyperlinks>
    <hyperlink ref="K40" r:id="rId1" xr:uid="{C2209238-6401-4AF1-B03C-2300AF710F86}"/>
    <hyperlink ref="K41" r:id="rId2" xr:uid="{1BF12C28-8A84-4800-B0EA-79C58090C249}"/>
    <hyperlink ref="K44" r:id="rId3" xr:uid="{4EE5746F-EB64-4186-A145-2D3D87C1F949}"/>
    <hyperlink ref="N47" r:id="rId4" location=":~:text=As%20auto%20prices%20soar%20across,costs%20almost%20%2430%2C000%20(%2429%2C969%20)." xr:uid="{12C5C921-0B8C-4447-873D-049ABEEF4B42}"/>
  </hyperlink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F0C4A-06A2-4563-8104-DC94C02D06B1}">
  <dimension ref="A1:AP57"/>
  <sheetViews>
    <sheetView zoomScale="40" zoomScaleNormal="40" workbookViewId="0">
      <selection activeCell="J52" sqref="J52"/>
    </sheetView>
  </sheetViews>
  <sheetFormatPr defaultColWidth="11.42578125" defaultRowHeight="15" x14ac:dyDescent="0.25"/>
  <cols>
    <col min="5" max="5" width="24.85546875" customWidth="1"/>
    <col min="6" max="6" width="12.5703125" bestFit="1" customWidth="1"/>
    <col min="8" max="9" width="13.28515625" customWidth="1"/>
    <col min="10" max="10" width="15.140625" customWidth="1"/>
    <col min="13" max="13" width="13.85546875" customWidth="1"/>
    <col min="24" max="24" width="16.28515625" customWidth="1"/>
    <col min="25" max="25" width="11.5703125" customWidth="1"/>
    <col min="26" max="26" width="14.42578125" customWidth="1"/>
  </cols>
  <sheetData>
    <row r="1" spans="1:42" ht="50.45" customHeight="1" x14ac:dyDescent="0.25">
      <c r="W1" s="86" t="s">
        <v>175</v>
      </c>
      <c r="X1" s="86" t="s">
        <v>184</v>
      </c>
      <c r="Y1" s="86" t="s">
        <v>176</v>
      </c>
      <c r="Z1" s="86" t="s">
        <v>185</v>
      </c>
      <c r="AA1" s="86" t="s">
        <v>177</v>
      </c>
      <c r="AC1" s="86" t="s">
        <v>180</v>
      </c>
    </row>
    <row r="2" spans="1:42" x14ac:dyDescent="0.25">
      <c r="E2" t="s">
        <v>171</v>
      </c>
      <c r="I2">
        <v>14.168411340797761</v>
      </c>
      <c r="J2">
        <v>13.236279015745275</v>
      </c>
      <c r="K2">
        <v>19.947631756123162</v>
      </c>
      <c r="L2">
        <v>1.304985255073478</v>
      </c>
      <c r="M2">
        <v>1.304985255073478</v>
      </c>
      <c r="N2">
        <v>2.6099705101469555</v>
      </c>
      <c r="P2">
        <v>2.6099705101469555</v>
      </c>
      <c r="Q2">
        <v>2.6099705101469555</v>
      </c>
      <c r="R2">
        <v>2.0506911151154656</v>
      </c>
      <c r="S2">
        <v>13.049852550734776</v>
      </c>
      <c r="T2">
        <v>6.5249262753673891</v>
      </c>
      <c r="U2">
        <v>3.1692499051784466</v>
      </c>
      <c r="V2">
        <v>33.743190166899929</v>
      </c>
      <c r="W2">
        <v>22.744028731280615</v>
      </c>
      <c r="X2">
        <v>21.625469941217634</v>
      </c>
      <c r="Y2">
        <v>25.72685217144857</v>
      </c>
      <c r="AA2">
        <v>7.4623923629998226</v>
      </c>
      <c r="AB2" s="9">
        <f>28.32*7.46239236299982</f>
        <v>211.33495172015489</v>
      </c>
      <c r="AC2">
        <v>22.472902571142505</v>
      </c>
      <c r="AD2">
        <f>0.00378541*22.4729025711425</f>
        <v>8.506915012182853E-2</v>
      </c>
      <c r="AE2">
        <v>356.27221527469521</v>
      </c>
      <c r="AG2" s="87">
        <v>2636.4</v>
      </c>
      <c r="AH2" s="6">
        <v>50000</v>
      </c>
    </row>
    <row r="3" spans="1:42" x14ac:dyDescent="0.25">
      <c r="A3" s="84" t="str">
        <f>'Texas pop'!A99</f>
        <v>Year</v>
      </c>
      <c r="B3" s="6" t="str">
        <f>'Texas pop'!B99</f>
        <v>Population</v>
      </c>
      <c r="C3" s="6" t="str">
        <f>'Texas pop'!C99</f>
        <v>EVs</v>
      </c>
      <c r="D3" s="6" t="str">
        <f>'Texas pop'!D99</f>
        <v>EVs w retirement</v>
      </c>
      <c r="E3" s="84" t="str">
        <f>'Texas pop'!E99</f>
        <v xml:space="preserve"> Sales Difference/New cars</v>
      </c>
      <c r="F3" t="s">
        <v>226</v>
      </c>
      <c r="G3" t="s">
        <v>223</v>
      </c>
      <c r="H3" t="s">
        <v>206</v>
      </c>
      <c r="I3" t="s">
        <v>210</v>
      </c>
      <c r="J3" t="s">
        <v>207</v>
      </c>
      <c r="K3" t="s">
        <v>208</v>
      </c>
      <c r="L3" t="s">
        <v>215</v>
      </c>
      <c r="M3" t="s">
        <v>209</v>
      </c>
      <c r="N3" t="s">
        <v>213</v>
      </c>
      <c r="O3" t="s">
        <v>216</v>
      </c>
      <c r="P3" s="84" t="s">
        <v>211</v>
      </c>
      <c r="Q3" s="84" t="s">
        <v>217</v>
      </c>
      <c r="R3" s="6" t="s">
        <v>155</v>
      </c>
      <c r="S3" s="6" t="s">
        <v>156</v>
      </c>
      <c r="T3" s="6" t="s">
        <v>157</v>
      </c>
      <c r="U3" s="6" t="s">
        <v>158</v>
      </c>
      <c r="V3" s="6" t="s">
        <v>159</v>
      </c>
      <c r="W3" s="84" t="s">
        <v>160</v>
      </c>
      <c r="X3" s="84" t="s">
        <v>161</v>
      </c>
      <c r="Y3" s="84" t="s">
        <v>162</v>
      </c>
      <c r="Z3" s="6" t="s">
        <v>163</v>
      </c>
      <c r="AA3" s="6" t="s">
        <v>164</v>
      </c>
      <c r="AB3" s="6" t="s">
        <v>165</v>
      </c>
      <c r="AC3" s="6" t="s">
        <v>166</v>
      </c>
      <c r="AD3" s="6" t="s">
        <v>167</v>
      </c>
      <c r="AE3" s="6" t="s">
        <v>168</v>
      </c>
      <c r="AF3" s="6" t="s">
        <v>169</v>
      </c>
      <c r="AG3" s="6" t="s">
        <v>170</v>
      </c>
      <c r="AH3" s="6" t="s">
        <v>50</v>
      </c>
      <c r="AI3" s="85" t="s">
        <v>172</v>
      </c>
      <c r="AJ3" s="85" t="s">
        <v>172</v>
      </c>
      <c r="AK3" s="85" t="s">
        <v>173</v>
      </c>
      <c r="AL3" s="85"/>
      <c r="AM3" s="85" t="s">
        <v>174</v>
      </c>
      <c r="AO3" s="6">
        <f>AP3*AG2/AH2</f>
        <v>393.47702451625452</v>
      </c>
      <c r="AP3" s="6">
        <f>7.46239236299982*1000</f>
        <v>7462.3923629998199</v>
      </c>
    </row>
    <row r="4" spans="1:42" x14ac:dyDescent="0.25">
      <c r="A4" s="6">
        <f>'Texas pop'!A100</f>
        <v>2016</v>
      </c>
      <c r="B4" s="6">
        <f>'Texas pop'!B100</f>
        <v>27914064</v>
      </c>
      <c r="C4" s="6">
        <f>'Texas pop'!C100</f>
        <v>11900</v>
      </c>
      <c r="D4" s="6">
        <f>'Texas pop'!D100</f>
        <v>11900</v>
      </c>
      <c r="E4" s="6">
        <f>'Texas pop'!E100</f>
        <v>4200</v>
      </c>
      <c r="F4" s="47">
        <f>E4*$C$46*$D$45/1000000000</f>
        <v>5.8361976597494619E-2</v>
      </c>
      <c r="G4" s="47">
        <f t="shared" ref="G4:G39" si="0">E4/1000*$D$41/0.9/1000</f>
        <v>2.4208778999999998</v>
      </c>
      <c r="H4" s="6">
        <v>0</v>
      </c>
      <c r="I4" s="9">
        <f>H4/$D$42*$D$43</f>
        <v>0</v>
      </c>
      <c r="J4" s="47">
        <f t="shared" ref="J4:J38" si="1">$D$45*E4/1000</f>
        <v>808.62599999999998</v>
      </c>
      <c r="K4" s="9"/>
      <c r="L4" s="9">
        <f>O4</f>
        <v>453.7037037037037</v>
      </c>
      <c r="M4" s="9">
        <f>O4</f>
        <v>453.7037037037037</v>
      </c>
      <c r="N4" s="9">
        <v>2.4500000000000002</v>
      </c>
      <c r="O4" s="9">
        <f>$H$50/2.7*N4</f>
        <v>453.7037037037037</v>
      </c>
      <c r="P4" s="6">
        <f>P5/D43</f>
        <v>2478.5484764542939</v>
      </c>
      <c r="Q4" s="9">
        <f>M4/L4</f>
        <v>1</v>
      </c>
      <c r="R4">
        <f t="shared" ref="R4:R38" si="2">$E4*I$2/1000000</f>
        <v>5.9507327631350596E-2</v>
      </c>
      <c r="S4">
        <f t="shared" ref="S4:S38" si="3">$E4*J$2/1000000</f>
        <v>5.5592371866130155E-2</v>
      </c>
      <c r="T4">
        <f t="shared" ref="T4:T38" si="4">$E4*K$2/1000000</f>
        <v>8.3780053375717284E-2</v>
      </c>
      <c r="U4">
        <f t="shared" ref="U4:U38" si="5">$E4*L$2/1000000</f>
        <v>5.4809380713086078E-3</v>
      </c>
      <c r="V4">
        <f t="shared" ref="V4:V38" si="6">$E4*M$2/1000000</f>
        <v>5.4809380713086078E-3</v>
      </c>
      <c r="W4">
        <f t="shared" ref="W4:W38" si="7">$E4*N$2/1000000</f>
        <v>1.0961876142617214E-2</v>
      </c>
      <c r="X4">
        <f t="shared" ref="X4:X38" si="8">$E4*P$2/1000000</f>
        <v>1.0961876142617214E-2</v>
      </c>
      <c r="Y4">
        <f t="shared" ref="Y4:Y38" si="9">$E4*Q$2/1000000</f>
        <v>1.0961876142617214E-2</v>
      </c>
      <c r="Z4">
        <f t="shared" ref="Z4:Z38" si="10">$E4*R$2/1000000</f>
        <v>8.6129026834849548E-3</v>
      </c>
      <c r="AA4">
        <f t="shared" ref="AA4:AA38" si="11">$E4*S$2/1000000</f>
        <v>5.480938071308606E-2</v>
      </c>
      <c r="AB4">
        <f t="shared" ref="AB4:AB38" si="12">$E4*T$2/1000000</f>
        <v>2.7404690356543034E-2</v>
      </c>
      <c r="AC4">
        <f t="shared" ref="AC4:AC38" si="13">$E4*U$2/1000000</f>
        <v>1.3310849601749476E-2</v>
      </c>
      <c r="AD4">
        <f t="shared" ref="AD4:AD38" si="14">$E4*V$2/1000000</f>
        <v>0.14172139870097972</v>
      </c>
      <c r="AE4">
        <f t="shared" ref="AE4:AE38" si="15">$E4*W$2/1000000</f>
        <v>9.5524920671378577E-2</v>
      </c>
      <c r="AF4">
        <f t="shared" ref="AF4:AF38" si="16">$E4*X$2/1000000</f>
        <v>9.0826973753114076E-2</v>
      </c>
      <c r="AG4">
        <f t="shared" ref="AG4:AG38" si="17">$E4*Y$2/1000000</f>
        <v>0.108052779120084</v>
      </c>
      <c r="AH4">
        <f>SUM(R4:AG4)</f>
        <v>0.78299115304408684</v>
      </c>
      <c r="AI4" s="9">
        <f t="shared" ref="AI4:AI38" si="18">$E4*AA$2</f>
        <v>31342.047924599254</v>
      </c>
      <c r="AJ4" s="9">
        <f t="shared" ref="AJ4:AJ38" si="19">$E4*AB$2/1000000</f>
        <v>0.88760679722465052</v>
      </c>
      <c r="AK4" s="9">
        <f t="shared" ref="AK4:AK38" si="20">$E4*AC$2/(42*1000)</f>
        <v>2.2472902571142503</v>
      </c>
      <c r="AL4" s="9">
        <f t="shared" ref="AL4:AL38" si="21">$E4*AD$2/1000</f>
        <v>0.3572904305116798</v>
      </c>
      <c r="AM4" s="9">
        <f t="shared" ref="AM4:AM38" si="22">$E4*AE$2/1000000</f>
        <v>1.49634330415372</v>
      </c>
      <c r="AO4" s="84">
        <f>AO3*AP5</f>
        <v>178.4780305043769</v>
      </c>
      <c r="AP4" s="6" t="s">
        <v>179</v>
      </c>
    </row>
    <row r="5" spans="1:42" x14ac:dyDescent="0.25">
      <c r="A5" s="6">
        <f>'Texas pop'!A101</f>
        <v>2017</v>
      </c>
      <c r="B5" s="6">
        <f>'Texas pop'!B101</f>
        <v>28291024</v>
      </c>
      <c r="C5" s="6">
        <f>'Texas pop'!C101</f>
        <v>16100</v>
      </c>
      <c r="D5" s="6">
        <f>'Texas pop'!D101</f>
        <v>16100</v>
      </c>
      <c r="E5" s="6">
        <f>'Texas pop'!E101</f>
        <v>8400</v>
      </c>
      <c r="F5" s="47">
        <f t="shared" ref="F5:F39" si="23">E5*$C$46*$D$45/1000000000</f>
        <v>0.11672395319498924</v>
      </c>
      <c r="G5" s="47">
        <f t="shared" si="0"/>
        <v>4.8417557999999996</v>
      </c>
      <c r="H5" s="6">
        <v>0</v>
      </c>
      <c r="I5" s="9">
        <f t="shared" ref="I5:I38" si="24">H5/$D$42*$D$43</f>
        <v>0</v>
      </c>
      <c r="J5" s="47">
        <f t="shared" si="1"/>
        <v>1617.252</v>
      </c>
      <c r="K5" s="9">
        <f>J5-I4</f>
        <v>1617.252</v>
      </c>
      <c r="L5" s="9">
        <f t="shared" ref="L5:L38" si="25">O5</f>
        <v>711.11111111111097</v>
      </c>
      <c r="M5" s="9">
        <f>O5</f>
        <v>711.11111111111097</v>
      </c>
      <c r="N5" s="9">
        <v>3.84</v>
      </c>
      <c r="O5" s="9">
        <f>$H$50/2.7*N5</f>
        <v>711.11111111111097</v>
      </c>
      <c r="P5" s="6">
        <f>D50/D43</f>
        <v>2354.621052631579</v>
      </c>
      <c r="Q5" s="9">
        <f t="shared" ref="Q5:Q38" si="26">M5/L5</f>
        <v>1</v>
      </c>
      <c r="R5">
        <f t="shared" si="2"/>
        <v>0.11901465526270119</v>
      </c>
      <c r="S5">
        <f t="shared" si="3"/>
        <v>0.11118474373226031</v>
      </c>
      <c r="T5">
        <f t="shared" si="4"/>
        <v>0.16756010675143457</v>
      </c>
      <c r="U5">
        <f t="shared" si="5"/>
        <v>1.0961876142617216E-2</v>
      </c>
      <c r="V5">
        <f t="shared" si="6"/>
        <v>1.0961876142617216E-2</v>
      </c>
      <c r="W5">
        <f t="shared" si="7"/>
        <v>2.1923752285234428E-2</v>
      </c>
      <c r="X5">
        <f t="shared" si="8"/>
        <v>2.1923752285234428E-2</v>
      </c>
      <c r="Y5">
        <f t="shared" si="9"/>
        <v>2.1923752285234428E-2</v>
      </c>
      <c r="Z5">
        <f t="shared" si="10"/>
        <v>1.722580536696991E-2</v>
      </c>
      <c r="AA5">
        <f t="shared" si="11"/>
        <v>0.10961876142617212</v>
      </c>
      <c r="AB5">
        <f t="shared" si="12"/>
        <v>5.4809380713086067E-2</v>
      </c>
      <c r="AC5">
        <f t="shared" si="13"/>
        <v>2.6621699203498952E-2</v>
      </c>
      <c r="AD5">
        <f t="shared" si="14"/>
        <v>0.28344279740195943</v>
      </c>
      <c r="AE5">
        <f t="shared" si="15"/>
        <v>0.19104984134275715</v>
      </c>
      <c r="AF5">
        <f t="shared" si="16"/>
        <v>0.18165394750622815</v>
      </c>
      <c r="AG5">
        <f t="shared" si="17"/>
        <v>0.216105558240168</v>
      </c>
      <c r="AH5">
        <f t="shared" ref="AH5:AH38" si="27">SUM(R5:AG5)</f>
        <v>1.5659823060881737</v>
      </c>
      <c r="AI5" s="9">
        <f t="shared" si="18"/>
        <v>62684.095849198507</v>
      </c>
      <c r="AJ5" s="9">
        <f t="shared" si="19"/>
        <v>1.775213594449301</v>
      </c>
      <c r="AK5" s="9">
        <f t="shared" si="20"/>
        <v>4.4945805142285007</v>
      </c>
      <c r="AL5" s="9">
        <f t="shared" si="21"/>
        <v>0.7145808610233596</v>
      </c>
      <c r="AM5" s="9">
        <f t="shared" si="22"/>
        <v>2.9926866083074399</v>
      </c>
      <c r="AO5" s="6" t="s">
        <v>178</v>
      </c>
      <c r="AP5" s="6">
        <v>0.453592</v>
      </c>
    </row>
    <row r="6" spans="1:42" x14ac:dyDescent="0.25">
      <c r="A6" s="6">
        <f>'Texas pop'!A102</f>
        <v>2018</v>
      </c>
      <c r="B6" s="6">
        <f>'Texas pop'!B102</f>
        <v>28624564</v>
      </c>
      <c r="C6" s="6">
        <f>'Texas pop'!C102</f>
        <v>24500</v>
      </c>
      <c r="D6" s="6">
        <f>'Texas pop'!D102</f>
        <v>24500</v>
      </c>
      <c r="E6" s="6">
        <f>'Texas pop'!E102</f>
        <v>13900</v>
      </c>
      <c r="F6" s="47">
        <f t="shared" si="23"/>
        <v>0.19315035112027978</v>
      </c>
      <c r="G6" s="47">
        <f t="shared" si="0"/>
        <v>8.0119530500000007</v>
      </c>
      <c r="H6" s="6">
        <v>0</v>
      </c>
      <c r="I6" s="9">
        <f t="shared" si="24"/>
        <v>0</v>
      </c>
      <c r="J6" s="47">
        <f t="shared" si="1"/>
        <v>2676.1669999999999</v>
      </c>
      <c r="K6" s="9">
        <f t="shared" ref="K6:K38" si="28">J6-I5</f>
        <v>2676.1669999999999</v>
      </c>
      <c r="L6" s="9">
        <f t="shared" si="25"/>
        <v>620.37037037037032</v>
      </c>
      <c r="M6" s="9">
        <f t="shared" ref="M6:M11" si="29">O6</f>
        <v>620.37037037037032</v>
      </c>
      <c r="N6" s="9">
        <v>3.35</v>
      </c>
      <c r="O6" s="9">
        <f t="shared" ref="O6:O37" si="30">$H$50/2.7*N6</f>
        <v>620.37037037037032</v>
      </c>
      <c r="P6" s="41">
        <f>P5*(1-0.01)</f>
        <v>2331.0748421052631</v>
      </c>
      <c r="Q6" s="9">
        <f t="shared" si="26"/>
        <v>1</v>
      </c>
      <c r="R6">
        <f t="shared" si="2"/>
        <v>0.19694091763708885</v>
      </c>
      <c r="S6">
        <f t="shared" si="3"/>
        <v>0.18398427831885933</v>
      </c>
      <c r="T6">
        <f t="shared" si="4"/>
        <v>0.277272081410112</v>
      </c>
      <c r="U6">
        <f t="shared" si="5"/>
        <v>1.8139295045521343E-2</v>
      </c>
      <c r="V6">
        <f t="shared" si="6"/>
        <v>1.8139295045521343E-2</v>
      </c>
      <c r="W6">
        <f t="shared" si="7"/>
        <v>3.627859009104268E-2</v>
      </c>
      <c r="X6">
        <f t="shared" si="8"/>
        <v>3.627859009104268E-2</v>
      </c>
      <c r="Y6">
        <f t="shared" si="9"/>
        <v>3.627859009104268E-2</v>
      </c>
      <c r="Z6">
        <f t="shared" si="10"/>
        <v>2.8504606500104973E-2</v>
      </c>
      <c r="AA6">
        <f t="shared" si="11"/>
        <v>0.18139295045521339</v>
      </c>
      <c r="AB6">
        <f t="shared" si="12"/>
        <v>9.069647522760671E-2</v>
      </c>
      <c r="AC6">
        <f t="shared" si="13"/>
        <v>4.4052573681980407E-2</v>
      </c>
      <c r="AD6">
        <f t="shared" si="14"/>
        <v>0.469030343319909</v>
      </c>
      <c r="AE6">
        <f t="shared" si="15"/>
        <v>0.31614199936480053</v>
      </c>
      <c r="AF6">
        <f t="shared" si="16"/>
        <v>0.30059403218292507</v>
      </c>
      <c r="AG6">
        <f t="shared" si="17"/>
        <v>0.35760324518313513</v>
      </c>
      <c r="AH6">
        <f t="shared" si="27"/>
        <v>2.5913278636459065</v>
      </c>
      <c r="AI6" s="9">
        <f t="shared" si="18"/>
        <v>103727.25384569753</v>
      </c>
      <c r="AJ6" s="9">
        <f t="shared" si="19"/>
        <v>2.9375558289101531</v>
      </c>
      <c r="AK6" s="9">
        <f t="shared" si="20"/>
        <v>7.4374606128304954</v>
      </c>
      <c r="AL6" s="9">
        <f t="shared" si="21"/>
        <v>1.1824611866934165</v>
      </c>
      <c r="AM6" s="9">
        <f t="shared" si="22"/>
        <v>4.9521837923182632</v>
      </c>
    </row>
    <row r="7" spans="1:42" x14ac:dyDescent="0.25">
      <c r="A7" s="6">
        <f>'Texas pop'!A103</f>
        <v>2019</v>
      </c>
      <c r="B7" s="6">
        <f>'Texas pop'!B103</f>
        <v>28986794</v>
      </c>
      <c r="C7" s="6">
        <f>'Texas pop'!C103</f>
        <v>38400</v>
      </c>
      <c r="D7" s="6">
        <f>'Texas pop'!D103</f>
        <v>38400</v>
      </c>
      <c r="E7" s="6">
        <f>'Texas pop'!E103</f>
        <v>13800</v>
      </c>
      <c r="F7" s="47">
        <f t="shared" si="23"/>
        <v>0.19176078024891088</v>
      </c>
      <c r="G7" s="47">
        <f t="shared" si="0"/>
        <v>7.9543131000000002</v>
      </c>
      <c r="H7" s="6">
        <v>0</v>
      </c>
      <c r="I7" s="9">
        <f t="shared" si="24"/>
        <v>0</v>
      </c>
      <c r="J7" s="47">
        <f t="shared" si="1"/>
        <v>2656.9140000000002</v>
      </c>
      <c r="K7" s="9">
        <f t="shared" si="28"/>
        <v>2656.9140000000002</v>
      </c>
      <c r="L7" s="9">
        <f t="shared" si="25"/>
        <v>725.92592592592587</v>
      </c>
      <c r="M7" s="9">
        <f t="shared" si="29"/>
        <v>725.92592592592587</v>
      </c>
      <c r="N7" s="9">
        <v>3.92</v>
      </c>
      <c r="O7" s="9">
        <f t="shared" si="30"/>
        <v>725.92592592592587</v>
      </c>
      <c r="P7" s="41">
        <f t="shared" ref="P7:P38" si="31">P6*(1-0.01)</f>
        <v>2307.7640936842104</v>
      </c>
      <c r="Q7" s="9">
        <f t="shared" si="26"/>
        <v>1</v>
      </c>
      <c r="R7">
        <f t="shared" si="2"/>
        <v>0.1955240765030091</v>
      </c>
      <c r="S7">
        <f t="shared" si="3"/>
        <v>0.1826606504172848</v>
      </c>
      <c r="T7">
        <f t="shared" si="4"/>
        <v>0.27527731823449963</v>
      </c>
      <c r="U7">
        <f t="shared" si="5"/>
        <v>1.8008796520013994E-2</v>
      </c>
      <c r="V7">
        <f t="shared" si="6"/>
        <v>1.8008796520013994E-2</v>
      </c>
      <c r="W7">
        <f t="shared" si="7"/>
        <v>3.6017593040027981E-2</v>
      </c>
      <c r="X7">
        <f t="shared" si="8"/>
        <v>3.6017593040027981E-2</v>
      </c>
      <c r="Y7">
        <f t="shared" si="9"/>
        <v>3.6017593040027981E-2</v>
      </c>
      <c r="Z7">
        <f t="shared" si="10"/>
        <v>2.8299537388593424E-2</v>
      </c>
      <c r="AA7">
        <f t="shared" si="11"/>
        <v>0.18008796520013992</v>
      </c>
      <c r="AB7">
        <f t="shared" si="12"/>
        <v>9.0043982600069974E-2</v>
      </c>
      <c r="AC7">
        <f t="shared" si="13"/>
        <v>4.3735648691462563E-2</v>
      </c>
      <c r="AD7">
        <f t="shared" si="14"/>
        <v>0.46565602430321901</v>
      </c>
      <c r="AE7">
        <f t="shared" si="15"/>
        <v>0.31386759649167251</v>
      </c>
      <c r="AF7">
        <f t="shared" si="16"/>
        <v>0.29843148518880336</v>
      </c>
      <c r="AG7">
        <f t="shared" si="17"/>
        <v>0.35503055996599026</v>
      </c>
      <c r="AH7">
        <f t="shared" si="27"/>
        <v>2.5726852171448562</v>
      </c>
      <c r="AI7" s="9">
        <f t="shared" si="18"/>
        <v>102981.01460939755</v>
      </c>
      <c r="AJ7" s="9">
        <f t="shared" si="19"/>
        <v>2.9164223337381374</v>
      </c>
      <c r="AK7" s="9">
        <f t="shared" si="20"/>
        <v>7.3839537019468233</v>
      </c>
      <c r="AL7" s="9">
        <f t="shared" si="21"/>
        <v>1.1739542716812337</v>
      </c>
      <c r="AM7" s="9">
        <f t="shared" si="22"/>
        <v>4.9165565707907941</v>
      </c>
      <c r="AO7" t="s">
        <v>181</v>
      </c>
    </row>
    <row r="8" spans="1:42" x14ac:dyDescent="0.25">
      <c r="A8" s="6">
        <f>'Texas pop'!A104</f>
        <v>2020</v>
      </c>
      <c r="B8" s="6">
        <f>'Texas pop'!B104</f>
        <v>29232474</v>
      </c>
      <c r="C8" s="6">
        <f>'Texas pop'!C104</f>
        <v>52200</v>
      </c>
      <c r="D8" s="6">
        <f>'Texas pop'!D104</f>
        <v>52200</v>
      </c>
      <c r="E8" s="6">
        <f>'Texas pop'!E104</f>
        <v>28700</v>
      </c>
      <c r="F8" s="47">
        <f t="shared" si="23"/>
        <v>0.39880684008287987</v>
      </c>
      <c r="G8" s="47">
        <f t="shared" si="0"/>
        <v>16.54266565</v>
      </c>
      <c r="H8" s="6">
        <v>0</v>
      </c>
      <c r="I8" s="9">
        <f t="shared" si="24"/>
        <v>0</v>
      </c>
      <c r="J8" s="47">
        <f t="shared" si="1"/>
        <v>5525.6109999999999</v>
      </c>
      <c r="K8" s="9">
        <f t="shared" si="28"/>
        <v>5525.6109999999999</v>
      </c>
      <c r="L8" s="9">
        <f t="shared" si="25"/>
        <v>429.62962962962956</v>
      </c>
      <c r="M8" s="9">
        <f t="shared" si="29"/>
        <v>429.62962962962956</v>
      </c>
      <c r="N8" s="9">
        <v>2.3199999999999998</v>
      </c>
      <c r="O8" s="9">
        <f t="shared" si="30"/>
        <v>429.62962962962956</v>
      </c>
      <c r="P8" s="41">
        <f>P7*(1-0.01)</f>
        <v>2284.6864527473681</v>
      </c>
      <c r="Q8" s="9">
        <f t="shared" si="26"/>
        <v>1</v>
      </c>
      <c r="R8">
        <f t="shared" si="2"/>
        <v>0.40663340548089572</v>
      </c>
      <c r="S8">
        <f t="shared" si="3"/>
        <v>0.37988120775188938</v>
      </c>
      <c r="T8">
        <f t="shared" si="4"/>
        <v>0.57249703140073482</v>
      </c>
      <c r="U8">
        <f t="shared" si="5"/>
        <v>3.7453076820608819E-2</v>
      </c>
      <c r="V8">
        <f t="shared" si="6"/>
        <v>3.7453076820608819E-2</v>
      </c>
      <c r="W8">
        <f t="shared" si="7"/>
        <v>7.4906153641217624E-2</v>
      </c>
      <c r="X8">
        <f t="shared" si="8"/>
        <v>7.4906153641217624E-2</v>
      </c>
      <c r="Y8">
        <f t="shared" si="9"/>
        <v>7.4906153641217624E-2</v>
      </c>
      <c r="Z8">
        <f t="shared" si="10"/>
        <v>5.8854835003813867E-2</v>
      </c>
      <c r="AA8">
        <f t="shared" si="11"/>
        <v>0.3745307682060881</v>
      </c>
      <c r="AB8">
        <f t="shared" si="12"/>
        <v>0.18726538410304408</v>
      </c>
      <c r="AC8">
        <f t="shared" si="13"/>
        <v>9.0957472278621415E-2</v>
      </c>
      <c r="AD8">
        <f t="shared" si="14"/>
        <v>0.96842955779002793</v>
      </c>
      <c r="AE8">
        <f t="shared" si="15"/>
        <v>0.65275362458775366</v>
      </c>
      <c r="AF8">
        <f t="shared" si="16"/>
        <v>0.6206509873129461</v>
      </c>
      <c r="AG8">
        <f t="shared" si="17"/>
        <v>0.73836065732057388</v>
      </c>
      <c r="AH8">
        <f t="shared" si="27"/>
        <v>5.3504395458012599</v>
      </c>
      <c r="AI8" s="9">
        <f t="shared" si="18"/>
        <v>214170.66081809491</v>
      </c>
      <c r="AJ8" s="9">
        <f t="shared" si="19"/>
        <v>6.0653131143684451</v>
      </c>
      <c r="AK8" s="9">
        <f t="shared" si="20"/>
        <v>15.356483423614046</v>
      </c>
      <c r="AL8" s="9">
        <f t="shared" si="21"/>
        <v>2.441484608496479</v>
      </c>
      <c r="AM8" s="9">
        <f t="shared" si="22"/>
        <v>10.225012578383753</v>
      </c>
      <c r="AO8">
        <v>7.2</v>
      </c>
      <c r="AP8">
        <f>AO8*AC2</f>
        <v>161.80489851222603</v>
      </c>
    </row>
    <row r="9" spans="1:42" x14ac:dyDescent="0.25">
      <c r="A9" s="6">
        <f>'Texas pop'!A105</f>
        <v>2021</v>
      </c>
      <c r="B9" s="6">
        <f>'Texas pop'!B105</f>
        <v>29558864</v>
      </c>
      <c r="C9" s="6">
        <f>'Texas pop'!C105</f>
        <v>80900</v>
      </c>
      <c r="D9" s="6">
        <f>'Texas pop'!D105</f>
        <v>80900</v>
      </c>
      <c r="E9" s="6">
        <f>'Texas pop'!E105</f>
        <v>68100</v>
      </c>
      <c r="F9" s="47">
        <f t="shared" si="23"/>
        <v>0.94629776340223404</v>
      </c>
      <c r="G9" s="47">
        <f t="shared" si="0"/>
        <v>39.252805949999996</v>
      </c>
      <c r="H9" s="6">
        <v>0</v>
      </c>
      <c r="I9" s="9">
        <f t="shared" si="24"/>
        <v>0</v>
      </c>
      <c r="J9" s="47">
        <f t="shared" si="1"/>
        <v>13111.293</v>
      </c>
      <c r="K9" s="9">
        <f t="shared" si="28"/>
        <v>13111.293</v>
      </c>
      <c r="L9" s="9">
        <f t="shared" si="25"/>
        <v>511.11111111111103</v>
      </c>
      <c r="M9" s="9">
        <f>O9</f>
        <v>511.11111111111103</v>
      </c>
      <c r="N9" s="9">
        <v>2.76</v>
      </c>
      <c r="O9" s="9">
        <f t="shared" si="30"/>
        <v>511.11111111111103</v>
      </c>
      <c r="P9" s="41">
        <f t="shared" si="31"/>
        <v>2261.8395882198943</v>
      </c>
      <c r="Q9" s="9">
        <f t="shared" si="26"/>
        <v>1</v>
      </c>
      <c r="R9">
        <f t="shared" si="2"/>
        <v>0.96486881230832755</v>
      </c>
      <c r="S9">
        <f t="shared" si="3"/>
        <v>0.90139060097225321</v>
      </c>
      <c r="T9">
        <f t="shared" si="4"/>
        <v>1.3584337225919874</v>
      </c>
      <c r="U9">
        <f t="shared" si="5"/>
        <v>8.8869495870503842E-2</v>
      </c>
      <c r="V9">
        <f t="shared" si="6"/>
        <v>8.8869495870503842E-2</v>
      </c>
      <c r="W9">
        <f t="shared" si="7"/>
        <v>0.17773899174100766</v>
      </c>
      <c r="X9">
        <f t="shared" si="8"/>
        <v>0.17773899174100766</v>
      </c>
      <c r="Y9">
        <f t="shared" si="9"/>
        <v>0.17773899174100766</v>
      </c>
      <c r="Z9">
        <f t="shared" si="10"/>
        <v>0.13965206493936322</v>
      </c>
      <c r="AA9">
        <f t="shared" si="11"/>
        <v>0.88869495870503834</v>
      </c>
      <c r="AB9">
        <f t="shared" si="12"/>
        <v>0.44434747935251923</v>
      </c>
      <c r="AC9">
        <f t="shared" si="13"/>
        <v>0.21582591854265221</v>
      </c>
      <c r="AD9">
        <f t="shared" si="14"/>
        <v>2.2979112503658849</v>
      </c>
      <c r="AE9">
        <f t="shared" si="15"/>
        <v>1.5488683566002099</v>
      </c>
      <c r="AF9">
        <f t="shared" si="16"/>
        <v>1.472694502996921</v>
      </c>
      <c r="AG9">
        <f t="shared" si="17"/>
        <v>1.7519986328756476</v>
      </c>
      <c r="AH9">
        <f t="shared" si="27"/>
        <v>12.695642267214835</v>
      </c>
      <c r="AI9" s="9">
        <f t="shared" si="18"/>
        <v>508188.91992028791</v>
      </c>
      <c r="AJ9" s="9">
        <f t="shared" si="19"/>
        <v>14.391910212142548</v>
      </c>
      <c r="AK9" s="9">
        <f t="shared" si="20"/>
        <v>36.438206311781066</v>
      </c>
      <c r="AL9" s="9">
        <f t="shared" si="21"/>
        <v>5.7932091232965233</v>
      </c>
      <c r="AM9" s="9">
        <f t="shared" si="22"/>
        <v>24.262137860206746</v>
      </c>
      <c r="AO9" t="s">
        <v>179</v>
      </c>
      <c r="AP9" s="46">
        <f>AP5*AP8</f>
        <v>73.393407525957628</v>
      </c>
    </row>
    <row r="10" spans="1:42" x14ac:dyDescent="0.25">
      <c r="A10" s="6">
        <f>'Texas pop'!A106</f>
        <v>2022</v>
      </c>
      <c r="B10" s="6">
        <f>'Texas pop'!B106</f>
        <v>30029572</v>
      </c>
      <c r="C10" s="6">
        <f>'Texas pop'!C106</f>
        <v>149000</v>
      </c>
      <c r="D10" s="6">
        <f>'Texas pop'!D106</f>
        <v>149000</v>
      </c>
      <c r="E10" s="6">
        <f>'Texas pop'!E106</f>
        <v>78996</v>
      </c>
      <c r="F10" s="47">
        <f t="shared" si="23"/>
        <v>1.0977054055465916</v>
      </c>
      <c r="G10" s="47">
        <f t="shared" si="0"/>
        <v>45.533254901999996</v>
      </c>
      <c r="H10" s="6">
        <v>0</v>
      </c>
      <c r="I10" s="9">
        <f t="shared" si="24"/>
        <v>0</v>
      </c>
      <c r="J10" s="47">
        <f t="shared" si="1"/>
        <v>15209.099880000002</v>
      </c>
      <c r="K10" s="9">
        <f t="shared" si="28"/>
        <v>15209.099880000002</v>
      </c>
      <c r="L10" s="9">
        <f t="shared" si="25"/>
        <v>901.85185185185173</v>
      </c>
      <c r="M10" s="9">
        <f t="shared" si="29"/>
        <v>901.85185185185173</v>
      </c>
      <c r="N10" s="9">
        <v>4.87</v>
      </c>
      <c r="O10" s="9">
        <f t="shared" si="30"/>
        <v>901.85185185185173</v>
      </c>
      <c r="P10" s="41">
        <f t="shared" si="31"/>
        <v>2239.2211923376954</v>
      </c>
      <c r="Q10" s="9">
        <f t="shared" si="26"/>
        <v>1</v>
      </c>
      <c r="R10">
        <f t="shared" si="2"/>
        <v>1.1192478222776598</v>
      </c>
      <c r="S10">
        <f t="shared" si="3"/>
        <v>1.0456130971278137</v>
      </c>
      <c r="T10">
        <f t="shared" si="4"/>
        <v>1.5757831182067052</v>
      </c>
      <c r="U10">
        <f t="shared" si="5"/>
        <v>0.10308861520978446</v>
      </c>
      <c r="V10">
        <f t="shared" si="6"/>
        <v>0.10308861520978446</v>
      </c>
      <c r="W10">
        <f t="shared" si="7"/>
        <v>0.2061772304195689</v>
      </c>
      <c r="X10">
        <f t="shared" si="8"/>
        <v>0.2061772304195689</v>
      </c>
      <c r="Y10">
        <f t="shared" si="9"/>
        <v>0.2061772304195689</v>
      </c>
      <c r="Z10">
        <f t="shared" si="10"/>
        <v>0.16199639532966131</v>
      </c>
      <c r="AA10">
        <f t="shared" si="11"/>
        <v>1.0308861520978445</v>
      </c>
      <c r="AB10">
        <f t="shared" si="12"/>
        <v>0.51544307604892226</v>
      </c>
      <c r="AC10">
        <f t="shared" si="13"/>
        <v>0.25035806550947659</v>
      </c>
      <c r="AD10">
        <f t="shared" si="14"/>
        <v>2.6655770504244267</v>
      </c>
      <c r="AE10">
        <f t="shared" si="15"/>
        <v>1.7966872936562435</v>
      </c>
      <c r="AF10">
        <f t="shared" si="16"/>
        <v>1.7083256234764281</v>
      </c>
      <c r="AG10">
        <f t="shared" si="17"/>
        <v>2.0323184141357511</v>
      </c>
      <c r="AH10">
        <f t="shared" si="27"/>
        <v>14.726945029969208</v>
      </c>
      <c r="AI10" s="9">
        <f t="shared" si="18"/>
        <v>589499.14710753399</v>
      </c>
      <c r="AJ10" s="9">
        <f t="shared" si="19"/>
        <v>16.694615846085355</v>
      </c>
      <c r="AK10" s="9">
        <f t="shared" si="20"/>
        <v>42.268319321666027</v>
      </c>
      <c r="AL10" s="9">
        <f t="shared" si="21"/>
        <v>6.7201225830239668</v>
      </c>
      <c r="AM10" s="9">
        <f t="shared" si="22"/>
        <v>28.144079917839822</v>
      </c>
      <c r="AO10" t="s">
        <v>179</v>
      </c>
      <c r="AP10" s="46">
        <f>AO4+AP9</f>
        <v>251.87143803033453</v>
      </c>
    </row>
    <row r="11" spans="1:42" x14ac:dyDescent="0.25">
      <c r="A11" s="6">
        <f>'Texas pop'!A107</f>
        <v>2023</v>
      </c>
      <c r="B11" s="6">
        <f>'Texas pop'!B107</f>
        <v>30303924.285714388</v>
      </c>
      <c r="C11" s="6">
        <f>'Texas pop'!C107</f>
        <v>227996</v>
      </c>
      <c r="D11" s="6">
        <f>'Texas pop'!D107</f>
        <v>227996</v>
      </c>
      <c r="E11" s="6">
        <f>'Texas pop'!E107</f>
        <v>91635.36</v>
      </c>
      <c r="F11" s="47">
        <f t="shared" si="23"/>
        <v>1.2733382704340463</v>
      </c>
      <c r="G11" s="47">
        <f t="shared" si="0"/>
        <v>52.818575686320003</v>
      </c>
      <c r="H11" s="6">
        <v>0</v>
      </c>
      <c r="I11" s="9">
        <f t="shared" si="24"/>
        <v>0</v>
      </c>
      <c r="J11" s="47">
        <f t="shared" si="1"/>
        <v>17642.555860800003</v>
      </c>
      <c r="K11" s="9">
        <f t="shared" si="28"/>
        <v>17642.555860800003</v>
      </c>
      <c r="L11" s="9">
        <f>O11</f>
        <v>831.48148148148141</v>
      </c>
      <c r="M11" s="9">
        <f t="shared" si="29"/>
        <v>831.48148148148141</v>
      </c>
      <c r="N11" s="9">
        <v>4.49</v>
      </c>
      <c r="O11" s="9">
        <f t="shared" si="30"/>
        <v>831.48148148148141</v>
      </c>
      <c r="P11" s="41">
        <f t="shared" si="31"/>
        <v>2216.8289804143183</v>
      </c>
      <c r="Q11" s="9">
        <f t="shared" si="26"/>
        <v>1</v>
      </c>
      <c r="R11">
        <f t="shared" si="2"/>
        <v>1.2983274738420856</v>
      </c>
      <c r="S11">
        <f t="shared" si="3"/>
        <v>1.2129111926682641</v>
      </c>
      <c r="T11">
        <f t="shared" si="4"/>
        <v>1.8279084171197781</v>
      </c>
      <c r="U11">
        <f t="shared" si="5"/>
        <v>0.11958279364334999</v>
      </c>
      <c r="V11">
        <f t="shared" si="6"/>
        <v>0.11958279364334999</v>
      </c>
      <c r="W11">
        <f t="shared" si="7"/>
        <v>0.2391655872866999</v>
      </c>
      <c r="X11">
        <f t="shared" si="8"/>
        <v>0.2391655872866999</v>
      </c>
      <c r="Y11">
        <f t="shared" si="9"/>
        <v>0.2391655872866999</v>
      </c>
      <c r="Z11">
        <f t="shared" si="10"/>
        <v>0.18791581858240713</v>
      </c>
      <c r="AA11">
        <f t="shared" si="11"/>
        <v>1.1958279364334994</v>
      </c>
      <c r="AB11">
        <f t="shared" si="12"/>
        <v>0.5979139682167498</v>
      </c>
      <c r="AC11">
        <f t="shared" si="13"/>
        <v>0.29041535599099277</v>
      </c>
      <c r="AD11">
        <f t="shared" si="14"/>
        <v>3.0920693784923348</v>
      </c>
      <c r="AE11">
        <f t="shared" si="15"/>
        <v>2.0841572606412422</v>
      </c>
      <c r="AF11">
        <f t="shared" si="16"/>
        <v>1.9816577232326567</v>
      </c>
      <c r="AG11">
        <f t="shared" si="17"/>
        <v>2.3574893603974716</v>
      </c>
      <c r="AH11">
        <f t="shared" si="27"/>
        <v>17.083256234764278</v>
      </c>
      <c r="AI11" s="9">
        <f t="shared" si="18"/>
        <v>683819.01064473938</v>
      </c>
      <c r="AJ11" s="9">
        <f t="shared" si="19"/>
        <v>19.365754381459013</v>
      </c>
      <c r="AK11" s="9">
        <f t="shared" si="20"/>
        <v>49.031250413132597</v>
      </c>
      <c r="AL11" s="9">
        <f t="shared" si="21"/>
        <v>7.7953421963078009</v>
      </c>
      <c r="AM11" s="9">
        <f t="shared" si="22"/>
        <v>32.647132704694194</v>
      </c>
      <c r="AO11" t="s">
        <v>182</v>
      </c>
      <c r="AP11">
        <v>186.43</v>
      </c>
    </row>
    <row r="12" spans="1:42" x14ac:dyDescent="0.25">
      <c r="A12" s="6">
        <f>'Texas pop'!A108</f>
        <v>2024</v>
      </c>
      <c r="B12" s="6">
        <f>'Texas pop'!B108</f>
        <v>30642856.928571463</v>
      </c>
      <c r="C12" s="6">
        <f>'Texas pop'!C108</f>
        <v>319631.35999999999</v>
      </c>
      <c r="D12" s="6">
        <f>'Texas pop'!D108</f>
        <v>319631.35999999999</v>
      </c>
      <c r="E12" s="6">
        <f>'Texas pop'!E108</f>
        <v>106297.01759999999</v>
      </c>
      <c r="F12" s="47">
        <f t="shared" si="23"/>
        <v>1.4770723937034933</v>
      </c>
      <c r="G12" s="47">
        <f t="shared" si="0"/>
        <v>61.269547796131192</v>
      </c>
      <c r="H12" s="6">
        <f t="shared" ref="H12:H38" si="32">E12*$D$41/1000</f>
        <v>55142.593016518069</v>
      </c>
      <c r="I12" s="9">
        <f>H12/$D$42*$D$43</f>
        <v>7275.7588007905779</v>
      </c>
      <c r="J12" s="47">
        <f t="shared" si="1"/>
        <v>20465.364798527997</v>
      </c>
      <c r="K12" s="9">
        <f t="shared" si="28"/>
        <v>20465.364798527997</v>
      </c>
      <c r="L12" s="9">
        <f t="shared" si="25"/>
        <v>833.33333333333326</v>
      </c>
      <c r="M12" s="9">
        <f>I11/J12*P12+K12/J12*O12</f>
        <v>833.33333333333326</v>
      </c>
      <c r="N12" s="13">
        <v>4.5</v>
      </c>
      <c r="O12" s="9">
        <f t="shared" si="30"/>
        <v>833.33333333333326</v>
      </c>
      <c r="P12" s="41">
        <f t="shared" si="31"/>
        <v>2194.6606906101752</v>
      </c>
      <c r="Q12" s="9">
        <f t="shared" si="26"/>
        <v>1</v>
      </c>
      <c r="R12">
        <f t="shared" si="2"/>
        <v>1.5060598696568193</v>
      </c>
      <c r="S12">
        <f t="shared" si="3"/>
        <v>1.4069769834951862</v>
      </c>
      <c r="T12">
        <f t="shared" si="4"/>
        <v>2.1203737638589422</v>
      </c>
      <c r="U12">
        <f t="shared" si="5"/>
        <v>0.13871604062628598</v>
      </c>
      <c r="V12">
        <f t="shared" si="6"/>
        <v>0.13871604062628598</v>
      </c>
      <c r="W12">
        <f t="shared" si="7"/>
        <v>0.2774320812525719</v>
      </c>
      <c r="X12">
        <f t="shared" si="8"/>
        <v>0.2774320812525719</v>
      </c>
      <c r="Y12">
        <f t="shared" si="9"/>
        <v>0.2774320812525719</v>
      </c>
      <c r="Z12">
        <f t="shared" si="10"/>
        <v>0.21798234955559226</v>
      </c>
      <c r="AA12">
        <f t="shared" si="11"/>
        <v>1.3871604062628593</v>
      </c>
      <c r="AB12">
        <f t="shared" si="12"/>
        <v>0.69358020313142976</v>
      </c>
      <c r="AC12">
        <f t="shared" si="13"/>
        <v>0.33688181294955161</v>
      </c>
      <c r="AD12">
        <f t="shared" si="14"/>
        <v>3.5868004790511083</v>
      </c>
      <c r="AE12">
        <f t="shared" si="15"/>
        <v>2.4176224223438409</v>
      </c>
      <c r="AF12">
        <f t="shared" si="16"/>
        <v>2.2987229589498814</v>
      </c>
      <c r="AG12">
        <f t="shared" si="17"/>
        <v>2.7346876580610666</v>
      </c>
      <c r="AH12">
        <f t="shared" si="27"/>
        <v>19.816577232326566</v>
      </c>
      <c r="AI12" s="9">
        <f t="shared" si="18"/>
        <v>793230.05234789767</v>
      </c>
      <c r="AJ12" s="9">
        <f t="shared" si="19"/>
        <v>22.464275082492453</v>
      </c>
      <c r="AK12" s="9">
        <f t="shared" si="20"/>
        <v>56.876250479233804</v>
      </c>
      <c r="AL12" s="9">
        <f t="shared" si="21"/>
        <v>9.0425969477170494</v>
      </c>
      <c r="AM12" s="9">
        <f t="shared" si="22"/>
        <v>37.870673937445261</v>
      </c>
      <c r="AO12" s="46" t="s">
        <v>183</v>
      </c>
      <c r="AP12" s="88">
        <f>AP10/AP11</f>
        <v>1.351024180820332</v>
      </c>
    </row>
    <row r="13" spans="1:42" x14ac:dyDescent="0.25">
      <c r="A13" s="6">
        <f>'Texas pop'!A109</f>
        <v>2025</v>
      </c>
      <c r="B13" s="6">
        <f>'Texas pop'!B109</f>
        <v>30981789.571428657</v>
      </c>
      <c r="C13" s="6">
        <f>'Texas pop'!C109</f>
        <v>425928.37760000001</v>
      </c>
      <c r="D13" s="6">
        <f>'Texas pop'!D109</f>
        <v>425928.37760000001</v>
      </c>
      <c r="E13" s="6">
        <f>'Texas pop'!E109</f>
        <v>123304.54041599999</v>
      </c>
      <c r="F13" s="47">
        <f t="shared" si="23"/>
        <v>1.7134039766960523</v>
      </c>
      <c r="G13" s="47">
        <f t="shared" si="0"/>
        <v>71.072675443512182</v>
      </c>
      <c r="H13" s="6">
        <f t="shared" si="32"/>
        <v>63965.407899160964</v>
      </c>
      <c r="I13" s="9">
        <f t="shared" si="24"/>
        <v>8439.8802089170713</v>
      </c>
      <c r="J13" s="47">
        <f t="shared" si="1"/>
        <v>23739.823166292477</v>
      </c>
      <c r="K13" s="9">
        <f t="shared" si="28"/>
        <v>16464.064365501901</v>
      </c>
      <c r="L13" s="9">
        <f>O13</f>
        <v>840.74074074074065</v>
      </c>
      <c r="M13" s="9">
        <f>I12/J13*P13+K13/J13*O13</f>
        <v>1248.9626851334885</v>
      </c>
      <c r="N13" s="13">
        <v>4.54</v>
      </c>
      <c r="O13" s="9">
        <f t="shared" si="30"/>
        <v>840.74074074074065</v>
      </c>
      <c r="P13" s="41">
        <f t="shared" si="31"/>
        <v>2172.7140837040733</v>
      </c>
      <c r="Q13" s="110">
        <f>M13/L13</f>
        <v>1.4855503303349866</v>
      </c>
      <c r="R13">
        <f t="shared" si="2"/>
        <v>1.74702944880191</v>
      </c>
      <c r="S13">
        <f t="shared" si="3"/>
        <v>1.6320933008544158</v>
      </c>
      <c r="T13">
        <f t="shared" si="4"/>
        <v>2.4596335660763731</v>
      </c>
      <c r="U13">
        <f t="shared" si="5"/>
        <v>0.16091060712649172</v>
      </c>
      <c r="V13">
        <f t="shared" si="6"/>
        <v>0.16091060712649172</v>
      </c>
      <c r="W13">
        <f t="shared" si="7"/>
        <v>0.32182121425298338</v>
      </c>
      <c r="X13">
        <f t="shared" si="8"/>
        <v>0.32182121425298338</v>
      </c>
      <c r="Y13">
        <f t="shared" si="9"/>
        <v>0.32182121425298338</v>
      </c>
      <c r="Z13">
        <f t="shared" si="10"/>
        <v>0.25285952548448698</v>
      </c>
      <c r="AA13">
        <f t="shared" si="11"/>
        <v>1.6091060712649168</v>
      </c>
      <c r="AB13">
        <f t="shared" si="12"/>
        <v>0.8045530356324585</v>
      </c>
      <c r="AC13">
        <f t="shared" si="13"/>
        <v>0.39078290302147989</v>
      </c>
      <c r="AD13">
        <f t="shared" si="14"/>
        <v>4.1606885556992852</v>
      </c>
      <c r="AE13">
        <f t="shared" si="15"/>
        <v>2.8044420099188554</v>
      </c>
      <c r="AF13">
        <f t="shared" si="16"/>
        <v>2.6665186323818624</v>
      </c>
      <c r="AG13">
        <f t="shared" si="17"/>
        <v>3.1722376833508372</v>
      </c>
      <c r="AH13">
        <f t="shared" si="27"/>
        <v>22.987229589498813</v>
      </c>
      <c r="AI13" s="9">
        <f t="shared" si="18"/>
        <v>920146.86072356126</v>
      </c>
      <c r="AJ13" s="9">
        <f t="shared" si="19"/>
        <v>26.058559095691244</v>
      </c>
      <c r="AK13" s="9">
        <f t="shared" si="20"/>
        <v>65.976450555911228</v>
      </c>
      <c r="AL13" s="9">
        <f t="shared" si="21"/>
        <v>10.489412459351776</v>
      </c>
      <c r="AM13" s="9">
        <f t="shared" si="22"/>
        <v>43.929981767436502</v>
      </c>
    </row>
    <row r="14" spans="1:42" x14ac:dyDescent="0.25">
      <c r="A14" s="6">
        <f>'Texas pop'!A110</f>
        <v>2026</v>
      </c>
      <c r="B14" s="6">
        <f>'Texas pop'!B110</f>
        <v>31320722.214285731</v>
      </c>
      <c r="C14" s="6">
        <f>'Texas pop'!C110</f>
        <v>549232.91801599995</v>
      </c>
      <c r="D14" s="6">
        <f>'Texas pop'!D110</f>
        <v>549232.91801599995</v>
      </c>
      <c r="E14" s="6">
        <f>'Texas pop'!E110</f>
        <v>143033.26688255998</v>
      </c>
      <c r="F14" s="47">
        <f t="shared" si="23"/>
        <v>1.9875486129674209</v>
      </c>
      <c r="G14" s="47">
        <f t="shared" si="0"/>
        <v>82.444303514474129</v>
      </c>
      <c r="H14" s="6">
        <f t="shared" si="32"/>
        <v>74199.873163026714</v>
      </c>
      <c r="I14" s="9">
        <f t="shared" si="24"/>
        <v>9790.2610423438018</v>
      </c>
      <c r="J14" s="47">
        <f t="shared" si="1"/>
        <v>27538.194872899276</v>
      </c>
      <c r="K14" s="9">
        <f t="shared" si="28"/>
        <v>19098.314663982204</v>
      </c>
      <c r="L14" s="9">
        <f t="shared" si="25"/>
        <v>848.14814814814804</v>
      </c>
      <c r="M14" s="9">
        <f>I13/J14*P14+K14/J14*O14</f>
        <v>1247.4409634436927</v>
      </c>
      <c r="N14" s="13">
        <v>4.58</v>
      </c>
      <c r="O14" s="9">
        <f t="shared" si="30"/>
        <v>848.14814814814804</v>
      </c>
      <c r="P14" s="41">
        <f t="shared" si="31"/>
        <v>2150.9869428670327</v>
      </c>
      <c r="Q14" s="9">
        <f t="shared" si="26"/>
        <v>1.4707819219641793</v>
      </c>
      <c r="R14">
        <f t="shared" si="2"/>
        <v>2.0265541606102153</v>
      </c>
      <c r="S14">
        <f t="shared" si="3"/>
        <v>1.8932282289911222</v>
      </c>
      <c r="T14">
        <f t="shared" si="4"/>
        <v>2.853174936648593</v>
      </c>
      <c r="U14">
        <f t="shared" si="5"/>
        <v>0.18665630426673038</v>
      </c>
      <c r="V14">
        <f t="shared" si="6"/>
        <v>0.18665630426673038</v>
      </c>
      <c r="W14">
        <f t="shared" si="7"/>
        <v>0.37331260853346071</v>
      </c>
      <c r="X14">
        <f t="shared" si="8"/>
        <v>0.37331260853346071</v>
      </c>
      <c r="Y14">
        <f t="shared" si="9"/>
        <v>0.37331260853346071</v>
      </c>
      <c r="Z14">
        <f t="shared" si="10"/>
        <v>0.29331704956200494</v>
      </c>
      <c r="AA14">
        <f t="shared" si="11"/>
        <v>1.8665630426673034</v>
      </c>
      <c r="AB14">
        <f t="shared" si="12"/>
        <v>0.93328152133365183</v>
      </c>
      <c r="AC14">
        <f t="shared" si="13"/>
        <v>0.45330816750491665</v>
      </c>
      <c r="AD14">
        <f t="shared" si="14"/>
        <v>4.8263987246111713</v>
      </c>
      <c r="AE14">
        <f t="shared" si="15"/>
        <v>3.2531527315058724</v>
      </c>
      <c r="AF14">
        <f t="shared" si="16"/>
        <v>3.0931616135629607</v>
      </c>
      <c r="AG14">
        <f t="shared" si="17"/>
        <v>3.6797957126869711</v>
      </c>
      <c r="AH14">
        <f t="shared" si="27"/>
        <v>26.66518632381862</v>
      </c>
      <c r="AI14" s="9">
        <f t="shared" si="18"/>
        <v>1067370.3584393309</v>
      </c>
      <c r="AJ14" s="9">
        <f t="shared" si="19"/>
        <v>30.227928551001842</v>
      </c>
      <c r="AK14" s="9">
        <f t="shared" si="20"/>
        <v>76.532682644857005</v>
      </c>
      <c r="AL14" s="9">
        <f t="shared" si="21"/>
        <v>12.16771845284806</v>
      </c>
      <c r="AM14" s="9">
        <f t="shared" si="22"/>
        <v>50.958778850226345</v>
      </c>
    </row>
    <row r="15" spans="1:42" x14ac:dyDescent="0.25">
      <c r="A15" s="6">
        <f>'Texas pop'!A111</f>
        <v>2027</v>
      </c>
      <c r="B15" s="6">
        <f>'Texas pop'!B111</f>
        <v>31659654.857142925</v>
      </c>
      <c r="C15" s="6">
        <f>'Texas pop'!C111</f>
        <v>692266.18489855994</v>
      </c>
      <c r="D15" s="6">
        <f>'Texas pop'!D111</f>
        <v>692266.18489855994</v>
      </c>
      <c r="E15" s="6">
        <f>'Texas pop'!E111</f>
        <v>165918.58958376959</v>
      </c>
      <c r="F15" s="47">
        <f t="shared" si="23"/>
        <v>2.3055563910422081</v>
      </c>
      <c r="G15" s="47">
        <f t="shared" si="0"/>
        <v>95.635392076789998</v>
      </c>
      <c r="H15" s="6">
        <f t="shared" si="32"/>
        <v>86071.852869110997</v>
      </c>
      <c r="I15" s="9">
        <f t="shared" si="24"/>
        <v>11356.702809118811</v>
      </c>
      <c r="J15" s="47">
        <f t="shared" si="1"/>
        <v>31944.306052563155</v>
      </c>
      <c r="K15" s="9">
        <f t="shared" si="28"/>
        <v>22154.045010219354</v>
      </c>
      <c r="L15" s="9">
        <f t="shared" si="25"/>
        <v>888.8888888888888</v>
      </c>
      <c r="M15" s="9">
        <f t="shared" ref="M15:M37" si="33">I14/J15*P15+K15/J15*O15</f>
        <v>1269.103195401025</v>
      </c>
      <c r="N15" s="13">
        <v>4.8</v>
      </c>
      <c r="O15" s="9">
        <f t="shared" si="30"/>
        <v>888.8888888888888</v>
      </c>
      <c r="P15" s="41">
        <f t="shared" si="31"/>
        <v>2129.4770734383624</v>
      </c>
      <c r="Q15" s="9">
        <f t="shared" si="26"/>
        <v>1.4277410948261533</v>
      </c>
      <c r="R15">
        <f t="shared" si="2"/>
        <v>2.35080282630785</v>
      </c>
      <c r="S15">
        <f t="shared" si="3"/>
        <v>2.1961447456297019</v>
      </c>
      <c r="T15">
        <f t="shared" si="4"/>
        <v>3.3096829265123682</v>
      </c>
      <c r="U15">
        <f t="shared" si="5"/>
        <v>0.21652131294940727</v>
      </c>
      <c r="V15">
        <f t="shared" si="6"/>
        <v>0.21652131294940727</v>
      </c>
      <c r="W15">
        <f t="shared" si="7"/>
        <v>0.43304262589881443</v>
      </c>
      <c r="X15">
        <f t="shared" si="8"/>
        <v>0.43304262589881443</v>
      </c>
      <c r="Y15">
        <f t="shared" si="9"/>
        <v>0.43304262589881443</v>
      </c>
      <c r="Z15">
        <f t="shared" si="10"/>
        <v>0.34024777749192575</v>
      </c>
      <c r="AA15">
        <f t="shared" si="11"/>
        <v>2.165213129494072</v>
      </c>
      <c r="AB15">
        <f t="shared" si="12"/>
        <v>1.0826065647470362</v>
      </c>
      <c r="AC15">
        <f t="shared" si="13"/>
        <v>0.52583747430570327</v>
      </c>
      <c r="AD15">
        <f t="shared" si="14"/>
        <v>5.5986225205489593</v>
      </c>
      <c r="AE15">
        <f t="shared" si="15"/>
        <v>3.7736571685468121</v>
      </c>
      <c r="AF15">
        <f t="shared" si="16"/>
        <v>3.5880674717330345</v>
      </c>
      <c r="AG15">
        <f t="shared" si="17"/>
        <v>4.2685630267168868</v>
      </c>
      <c r="AH15">
        <f t="shared" si="27"/>
        <v>30.931616135629607</v>
      </c>
      <c r="AI15" s="9">
        <f t="shared" si="18"/>
        <v>1238149.6157896242</v>
      </c>
      <c r="AJ15" s="9">
        <f t="shared" si="19"/>
        <v>35.064397119162145</v>
      </c>
      <c r="AK15" s="9">
        <f t="shared" si="20"/>
        <v>88.777911868034124</v>
      </c>
      <c r="AL15" s="9">
        <f t="shared" si="21"/>
        <v>14.11455340530375</v>
      </c>
      <c r="AM15" s="9">
        <f t="shared" si="22"/>
        <v>59.112183466262564</v>
      </c>
    </row>
    <row r="16" spans="1:42" x14ac:dyDescent="0.25">
      <c r="A16" s="6">
        <f>'Texas pop'!A112</f>
        <v>2028</v>
      </c>
      <c r="B16" s="6">
        <f>'Texas pop'!B112</f>
        <v>31998587.500000119</v>
      </c>
      <c r="C16" s="6">
        <f>'Texas pop'!C112</f>
        <v>858184.77448232949</v>
      </c>
      <c r="D16" s="6">
        <f>'Texas pop'!D112</f>
        <v>858184.77448232949</v>
      </c>
      <c r="E16" s="6">
        <f>'Texas pop'!E112</f>
        <v>192465.56391717272</v>
      </c>
      <c r="F16" s="47">
        <f t="shared" si="23"/>
        <v>2.6744454136089617</v>
      </c>
      <c r="G16" s="47">
        <f t="shared" si="0"/>
        <v>110.93705480907639</v>
      </c>
      <c r="H16" s="6">
        <f t="shared" si="32"/>
        <v>99843.34932816877</v>
      </c>
      <c r="I16" s="9">
        <f t="shared" si="24"/>
        <v>13173.775258577823</v>
      </c>
      <c r="J16" s="47">
        <f t="shared" si="1"/>
        <v>37055.395020973265</v>
      </c>
      <c r="K16" s="9">
        <f t="shared" si="28"/>
        <v>25698.692211854453</v>
      </c>
      <c r="L16" s="9">
        <f t="shared" si="25"/>
        <v>907.40740740740739</v>
      </c>
      <c r="M16" s="9">
        <f t="shared" si="33"/>
        <v>1275.419774265607</v>
      </c>
      <c r="N16" s="13">
        <v>4.9000000000000004</v>
      </c>
      <c r="O16" s="9">
        <f t="shared" si="30"/>
        <v>907.40740740740739</v>
      </c>
      <c r="P16" s="41">
        <f t="shared" si="31"/>
        <v>2108.1823027039786</v>
      </c>
      <c r="Q16" s="9">
        <f t="shared" si="26"/>
        <v>1.405564649190669</v>
      </c>
      <c r="R16">
        <f t="shared" si="2"/>
        <v>2.7269312785171063</v>
      </c>
      <c r="S16">
        <f t="shared" si="3"/>
        <v>2.5475279049304542</v>
      </c>
      <c r="T16">
        <f t="shared" si="4"/>
        <v>3.8392321947543468</v>
      </c>
      <c r="U16">
        <f t="shared" si="5"/>
        <v>0.25116472302131243</v>
      </c>
      <c r="V16">
        <f t="shared" si="6"/>
        <v>0.25116472302131243</v>
      </c>
      <c r="W16">
        <f t="shared" si="7"/>
        <v>0.50232944604262475</v>
      </c>
      <c r="X16">
        <f t="shared" si="8"/>
        <v>0.50232944604262475</v>
      </c>
      <c r="Y16">
        <f t="shared" si="9"/>
        <v>0.50232944604262475</v>
      </c>
      <c r="Z16">
        <f t="shared" si="10"/>
        <v>0.39468742189063388</v>
      </c>
      <c r="AA16">
        <f t="shared" si="11"/>
        <v>2.5116472302131236</v>
      </c>
      <c r="AB16">
        <f t="shared" si="12"/>
        <v>1.2558236151065618</v>
      </c>
      <c r="AC16">
        <f t="shared" si="13"/>
        <v>0.60997147019461584</v>
      </c>
      <c r="AD16">
        <f t="shared" si="14"/>
        <v>6.4944021238367924</v>
      </c>
      <c r="AE16">
        <f t="shared" si="15"/>
        <v>4.3774423155143021</v>
      </c>
      <c r="AF16">
        <f t="shared" si="16"/>
        <v>4.1621582672103203</v>
      </c>
      <c r="AG16">
        <f t="shared" si="17"/>
        <v>4.9515331109915888</v>
      </c>
      <c r="AH16">
        <f t="shared" si="27"/>
        <v>35.880674717330344</v>
      </c>
      <c r="AI16" s="9">
        <f t="shared" si="18"/>
        <v>1436253.554315964</v>
      </c>
      <c r="AJ16" s="9">
        <f t="shared" si="19"/>
        <v>40.674700658228083</v>
      </c>
      <c r="AK16" s="9">
        <f t="shared" si="20"/>
        <v>102.98237776691958</v>
      </c>
      <c r="AL16" s="9">
        <f t="shared" si="21"/>
        <v>16.372881950152351</v>
      </c>
      <c r="AM16" s="9">
        <f t="shared" si="22"/>
        <v>68.570132820864572</v>
      </c>
    </row>
    <row r="17" spans="1:39" x14ac:dyDescent="0.25">
      <c r="A17" s="6">
        <f>'Texas pop'!A113</f>
        <v>2029</v>
      </c>
      <c r="B17" s="6">
        <f>'Texas pop'!B113</f>
        <v>32337520.142857194</v>
      </c>
      <c r="C17" s="6">
        <f>'Texas pop'!C113</f>
        <v>1050650.3383995022</v>
      </c>
      <c r="D17" s="6">
        <f>'Texas pop'!D113</f>
        <v>1050650.3383995022</v>
      </c>
      <c r="E17" s="6">
        <f>'Texas pop'!E113</f>
        <v>223260.05414392037</v>
      </c>
      <c r="F17" s="47">
        <f t="shared" si="23"/>
        <v>3.1023566797863955</v>
      </c>
      <c r="G17" s="47">
        <f t="shared" si="0"/>
        <v>128.68698357852864</v>
      </c>
      <c r="H17" s="6">
        <f t="shared" si="32"/>
        <v>115818.28522067577</v>
      </c>
      <c r="I17" s="9">
        <f t="shared" si="24"/>
        <v>15281.579299950274</v>
      </c>
      <c r="J17" s="47">
        <f t="shared" si="1"/>
        <v>42984.258224328987</v>
      </c>
      <c r="K17" s="9">
        <f>J17-I16</f>
        <v>29810.482965751165</v>
      </c>
      <c r="L17" s="9">
        <f t="shared" si="25"/>
        <v>944.44444444444423</v>
      </c>
      <c r="M17" s="9">
        <f t="shared" si="33"/>
        <v>1294.6445974272042</v>
      </c>
      <c r="N17" s="13">
        <v>5.0999999999999996</v>
      </c>
      <c r="O17" s="9">
        <f t="shared" si="30"/>
        <v>944.44444444444423</v>
      </c>
      <c r="P17" s="41">
        <f t="shared" si="31"/>
        <v>2087.1004796769389</v>
      </c>
      <c r="Q17" s="9">
        <f t="shared" si="26"/>
        <v>1.370800161981746</v>
      </c>
      <c r="R17">
        <f t="shared" si="2"/>
        <v>3.1632402830798436</v>
      </c>
      <c r="S17">
        <f t="shared" si="3"/>
        <v>2.955132369719327</v>
      </c>
      <c r="T17">
        <f t="shared" si="4"/>
        <v>4.4535093459150428</v>
      </c>
      <c r="U17">
        <f t="shared" si="5"/>
        <v>0.29135107870472238</v>
      </c>
      <c r="V17">
        <f t="shared" si="6"/>
        <v>0.29135107870472238</v>
      </c>
      <c r="W17">
        <f t="shared" si="7"/>
        <v>0.58270215740944464</v>
      </c>
      <c r="X17">
        <f t="shared" si="8"/>
        <v>0.58270215740944464</v>
      </c>
      <c r="Y17">
        <f t="shared" si="9"/>
        <v>0.58270215740944464</v>
      </c>
      <c r="Z17">
        <f t="shared" si="10"/>
        <v>0.45783740939313528</v>
      </c>
      <c r="AA17">
        <f t="shared" si="11"/>
        <v>2.9135107870472234</v>
      </c>
      <c r="AB17">
        <f t="shared" si="12"/>
        <v>1.4567553935236117</v>
      </c>
      <c r="AC17">
        <f t="shared" si="13"/>
        <v>0.70756690542575451</v>
      </c>
      <c r="AD17">
        <f t="shared" si="14"/>
        <v>7.5335064636506788</v>
      </c>
      <c r="AE17">
        <f t="shared" si="15"/>
        <v>5.0778330859965903</v>
      </c>
      <c r="AF17">
        <f t="shared" si="16"/>
        <v>4.8281035899639715</v>
      </c>
      <c r="AG17">
        <f t="shared" si="17"/>
        <v>5.7437784087502424</v>
      </c>
      <c r="AH17">
        <f t="shared" si="27"/>
        <v>41.621582672103202</v>
      </c>
      <c r="AI17" s="9">
        <f t="shared" si="18"/>
        <v>1666054.1230065182</v>
      </c>
      <c r="AJ17" s="9">
        <f t="shared" si="19"/>
        <v>47.182652763544574</v>
      </c>
      <c r="AK17" s="9">
        <f t="shared" si="20"/>
        <v>119.45955820962673</v>
      </c>
      <c r="AL17" s="9">
        <f t="shared" si="21"/>
        <v>18.992543062176725</v>
      </c>
      <c r="AM17" s="9">
        <f t="shared" si="22"/>
        <v>79.541354072202907</v>
      </c>
    </row>
    <row r="18" spans="1:39" x14ac:dyDescent="0.25">
      <c r="A18" s="10">
        <f>'Texas pop'!A114</f>
        <v>2030</v>
      </c>
      <c r="B18" s="10">
        <f>'Texas pop'!B114</f>
        <v>32676452.785714388</v>
      </c>
      <c r="C18" s="10">
        <f>'Texas pop'!C114</f>
        <v>1273910.3925434225</v>
      </c>
      <c r="D18" s="10">
        <f>'Texas pop'!D114</f>
        <v>1273910.3925434225</v>
      </c>
      <c r="E18" s="10">
        <f>'Texas pop'!E114</f>
        <v>258981.66280694763</v>
      </c>
      <c r="F18" s="47">
        <f t="shared" si="23"/>
        <v>3.5987337485522191</v>
      </c>
      <c r="G18" s="47">
        <f t="shared" si="0"/>
        <v>149.27690095109318</v>
      </c>
      <c r="H18" s="10">
        <f t="shared" si="32"/>
        <v>134349.2108559839</v>
      </c>
      <c r="I18" s="9">
        <f t="shared" si="24"/>
        <v>17726.631987942317</v>
      </c>
      <c r="J18" s="69">
        <f t="shared" si="1"/>
        <v>49861.739540221621</v>
      </c>
      <c r="K18" s="97">
        <f t="shared" si="28"/>
        <v>34580.160240271347</v>
      </c>
      <c r="L18" s="9">
        <f t="shared" si="25"/>
        <v>962.96296296296282</v>
      </c>
      <c r="M18" s="9">
        <f t="shared" si="33"/>
        <v>1301.0910516800095</v>
      </c>
      <c r="N18" s="13">
        <v>5.2</v>
      </c>
      <c r="O18" s="9">
        <f t="shared" si="30"/>
        <v>962.96296296296282</v>
      </c>
      <c r="P18" s="41">
        <f t="shared" si="31"/>
        <v>2066.2294748801696</v>
      </c>
      <c r="Q18" s="9">
        <f t="shared" si="26"/>
        <v>1.351133015206164</v>
      </c>
      <c r="R18">
        <f t="shared" si="2"/>
        <v>3.6693587283726186</v>
      </c>
      <c r="S18">
        <f t="shared" si="3"/>
        <v>3.4279535488744197</v>
      </c>
      <c r="T18">
        <f t="shared" si="4"/>
        <v>5.1660708412614493</v>
      </c>
      <c r="U18">
        <f t="shared" si="5"/>
        <v>0.33796725129747796</v>
      </c>
      <c r="V18">
        <f t="shared" si="6"/>
        <v>0.33796725129747796</v>
      </c>
      <c r="W18">
        <f t="shared" si="7"/>
        <v>0.6759345025949558</v>
      </c>
      <c r="X18">
        <f t="shared" si="8"/>
        <v>0.6759345025949558</v>
      </c>
      <c r="Y18">
        <f t="shared" si="9"/>
        <v>0.6759345025949558</v>
      </c>
      <c r="Z18">
        <f t="shared" si="10"/>
        <v>0.53109139489603696</v>
      </c>
      <c r="AA18">
        <f t="shared" si="11"/>
        <v>3.3796725129747793</v>
      </c>
      <c r="AB18">
        <f t="shared" si="12"/>
        <v>1.6898362564873899</v>
      </c>
      <c r="AC18">
        <f t="shared" si="13"/>
        <v>0.82077761029387519</v>
      </c>
      <c r="AD18">
        <f t="shared" si="14"/>
        <v>8.7388674978347893</v>
      </c>
      <c r="AE18">
        <f t="shared" si="15"/>
        <v>5.8902863797560459</v>
      </c>
      <c r="AF18">
        <f t="shared" si="16"/>
        <v>5.6006001643582071</v>
      </c>
      <c r="AG18">
        <f t="shared" si="17"/>
        <v>6.6627829541502814</v>
      </c>
      <c r="AH18">
        <f t="shared" si="27"/>
        <v>48.281035899639711</v>
      </c>
      <c r="AI18" s="9">
        <f t="shared" si="18"/>
        <v>1932622.7826875611</v>
      </c>
      <c r="AJ18" s="9">
        <f t="shared" si="19"/>
        <v>54.731877205711704</v>
      </c>
      <c r="AK18" s="9">
        <f t="shared" si="20"/>
        <v>138.57308752316703</v>
      </c>
      <c r="AL18" s="9">
        <f t="shared" si="21"/>
        <v>22.031349952125005</v>
      </c>
      <c r="AM18" s="9">
        <f t="shared" si="22"/>
        <v>92.267970723755369</v>
      </c>
    </row>
    <row r="19" spans="1:39" x14ac:dyDescent="0.25">
      <c r="A19" s="6">
        <f>'Texas pop'!A115</f>
        <v>2031</v>
      </c>
      <c r="B19" s="6">
        <f>'Texas pop'!B115</f>
        <v>33015385.428571463</v>
      </c>
      <c r="C19" s="6">
        <f>'Texas pop'!C115</f>
        <v>1532892.0553503702</v>
      </c>
      <c r="D19" s="6">
        <f>'Texas pop'!D115</f>
        <v>1532892.0553503702</v>
      </c>
      <c r="E19" s="6">
        <f>'Texas pop'!E115</f>
        <v>282290.01245957293</v>
      </c>
      <c r="F19" s="47">
        <f t="shared" si="23"/>
        <v>3.9226197859219183</v>
      </c>
      <c r="G19" s="47">
        <f t="shared" si="0"/>
        <v>162.71182203669161</v>
      </c>
      <c r="H19" s="6">
        <f t="shared" si="32"/>
        <v>146440.63983302243</v>
      </c>
      <c r="I19" s="9">
        <f t="shared" si="24"/>
        <v>19322.028866857127</v>
      </c>
      <c r="J19" s="47">
        <f t="shared" si="1"/>
        <v>54349.29609884158</v>
      </c>
      <c r="K19" s="9">
        <f t="shared" si="28"/>
        <v>36622.664110899263</v>
      </c>
      <c r="L19" s="9">
        <f t="shared" si="25"/>
        <v>981.4814814814813</v>
      </c>
      <c r="M19" s="9">
        <f t="shared" si="33"/>
        <v>1328.5449567709261</v>
      </c>
      <c r="N19" s="13">
        <v>5.3</v>
      </c>
      <c r="O19" s="9">
        <f t="shared" si="30"/>
        <v>981.4814814814813</v>
      </c>
      <c r="P19" s="41">
        <f t="shared" si="31"/>
        <v>2045.5671801313679</v>
      </c>
      <c r="Q19" s="9">
        <f t="shared" si="26"/>
        <v>1.3536118427477364</v>
      </c>
      <c r="R19">
        <f t="shared" si="2"/>
        <v>3.9996010139261542</v>
      </c>
      <c r="S19">
        <f t="shared" si="3"/>
        <v>3.7364693682731174</v>
      </c>
      <c r="T19">
        <f t="shared" si="4"/>
        <v>5.6310172169749801</v>
      </c>
      <c r="U19">
        <f t="shared" si="5"/>
        <v>0.36838430391425103</v>
      </c>
      <c r="V19">
        <f t="shared" si="6"/>
        <v>0.36838430391425103</v>
      </c>
      <c r="W19">
        <f t="shared" si="7"/>
        <v>0.73676860782850195</v>
      </c>
      <c r="X19">
        <f t="shared" si="8"/>
        <v>0.73676860782850195</v>
      </c>
      <c r="Y19">
        <f t="shared" si="9"/>
        <v>0.73676860782850195</v>
      </c>
      <c r="Z19">
        <f t="shared" si="10"/>
        <v>0.57888962043668024</v>
      </c>
      <c r="AA19">
        <f t="shared" si="11"/>
        <v>3.6838430391425097</v>
      </c>
      <c r="AB19">
        <f t="shared" si="12"/>
        <v>1.8419215195712551</v>
      </c>
      <c r="AC19">
        <f t="shared" si="13"/>
        <v>0.894647595220324</v>
      </c>
      <c r="AD19">
        <f t="shared" si="14"/>
        <v>9.5253655726399202</v>
      </c>
      <c r="AE19">
        <f t="shared" si="15"/>
        <v>6.4204121539340893</v>
      </c>
      <c r="AF19">
        <f t="shared" si="16"/>
        <v>6.1046541791504456</v>
      </c>
      <c r="AG19">
        <f t="shared" si="17"/>
        <v>7.2624334200238074</v>
      </c>
      <c r="AH19">
        <f t="shared" si="27"/>
        <v>52.626329130607289</v>
      </c>
      <c r="AI19" s="9">
        <f t="shared" si="18"/>
        <v>2106558.8331294418</v>
      </c>
      <c r="AJ19" s="9">
        <f t="shared" si="19"/>
        <v>59.657746154225769</v>
      </c>
      <c r="AK19" s="9">
        <f t="shared" si="20"/>
        <v>151.04466540025206</v>
      </c>
      <c r="AL19" s="9">
        <f t="shared" si="21"/>
        <v>24.014171447816253</v>
      </c>
      <c r="AM19" s="9">
        <f t="shared" si="22"/>
        <v>100.57208808889335</v>
      </c>
    </row>
    <row r="20" spans="1:39" x14ac:dyDescent="0.25">
      <c r="A20" s="6">
        <f>'Texas pop'!A116</f>
        <v>2032</v>
      </c>
      <c r="B20" s="6">
        <f>'Texas pop'!B116</f>
        <v>33354318.071428657</v>
      </c>
      <c r="C20" s="6">
        <f>'Texas pop'!C116</f>
        <v>1815182.0678099431</v>
      </c>
      <c r="D20" s="6">
        <f>'Texas pop'!D116</f>
        <v>1815182.0678099431</v>
      </c>
      <c r="E20" s="6">
        <f>'Texas pop'!E116</f>
        <v>307696.11358093447</v>
      </c>
      <c r="F20" s="47">
        <f t="shared" si="23"/>
        <v>4.2756555666548914</v>
      </c>
      <c r="G20" s="47">
        <f t="shared" si="0"/>
        <v>177.35588601999385</v>
      </c>
      <c r="H20" s="6">
        <f t="shared" si="32"/>
        <v>159620.29741799444</v>
      </c>
      <c r="I20" s="9">
        <f t="shared" si="24"/>
        <v>21061.011464874267</v>
      </c>
      <c r="J20" s="47">
        <f t="shared" si="1"/>
        <v>59240.732747737311</v>
      </c>
      <c r="K20" s="9">
        <f t="shared" si="28"/>
        <v>39918.703880880188</v>
      </c>
      <c r="L20" s="9">
        <f t="shared" si="25"/>
        <v>999.99999999999989</v>
      </c>
      <c r="M20" s="9">
        <f t="shared" si="33"/>
        <v>1334.3516063524264</v>
      </c>
      <c r="N20" s="13">
        <v>5.4</v>
      </c>
      <c r="O20" s="9">
        <f t="shared" si="30"/>
        <v>999.99999999999989</v>
      </c>
      <c r="P20" s="41">
        <f t="shared" si="31"/>
        <v>2025.1115083300542</v>
      </c>
      <c r="Q20" s="9">
        <f t="shared" si="26"/>
        <v>1.3343516063524266</v>
      </c>
      <c r="R20">
        <f t="shared" si="2"/>
        <v>4.3595651051795086</v>
      </c>
      <c r="S20">
        <f t="shared" si="3"/>
        <v>4.072751611417698</v>
      </c>
      <c r="T20">
        <f t="shared" si="4"/>
        <v>6.1378087665027277</v>
      </c>
      <c r="U20">
        <f t="shared" si="5"/>
        <v>0.40153889126653364</v>
      </c>
      <c r="V20">
        <f t="shared" si="6"/>
        <v>0.40153889126653364</v>
      </c>
      <c r="W20">
        <f t="shared" si="7"/>
        <v>0.80307778253306705</v>
      </c>
      <c r="X20">
        <f t="shared" si="8"/>
        <v>0.80307778253306705</v>
      </c>
      <c r="Y20">
        <f t="shared" si="9"/>
        <v>0.80307778253306705</v>
      </c>
      <c r="Z20">
        <f t="shared" si="10"/>
        <v>0.63098968627598151</v>
      </c>
      <c r="AA20">
        <f t="shared" si="11"/>
        <v>4.015388912665335</v>
      </c>
      <c r="AB20">
        <f t="shared" si="12"/>
        <v>2.007694456332668</v>
      </c>
      <c r="AC20">
        <f t="shared" si="13"/>
        <v>0.97516587879015304</v>
      </c>
      <c r="AD20">
        <f t="shared" si="14"/>
        <v>10.382648474177511</v>
      </c>
      <c r="AE20">
        <f t="shared" si="15"/>
        <v>6.9982492477881575</v>
      </c>
      <c r="AF20">
        <f t="shared" si="16"/>
        <v>6.6540730552739857</v>
      </c>
      <c r="AG20">
        <f t="shared" si="17"/>
        <v>7.9160524278259503</v>
      </c>
      <c r="AH20">
        <f t="shared" si="27"/>
        <v>57.36269875236195</v>
      </c>
      <c r="AI20" s="9">
        <f t="shared" si="18"/>
        <v>2296149.1281110914</v>
      </c>
      <c r="AJ20" s="9">
        <f t="shared" si="19"/>
        <v>65.026943308106084</v>
      </c>
      <c r="AK20" s="9">
        <f t="shared" si="20"/>
        <v>164.63868528627472</v>
      </c>
      <c r="AL20" s="9">
        <f t="shared" si="21"/>
        <v>26.175446878119718</v>
      </c>
      <c r="AM20" s="9">
        <f t="shared" si="22"/>
        <v>109.62357601689376</v>
      </c>
    </row>
    <row r="21" spans="1:39" x14ac:dyDescent="0.25">
      <c r="A21" s="6">
        <f>'Texas pop'!A117</f>
        <v>2033</v>
      </c>
      <c r="B21" s="6">
        <f>'Texas pop'!B117</f>
        <v>33693250.714285731</v>
      </c>
      <c r="C21" s="6">
        <f>'Texas pop'!C117</f>
        <v>2122878.1813908778</v>
      </c>
      <c r="D21" s="6">
        <f>'Texas pop'!D117</f>
        <v>2122878.1813908778</v>
      </c>
      <c r="E21" s="6">
        <f>'Texas pop'!E117</f>
        <v>335388.76380321855</v>
      </c>
      <c r="F21" s="47">
        <f t="shared" si="23"/>
        <v>4.6604645676538308</v>
      </c>
      <c r="G21" s="47">
        <f t="shared" si="0"/>
        <v>193.31791576179327</v>
      </c>
      <c r="H21" s="6">
        <f t="shared" si="32"/>
        <v>173986.12418561394</v>
      </c>
      <c r="I21" s="9">
        <f t="shared" si="24"/>
        <v>22956.50249671295</v>
      </c>
      <c r="J21" s="47">
        <f t="shared" si="1"/>
        <v>64572.398695033669</v>
      </c>
      <c r="K21" s="9">
        <f t="shared" si="28"/>
        <v>43511.387230159402</v>
      </c>
      <c r="L21" s="9">
        <f t="shared" si="25"/>
        <v>996.29629629629619</v>
      </c>
      <c r="M21" s="9">
        <f t="shared" si="33"/>
        <v>1325.2507789887263</v>
      </c>
      <c r="N21" s="13">
        <v>5.38</v>
      </c>
      <c r="O21" s="9">
        <f t="shared" si="30"/>
        <v>996.29629629629619</v>
      </c>
      <c r="P21" s="41">
        <f t="shared" si="31"/>
        <v>2004.8603932467536</v>
      </c>
      <c r="Q21" s="9">
        <f t="shared" si="26"/>
        <v>1.3301773618102459</v>
      </c>
      <c r="R21">
        <f t="shared" si="2"/>
        <v>4.7519259646456629</v>
      </c>
      <c r="S21">
        <f t="shared" si="3"/>
        <v>4.4392992564452909</v>
      </c>
      <c r="T21">
        <f t="shared" si="4"/>
        <v>6.6902115554879726</v>
      </c>
      <c r="U21">
        <f t="shared" si="5"/>
        <v>0.43767739148052159</v>
      </c>
      <c r="V21">
        <f t="shared" si="6"/>
        <v>0.43767739148052159</v>
      </c>
      <c r="W21">
        <f t="shared" si="7"/>
        <v>0.87535478296104308</v>
      </c>
      <c r="X21">
        <f t="shared" si="8"/>
        <v>0.87535478296104308</v>
      </c>
      <c r="Y21">
        <f t="shared" si="9"/>
        <v>0.87535478296104308</v>
      </c>
      <c r="Z21">
        <f t="shared" si="10"/>
        <v>0.68777875804081978</v>
      </c>
      <c r="AA21">
        <f t="shared" si="11"/>
        <v>4.3767739148052147</v>
      </c>
      <c r="AB21">
        <f t="shared" si="12"/>
        <v>2.1883869574026078</v>
      </c>
      <c r="AC21">
        <f t="shared" si="13"/>
        <v>1.0629308078812667</v>
      </c>
      <c r="AD21">
        <f t="shared" si="14"/>
        <v>11.317086836853488</v>
      </c>
      <c r="AE21">
        <f t="shared" si="15"/>
        <v>7.6280916800890912</v>
      </c>
      <c r="AF21">
        <f t="shared" si="16"/>
        <v>7.2529396302486431</v>
      </c>
      <c r="AG21">
        <f t="shared" si="17"/>
        <v>8.6284971463302842</v>
      </c>
      <c r="AH21">
        <f t="shared" si="27"/>
        <v>62.525341640074508</v>
      </c>
      <c r="AI21" s="9">
        <f t="shared" si="18"/>
        <v>2502802.5496410895</v>
      </c>
      <c r="AJ21" s="9">
        <f t="shared" si="19"/>
        <v>70.879368205835632</v>
      </c>
      <c r="AK21" s="9">
        <f t="shared" si="20"/>
        <v>179.45616696203945</v>
      </c>
      <c r="AL21" s="9">
        <f t="shared" si="21"/>
        <v>28.531237097150491</v>
      </c>
      <c r="AM21" s="9">
        <f t="shared" si="22"/>
        <v>119.48969785841419</v>
      </c>
    </row>
    <row r="22" spans="1:39" x14ac:dyDescent="0.25">
      <c r="A22" s="6">
        <f>'Texas pop'!A118</f>
        <v>2034</v>
      </c>
      <c r="B22" s="6">
        <f>'Texas pop'!B118</f>
        <v>34032183.357142925</v>
      </c>
      <c r="C22" s="6">
        <f>'Texas pop'!C118</f>
        <v>2458266.9451940963</v>
      </c>
      <c r="D22" s="6">
        <f>'Texas pop'!D118</f>
        <v>2458266.9451940963</v>
      </c>
      <c r="E22" s="6">
        <f>'Texas pop'!E118</f>
        <v>365573.75254550821</v>
      </c>
      <c r="F22" s="47">
        <f t="shared" si="23"/>
        <v>5.0799063787426748</v>
      </c>
      <c r="G22" s="47">
        <f t="shared" si="0"/>
        <v>210.71652818035466</v>
      </c>
      <c r="H22" s="6">
        <f t="shared" si="32"/>
        <v>189644.8753623192</v>
      </c>
      <c r="I22" s="9">
        <f t="shared" si="24"/>
        <v>25022.587721417112</v>
      </c>
      <c r="J22" s="47">
        <f t="shared" si="1"/>
        <v>70383.914577586693</v>
      </c>
      <c r="K22" s="9">
        <f t="shared" si="28"/>
        <v>47427.412080873743</v>
      </c>
      <c r="L22" s="9">
        <f t="shared" si="25"/>
        <v>985.18518518518511</v>
      </c>
      <c r="M22" s="9">
        <f t="shared" si="33"/>
        <v>1311.2246044359299</v>
      </c>
      <c r="N22" s="13">
        <v>5.32</v>
      </c>
      <c r="O22" s="9">
        <f t="shared" si="30"/>
        <v>985.18518518518511</v>
      </c>
      <c r="P22" s="41">
        <f t="shared" si="31"/>
        <v>1984.811789314286</v>
      </c>
      <c r="Q22" s="9">
        <f t="shared" si="26"/>
        <v>1.3309422676605305</v>
      </c>
      <c r="R22">
        <f t="shared" si="2"/>
        <v>5.1795993014637727</v>
      </c>
      <c r="S22">
        <f t="shared" si="3"/>
        <v>4.8388361895253658</v>
      </c>
      <c r="T22">
        <f t="shared" si="4"/>
        <v>7.2923305954818902</v>
      </c>
      <c r="U22">
        <f t="shared" si="5"/>
        <v>0.47706835671376857</v>
      </c>
      <c r="V22">
        <f t="shared" si="6"/>
        <v>0.47706835671376857</v>
      </c>
      <c r="W22">
        <f t="shared" si="7"/>
        <v>0.95413671342753692</v>
      </c>
      <c r="X22">
        <f t="shared" si="8"/>
        <v>0.95413671342753692</v>
      </c>
      <c r="Y22">
        <f t="shared" si="9"/>
        <v>0.95413671342753692</v>
      </c>
      <c r="Z22">
        <f t="shared" si="10"/>
        <v>0.74967884626449355</v>
      </c>
      <c r="AA22">
        <f t="shared" si="11"/>
        <v>4.7706835671376844</v>
      </c>
      <c r="AB22">
        <f t="shared" si="12"/>
        <v>2.3853417835688422</v>
      </c>
      <c r="AC22">
        <f t="shared" si="13"/>
        <v>1.1585945805905808</v>
      </c>
      <c r="AD22">
        <f t="shared" si="14"/>
        <v>12.335624652170301</v>
      </c>
      <c r="AE22">
        <f t="shared" si="15"/>
        <v>8.3146199312971092</v>
      </c>
      <c r="AF22">
        <f t="shared" si="16"/>
        <v>7.9057041969710218</v>
      </c>
      <c r="AG22">
        <f t="shared" si="17"/>
        <v>9.4050618895000113</v>
      </c>
      <c r="AH22">
        <f t="shared" si="27"/>
        <v>68.15262238768122</v>
      </c>
      <c r="AI22" s="9">
        <f t="shared" si="18"/>
        <v>2728054.7791087874</v>
      </c>
      <c r="AJ22" s="9">
        <f t="shared" si="19"/>
        <v>77.258511344360826</v>
      </c>
      <c r="AK22" s="9">
        <f t="shared" si="20"/>
        <v>195.607221988623</v>
      </c>
      <c r="AL22" s="9">
        <f t="shared" si="21"/>
        <v>31.099048435894034</v>
      </c>
      <c r="AM22" s="9">
        <f t="shared" si="22"/>
        <v>130.24377066567146</v>
      </c>
    </row>
    <row r="23" spans="1:39" x14ac:dyDescent="0.25">
      <c r="A23" s="6">
        <f>'Texas pop'!A119</f>
        <v>2035</v>
      </c>
      <c r="B23" s="6">
        <f>'Texas pop'!B119</f>
        <v>34371116.000000119</v>
      </c>
      <c r="C23" s="6">
        <f>'Texas pop'!C119</f>
        <v>2823840.6977396044</v>
      </c>
      <c r="D23" s="6">
        <f>'Texas pop'!D119</f>
        <v>2823840.6977396044</v>
      </c>
      <c r="E23" s="6">
        <f>'Texas pop'!E119</f>
        <v>398475.39027460397</v>
      </c>
      <c r="F23" s="47">
        <f t="shared" si="23"/>
        <v>5.5370979528295168</v>
      </c>
      <c r="G23" s="47">
        <f t="shared" si="0"/>
        <v>229.68101571658659</v>
      </c>
      <c r="H23" s="6">
        <f t="shared" si="32"/>
        <v>206712.91414492793</v>
      </c>
      <c r="I23" s="9">
        <f t="shared" si="24"/>
        <v>27274.620616344655</v>
      </c>
      <c r="J23" s="47">
        <f t="shared" si="1"/>
        <v>76718.466889569507</v>
      </c>
      <c r="K23" s="9">
        <f t="shared" si="28"/>
        <v>51695.879168152394</v>
      </c>
      <c r="L23" s="9">
        <f t="shared" si="25"/>
        <v>994.44444444444434</v>
      </c>
      <c r="M23" s="9">
        <f t="shared" si="33"/>
        <v>1310.9901664451547</v>
      </c>
      <c r="N23" s="13">
        <v>5.37</v>
      </c>
      <c r="O23" s="9">
        <f t="shared" si="30"/>
        <v>994.44444444444434</v>
      </c>
      <c r="P23" s="41">
        <f t="shared" si="31"/>
        <v>1964.9636714211431</v>
      </c>
      <c r="Q23" s="9">
        <f t="shared" si="26"/>
        <v>1.3183141338554629</v>
      </c>
      <c r="R23">
        <f t="shared" si="2"/>
        <v>5.6457632385955128</v>
      </c>
      <c r="S23">
        <f t="shared" si="3"/>
        <v>5.2743314465826492</v>
      </c>
      <c r="T23">
        <f t="shared" si="4"/>
        <v>7.9486403490752604</v>
      </c>
      <c r="U23">
        <f t="shared" si="5"/>
        <v>0.52000450881800775</v>
      </c>
      <c r="V23">
        <f t="shared" si="6"/>
        <v>0.52000450881800775</v>
      </c>
      <c r="W23">
        <f t="shared" si="7"/>
        <v>1.0400090176360153</v>
      </c>
      <c r="X23">
        <f t="shared" si="8"/>
        <v>1.0400090176360153</v>
      </c>
      <c r="Y23">
        <f t="shared" si="9"/>
        <v>1.0400090176360153</v>
      </c>
      <c r="Z23">
        <f t="shared" si="10"/>
        <v>0.81714994242829797</v>
      </c>
      <c r="AA23">
        <f t="shared" si="11"/>
        <v>5.2000450881800759</v>
      </c>
      <c r="AB23">
        <f t="shared" si="12"/>
        <v>2.6000225440900384</v>
      </c>
      <c r="AC23">
        <f t="shared" si="13"/>
        <v>1.262868092843733</v>
      </c>
      <c r="AD23">
        <f t="shared" si="14"/>
        <v>13.445830870865628</v>
      </c>
      <c r="AE23">
        <f t="shared" si="15"/>
        <v>9.0629357251138476</v>
      </c>
      <c r="AF23">
        <f t="shared" si="16"/>
        <v>8.6172175746984152</v>
      </c>
      <c r="AG23">
        <f t="shared" si="17"/>
        <v>10.251517459555011</v>
      </c>
      <c r="AH23">
        <f t="shared" si="27"/>
        <v>74.286358402572517</v>
      </c>
      <c r="AI23" s="9">
        <f t="shared" si="18"/>
        <v>2973579.7092285785</v>
      </c>
      <c r="AJ23" s="9">
        <f t="shared" si="19"/>
        <v>84.211777365353299</v>
      </c>
      <c r="AK23" s="9">
        <f t="shared" si="20"/>
        <v>213.21187196759905</v>
      </c>
      <c r="AL23" s="9">
        <f t="shared" si="21"/>
        <v>33.897962795124499</v>
      </c>
      <c r="AM23" s="9">
        <f t="shared" si="22"/>
        <v>141.9657100255819</v>
      </c>
    </row>
    <row r="24" spans="1:39" x14ac:dyDescent="0.25">
      <c r="A24" s="6">
        <f>'Texas pop'!A120</f>
        <v>2036</v>
      </c>
      <c r="B24" s="6">
        <f>'Texas pop'!B120</f>
        <v>34710048.642857194</v>
      </c>
      <c r="C24" s="6">
        <f>'Texas pop'!C120</f>
        <v>3222316.0880142082</v>
      </c>
      <c r="D24" s="6">
        <f>'Texas pop'!D120</f>
        <v>3210416.0880142082</v>
      </c>
      <c r="E24" s="6">
        <f>'Texas pop'!E120</f>
        <v>434338.17539931834</v>
      </c>
      <c r="F24" s="47">
        <f t="shared" si="23"/>
        <v>6.035436768584173</v>
      </c>
      <c r="G24" s="47">
        <f t="shared" si="0"/>
        <v>250.35230713107941</v>
      </c>
      <c r="H24" s="6">
        <f t="shared" si="32"/>
        <v>225317.07641797143</v>
      </c>
      <c r="I24" s="9">
        <f t="shared" si="24"/>
        <v>29729.336471815674</v>
      </c>
      <c r="J24" s="47">
        <f t="shared" si="1"/>
        <v>83623.128909630759</v>
      </c>
      <c r="K24" s="9">
        <f t="shared" si="28"/>
        <v>56348.508293286104</v>
      </c>
      <c r="L24" s="9">
        <f t="shared" si="25"/>
        <v>962.96296296296282</v>
      </c>
      <c r="M24" s="9">
        <f t="shared" si="33"/>
        <v>1283.3677737280691</v>
      </c>
      <c r="N24" s="13">
        <v>5.2</v>
      </c>
      <c r="O24" s="9">
        <f t="shared" si="30"/>
        <v>962.96296296296282</v>
      </c>
      <c r="P24" s="41">
        <f t="shared" si="31"/>
        <v>1945.3140347069316</v>
      </c>
      <c r="Q24" s="9">
        <f t="shared" si="26"/>
        <v>1.3327280727176105</v>
      </c>
      <c r="R24">
        <f t="shared" si="2"/>
        <v>6.1538819300691081</v>
      </c>
      <c r="S24">
        <f t="shared" si="3"/>
        <v>5.7490212767750881</v>
      </c>
      <c r="T24">
        <f t="shared" si="4"/>
        <v>8.6640179804920354</v>
      </c>
      <c r="U24">
        <f t="shared" si="5"/>
        <v>0.56680491461162841</v>
      </c>
      <c r="V24">
        <f t="shared" si="6"/>
        <v>0.56680491461162841</v>
      </c>
      <c r="W24">
        <f t="shared" si="7"/>
        <v>1.1336098292232568</v>
      </c>
      <c r="X24">
        <f t="shared" si="8"/>
        <v>1.1336098292232568</v>
      </c>
      <c r="Y24">
        <f t="shared" si="9"/>
        <v>1.1336098292232568</v>
      </c>
      <c r="Z24">
        <f t="shared" si="10"/>
        <v>0.89069343724684491</v>
      </c>
      <c r="AA24">
        <f t="shared" si="11"/>
        <v>5.6680491461162825</v>
      </c>
      <c r="AB24">
        <f t="shared" si="12"/>
        <v>2.8340245730581417</v>
      </c>
      <c r="AC24">
        <f t="shared" si="13"/>
        <v>1.3765262211996692</v>
      </c>
      <c r="AD24">
        <f t="shared" si="14"/>
        <v>14.655955649243536</v>
      </c>
      <c r="AE24">
        <f t="shared" si="15"/>
        <v>9.8785999403740945</v>
      </c>
      <c r="AF24">
        <f t="shared" si="16"/>
        <v>9.3927671564212716</v>
      </c>
      <c r="AG24">
        <f t="shared" si="17"/>
        <v>11.174154030914963</v>
      </c>
      <c r="AH24">
        <f t="shared" si="27"/>
        <v>80.972130658804062</v>
      </c>
      <c r="AI24" s="9">
        <f t="shared" si="18"/>
        <v>3241201.8830591505</v>
      </c>
      <c r="AJ24" s="9">
        <f t="shared" si="19"/>
        <v>91.790837328235099</v>
      </c>
      <c r="AK24" s="9">
        <f t="shared" si="20"/>
        <v>232.40094044468299</v>
      </c>
      <c r="AL24" s="9">
        <f t="shared" si="21"/>
        <v>36.948779446685698</v>
      </c>
      <c r="AM24" s="9">
        <f t="shared" si="22"/>
        <v>154.74262392788427</v>
      </c>
    </row>
    <row r="25" spans="1:39" x14ac:dyDescent="0.25">
      <c r="A25" s="6">
        <f>'Texas pop'!A121</f>
        <v>2037</v>
      </c>
      <c r="B25" s="6">
        <f>'Texas pop'!B121</f>
        <v>35048981.285714388</v>
      </c>
      <c r="C25" s="6">
        <f>'Texas pop'!C121</f>
        <v>3656654.2634135266</v>
      </c>
      <c r="D25" s="6">
        <f>'Texas pop'!D121</f>
        <v>3640554.2634135266</v>
      </c>
      <c r="E25" s="6">
        <f>'Texas pop'!E121</f>
        <v>473428.61118525697</v>
      </c>
      <c r="F25" s="47">
        <f t="shared" si="23"/>
        <v>6.5786260777567485</v>
      </c>
      <c r="G25" s="47">
        <f t="shared" si="0"/>
        <v>272.88401477287653</v>
      </c>
      <c r="H25" s="6">
        <f t="shared" si="32"/>
        <v>245595.61329558888</v>
      </c>
      <c r="I25" s="9">
        <f t="shared" si="24"/>
        <v>32404.976754279083</v>
      </c>
      <c r="J25" s="47">
        <f t="shared" si="1"/>
        <v>91149.210511497527</v>
      </c>
      <c r="K25" s="9">
        <f t="shared" si="28"/>
        <v>61419.874039681854</v>
      </c>
      <c r="L25" s="9">
        <f t="shared" si="25"/>
        <v>999.99999999999989</v>
      </c>
      <c r="M25" s="9">
        <f t="shared" si="33"/>
        <v>1301.9799063541918</v>
      </c>
      <c r="N25" s="13">
        <v>5.4</v>
      </c>
      <c r="O25" s="9">
        <f t="shared" si="30"/>
        <v>999.99999999999989</v>
      </c>
      <c r="P25" s="41">
        <f t="shared" si="31"/>
        <v>1925.8608943598622</v>
      </c>
      <c r="Q25" s="9">
        <f t="shared" si="26"/>
        <v>1.3019799063541919</v>
      </c>
      <c r="R25">
        <f t="shared" si="2"/>
        <v>6.7077313037753283</v>
      </c>
      <c r="S25">
        <f t="shared" si="3"/>
        <v>6.2664331916848459</v>
      </c>
      <c r="T25">
        <f t="shared" si="4"/>
        <v>9.4437795987363184</v>
      </c>
      <c r="U25">
        <f t="shared" si="5"/>
        <v>0.61781735692667494</v>
      </c>
      <c r="V25">
        <f t="shared" si="6"/>
        <v>0.61781735692667494</v>
      </c>
      <c r="W25">
        <f t="shared" si="7"/>
        <v>1.2356347138533497</v>
      </c>
      <c r="X25">
        <f t="shared" si="8"/>
        <v>1.2356347138533497</v>
      </c>
      <c r="Y25">
        <f t="shared" si="9"/>
        <v>1.2356347138533497</v>
      </c>
      <c r="Z25">
        <f t="shared" si="10"/>
        <v>0.97085584659906077</v>
      </c>
      <c r="AA25">
        <f t="shared" si="11"/>
        <v>6.1781735692667485</v>
      </c>
      <c r="AB25">
        <f t="shared" si="12"/>
        <v>3.0890867846333747</v>
      </c>
      <c r="AC25">
        <f t="shared" si="13"/>
        <v>1.5004135811076393</v>
      </c>
      <c r="AD25">
        <f t="shared" si="14"/>
        <v>15.974991657675453</v>
      </c>
      <c r="AE25">
        <f t="shared" si="15"/>
        <v>10.767673935007764</v>
      </c>
      <c r="AF25">
        <f t="shared" si="16"/>
        <v>10.238116200499187</v>
      </c>
      <c r="AG25">
        <f t="shared" si="17"/>
        <v>12.179827893697308</v>
      </c>
      <c r="AH25">
        <f t="shared" si="27"/>
        <v>88.259622418096441</v>
      </c>
      <c r="AI25" s="9">
        <f t="shared" si="18"/>
        <v>3532910.0525344741</v>
      </c>
      <c r="AJ25" s="9">
        <f t="shared" si="19"/>
        <v>100.05201268777627</v>
      </c>
      <c r="AK25" s="9">
        <f t="shared" si="20"/>
        <v>253.31702508470443</v>
      </c>
      <c r="AL25" s="9">
        <f t="shared" si="21"/>
        <v>40.274169596887411</v>
      </c>
      <c r="AM25" s="9">
        <f t="shared" si="22"/>
        <v>168.66946008139385</v>
      </c>
    </row>
    <row r="26" spans="1:39" x14ac:dyDescent="0.25">
      <c r="A26" s="6">
        <f>'Texas pop'!A122</f>
        <v>2038</v>
      </c>
      <c r="B26" s="6">
        <f>'Texas pop'!B122</f>
        <v>35387913.928571463</v>
      </c>
      <c r="C26" s="6">
        <f>'Texas pop'!C122</f>
        <v>4130082.8745987834</v>
      </c>
      <c r="D26" s="6">
        <f>'Texas pop'!D122</f>
        <v>4100082.8745987834</v>
      </c>
      <c r="E26" s="6">
        <f>'Texas pop'!E122</f>
        <v>516037.18619193009</v>
      </c>
      <c r="F26" s="47">
        <f t="shared" si="23"/>
        <v>7.1707024247548565</v>
      </c>
      <c r="G26" s="47">
        <f t="shared" si="0"/>
        <v>297.44357610243543</v>
      </c>
      <c r="H26" s="6">
        <f t="shared" si="32"/>
        <v>267699.21849219187</v>
      </c>
      <c r="I26" s="9">
        <f t="shared" si="24"/>
        <v>35321.424662164201</v>
      </c>
      <c r="J26" s="47">
        <f t="shared" si="1"/>
        <v>99352.639457532307</v>
      </c>
      <c r="K26" s="9">
        <f t="shared" si="28"/>
        <v>66947.662703253227</v>
      </c>
      <c r="L26" s="9">
        <f t="shared" si="25"/>
        <v>1009.2592592592591</v>
      </c>
      <c r="M26" s="9">
        <f t="shared" si="33"/>
        <v>1301.9377433136415</v>
      </c>
      <c r="N26" s="13">
        <v>5.45</v>
      </c>
      <c r="O26" s="9">
        <f t="shared" si="30"/>
        <v>1009.2592592592591</v>
      </c>
      <c r="P26" s="41">
        <f t="shared" si="31"/>
        <v>1906.6022854162636</v>
      </c>
      <c r="Q26" s="9">
        <f t="shared" si="26"/>
        <v>1.2899933603474614</v>
      </c>
      <c r="R26">
        <f t="shared" si="2"/>
        <v>7.3114271211151083</v>
      </c>
      <c r="S26">
        <f t="shared" si="3"/>
        <v>6.8304121789364816</v>
      </c>
      <c r="T26">
        <f t="shared" si="4"/>
        <v>10.293719762622585</v>
      </c>
      <c r="U26">
        <f t="shared" si="5"/>
        <v>0.67342091905007573</v>
      </c>
      <c r="V26">
        <f t="shared" si="6"/>
        <v>0.67342091905007573</v>
      </c>
      <c r="W26">
        <f t="shared" si="7"/>
        <v>1.3468418381001512</v>
      </c>
      <c r="X26">
        <f t="shared" si="8"/>
        <v>1.3468418381001512</v>
      </c>
      <c r="Y26">
        <f t="shared" si="9"/>
        <v>1.3468418381001512</v>
      </c>
      <c r="Z26">
        <f t="shared" si="10"/>
        <v>1.0582328727929762</v>
      </c>
      <c r="AA26">
        <f t="shared" si="11"/>
        <v>6.7342091905007555</v>
      </c>
      <c r="AB26">
        <f t="shared" si="12"/>
        <v>3.3671045952503782</v>
      </c>
      <c r="AC26">
        <f t="shared" si="13"/>
        <v>1.6354508034073267</v>
      </c>
      <c r="AD26">
        <f t="shared" si="14"/>
        <v>17.41274090686624</v>
      </c>
      <c r="AE26">
        <f t="shared" si="15"/>
        <v>11.736764589158462</v>
      </c>
      <c r="AF26">
        <f t="shared" si="16"/>
        <v>11.159546658544112</v>
      </c>
      <c r="AG26">
        <f t="shared" si="17"/>
        <v>13.276012404130066</v>
      </c>
      <c r="AH26">
        <f t="shared" si="27"/>
        <v>96.202988435725103</v>
      </c>
      <c r="AI26" s="9">
        <f t="shared" si="18"/>
        <v>3850871.9572625766</v>
      </c>
      <c r="AJ26" s="9">
        <f t="shared" si="19"/>
        <v>109.05669382967612</v>
      </c>
      <c r="AK26" s="9">
        <f t="shared" si="20"/>
        <v>276.1155573423278</v>
      </c>
      <c r="AL26" s="9">
        <f t="shared" si="21"/>
        <v>43.898844860607277</v>
      </c>
      <c r="AM26" s="9">
        <f t="shared" si="22"/>
        <v>183.84971148871929</v>
      </c>
    </row>
    <row r="27" spans="1:39" x14ac:dyDescent="0.25">
      <c r="A27" s="6">
        <f>'Texas pop'!A123</f>
        <v>2039</v>
      </c>
      <c r="B27" s="6">
        <f>'Texas pop'!B123</f>
        <v>35726846.571428657</v>
      </c>
      <c r="C27" s="6">
        <f>'Texas pop'!C123</f>
        <v>4646120.0607907139</v>
      </c>
      <c r="D27" s="6">
        <f>'Texas pop'!D123</f>
        <v>4602320.0607907139</v>
      </c>
      <c r="E27" s="6">
        <f>'Texas pop'!E123</f>
        <v>562480.53294920374</v>
      </c>
      <c r="F27" s="47">
        <f t="shared" si="23"/>
        <v>7.8160656429827915</v>
      </c>
      <c r="G27" s="47">
        <f t="shared" si="0"/>
        <v>324.21349795165452</v>
      </c>
      <c r="H27" s="6">
        <f t="shared" si="32"/>
        <v>291792.14815648907</v>
      </c>
      <c r="I27" s="9">
        <f t="shared" si="24"/>
        <v>38500.352881758976</v>
      </c>
      <c r="J27" s="47">
        <f t="shared" si="1"/>
        <v>108294.37700871019</v>
      </c>
      <c r="K27" s="9">
        <f t="shared" si="28"/>
        <v>72972.952346545993</v>
      </c>
      <c r="L27" s="9">
        <f t="shared" si="25"/>
        <v>1018.5185185185184</v>
      </c>
      <c r="M27" s="9">
        <f>I26/J27*P27+K27/J27*O27</f>
        <v>1301.958394384377</v>
      </c>
      <c r="N27" s="13">
        <v>5.5</v>
      </c>
      <c r="O27" s="9">
        <f t="shared" si="30"/>
        <v>1018.5185185185184</v>
      </c>
      <c r="P27" s="41">
        <f t="shared" si="31"/>
        <v>1887.536262562101</v>
      </c>
      <c r="Q27" s="9">
        <f t="shared" si="26"/>
        <v>1.2782864235773885</v>
      </c>
      <c r="R27">
        <f t="shared" si="2"/>
        <v>7.9694555620154661</v>
      </c>
      <c r="S27">
        <f t="shared" si="3"/>
        <v>7.4451492750407642</v>
      </c>
      <c r="T27">
        <f t="shared" si="4"/>
        <v>11.220154541258616</v>
      </c>
      <c r="U27">
        <f t="shared" si="5"/>
        <v>0.73402880176458252</v>
      </c>
      <c r="V27">
        <f t="shared" si="6"/>
        <v>0.73402880176458252</v>
      </c>
      <c r="W27">
        <f t="shared" si="7"/>
        <v>1.4680576035291648</v>
      </c>
      <c r="X27">
        <f t="shared" si="8"/>
        <v>1.4680576035291648</v>
      </c>
      <c r="Y27">
        <f t="shared" si="9"/>
        <v>1.4680576035291648</v>
      </c>
      <c r="Z27">
        <f t="shared" si="10"/>
        <v>1.153473831344344</v>
      </c>
      <c r="AA27">
        <f t="shared" si="11"/>
        <v>7.3402880176458227</v>
      </c>
      <c r="AB27">
        <f t="shared" si="12"/>
        <v>3.6701440088229118</v>
      </c>
      <c r="AC27">
        <f t="shared" si="13"/>
        <v>1.7826413757139861</v>
      </c>
      <c r="AD27">
        <f t="shared" si="14"/>
        <v>18.979887588484203</v>
      </c>
      <c r="AE27">
        <f t="shared" si="15"/>
        <v>12.793073402182722</v>
      </c>
      <c r="AF27">
        <f t="shared" si="16"/>
        <v>12.163905857813081</v>
      </c>
      <c r="AG27">
        <f t="shared" si="17"/>
        <v>14.470853520501771</v>
      </c>
      <c r="AH27">
        <f t="shared" si="27"/>
        <v>104.86125739494035</v>
      </c>
      <c r="AI27" s="9">
        <f t="shared" si="18"/>
        <v>4197450.4334162083</v>
      </c>
      <c r="AJ27" s="9">
        <f t="shared" si="19"/>
        <v>118.87179627434696</v>
      </c>
      <c r="AK27" s="9">
        <f t="shared" si="20"/>
        <v>300.9659575031373</v>
      </c>
      <c r="AL27" s="9">
        <f t="shared" si="21"/>
        <v>47.849740898061931</v>
      </c>
      <c r="AM27" s="9">
        <f t="shared" si="22"/>
        <v>200.396185522704</v>
      </c>
    </row>
    <row r="28" spans="1:39" x14ac:dyDescent="0.25">
      <c r="A28" s="6">
        <f>'Texas pop'!A124</f>
        <v>2040</v>
      </c>
      <c r="B28" s="6">
        <f>'Texas pop'!B124</f>
        <v>36065779.214285731</v>
      </c>
      <c r="C28" s="6">
        <f>'Texas pop'!C124</f>
        <v>5208600.5937399175</v>
      </c>
      <c r="D28" s="6">
        <f>'Texas pop'!D124</f>
        <v>5136100.5937399175</v>
      </c>
      <c r="E28" s="6">
        <f>'Texas pop'!E124</f>
        <v>613103.78091463214</v>
      </c>
      <c r="F28" s="47">
        <f t="shared" si="23"/>
        <v>8.5195115508512451</v>
      </c>
      <c r="G28" s="47">
        <f t="shared" si="0"/>
        <v>353.39271276730352</v>
      </c>
      <c r="H28" s="6">
        <f t="shared" si="32"/>
        <v>318053.44149057317</v>
      </c>
      <c r="I28" s="9">
        <f t="shared" si="24"/>
        <v>41965.384641117293</v>
      </c>
      <c r="J28" s="47">
        <f t="shared" si="1"/>
        <v>118040.87093949414</v>
      </c>
      <c r="K28" s="9">
        <f t="shared" si="28"/>
        <v>79540.518057735171</v>
      </c>
      <c r="L28" s="9">
        <f t="shared" si="25"/>
        <v>1037.037037037037</v>
      </c>
      <c r="M28" s="9">
        <f t="shared" si="33"/>
        <v>1308.2804795132615</v>
      </c>
      <c r="N28" s="13">
        <v>5.6</v>
      </c>
      <c r="O28" s="9">
        <f t="shared" si="30"/>
        <v>1037.037037037037</v>
      </c>
      <c r="P28" s="41">
        <f t="shared" si="31"/>
        <v>1868.6608999364801</v>
      </c>
      <c r="Q28" s="9">
        <f t="shared" si="26"/>
        <v>1.2615561766735024</v>
      </c>
      <c r="R28">
        <f t="shared" si="2"/>
        <v>8.6867065625968589</v>
      </c>
      <c r="S28">
        <f t="shared" si="3"/>
        <v>8.1152127097944344</v>
      </c>
      <c r="T28">
        <f t="shared" si="4"/>
        <v>12.229968449971894</v>
      </c>
      <c r="U28">
        <f t="shared" si="5"/>
        <v>0.80009139392339501</v>
      </c>
      <c r="V28">
        <f t="shared" si="6"/>
        <v>0.80009139392339501</v>
      </c>
      <c r="W28">
        <f t="shared" si="7"/>
        <v>1.6001827878467898</v>
      </c>
      <c r="X28">
        <f t="shared" si="8"/>
        <v>1.6001827878467898</v>
      </c>
      <c r="Y28">
        <f t="shared" si="9"/>
        <v>1.6001827878467898</v>
      </c>
      <c r="Z28">
        <f t="shared" si="10"/>
        <v>1.2572864761653351</v>
      </c>
      <c r="AA28">
        <f t="shared" si="11"/>
        <v>8.0009139392339481</v>
      </c>
      <c r="AB28">
        <f t="shared" si="12"/>
        <v>4.0004569696169741</v>
      </c>
      <c r="AC28">
        <f t="shared" si="13"/>
        <v>1.943079099528245</v>
      </c>
      <c r="AD28">
        <f t="shared" si="14"/>
        <v>20.688077471447784</v>
      </c>
      <c r="AE28">
        <f t="shared" si="15"/>
        <v>13.944450008379169</v>
      </c>
      <c r="AF28">
        <f t="shared" si="16"/>
        <v>13.258657385016258</v>
      </c>
      <c r="AG28">
        <f t="shared" si="17"/>
        <v>15.773230337346932</v>
      </c>
      <c r="AH28">
        <f t="shared" si="27"/>
        <v>114.298770560485</v>
      </c>
      <c r="AI28" s="9">
        <f t="shared" si="18"/>
        <v>4575220.9724236671</v>
      </c>
      <c r="AJ28" s="9">
        <f t="shared" si="19"/>
        <v>129.57025793903821</v>
      </c>
      <c r="AK28" s="9">
        <f t="shared" si="20"/>
        <v>328.05289367841971</v>
      </c>
      <c r="AL28" s="9">
        <f t="shared" si="21"/>
        <v>52.156217578887507</v>
      </c>
      <c r="AM28" s="9">
        <f t="shared" si="22"/>
        <v>218.43184221974738</v>
      </c>
    </row>
    <row r="29" spans="1:39" x14ac:dyDescent="0.25">
      <c r="A29" s="6">
        <f>'Texas pop'!A125</f>
        <v>2041</v>
      </c>
      <c r="B29" s="6">
        <f>'Texas pop'!B125</f>
        <v>36404711.857142925</v>
      </c>
      <c r="C29" s="6">
        <f>'Texas pop'!C125</f>
        <v>5821704.3746545501</v>
      </c>
      <c r="D29" s="6">
        <f>'Texas pop'!D125</f>
        <v>5681104.3746545501</v>
      </c>
      <c r="E29" s="6">
        <f>'Texas pop'!E125</f>
        <v>637627.93215121748</v>
      </c>
      <c r="F29" s="47">
        <f t="shared" si="23"/>
        <v>8.8602920128852958</v>
      </c>
      <c r="G29" s="47">
        <f t="shared" si="0"/>
        <v>367.52842127799568</v>
      </c>
      <c r="H29" s="6">
        <f t="shared" si="32"/>
        <v>330775.57915019605</v>
      </c>
      <c r="I29" s="9">
        <f t="shared" si="24"/>
        <v>43644.000026761976</v>
      </c>
      <c r="J29" s="47">
        <f t="shared" si="1"/>
        <v>122762.50577707391</v>
      </c>
      <c r="K29" s="9">
        <f t="shared" si="28"/>
        <v>80797.121135956608</v>
      </c>
      <c r="L29" s="9">
        <f t="shared" si="25"/>
        <v>1027.7777777777776</v>
      </c>
      <c r="M29" s="9">
        <f t="shared" si="33"/>
        <v>1308.8391059651719</v>
      </c>
      <c r="N29" s="13">
        <v>5.55</v>
      </c>
      <c r="O29" s="9">
        <f t="shared" si="30"/>
        <v>1027.7777777777776</v>
      </c>
      <c r="P29" s="41">
        <f t="shared" si="31"/>
        <v>1849.9742909371153</v>
      </c>
      <c r="Q29" s="9">
        <f t="shared" si="26"/>
        <v>1.2734650760742217</v>
      </c>
      <c r="R29">
        <f t="shared" si="2"/>
        <v>9.0341748251007346</v>
      </c>
      <c r="S29">
        <f t="shared" si="3"/>
        <v>8.4398212181862124</v>
      </c>
      <c r="T29">
        <f t="shared" si="4"/>
        <v>12.71916718797077</v>
      </c>
      <c r="U29">
        <f t="shared" si="5"/>
        <v>0.83209504968033077</v>
      </c>
      <c r="V29">
        <f t="shared" si="6"/>
        <v>0.83209504968033077</v>
      </c>
      <c r="W29">
        <f t="shared" si="7"/>
        <v>1.6641900993606613</v>
      </c>
      <c r="X29">
        <f t="shared" si="8"/>
        <v>1.6641900993606613</v>
      </c>
      <c r="Y29">
        <f t="shared" si="9"/>
        <v>1.6641900993606613</v>
      </c>
      <c r="Z29">
        <f t="shared" si="10"/>
        <v>1.3075779352119485</v>
      </c>
      <c r="AA29">
        <f t="shared" si="11"/>
        <v>8.3209504968033059</v>
      </c>
      <c r="AB29">
        <f t="shared" si="12"/>
        <v>4.1604752484016538</v>
      </c>
      <c r="AC29">
        <f t="shared" si="13"/>
        <v>2.020802263509375</v>
      </c>
      <c r="AD29">
        <f t="shared" si="14"/>
        <v>21.515600570305697</v>
      </c>
      <c r="AE29">
        <f t="shared" si="15"/>
        <v>14.502228008714336</v>
      </c>
      <c r="AF29">
        <f t="shared" si="16"/>
        <v>13.78900368041691</v>
      </c>
      <c r="AG29">
        <f t="shared" si="17"/>
        <v>16.404159550840813</v>
      </c>
      <c r="AH29">
        <f t="shared" si="27"/>
        <v>118.87072138290439</v>
      </c>
      <c r="AI29" s="9">
        <f t="shared" si="18"/>
        <v>4758229.8113206141</v>
      </c>
      <c r="AJ29" s="9">
        <f t="shared" si="19"/>
        <v>134.75306825659976</v>
      </c>
      <c r="AK29" s="9">
        <f t="shared" si="20"/>
        <v>341.17500942555648</v>
      </c>
      <c r="AL29" s="9">
        <f t="shared" si="21"/>
        <v>54.242466282043019</v>
      </c>
      <c r="AM29" s="9">
        <f t="shared" si="22"/>
        <v>227.16911590853729</v>
      </c>
    </row>
    <row r="30" spans="1:39" x14ac:dyDescent="0.25">
      <c r="A30" s="6">
        <f>'Texas pop'!A126</f>
        <v>2042</v>
      </c>
      <c r="B30" s="6">
        <f>'Texas pop'!B126</f>
        <v>36743644.500000119</v>
      </c>
      <c r="C30" s="6">
        <f>'Texas pop'!C126</f>
        <v>6459332.3068057671</v>
      </c>
      <c r="D30" s="6">
        <f>'Texas pop'!D126</f>
        <v>6239736.3068057671</v>
      </c>
      <c r="E30" s="6">
        <f>'Texas pop'!E126</f>
        <v>663133.04943726619</v>
      </c>
      <c r="F30" s="47">
        <f t="shared" si="23"/>
        <v>9.2147036934007076</v>
      </c>
      <c r="G30" s="47">
        <f t="shared" si="0"/>
        <v>382.22955812911556</v>
      </c>
      <c r="H30" s="6">
        <f t="shared" si="32"/>
        <v>344006.60231620393</v>
      </c>
      <c r="I30" s="9">
        <f t="shared" si="24"/>
        <v>45389.760027832461</v>
      </c>
      <c r="J30" s="47">
        <f t="shared" si="1"/>
        <v>127673.00600815687</v>
      </c>
      <c r="K30" s="9">
        <f t="shared" si="28"/>
        <v>84029.00598139489</v>
      </c>
      <c r="L30" s="9">
        <f t="shared" si="25"/>
        <v>1020.3703703703702</v>
      </c>
      <c r="M30" s="9">
        <f t="shared" si="33"/>
        <v>1297.6398720309135</v>
      </c>
      <c r="N30" s="13">
        <v>5.51</v>
      </c>
      <c r="O30" s="9">
        <f t="shared" si="30"/>
        <v>1020.3703703703702</v>
      </c>
      <c r="P30" s="41">
        <f t="shared" si="31"/>
        <v>1831.474548027744</v>
      </c>
      <c r="Q30" s="9">
        <f t="shared" si="26"/>
        <v>1.2717341758560678</v>
      </c>
      <c r="R30">
        <f t="shared" si="2"/>
        <v>9.3955418181047641</v>
      </c>
      <c r="S30">
        <f t="shared" si="3"/>
        <v>8.7774140669136607</v>
      </c>
      <c r="T30">
        <f t="shared" si="4"/>
        <v>13.227933875489601</v>
      </c>
      <c r="U30">
        <f t="shared" si="5"/>
        <v>0.86537885166754414</v>
      </c>
      <c r="V30">
        <f t="shared" si="6"/>
        <v>0.86537885166754414</v>
      </c>
      <c r="W30">
        <f t="shared" si="7"/>
        <v>1.730757703335088</v>
      </c>
      <c r="X30">
        <f t="shared" si="8"/>
        <v>1.730757703335088</v>
      </c>
      <c r="Y30">
        <f t="shared" si="9"/>
        <v>1.730757703335088</v>
      </c>
      <c r="Z30">
        <f t="shared" si="10"/>
        <v>1.3598810526204266</v>
      </c>
      <c r="AA30">
        <f t="shared" si="11"/>
        <v>8.6537885166754389</v>
      </c>
      <c r="AB30">
        <f t="shared" si="12"/>
        <v>4.3268942583377203</v>
      </c>
      <c r="AC30">
        <f t="shared" si="13"/>
        <v>2.1016343540497502</v>
      </c>
      <c r="AD30">
        <f t="shared" si="14"/>
        <v>22.376224593117925</v>
      </c>
      <c r="AE30">
        <f t="shared" si="15"/>
        <v>15.082317129062911</v>
      </c>
      <c r="AF30">
        <f t="shared" si="16"/>
        <v>14.340563827633588</v>
      </c>
      <c r="AG30">
        <f t="shared" si="17"/>
        <v>17.060325932874445</v>
      </c>
      <c r="AH30">
        <f t="shared" si="27"/>
        <v>123.62555023822058</v>
      </c>
      <c r="AI30" s="9">
        <f t="shared" si="18"/>
        <v>4948559.0037734387</v>
      </c>
      <c r="AJ30" s="9">
        <f t="shared" si="19"/>
        <v>140.14319098686374</v>
      </c>
      <c r="AK30" s="9">
        <f t="shared" si="20"/>
        <v>354.8220098025788</v>
      </c>
      <c r="AL30" s="9">
        <f t="shared" si="21"/>
        <v>56.412164933324739</v>
      </c>
      <c r="AM30" s="9">
        <f t="shared" si="22"/>
        <v>236.25588054487881</v>
      </c>
    </row>
    <row r="31" spans="1:39" x14ac:dyDescent="0.25">
      <c r="A31" s="6">
        <f>'Texas pop'!A127</f>
        <v>2043</v>
      </c>
      <c r="B31" s="6">
        <f>'Texas pop'!B127</f>
        <v>37082577.142857194</v>
      </c>
      <c r="C31" s="6">
        <f>'Texas pop'!C127</f>
        <v>7122465.356243033</v>
      </c>
      <c r="D31" s="6">
        <f>'Texas pop'!D127</f>
        <v>6811233.9962430326</v>
      </c>
      <c r="E31" s="6">
        <f>'Texas pop'!E127</f>
        <v>689658.37141475675</v>
      </c>
      <c r="F31" s="47">
        <f t="shared" si="23"/>
        <v>9.5832918411367345</v>
      </c>
      <c r="G31" s="47">
        <f t="shared" si="0"/>
        <v>397.51874045428008</v>
      </c>
      <c r="H31" s="6">
        <f t="shared" si="32"/>
        <v>357766.86640885205</v>
      </c>
      <c r="I31" s="9">
        <f t="shared" si="24"/>
        <v>47205.350428945756</v>
      </c>
      <c r="J31" s="47">
        <f t="shared" si="1"/>
        <v>132779.92624848313</v>
      </c>
      <c r="K31" s="9">
        <f t="shared" si="28"/>
        <v>87390.166220650659</v>
      </c>
      <c r="L31" s="9">
        <f t="shared" si="25"/>
        <v>1092.5925925925926</v>
      </c>
      <c r="M31" s="9">
        <f t="shared" si="33"/>
        <v>1338.9127530856031</v>
      </c>
      <c r="N31" s="13">
        <v>5.9</v>
      </c>
      <c r="O31" s="9">
        <f t="shared" si="30"/>
        <v>1092.5925925925926</v>
      </c>
      <c r="P31" s="41">
        <f t="shared" si="31"/>
        <v>1813.1598025474666</v>
      </c>
      <c r="Q31" s="9">
        <f t="shared" si="26"/>
        <v>1.2254455706207215</v>
      </c>
      <c r="R31">
        <f t="shared" si="2"/>
        <v>9.7713634908289535</v>
      </c>
      <c r="S31">
        <f t="shared" si="3"/>
        <v>9.1285106295902061</v>
      </c>
      <c r="T31">
        <f t="shared" si="4"/>
        <v>13.757051230509184</v>
      </c>
      <c r="U31">
        <f t="shared" si="5"/>
        <v>0.89999400573424571</v>
      </c>
      <c r="V31">
        <f t="shared" si="6"/>
        <v>0.89999400573424571</v>
      </c>
      <c r="W31">
        <f t="shared" si="7"/>
        <v>1.7999880114684912</v>
      </c>
      <c r="X31">
        <f t="shared" si="8"/>
        <v>1.7999880114684912</v>
      </c>
      <c r="Y31">
        <f t="shared" si="9"/>
        <v>1.7999880114684912</v>
      </c>
      <c r="Z31">
        <f t="shared" si="10"/>
        <v>1.4142762947252434</v>
      </c>
      <c r="AA31">
        <f t="shared" si="11"/>
        <v>8.9999400573424548</v>
      </c>
      <c r="AB31">
        <f t="shared" si="12"/>
        <v>4.4999700286712283</v>
      </c>
      <c r="AC31">
        <f t="shared" si="13"/>
        <v>2.1856997282117394</v>
      </c>
      <c r="AD31">
        <f t="shared" si="14"/>
        <v>23.271273576842638</v>
      </c>
      <c r="AE31">
        <f t="shared" si="15"/>
        <v>15.685609814225426</v>
      </c>
      <c r="AF31">
        <f t="shared" si="16"/>
        <v>14.914186380738929</v>
      </c>
      <c r="AG31">
        <f t="shared" si="17"/>
        <v>17.742738970189418</v>
      </c>
      <c r="AH31">
        <f t="shared" si="27"/>
        <v>128.5705722477494</v>
      </c>
      <c r="AI31" s="9">
        <f t="shared" si="18"/>
        <v>5146501.3639243757</v>
      </c>
      <c r="AJ31" s="9">
        <f t="shared" si="19"/>
        <v>145.74891862633828</v>
      </c>
      <c r="AK31" s="9">
        <f t="shared" si="20"/>
        <v>369.01489019468193</v>
      </c>
      <c r="AL31" s="9">
        <f t="shared" si="21"/>
        <v>58.668651530657719</v>
      </c>
      <c r="AM31" s="9">
        <f t="shared" si="22"/>
        <v>245.70611576667392</v>
      </c>
    </row>
    <row r="32" spans="1:39" x14ac:dyDescent="0.25">
      <c r="A32" s="6">
        <f>'Texas pop'!A128</f>
        <v>2044</v>
      </c>
      <c r="B32" s="6">
        <f>'Texas pop'!B128</f>
        <v>37421509.785714388</v>
      </c>
      <c r="C32" s="6">
        <f>'Texas pop'!C128</f>
        <v>7812123.7276577894</v>
      </c>
      <c r="D32" s="6">
        <f>'Texas pop'!D128</f>
        <v>7394595.3500577891</v>
      </c>
      <c r="E32" s="6">
        <f>'Texas pop'!E128</f>
        <v>717244.70627134701</v>
      </c>
      <c r="F32" s="47">
        <f t="shared" si="23"/>
        <v>9.9666235147822029</v>
      </c>
      <c r="G32" s="47">
        <f t="shared" si="0"/>
        <v>413.41949007245131</v>
      </c>
      <c r="H32" s="6">
        <f t="shared" si="32"/>
        <v>372077.54106520617</v>
      </c>
      <c r="I32" s="9">
        <f t="shared" si="24"/>
        <v>49093.564446103592</v>
      </c>
      <c r="J32" s="47">
        <f t="shared" si="1"/>
        <v>138091.12329842243</v>
      </c>
      <c r="K32" s="9">
        <f t="shared" si="28"/>
        <v>90885.77286947667</v>
      </c>
      <c r="L32" s="9">
        <f t="shared" si="25"/>
        <v>1074.0740740740739</v>
      </c>
      <c r="M32" s="9">
        <f t="shared" si="33"/>
        <v>1320.5265002553201</v>
      </c>
      <c r="N32" s="13">
        <v>5.8</v>
      </c>
      <c r="O32" s="9">
        <f t="shared" si="30"/>
        <v>1074.0740740740739</v>
      </c>
      <c r="P32" s="41">
        <f t="shared" si="31"/>
        <v>1795.0282045219919</v>
      </c>
      <c r="Q32" s="9">
        <f t="shared" si="26"/>
        <v>1.2294557071342638</v>
      </c>
      <c r="R32">
        <f t="shared" si="2"/>
        <v>10.162218030462112</v>
      </c>
      <c r="S32">
        <f t="shared" si="3"/>
        <v>9.4936510547738138</v>
      </c>
      <c r="T32">
        <f t="shared" si="4"/>
        <v>14.307333279729551</v>
      </c>
      <c r="U32">
        <f t="shared" si="5"/>
        <v>0.9359937659636155</v>
      </c>
      <c r="V32">
        <f t="shared" si="6"/>
        <v>0.9359937659636155</v>
      </c>
      <c r="W32">
        <f t="shared" si="7"/>
        <v>1.8719875319272308</v>
      </c>
      <c r="X32">
        <f t="shared" si="8"/>
        <v>1.8719875319272308</v>
      </c>
      <c r="Y32">
        <f t="shared" si="9"/>
        <v>1.8719875319272308</v>
      </c>
      <c r="Z32">
        <f t="shared" si="10"/>
        <v>1.4708473465142531</v>
      </c>
      <c r="AA32">
        <f t="shared" si="11"/>
        <v>9.3599376596361523</v>
      </c>
      <c r="AB32">
        <f t="shared" si="12"/>
        <v>4.679968829818077</v>
      </c>
      <c r="AC32">
        <f t="shared" si="13"/>
        <v>2.2731277173402096</v>
      </c>
      <c r="AD32">
        <f t="shared" si="14"/>
        <v>24.202124519916346</v>
      </c>
      <c r="AE32">
        <f t="shared" si="15"/>
        <v>16.313034206794441</v>
      </c>
      <c r="AF32">
        <f t="shared" si="16"/>
        <v>15.510753835968485</v>
      </c>
      <c r="AG32">
        <f t="shared" si="17"/>
        <v>18.452448528996996</v>
      </c>
      <c r="AH32">
        <f t="shared" si="27"/>
        <v>133.71339513765938</v>
      </c>
      <c r="AI32" s="9">
        <f t="shared" si="18"/>
        <v>5352361.4184813509</v>
      </c>
      <c r="AJ32" s="9">
        <f t="shared" si="19"/>
        <v>151.5788753713918</v>
      </c>
      <c r="AK32" s="9">
        <f t="shared" si="20"/>
        <v>383.77548580246918</v>
      </c>
      <c r="AL32" s="9">
        <f t="shared" si="21"/>
        <v>61.015397591884032</v>
      </c>
      <c r="AM32" s="9">
        <f t="shared" si="22"/>
        <v>255.53436039734086</v>
      </c>
    </row>
    <row r="33" spans="1:39" x14ac:dyDescent="0.25">
      <c r="A33" s="6">
        <f>'Texas pop'!A129</f>
        <v>2045</v>
      </c>
      <c r="B33" s="6">
        <f>'Texas pop'!B129</f>
        <v>37760442.428571463</v>
      </c>
      <c r="C33" s="6">
        <f>'Texas pop'!C129</f>
        <v>8529368.433929136</v>
      </c>
      <c r="D33" s="6">
        <f>'Texas pop'!D129</f>
        <v>7988535.5159131354</v>
      </c>
      <c r="E33" s="6">
        <f>'Texas pop'!E129</f>
        <v>745934.49452220078</v>
      </c>
      <c r="F33" s="47">
        <f t="shared" si="23"/>
        <v>10.36528845537349</v>
      </c>
      <c r="G33" s="47">
        <f t="shared" si="0"/>
        <v>429.95626967534923</v>
      </c>
      <c r="H33" s="6">
        <f t="shared" si="32"/>
        <v>386960.64270781435</v>
      </c>
      <c r="I33" s="9">
        <f t="shared" si="24"/>
        <v>51057.307023947717</v>
      </c>
      <c r="J33" s="47">
        <f t="shared" si="1"/>
        <v>143614.7682303593</v>
      </c>
      <c r="K33" s="9">
        <f t="shared" si="28"/>
        <v>94521.203784255718</v>
      </c>
      <c r="L33" s="9">
        <f t="shared" si="25"/>
        <v>1059.2592592592591</v>
      </c>
      <c r="M33" s="9">
        <f t="shared" si="33"/>
        <v>1304.6398509457576</v>
      </c>
      <c r="N33" s="13">
        <v>5.72</v>
      </c>
      <c r="O33" s="9">
        <f t="shared" si="30"/>
        <v>1059.2592592592591</v>
      </c>
      <c r="P33" s="41">
        <f t="shared" si="31"/>
        <v>1777.0779224767721</v>
      </c>
      <c r="Q33" s="9">
        <f t="shared" si="26"/>
        <v>1.2316530061376034</v>
      </c>
      <c r="R33">
        <f t="shared" si="2"/>
        <v>10.568706751680594</v>
      </c>
      <c r="S33">
        <f t="shared" si="3"/>
        <v>9.8733970969647658</v>
      </c>
      <c r="T33">
        <f t="shared" si="4"/>
        <v>14.879626610918731</v>
      </c>
      <c r="U33">
        <f t="shared" si="5"/>
        <v>0.97343351660216004</v>
      </c>
      <c r="V33">
        <f t="shared" si="6"/>
        <v>0.97343351660216004</v>
      </c>
      <c r="W33">
        <f t="shared" si="7"/>
        <v>1.9468670332043196</v>
      </c>
      <c r="X33">
        <f t="shared" si="8"/>
        <v>1.9468670332043196</v>
      </c>
      <c r="Y33">
        <f t="shared" si="9"/>
        <v>1.9468670332043196</v>
      </c>
      <c r="Z33">
        <f t="shared" si="10"/>
        <v>1.529681240374823</v>
      </c>
      <c r="AA33">
        <f t="shared" si="11"/>
        <v>9.734335166021598</v>
      </c>
      <c r="AB33">
        <f t="shared" si="12"/>
        <v>4.867167583010799</v>
      </c>
      <c r="AC33">
        <f t="shared" si="13"/>
        <v>2.3640528260338169</v>
      </c>
      <c r="AD33">
        <f t="shared" si="14"/>
        <v>25.170209500712996</v>
      </c>
      <c r="AE33">
        <f t="shared" si="15"/>
        <v>16.965555575066215</v>
      </c>
      <c r="AF33">
        <f t="shared" si="16"/>
        <v>16.131183989407223</v>
      </c>
      <c r="AG33">
        <f t="shared" si="17"/>
        <v>19.190546470156875</v>
      </c>
      <c r="AH33">
        <f t="shared" si="27"/>
        <v>139.06193094316569</v>
      </c>
      <c r="AI33" s="9">
        <f t="shared" si="18"/>
        <v>5566455.8752206042</v>
      </c>
      <c r="AJ33" s="9">
        <f t="shared" si="19"/>
        <v>157.64203038624746</v>
      </c>
      <c r="AK33" s="9">
        <f t="shared" si="20"/>
        <v>399.1265052345679</v>
      </c>
      <c r="AL33" s="9">
        <f t="shared" si="21"/>
        <v>63.456013495559382</v>
      </c>
      <c r="AM33" s="9">
        <f t="shared" si="22"/>
        <v>265.75573481323448</v>
      </c>
    </row>
    <row r="34" spans="1:39" x14ac:dyDescent="0.25">
      <c r="A34" s="6">
        <f>'Texas pop'!A130</f>
        <v>2046</v>
      </c>
      <c r="B34" s="6">
        <f>'Texas pop'!B130</f>
        <v>38099375.071428657</v>
      </c>
      <c r="C34" s="6">
        <f>'Texas pop'!C130</f>
        <v>9275302.9284513369</v>
      </c>
      <c r="D34" s="6">
        <f>'Texas pop'!D130</f>
        <v>8591436.7435527761</v>
      </c>
      <c r="E34" s="6">
        <f>'Texas pop'!E130</f>
        <v>775771.87430308876</v>
      </c>
      <c r="F34" s="47">
        <f t="shared" si="23"/>
        <v>10.779899993588428</v>
      </c>
      <c r="G34" s="47">
        <f t="shared" si="0"/>
        <v>447.15452046236322</v>
      </c>
      <c r="H34" s="6">
        <f t="shared" si="32"/>
        <v>402439.06841612689</v>
      </c>
      <c r="I34" s="9">
        <f t="shared" si="24"/>
        <v>53099.599304905627</v>
      </c>
      <c r="J34" s="47">
        <f t="shared" si="1"/>
        <v>149359.3589595737</v>
      </c>
      <c r="K34" s="9">
        <f t="shared" si="28"/>
        <v>98302.05193562599</v>
      </c>
      <c r="L34" s="9">
        <f t="shared" si="25"/>
        <v>1049.9999999999998</v>
      </c>
      <c r="M34" s="9">
        <f t="shared" si="33"/>
        <v>1292.470996391321</v>
      </c>
      <c r="N34" s="13">
        <v>5.67</v>
      </c>
      <c r="O34" s="9">
        <f t="shared" si="30"/>
        <v>1049.9999999999998</v>
      </c>
      <c r="P34" s="41">
        <f t="shared" si="31"/>
        <v>1759.3071432520044</v>
      </c>
      <c r="Q34" s="9">
        <f t="shared" si="26"/>
        <v>1.230924758467925</v>
      </c>
      <c r="R34">
        <f t="shared" si="2"/>
        <v>10.991455021747818</v>
      </c>
      <c r="S34">
        <f t="shared" si="3"/>
        <v>10.268332980843354</v>
      </c>
      <c r="T34">
        <f t="shared" si="4"/>
        <v>15.474811675355479</v>
      </c>
      <c r="U34">
        <f t="shared" si="5"/>
        <v>1.0123708572662464</v>
      </c>
      <c r="V34">
        <f t="shared" si="6"/>
        <v>1.0123708572662464</v>
      </c>
      <c r="W34">
        <f t="shared" si="7"/>
        <v>2.0247417145324924</v>
      </c>
      <c r="X34">
        <f t="shared" si="8"/>
        <v>2.0247417145324924</v>
      </c>
      <c r="Y34">
        <f t="shared" si="9"/>
        <v>2.0247417145324924</v>
      </c>
      <c r="Z34">
        <f t="shared" si="10"/>
        <v>1.590868489989816</v>
      </c>
      <c r="AA34">
        <f t="shared" si="11"/>
        <v>10.123708572662462</v>
      </c>
      <c r="AB34">
        <f t="shared" si="12"/>
        <v>5.0618542863312319</v>
      </c>
      <c r="AC34">
        <f t="shared" si="13"/>
        <v>2.4586149390751699</v>
      </c>
      <c r="AD34">
        <f t="shared" si="14"/>
        <v>26.177017880741509</v>
      </c>
      <c r="AE34">
        <f t="shared" si="15"/>
        <v>17.644177798068867</v>
      </c>
      <c r="AF34">
        <f t="shared" si="16"/>
        <v>16.776431348983511</v>
      </c>
      <c r="AG34">
        <f t="shared" si="17"/>
        <v>19.958168328963147</v>
      </c>
      <c r="AH34">
        <f t="shared" si="27"/>
        <v>144.62440818089235</v>
      </c>
      <c r="AI34" s="9">
        <f t="shared" si="18"/>
        <v>5789114.1102294279</v>
      </c>
      <c r="AJ34" s="9">
        <f t="shared" si="19"/>
        <v>163.94771160169734</v>
      </c>
      <c r="AK34" s="9">
        <f t="shared" si="20"/>
        <v>415.09156544395057</v>
      </c>
      <c r="AL34" s="9">
        <f t="shared" si="21"/>
        <v>65.994254035381744</v>
      </c>
      <c r="AM34" s="9">
        <f t="shared" si="22"/>
        <v>276.3859642057638</v>
      </c>
    </row>
    <row r="35" spans="1:39" x14ac:dyDescent="0.25">
      <c r="A35" s="6">
        <f>'Texas pop'!A131</f>
        <v>2047</v>
      </c>
      <c r="B35" s="6">
        <f>'Texas pop'!B131</f>
        <v>38438307.714285731</v>
      </c>
      <c r="C35" s="6">
        <f>'Texas pop'!C131</f>
        <v>10051074.802754426</v>
      </c>
      <c r="D35" s="6">
        <f>'Texas pop'!D131</f>
        <v>9201290.0282720961</v>
      </c>
      <c r="E35" s="6">
        <f>'Texas pop'!E131</f>
        <v>806802.74927521229</v>
      </c>
      <c r="F35" s="47">
        <f t="shared" si="23"/>
        <v>11.211095993331966</v>
      </c>
      <c r="G35" s="47">
        <f t="shared" si="0"/>
        <v>465.04070128085766</v>
      </c>
      <c r="H35" s="6">
        <f t="shared" si="32"/>
        <v>418536.63115277194</v>
      </c>
      <c r="I35" s="9">
        <f t="shared" si="24"/>
        <v>55223.583277101847</v>
      </c>
      <c r="J35" s="47">
        <f t="shared" si="1"/>
        <v>155333.73331795662</v>
      </c>
      <c r="K35" s="9">
        <f t="shared" si="28"/>
        <v>102234.13401305099</v>
      </c>
      <c r="L35" s="9">
        <f t="shared" si="25"/>
        <v>999.99999999999989</v>
      </c>
      <c r="M35" s="9">
        <f t="shared" si="33"/>
        <v>1253.5490467599011</v>
      </c>
      <c r="N35" s="13">
        <v>5.4</v>
      </c>
      <c r="O35" s="9">
        <f t="shared" si="30"/>
        <v>999.99999999999989</v>
      </c>
      <c r="P35" s="41">
        <f t="shared" si="31"/>
        <v>1741.7140718194844</v>
      </c>
      <c r="Q35" s="9">
        <f t="shared" si="26"/>
        <v>1.2535490467599013</v>
      </c>
      <c r="R35">
        <f t="shared" si="2"/>
        <v>11.43111322261773</v>
      </c>
      <c r="S35">
        <f t="shared" si="3"/>
        <v>10.679066300077087</v>
      </c>
      <c r="T35">
        <f t="shared" si="4"/>
        <v>16.093804142369699</v>
      </c>
      <c r="U35">
        <f t="shared" si="5"/>
        <v>1.0528656915568961</v>
      </c>
      <c r="V35">
        <f t="shared" si="6"/>
        <v>1.0528656915568961</v>
      </c>
      <c r="W35">
        <f t="shared" si="7"/>
        <v>2.1057313831137923</v>
      </c>
      <c r="X35">
        <f t="shared" si="8"/>
        <v>2.1057313831137923</v>
      </c>
      <c r="Y35">
        <f t="shared" si="9"/>
        <v>2.1057313831137923</v>
      </c>
      <c r="Z35">
        <f t="shared" si="10"/>
        <v>1.6545032295894084</v>
      </c>
      <c r="AA35">
        <f t="shared" si="11"/>
        <v>10.528656915568959</v>
      </c>
      <c r="AB35">
        <f t="shared" si="12"/>
        <v>5.2643284577844804</v>
      </c>
      <c r="AC35">
        <f t="shared" si="13"/>
        <v>2.5569595366381765</v>
      </c>
      <c r="AD35">
        <f t="shared" si="14"/>
        <v>27.224098595971171</v>
      </c>
      <c r="AE35">
        <f t="shared" si="15"/>
        <v>18.349944909991617</v>
      </c>
      <c r="AF35">
        <f t="shared" si="16"/>
        <v>17.447488602942851</v>
      </c>
      <c r="AG35">
        <f t="shared" si="17"/>
        <v>20.756495062121672</v>
      </c>
      <c r="AH35">
        <f t="shared" si="27"/>
        <v>150.40938450812803</v>
      </c>
      <c r="AI35" s="9">
        <f t="shared" si="18"/>
        <v>6020678.6746386047</v>
      </c>
      <c r="AJ35" s="9">
        <f t="shared" si="19"/>
        <v>170.50562006576524</v>
      </c>
      <c r="AK35" s="9">
        <f t="shared" si="20"/>
        <v>431.69522806170858</v>
      </c>
      <c r="AL35" s="9">
        <f t="shared" si="21"/>
        <v>68.634024196797014</v>
      </c>
      <c r="AM35" s="9">
        <f t="shared" si="22"/>
        <v>287.44140277399441</v>
      </c>
    </row>
    <row r="36" spans="1:39" x14ac:dyDescent="0.25">
      <c r="A36" s="6">
        <f>'Texas pop'!A132</f>
        <v>2048</v>
      </c>
      <c r="B36" s="6">
        <f>'Texas pop'!B132</f>
        <v>38777240.357142925</v>
      </c>
      <c r="C36" s="6">
        <f>'Texas pop'!C132</f>
        <v>10857877.552029639</v>
      </c>
      <c r="D36" s="6">
        <f>'Texas pop'!D132</f>
        <v>9815627.2136301361</v>
      </c>
      <c r="E36" s="6">
        <f>'Texas pop'!E132</f>
        <v>839074.85924622079</v>
      </c>
      <c r="F36" s="47">
        <f t="shared" si="23"/>
        <v>11.659539833065244</v>
      </c>
      <c r="G36" s="47">
        <f t="shared" si="0"/>
        <v>483.64232933209195</v>
      </c>
      <c r="H36" s="6">
        <f t="shared" si="32"/>
        <v>435278.0963988828</v>
      </c>
      <c r="I36" s="9">
        <f t="shared" si="24"/>
        <v>57432.526608185915</v>
      </c>
      <c r="J36" s="47">
        <f t="shared" si="1"/>
        <v>161547.08265067489</v>
      </c>
      <c r="K36" s="9">
        <f t="shared" si="28"/>
        <v>106323.49937357304</v>
      </c>
      <c r="L36" s="9">
        <f t="shared" si="25"/>
        <v>1003.7037037037036</v>
      </c>
      <c r="M36" s="9">
        <f t="shared" si="33"/>
        <v>1250.0327580522435</v>
      </c>
      <c r="N36" s="13">
        <v>5.42</v>
      </c>
      <c r="O36" s="9">
        <f t="shared" si="30"/>
        <v>1003.7037037037036</v>
      </c>
      <c r="P36" s="41">
        <f t="shared" si="31"/>
        <v>1724.2969311012896</v>
      </c>
      <c r="Q36" s="9">
        <f t="shared" si="26"/>
        <v>1.2454200910483608</v>
      </c>
      <c r="R36">
        <f t="shared" si="2"/>
        <v>11.888357751522438</v>
      </c>
      <c r="S36">
        <f t="shared" si="3"/>
        <v>11.106228952080171</v>
      </c>
      <c r="T36">
        <f t="shared" si="4"/>
        <v>16.737556308064487</v>
      </c>
      <c r="U36">
        <f t="shared" si="5"/>
        <v>1.094980319219172</v>
      </c>
      <c r="V36">
        <f t="shared" si="6"/>
        <v>1.094980319219172</v>
      </c>
      <c r="W36">
        <f t="shared" si="7"/>
        <v>2.1899606384383437</v>
      </c>
      <c r="X36">
        <f t="shared" si="8"/>
        <v>2.1899606384383437</v>
      </c>
      <c r="Y36">
        <f t="shared" si="9"/>
        <v>2.1899606384383437</v>
      </c>
      <c r="Z36">
        <f t="shared" si="10"/>
        <v>1.7206833587729848</v>
      </c>
      <c r="AA36">
        <f t="shared" si="11"/>
        <v>10.949803192191718</v>
      </c>
      <c r="AB36">
        <f t="shared" si="12"/>
        <v>5.4749015960958598</v>
      </c>
      <c r="AC36">
        <f t="shared" si="13"/>
        <v>2.6592379181037038</v>
      </c>
      <c r="AD36">
        <f t="shared" si="14"/>
        <v>28.313062539810019</v>
      </c>
      <c r="AE36">
        <f t="shared" si="15"/>
        <v>19.083942706391284</v>
      </c>
      <c r="AF36">
        <f t="shared" si="16"/>
        <v>18.145388147060565</v>
      </c>
      <c r="AG36">
        <f t="shared" si="17"/>
        <v>21.586754864606537</v>
      </c>
      <c r="AH36">
        <f t="shared" si="27"/>
        <v>156.42575988845314</v>
      </c>
      <c r="AI36" s="9">
        <f t="shared" si="18"/>
        <v>6261505.8216241486</v>
      </c>
      <c r="AJ36" s="9">
        <f t="shared" si="19"/>
        <v>177.32584486839585</v>
      </c>
      <c r="AK36" s="9">
        <f t="shared" si="20"/>
        <v>448.96303718417698</v>
      </c>
      <c r="AL36" s="9">
        <f t="shared" si="21"/>
        <v>71.379385164668903</v>
      </c>
      <c r="AM36" s="9">
        <f t="shared" si="22"/>
        <v>298.93905888495414</v>
      </c>
    </row>
    <row r="37" spans="1:39" x14ac:dyDescent="0.25">
      <c r="A37" s="6">
        <f>'Texas pop'!A133</f>
        <v>2049</v>
      </c>
      <c r="B37" s="6">
        <f>'Texas pop'!B133</f>
        <v>39116173.000000119</v>
      </c>
      <c r="C37" s="6">
        <f>'Texas pop'!C133</f>
        <v>11696952.41127586</v>
      </c>
      <c r="D37" s="6">
        <f>'Texas pop'!D133</f>
        <v>10431442.018732436</v>
      </c>
      <c r="E37" s="6">
        <f>'Texas pop'!E133</f>
        <v>872637.85361606954</v>
      </c>
      <c r="F37" s="47">
        <f t="shared" si="23"/>
        <v>12.125921426387851</v>
      </c>
      <c r="G37" s="47">
        <f t="shared" si="0"/>
        <v>502.98802250537562</v>
      </c>
      <c r="H37" s="6">
        <f t="shared" si="32"/>
        <v>452689.22025483812</v>
      </c>
      <c r="I37" s="9">
        <f t="shared" si="24"/>
        <v>59729.827672513362</v>
      </c>
      <c r="J37" s="47">
        <f t="shared" si="1"/>
        <v>168008.96595670187</v>
      </c>
      <c r="K37" s="9">
        <f t="shared" si="28"/>
        <v>110576.43934851595</v>
      </c>
      <c r="L37" s="9">
        <f t="shared" si="25"/>
        <v>983.33333333333314</v>
      </c>
      <c r="M37" s="9">
        <f t="shared" si="33"/>
        <v>1230.7314648203057</v>
      </c>
      <c r="N37" s="13">
        <v>5.31</v>
      </c>
      <c r="O37" s="9">
        <f t="shared" si="30"/>
        <v>983.33333333333314</v>
      </c>
      <c r="P37" s="41">
        <f t="shared" si="31"/>
        <v>1707.0539617902766</v>
      </c>
      <c r="Q37" s="9">
        <f t="shared" si="26"/>
        <v>1.2515913201562434</v>
      </c>
      <c r="R37">
        <f t="shared" si="2"/>
        <v>12.363892061583336</v>
      </c>
      <c r="S37">
        <f t="shared" si="3"/>
        <v>11.550478110163377</v>
      </c>
      <c r="T37">
        <f t="shared" si="4"/>
        <v>17.407058560387064</v>
      </c>
      <c r="U37">
        <f t="shared" si="5"/>
        <v>1.1387795319879388</v>
      </c>
      <c r="V37">
        <f t="shared" si="6"/>
        <v>1.1387795319879388</v>
      </c>
      <c r="W37">
        <f t="shared" si="7"/>
        <v>2.2775590639758772</v>
      </c>
      <c r="X37">
        <f t="shared" si="8"/>
        <v>2.2775590639758772</v>
      </c>
      <c r="Y37">
        <f t="shared" si="9"/>
        <v>2.2775590639758772</v>
      </c>
      <c r="Z37">
        <f t="shared" si="10"/>
        <v>1.789510693123904</v>
      </c>
      <c r="AA37">
        <f t="shared" si="11"/>
        <v>11.387795319879384</v>
      </c>
      <c r="AB37">
        <f t="shared" si="12"/>
        <v>5.6938976599396929</v>
      </c>
      <c r="AC37">
        <f t="shared" si="13"/>
        <v>2.7656074348278517</v>
      </c>
      <c r="AD37">
        <f t="shared" si="14"/>
        <v>29.445585041402417</v>
      </c>
      <c r="AE37">
        <f t="shared" si="15"/>
        <v>19.847300414646934</v>
      </c>
      <c r="AF37">
        <f t="shared" si="16"/>
        <v>18.871203672942986</v>
      </c>
      <c r="AG37">
        <f t="shared" si="17"/>
        <v>22.450225059190799</v>
      </c>
      <c r="AH37">
        <f t="shared" si="27"/>
        <v>162.68279028399127</v>
      </c>
      <c r="AI37" s="9">
        <f t="shared" si="18"/>
        <v>6511966.0544891143</v>
      </c>
      <c r="AJ37" s="9">
        <f t="shared" si="19"/>
        <v>184.41887866313166</v>
      </c>
      <c r="AK37" s="9">
        <f t="shared" si="20"/>
        <v>466.92155867154401</v>
      </c>
      <c r="AL37" s="9">
        <f t="shared" si="21"/>
        <v>74.234560571255642</v>
      </c>
      <c r="AM37" s="9">
        <f t="shared" si="22"/>
        <v>310.89662124035226</v>
      </c>
    </row>
    <row r="38" spans="1:39" x14ac:dyDescent="0.25">
      <c r="A38" s="6">
        <f>'Texas pop'!A134</f>
        <v>2050</v>
      </c>
      <c r="B38" s="6">
        <f>'Texas pop'!B134</f>
        <v>39455105.642857194</v>
      </c>
      <c r="C38" s="6">
        <f>'Texas pop'!C134</f>
        <v>12569590.26489193</v>
      </c>
      <c r="D38" s="6">
        <f>'Texas pop'!D134</f>
        <v>11045098.209541559</v>
      </c>
      <c r="E38" s="6">
        <f>'Texas pop'!E134</f>
        <v>907543.3677607124</v>
      </c>
      <c r="F38" s="47">
        <f t="shared" si="23"/>
        <v>12.610958283443367</v>
      </c>
      <c r="G38" s="47">
        <f t="shared" si="0"/>
        <v>523.10754340559072</v>
      </c>
      <c r="H38" s="6">
        <f t="shared" si="32"/>
        <v>470796.78906503163</v>
      </c>
      <c r="I38" s="9">
        <f t="shared" si="24"/>
        <v>62119.020779413891</v>
      </c>
      <c r="J38" s="47">
        <f t="shared" si="1"/>
        <v>174729.32459496995</v>
      </c>
      <c r="K38" s="9">
        <f t="shared" si="28"/>
        <v>114999.49692245659</v>
      </c>
      <c r="L38" s="9">
        <f t="shared" si="25"/>
        <v>999.99999999999989</v>
      </c>
      <c r="M38" s="9">
        <f>I37/J38*P38+K38/J38*O38</f>
        <v>1235.8653362781517</v>
      </c>
      <c r="N38" s="13">
        <v>5.4</v>
      </c>
      <c r="O38" s="9">
        <f>$H$50/2.7*N38</f>
        <v>999.99999999999989</v>
      </c>
      <c r="P38" s="41">
        <f t="shared" si="31"/>
        <v>1689.9834221723738</v>
      </c>
      <c r="Q38" s="9">
        <f t="shared" si="26"/>
        <v>1.235865336278152</v>
      </c>
      <c r="R38">
        <f t="shared" si="2"/>
        <v>12.85844774404667</v>
      </c>
      <c r="S38">
        <f t="shared" si="3"/>
        <v>12.012497234569915</v>
      </c>
      <c r="T38">
        <f t="shared" si="4"/>
        <v>18.10334090280255</v>
      </c>
      <c r="U38">
        <f t="shared" si="5"/>
        <v>1.1843307132674565</v>
      </c>
      <c r="V38">
        <f t="shared" si="6"/>
        <v>1.1843307132674565</v>
      </c>
      <c r="W38">
        <f t="shared" si="7"/>
        <v>2.3686614265349126</v>
      </c>
      <c r="X38">
        <f t="shared" si="8"/>
        <v>2.3686614265349126</v>
      </c>
      <c r="Y38">
        <f t="shared" si="9"/>
        <v>2.3686614265349126</v>
      </c>
      <c r="Z38">
        <f t="shared" si="10"/>
        <v>1.8610911208488603</v>
      </c>
      <c r="AA38">
        <f t="shared" si="11"/>
        <v>11.843307132674562</v>
      </c>
      <c r="AB38">
        <f t="shared" si="12"/>
        <v>5.921653566337282</v>
      </c>
      <c r="AC38">
        <f t="shared" si="13"/>
        <v>2.8762317322209658</v>
      </c>
      <c r="AD38">
        <f t="shared" si="14"/>
        <v>30.623408443058516</v>
      </c>
      <c r="AE38">
        <f t="shared" si="15"/>
        <v>20.641192431232813</v>
      </c>
      <c r="AF38">
        <f t="shared" si="16"/>
        <v>19.626051819860709</v>
      </c>
      <c r="AG38">
        <f t="shared" si="17"/>
        <v>23.348234061558433</v>
      </c>
      <c r="AH38">
        <f t="shared" si="27"/>
        <v>169.19010189535095</v>
      </c>
      <c r="AI38" s="9">
        <f t="shared" si="18"/>
        <v>6772444.6966686798</v>
      </c>
      <c r="AJ38" s="9">
        <f t="shared" si="19"/>
        <v>191.79563380965692</v>
      </c>
      <c r="AK38" s="9">
        <f t="shared" si="20"/>
        <v>485.59842101840576</v>
      </c>
      <c r="AL38" s="9">
        <f t="shared" si="21"/>
        <v>77.203942994105873</v>
      </c>
      <c r="AM38" s="9">
        <f t="shared" si="22"/>
        <v>323.33248608996644</v>
      </c>
    </row>
    <row r="39" spans="1:39" x14ac:dyDescent="0.25">
      <c r="A39">
        <f>'Texas pop'!A135</f>
        <v>0</v>
      </c>
      <c r="B39">
        <f>'Texas pop'!B135</f>
        <v>0</v>
      </c>
      <c r="C39">
        <f>'Texas pop'!C135</f>
        <v>11036698.209541559</v>
      </c>
      <c r="D39">
        <f>'Texas pop'!D135</f>
        <v>12577990.26489193</v>
      </c>
      <c r="E39" s="91">
        <f>'Texas pop'!E135</f>
        <v>12569590.26489193</v>
      </c>
      <c r="F39" s="47">
        <f t="shared" si="23"/>
        <v>174.66336497136163</v>
      </c>
      <c r="G39" s="47">
        <f t="shared" si="0"/>
        <v>7245.1055438885751</v>
      </c>
      <c r="H39" s="91"/>
      <c r="I39" s="91"/>
      <c r="J39">
        <f>$E39*I$2</f>
        <v>178091125.25827596</v>
      </c>
      <c r="K39">
        <f>$E39*J$2</f>
        <v>166374603.85970515</v>
      </c>
      <c r="M39">
        <f>$E39*K$2</f>
        <v>250733557.92941481</v>
      </c>
      <c r="N39">
        <f>$E39*L$2</f>
        <v>16403129.957999101</v>
      </c>
      <c r="O39">
        <f>$E39*M$2</f>
        <v>16403129.957999101</v>
      </c>
      <c r="Q39">
        <f>$E39*N$2</f>
        <v>32806259.915998194</v>
      </c>
      <c r="R39">
        <f t="shared" ref="R39:AA39" si="34">$E39*P$2</f>
        <v>32806259.915998194</v>
      </c>
      <c r="S39">
        <f t="shared" si="34"/>
        <v>32806259.915998194</v>
      </c>
      <c r="T39">
        <f t="shared" si="34"/>
        <v>25776347.076855734</v>
      </c>
      <c r="U39">
        <f t="shared" si="34"/>
        <v>164031299.57999095</v>
      </c>
      <c r="V39">
        <f t="shared" si="34"/>
        <v>82015649.789995492</v>
      </c>
      <c r="W39">
        <f t="shared" si="34"/>
        <v>39836172.755140677</v>
      </c>
      <c r="X39">
        <f t="shared" si="34"/>
        <v>424138074.62826246</v>
      </c>
      <c r="Y39">
        <f t="shared" si="34"/>
        <v>285883122.1251272</v>
      </c>
      <c r="Z39">
        <f t="shared" si="34"/>
        <v>271823296.44684225</v>
      </c>
      <c r="AA39">
        <f t="shared" si="34"/>
        <v>323375990.60055375</v>
      </c>
    </row>
    <row r="40" spans="1:39" x14ac:dyDescent="0.25">
      <c r="A40">
        <f>'Texas pop'!A136</f>
        <v>0</v>
      </c>
      <c r="B40">
        <f>'Texas pop'!B136</f>
        <v>13427775.03937426</v>
      </c>
      <c r="C40">
        <f>'Texas pop'!C136</f>
        <v>0</v>
      </c>
      <c r="D40">
        <f>'Texas pop'!D136</f>
        <v>0</v>
      </c>
      <c r="E40">
        <f>'Texas pop'!E136</f>
        <v>0</v>
      </c>
      <c r="K40" s="38" t="s">
        <v>212</v>
      </c>
    </row>
    <row r="41" spans="1:39" x14ac:dyDescent="0.25">
      <c r="B41" s="1">
        <v>2029</v>
      </c>
      <c r="C41" s="1" t="s">
        <v>186</v>
      </c>
      <c r="D41" s="1">
        <f>576.3995*0.9</f>
        <v>518.75954999999999</v>
      </c>
      <c r="E41">
        <f>E17*D41/1000</f>
        <v>115818.28522067577</v>
      </c>
      <c r="K41" s="38" t="s">
        <v>214</v>
      </c>
    </row>
    <row r="42" spans="1:39" x14ac:dyDescent="0.25">
      <c r="C42" s="108" t="s">
        <v>187</v>
      </c>
      <c r="D42" s="108">
        <v>7.2</v>
      </c>
      <c r="E42" s="11">
        <f>E41/7.2</f>
        <v>16085.872947316078</v>
      </c>
      <c r="F42" t="s">
        <v>188</v>
      </c>
    </row>
    <row r="43" spans="1:39" x14ac:dyDescent="0.25">
      <c r="C43" t="s">
        <v>190</v>
      </c>
      <c r="D43">
        <v>0.95</v>
      </c>
      <c r="E43" s="11">
        <f>E42*D43</f>
        <v>15281.579299950274</v>
      </c>
      <c r="F43" t="s">
        <v>189</v>
      </c>
      <c r="I43" s="100" t="s">
        <v>218</v>
      </c>
    </row>
    <row r="44" spans="1:39" x14ac:dyDescent="0.25">
      <c r="B44" t="s">
        <v>191</v>
      </c>
      <c r="D44">
        <v>8.09</v>
      </c>
      <c r="E44" s="46">
        <f>E17*D44/1000</f>
        <v>1806.1738380243157</v>
      </c>
      <c r="F44" t="s">
        <v>192</v>
      </c>
      <c r="I44" s="100">
        <v>2021</v>
      </c>
      <c r="J44" s="99">
        <v>710</v>
      </c>
      <c r="K44" s="38" t="s">
        <v>219</v>
      </c>
    </row>
    <row r="45" spans="1:39" x14ac:dyDescent="0.25">
      <c r="B45" t="s">
        <v>193</v>
      </c>
      <c r="D45">
        <v>192.53</v>
      </c>
      <c r="E45" s="46">
        <f>D45*E18/1000</f>
        <v>49861.739540221621</v>
      </c>
      <c r="F45" t="s">
        <v>194</v>
      </c>
      <c r="J45" s="102">
        <f>J51*J44</f>
        <v>1054.7407345378406</v>
      </c>
      <c r="L45" s="104">
        <v>45717</v>
      </c>
      <c r="M45" s="101"/>
    </row>
    <row r="46" spans="1:39" x14ac:dyDescent="0.25">
      <c r="A46" s="106" t="s">
        <v>225</v>
      </c>
      <c r="B46" s="1" t="s">
        <v>224</v>
      </c>
      <c r="C46" s="1">
        <v>72.174251876015134</v>
      </c>
      <c r="I46" t="s">
        <v>220</v>
      </c>
      <c r="L46" s="98">
        <f>L45-J44+J45</f>
        <v>46061.740734537838</v>
      </c>
      <c r="M46" s="105">
        <f>L46/L45-1</f>
        <v>7.5407558356375137E-3</v>
      </c>
      <c r="N46" s="100" t="s">
        <v>222</v>
      </c>
    </row>
    <row r="47" spans="1:39" x14ac:dyDescent="0.25">
      <c r="D47" t="s">
        <v>198</v>
      </c>
      <c r="N47" s="38" t="s">
        <v>221</v>
      </c>
    </row>
    <row r="48" spans="1:39" x14ac:dyDescent="0.25">
      <c r="D48" t="s">
        <v>195</v>
      </c>
      <c r="F48" t="s">
        <v>196</v>
      </c>
      <c r="H48" t="s">
        <v>197</v>
      </c>
      <c r="J48" t="s">
        <v>200</v>
      </c>
    </row>
    <row r="49" spans="2:11" x14ac:dyDescent="0.25">
      <c r="D49" s="95">
        <f>E43</f>
        <v>15281.579299950274</v>
      </c>
      <c r="E49" s="95"/>
      <c r="F49" s="95">
        <f>E45</f>
        <v>49861.739540221621</v>
      </c>
      <c r="G49" s="95"/>
      <c r="H49" s="96">
        <f>F49-D49</f>
        <v>34580.160240271347</v>
      </c>
    </row>
    <row r="50" spans="2:11" x14ac:dyDescent="0.25">
      <c r="B50" s="115" t="s">
        <v>199</v>
      </c>
      <c r="C50" s="115"/>
      <c r="D50" s="107">
        <v>2236.89</v>
      </c>
      <c r="E50" s="91"/>
      <c r="F50" s="91"/>
      <c r="G50" s="91"/>
      <c r="H50" s="6">
        <v>500</v>
      </c>
      <c r="J50" s="19">
        <f>D49/$F$49*D50+H49/$F$49*H50</f>
        <v>1032.3204227337442</v>
      </c>
    </row>
    <row r="51" spans="2:11" x14ac:dyDescent="0.25">
      <c r="J51" s="93">
        <f>Q13</f>
        <v>1.4855503303349866</v>
      </c>
    </row>
    <row r="52" spans="2:11" x14ac:dyDescent="0.25">
      <c r="J52" s="92">
        <v>2.0632836303879314</v>
      </c>
      <c r="K52" t="s">
        <v>201</v>
      </c>
    </row>
    <row r="53" spans="2:11" x14ac:dyDescent="0.25">
      <c r="J53" s="92">
        <v>1.8506269043103447</v>
      </c>
      <c r="K53" t="s">
        <v>202</v>
      </c>
    </row>
    <row r="54" spans="2:11" x14ac:dyDescent="0.25">
      <c r="J54" s="92">
        <v>1.6379701782327589</v>
      </c>
      <c r="K54" t="s">
        <v>203</v>
      </c>
    </row>
    <row r="55" spans="2:11" x14ac:dyDescent="0.25">
      <c r="J55" s="94">
        <v>1.4253134521551725</v>
      </c>
      <c r="K55" t="s">
        <v>204</v>
      </c>
    </row>
    <row r="56" spans="2:11" x14ac:dyDescent="0.25">
      <c r="J56" s="94">
        <v>1.2126567260775862</v>
      </c>
      <c r="K56" t="s">
        <v>204</v>
      </c>
    </row>
    <row r="57" spans="2:11" x14ac:dyDescent="0.25">
      <c r="J57">
        <v>1</v>
      </c>
      <c r="K57" t="s">
        <v>205</v>
      </c>
    </row>
  </sheetData>
  <mergeCells count="1">
    <mergeCell ref="B50:C50"/>
  </mergeCells>
  <hyperlinks>
    <hyperlink ref="K40" r:id="rId1" xr:uid="{99F2C4EC-6238-4D01-8865-CD50ED0A1B00}"/>
    <hyperlink ref="K41" r:id="rId2" xr:uid="{BB8B46CA-D180-4F79-A592-DC4EDA127A06}"/>
    <hyperlink ref="K44" r:id="rId3" xr:uid="{7E501C18-887D-4F62-8495-4741B7DC5ED2}"/>
    <hyperlink ref="N47" r:id="rId4" location=":~:text=As%20auto%20prices%20soar%20across,costs%20almost%20%2430%2C000%20(%2429%2C969%20)." xr:uid="{77D1B89F-40AD-49F8-9A34-D04B85D5D619}"/>
  </hyperlinks>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AFFAC-9C3C-49DA-B3D4-762BADC0F104}">
  <dimension ref="A1:AH123"/>
  <sheetViews>
    <sheetView topLeftCell="F1" zoomScale="40" zoomScaleNormal="40" workbookViewId="0">
      <selection activeCell="AF15" sqref="AF15"/>
    </sheetView>
  </sheetViews>
  <sheetFormatPr defaultColWidth="11.42578125" defaultRowHeight="15" x14ac:dyDescent="0.25"/>
  <cols>
    <col min="3" max="3" width="17.5703125" customWidth="1"/>
    <col min="4" max="4" width="12.7109375" bestFit="1" customWidth="1"/>
    <col min="16" max="16" width="14.7109375" customWidth="1"/>
    <col min="17" max="17" width="9" customWidth="1"/>
    <col min="18" max="18" width="14.28515625" bestFit="1" customWidth="1"/>
    <col min="21" max="21" width="13.5703125" customWidth="1"/>
    <col min="22" max="22" width="12" bestFit="1" customWidth="1"/>
    <col min="23" max="23" width="13.42578125" customWidth="1"/>
  </cols>
  <sheetData>
    <row r="1" spans="1:33" x14ac:dyDescent="0.25">
      <c r="D1" s="44" t="s">
        <v>152</v>
      </c>
      <c r="E1" s="44"/>
      <c r="F1" s="82" t="s">
        <v>153</v>
      </c>
      <c r="G1" s="44"/>
      <c r="H1" s="44"/>
      <c r="I1" s="44" t="s">
        <v>153</v>
      </c>
      <c r="J1" s="44"/>
      <c r="K1" s="44"/>
    </row>
    <row r="2" spans="1:33" x14ac:dyDescent="0.25">
      <c r="D2" t="s">
        <v>56</v>
      </c>
      <c r="G2" t="s">
        <v>55</v>
      </c>
      <c r="M2" t="s">
        <v>37</v>
      </c>
      <c r="R2" s="1" t="s">
        <v>74</v>
      </c>
      <c r="S2" s="1"/>
      <c r="T2" s="1"/>
      <c r="U2" s="1" t="s">
        <v>75</v>
      </c>
      <c r="V2" s="1"/>
      <c r="W2" s="1">
        <v>37.74</v>
      </c>
      <c r="X2">
        <v>42</v>
      </c>
    </row>
    <row r="3" spans="1:33" ht="57.6" customHeight="1" x14ac:dyDescent="0.25">
      <c r="B3" s="120" t="s">
        <v>47</v>
      </c>
      <c r="C3" s="120"/>
      <c r="D3" s="121" t="s">
        <v>33</v>
      </c>
      <c r="E3" s="121"/>
      <c r="F3" s="121"/>
      <c r="G3" s="121" t="s">
        <v>63</v>
      </c>
      <c r="H3" s="121"/>
      <c r="I3" s="121"/>
      <c r="J3" s="121" t="s">
        <v>64</v>
      </c>
      <c r="K3" s="121"/>
      <c r="L3" s="121"/>
      <c r="M3" s="121" t="s">
        <v>64</v>
      </c>
      <c r="N3" s="121"/>
      <c r="O3" s="121"/>
      <c r="P3" s="116" t="s">
        <v>80</v>
      </c>
      <c r="Q3" s="17" t="s">
        <v>81</v>
      </c>
      <c r="R3" s="116" t="s">
        <v>61</v>
      </c>
      <c r="S3" s="116"/>
      <c r="T3" s="116"/>
      <c r="U3" s="117" t="s">
        <v>142</v>
      </c>
      <c r="V3" s="117"/>
      <c r="W3" s="117"/>
      <c r="X3" s="11"/>
      <c r="Y3" s="11"/>
      <c r="Z3" s="11"/>
      <c r="AA3" s="11"/>
    </row>
    <row r="4" spans="1:33" x14ac:dyDescent="0.25">
      <c r="A4" t="s">
        <v>36</v>
      </c>
      <c r="B4" s="6" t="s">
        <v>8</v>
      </c>
      <c r="C4" s="6" t="s">
        <v>37</v>
      </c>
      <c r="D4" s="10">
        <v>2030</v>
      </c>
      <c r="E4" s="10">
        <v>2040</v>
      </c>
      <c r="F4" s="10">
        <v>2050</v>
      </c>
      <c r="G4" s="10">
        <v>2030</v>
      </c>
      <c r="H4" s="10">
        <v>2040</v>
      </c>
      <c r="I4" s="10">
        <v>2050</v>
      </c>
      <c r="J4" s="10">
        <v>2030</v>
      </c>
      <c r="K4" s="10">
        <v>2040</v>
      </c>
      <c r="L4" s="10">
        <v>2050</v>
      </c>
      <c r="M4" s="10">
        <v>2030</v>
      </c>
      <c r="N4" s="10">
        <v>2040</v>
      </c>
      <c r="O4" s="10">
        <v>2050</v>
      </c>
      <c r="P4" s="116"/>
      <c r="Q4" s="17"/>
      <c r="R4" s="10">
        <v>2030</v>
      </c>
      <c r="S4" s="10">
        <v>2040</v>
      </c>
      <c r="T4" s="10">
        <v>2050</v>
      </c>
      <c r="U4" s="10" t="s">
        <v>50</v>
      </c>
      <c r="V4" s="77">
        <f>'Texas pop'!J134</f>
        <v>0.33166860924337421</v>
      </c>
      <c r="W4" s="10">
        <v>40</v>
      </c>
      <c r="X4" s="10">
        <v>45</v>
      </c>
      <c r="Y4" s="10">
        <v>50</v>
      </c>
      <c r="Z4" s="10">
        <v>70</v>
      </c>
      <c r="AA4" s="10">
        <v>100</v>
      </c>
      <c r="AB4" s="77">
        <f>'Texas pop'!$J$134</f>
        <v>0.33166860924337421</v>
      </c>
      <c r="AC4" s="78">
        <v>0.4</v>
      </c>
      <c r="AD4" s="78">
        <v>0.45</v>
      </c>
      <c r="AE4" s="78">
        <v>0.5</v>
      </c>
      <c r="AF4" s="78">
        <v>0.7</v>
      </c>
      <c r="AG4" s="78">
        <v>1</v>
      </c>
    </row>
    <row r="5" spans="1:33" x14ac:dyDescent="0.25">
      <c r="A5" s="14" t="s">
        <v>38</v>
      </c>
      <c r="B5" s="15">
        <v>53.2</v>
      </c>
      <c r="C5" s="15">
        <v>22.3</v>
      </c>
      <c r="D5" s="15">
        <f>'Texas pop'!$K$114*'EVs materials req (2)'!B5</f>
        <v>64545468.992639706</v>
      </c>
      <c r="E5" s="15">
        <f>B5*'Texas pop'!$K$124</f>
        <v>228164815.38698235</v>
      </c>
      <c r="F5" s="15">
        <f>B5*'Texas pop'!$K$134</f>
        <v>407268836.52549851</v>
      </c>
      <c r="G5" s="15">
        <f>D5/1000</f>
        <v>64545.468992639704</v>
      </c>
      <c r="H5" s="15">
        <f t="shared" ref="H5:I12" si="0">E5/1000</f>
        <v>228164.81538698234</v>
      </c>
      <c r="I5" s="15">
        <f>F5/1000</f>
        <v>407268.83652549848</v>
      </c>
      <c r="J5" s="16">
        <f>G5/1000000</f>
        <v>6.4545468992639701E-2</v>
      </c>
      <c r="K5" s="16">
        <f>H5/1000000</f>
        <v>0.22816481538698236</v>
      </c>
      <c r="L5" s="16">
        <f>I5/1000000</f>
        <v>0.4072688365254985</v>
      </c>
      <c r="M5" s="6">
        <f>C5*'Texas pop'!$E$76/1000000000</f>
        <v>0.59318000000000004</v>
      </c>
      <c r="N5" s="6">
        <f>C5*'Texas pop'!$E$77/1000000000</f>
        <v>0.69486800000000004</v>
      </c>
      <c r="O5" s="6">
        <f>C5*'Texas pop'!$E$78/1000000000</f>
        <v>0.79655600000000004</v>
      </c>
      <c r="P5" s="6">
        <v>22000000</v>
      </c>
      <c r="Q5" s="6" t="s">
        <v>84</v>
      </c>
      <c r="R5" s="9">
        <f>G5/$P$5</f>
        <v>2.9338849542108955E-3</v>
      </c>
      <c r="S5" s="9">
        <f>H5/$P5</f>
        <v>1.037112797213556E-2</v>
      </c>
      <c r="T5" s="9">
        <f>I5/P5</f>
        <v>1.8512219842068113E-2</v>
      </c>
      <c r="U5" s="9">
        <f>SUM(R5:T5)</f>
        <v>3.1817232768414569E-2</v>
      </c>
      <c r="V5" s="6">
        <f>'Texas pop'!$H$134*'EVs materials req (2)'!$V$4*'EVs materials req (2)'!B5/1000</f>
        <v>587599.22474761098</v>
      </c>
      <c r="W5" s="6">
        <f>'Texas pop'!$H$134*'EVs materials req (2)'!$W$4/100*'EVs materials req (2)'!B5/1000</f>
        <v>708658.23098312947</v>
      </c>
      <c r="X5" s="6">
        <f>'Texas pop'!$H$134*'EVs materials req (2)'!$X$4/100*'EVs materials req (2)'!B5/1000</f>
        <v>797240.50985602068</v>
      </c>
      <c r="Y5" s="6">
        <f>'Texas pop'!$H$134*'EVs materials req (2)'!$Y$4/100*'EVs materials req (2)'!B5/1000</f>
        <v>885822.7887289119</v>
      </c>
      <c r="Z5" s="6">
        <f>'Texas pop'!$H$134*'EVs materials req (2)'!$Z$4/100*'EVs materials req (2)'!B5/1000</f>
        <v>1240151.9042204765</v>
      </c>
      <c r="AA5" s="6">
        <f>'Texas pop'!$H$134*'EVs materials req (2)'!$AA$4/100*'EVs materials req (2)'!B5/1000</f>
        <v>1771645.5774578238</v>
      </c>
      <c r="AB5" s="41">
        <f>V5/P5</f>
        <v>2.6709055670345955E-2</v>
      </c>
      <c r="AC5" s="41">
        <f>W5/$P$5</f>
        <v>3.221173777196043E-2</v>
      </c>
      <c r="AD5" s="41">
        <f t="shared" ref="AD5:AG5" si="1">X5/$P$5</f>
        <v>3.6238204993455488E-2</v>
      </c>
      <c r="AE5" s="41">
        <f t="shared" si="1"/>
        <v>4.0264672214950538E-2</v>
      </c>
      <c r="AF5" s="41">
        <f t="shared" si="1"/>
        <v>5.6370541100930753E-2</v>
      </c>
      <c r="AG5" s="41">
        <f t="shared" si="1"/>
        <v>8.0529344429901076E-2</v>
      </c>
    </row>
    <row r="6" spans="1:33" x14ac:dyDescent="0.25">
      <c r="A6" s="11" t="s">
        <v>39</v>
      </c>
      <c r="B6" s="12">
        <v>8.9</v>
      </c>
      <c r="C6" s="11"/>
      <c r="D6" s="15">
        <f>'Texas pop'!$K$114*'EVs materials req (2)'!B6</f>
        <v>10798020.188618297</v>
      </c>
      <c r="E6" s="15">
        <f>B6*'Texas pop'!$K$124</f>
        <v>38170429.641807199</v>
      </c>
      <c r="F6" s="15">
        <f>B6*'Texas pop'!$K$134</f>
        <v>68133320.396183029</v>
      </c>
      <c r="G6" s="12">
        <f>D6/1000</f>
        <v>10798.020188618297</v>
      </c>
      <c r="H6" s="12">
        <f t="shared" si="0"/>
        <v>38170.429641807197</v>
      </c>
      <c r="I6" s="12">
        <f t="shared" si="0"/>
        <v>68133.32039618303</v>
      </c>
      <c r="J6" s="13">
        <f t="shared" ref="J6:J12" si="2">G6/1000000</f>
        <v>1.0798020188618297E-2</v>
      </c>
      <c r="K6" s="13">
        <f>H6/1000000</f>
        <v>3.8170429641807196E-2</v>
      </c>
      <c r="L6" s="13">
        <f t="shared" ref="K6:L13" si="3">I6/1000000</f>
        <v>6.8133320396183028E-2</v>
      </c>
      <c r="M6" s="6">
        <f>C6*'Texas pop'!$E$76/1000000000</f>
        <v>0</v>
      </c>
      <c r="N6" s="6">
        <f>C6*'Texas pop'!$E$77/1000000000</f>
        <v>0</v>
      </c>
      <c r="O6" s="6">
        <f>C6*'Texas pop'!$E$78/1000000000</f>
        <v>0</v>
      </c>
      <c r="P6" s="6">
        <v>130000</v>
      </c>
      <c r="Q6" s="6" t="s">
        <v>59</v>
      </c>
      <c r="R6" s="13">
        <f t="shared" ref="R6:R13" si="4">G6/P6</f>
        <v>8.3061693758602284E-2</v>
      </c>
      <c r="S6" s="13">
        <f>H6/$P6</f>
        <v>0.29361868955236303</v>
      </c>
      <c r="T6" s="13">
        <f>I6/P6</f>
        <v>0.52410246458602328</v>
      </c>
      <c r="U6" s="9">
        <f t="shared" ref="U6:U13" si="5">SUM(R6:T6)</f>
        <v>0.90078284789698859</v>
      </c>
      <c r="V6" s="6">
        <f>'Texas pop'!$H$134*'EVs materials req (2)'!$V$4*'EVs materials req (2)'!B6/1000</f>
        <v>98301.374064919873</v>
      </c>
      <c r="W6" s="6">
        <f>'Texas pop'!$H$134*'EVs materials req (2)'!$W$4/100*'EVs materials req (2)'!B6/1000</f>
        <v>118553.72661183935</v>
      </c>
      <c r="X6" s="6">
        <f>'Texas pop'!$H$134*'EVs materials req (2)'!$X$4/100*'EVs materials req (2)'!B6/1000</f>
        <v>133372.94243831924</v>
      </c>
      <c r="Y6" s="6">
        <f>'Texas pop'!$H$134*'EVs materials req (2)'!$Y$4/100*'EVs materials req (2)'!B6/1000</f>
        <v>148192.15826479919</v>
      </c>
      <c r="Z6" s="6">
        <f>'Texas pop'!$H$134*'EVs materials req (2)'!$Z$4/100*'EVs materials req (2)'!B6/1000</f>
        <v>207469.02157071885</v>
      </c>
      <c r="AA6" s="6">
        <f>'Texas pop'!$H$134*'EVs materials req (2)'!$AA$4/100*'EVs materials req (2)'!B6/1000</f>
        <v>296384.31652959838</v>
      </c>
      <c r="AB6" s="41">
        <f t="shared" ref="AB6:AB10" si="6">V6/P6</f>
        <v>0.75616441588399907</v>
      </c>
      <c r="AC6" s="41">
        <f>W6/$P$6</f>
        <v>0.91195174316799499</v>
      </c>
      <c r="AD6" s="41">
        <f t="shared" ref="AD6:AG6" si="7">X6/$P$6</f>
        <v>1.0259457110639942</v>
      </c>
      <c r="AE6" s="41">
        <f t="shared" si="7"/>
        <v>1.1399396789599938</v>
      </c>
      <c r="AF6" s="41">
        <f t="shared" si="7"/>
        <v>1.595915550543991</v>
      </c>
      <c r="AG6" s="41">
        <f t="shared" si="7"/>
        <v>2.2798793579199876</v>
      </c>
    </row>
    <row r="7" spans="1:33" x14ac:dyDescent="0.25">
      <c r="A7" t="s">
        <v>40</v>
      </c>
      <c r="B7" s="6">
        <v>39.9</v>
      </c>
      <c r="C7" s="6"/>
      <c r="D7" s="15">
        <f>'Texas pop'!$K$114*'EVs materials req (2)'!B7</f>
        <v>48409101.744479775</v>
      </c>
      <c r="E7" s="15">
        <f>B7*'Texas pop'!$K$124</f>
        <v>171123611.54023674</v>
      </c>
      <c r="F7" s="15">
        <f>B7*'Texas pop'!$K$134</f>
        <v>305451627.39412385</v>
      </c>
      <c r="G7" s="6">
        <f>D7/1000</f>
        <v>48409.101744479776</v>
      </c>
      <c r="H7" s="6">
        <f t="shared" si="0"/>
        <v>171123.61154023674</v>
      </c>
      <c r="I7" s="6">
        <f t="shared" si="0"/>
        <v>305451.62739412388</v>
      </c>
      <c r="J7" s="9">
        <f t="shared" si="2"/>
        <v>4.8409101744479779E-2</v>
      </c>
      <c r="K7" s="9">
        <f t="shared" si="3"/>
        <v>0.17112361154023675</v>
      </c>
      <c r="L7" s="9">
        <f t="shared" si="3"/>
        <v>0.3054516273941239</v>
      </c>
      <c r="M7" s="6">
        <f>C7*'Texas pop'!$E$76/1000000000</f>
        <v>0</v>
      </c>
      <c r="N7" s="6">
        <f>C7*'Texas pop'!$E$77/1000000000</f>
        <v>0</v>
      </c>
      <c r="O7" s="6">
        <f>C7*'Texas pop'!$E$78/1000000000</f>
        <v>0</v>
      </c>
      <c r="P7" s="6">
        <v>2800000</v>
      </c>
      <c r="Q7" s="24" t="s">
        <v>85</v>
      </c>
      <c r="R7" s="9">
        <f t="shared" si="4"/>
        <v>1.7288964908742776E-2</v>
      </c>
      <c r="S7" s="9">
        <f t="shared" ref="S7:S13" si="8">H7/$P7</f>
        <v>6.1115575550084553E-2</v>
      </c>
      <c r="T7" s="9">
        <f t="shared" ref="T7:T13" si="9">I7/P7</f>
        <v>0.10908986692647281</v>
      </c>
      <c r="U7" s="9">
        <f t="shared" si="5"/>
        <v>0.18749440738530015</v>
      </c>
      <c r="V7" s="6">
        <f>'Texas pop'!$H$134*'EVs materials req (2)'!$V$4*'EVs materials req (2)'!B7/1000</f>
        <v>440699.41856070823</v>
      </c>
      <c r="W7" s="6">
        <f>'Texas pop'!$H$134*'EVs materials req (2)'!$W$4/100*'EVs materials req (2)'!B7/1000</f>
        <v>531493.67323734704</v>
      </c>
      <c r="X7" s="6">
        <f>'Texas pop'!$H$134*'EVs materials req (2)'!$X$4/100*'EVs materials req (2)'!B7/1000</f>
        <v>597930.38239201542</v>
      </c>
      <c r="Y7" s="6">
        <f>'Texas pop'!$H$134*'EVs materials req (2)'!$Y$4/100*'EVs materials req (2)'!B7/1000</f>
        <v>664367.09154668392</v>
      </c>
      <c r="Z7" s="6">
        <f>'Texas pop'!$H$134*'EVs materials req (2)'!$Z$4/100*'EVs materials req (2)'!B7/1000</f>
        <v>930113.92816535744</v>
      </c>
      <c r="AA7" s="6">
        <f>'Texas pop'!$H$134*'EVs materials req (2)'!$AA$4/100*'EVs materials req (2)'!B7/1000</f>
        <v>1328734.1830933678</v>
      </c>
      <c r="AB7" s="41">
        <f t="shared" si="6"/>
        <v>0.15739264948596723</v>
      </c>
      <c r="AC7" s="41">
        <f>W7/$P$7</f>
        <v>0.18981916901333823</v>
      </c>
      <c r="AD7" s="41">
        <f t="shared" ref="AD7:AG7" si="10">X7/$P$7</f>
        <v>0.2135465651400055</v>
      </c>
      <c r="AE7" s="41">
        <f t="shared" si="10"/>
        <v>0.23727396126667283</v>
      </c>
      <c r="AF7" s="41">
        <f t="shared" si="10"/>
        <v>0.33218354577334197</v>
      </c>
      <c r="AG7" s="41">
        <f t="shared" si="10"/>
        <v>0.47454792253334566</v>
      </c>
    </row>
    <row r="8" spans="1:33" x14ac:dyDescent="0.25">
      <c r="A8" t="s">
        <v>41</v>
      </c>
      <c r="B8" s="6">
        <v>24.5</v>
      </c>
      <c r="C8" s="6">
        <v>11.2</v>
      </c>
      <c r="D8" s="15">
        <f>'Texas pop'!$K$114*'EVs materials req (2)'!B8</f>
        <v>29724887.036084075</v>
      </c>
      <c r="E8" s="15">
        <f>B8*'Texas pop'!$K$124</f>
        <v>105075901.82295239</v>
      </c>
      <c r="F8" s="15">
        <f>B8*'Texas pop'!$K$134</f>
        <v>187558016.82095325</v>
      </c>
      <c r="G8" s="6">
        <f t="shared" ref="G8:G12" si="11">D8/1000</f>
        <v>29724.887036084074</v>
      </c>
      <c r="H8" s="6">
        <f t="shared" si="0"/>
        <v>105075.90182295239</v>
      </c>
      <c r="I8" s="6">
        <f t="shared" si="0"/>
        <v>187558.01682095326</v>
      </c>
      <c r="J8" s="9">
        <f t="shared" si="2"/>
        <v>2.9724887036084075E-2</v>
      </c>
      <c r="K8" s="9">
        <f t="shared" si="3"/>
        <v>0.1050759018229524</v>
      </c>
      <c r="L8" s="9">
        <f t="shared" si="3"/>
        <v>0.18755801682095324</v>
      </c>
      <c r="M8" s="6">
        <f>C8*'Texas pop'!$E$76/1000000000</f>
        <v>0.29792000000000002</v>
      </c>
      <c r="N8" s="6">
        <f>C8*'Texas pop'!$E$77/1000000000</f>
        <v>0.34899200000000002</v>
      </c>
      <c r="O8" s="6">
        <f>C8*'Texas pop'!$E$78/1000000000</f>
        <v>0.40006399999999998</v>
      </c>
      <c r="P8" s="6">
        <v>50000000</v>
      </c>
      <c r="Q8" s="22" t="s">
        <v>83</v>
      </c>
      <c r="R8" s="9">
        <f t="shared" si="4"/>
        <v>5.9449774072168151E-4</v>
      </c>
      <c r="S8" s="9">
        <f t="shared" si="8"/>
        <v>2.1015180364590477E-3</v>
      </c>
      <c r="T8" s="9">
        <f t="shared" si="9"/>
        <v>3.7511603364190653E-3</v>
      </c>
      <c r="U8" s="9">
        <f t="shared" si="5"/>
        <v>6.4471761135997943E-3</v>
      </c>
      <c r="V8" s="6">
        <f>'Texas pop'!$H$134*'EVs materials req (2)'!$V$4*'EVs materials req (2)'!B8/1000</f>
        <v>270604.90613376821</v>
      </c>
      <c r="W8" s="6">
        <f>'Texas pop'!$H$134*'EVs materials req (2)'!$W$4/100*'EVs materials req (2)'!B8/1000</f>
        <v>326355.76426854648</v>
      </c>
      <c r="X8" s="6">
        <f>'Texas pop'!$H$134*'EVs materials req (2)'!$X$4/100*'EVs materials req (2)'!B8/1000</f>
        <v>367150.23480211478</v>
      </c>
      <c r="Y8" s="6">
        <f>'Texas pop'!$H$134*'EVs materials req (2)'!$Y$4/100*'EVs materials req (2)'!B8/1000</f>
        <v>407944.70533568313</v>
      </c>
      <c r="Z8" s="6">
        <f>'Texas pop'!$H$134*'EVs materials req (2)'!$Z$4/100*'EVs materials req (2)'!B8/1000</f>
        <v>571122.58746995637</v>
      </c>
      <c r="AA8" s="6">
        <f>'Texas pop'!$H$134*'EVs materials req (2)'!$AA$4/100*'EVs materials req (2)'!B8/1000</f>
        <v>815889.41067136626</v>
      </c>
      <c r="AB8" s="41">
        <f t="shared" si="6"/>
        <v>5.4120981226753644E-3</v>
      </c>
      <c r="AC8" s="41">
        <f>W8/$P$8</f>
        <v>6.52711528537093E-3</v>
      </c>
      <c r="AD8" s="41">
        <f t="shared" ref="AD8:AG8" si="12">X8/$P$8</f>
        <v>7.3430046960422952E-3</v>
      </c>
      <c r="AE8" s="41">
        <f t="shared" si="12"/>
        <v>8.1588941067136621E-3</v>
      </c>
      <c r="AF8" s="41">
        <f t="shared" si="12"/>
        <v>1.1422451749399128E-2</v>
      </c>
      <c r="AG8" s="41">
        <f t="shared" si="12"/>
        <v>1.6317788213427324E-2</v>
      </c>
    </row>
    <row r="9" spans="1:33" x14ac:dyDescent="0.25">
      <c r="A9" s="11" t="s">
        <v>42</v>
      </c>
      <c r="B9" s="12">
        <v>13.3</v>
      </c>
      <c r="C9" s="12"/>
      <c r="D9" s="15">
        <f>'Texas pop'!$K$114*'EVs materials req (2)'!B9</f>
        <v>16136367.248159926</v>
      </c>
      <c r="E9" s="15">
        <f>B9*'Texas pop'!$K$124</f>
        <v>57041203.846745588</v>
      </c>
      <c r="F9" s="15">
        <f>B9*'Texas pop'!$K$134</f>
        <v>101817209.13137463</v>
      </c>
      <c r="G9" s="12">
        <f t="shared" si="11"/>
        <v>16136.367248159926</v>
      </c>
      <c r="H9" s="12">
        <f t="shared" si="0"/>
        <v>57041.203846745586</v>
      </c>
      <c r="I9" s="12">
        <f t="shared" si="0"/>
        <v>101817.20913137462</v>
      </c>
      <c r="J9" s="13">
        <f t="shared" si="2"/>
        <v>1.6136367248159925E-2</v>
      </c>
      <c r="K9" s="13">
        <f t="shared" si="3"/>
        <v>5.7041203846745589E-2</v>
      </c>
      <c r="L9" s="13">
        <f t="shared" si="3"/>
        <v>0.10181720913137463</v>
      </c>
      <c r="M9" s="12">
        <f>C9*'Texas pop'!$E$76/1000000000</f>
        <v>0</v>
      </c>
      <c r="N9" s="12">
        <f>C9*'Texas pop'!$E$77/1000000000</f>
        <v>0</v>
      </c>
      <c r="O9" s="12">
        <f>C9*'Texas pop'!$E$78/1000000000</f>
        <v>0</v>
      </c>
      <c r="P9" s="23">
        <v>197791</v>
      </c>
      <c r="Q9" s="23" t="s">
        <v>82</v>
      </c>
      <c r="R9" s="13">
        <f t="shared" si="4"/>
        <v>8.1582919587645172E-2</v>
      </c>
      <c r="S9" s="13">
        <f t="shared" si="8"/>
        <v>0.28839130115498474</v>
      </c>
      <c r="T9" s="13">
        <f t="shared" si="9"/>
        <v>0.51477169907313591</v>
      </c>
      <c r="U9" s="9">
        <f t="shared" si="5"/>
        <v>0.88474591981576589</v>
      </c>
      <c r="V9" s="6">
        <f>'Texas pop'!$H$134*'EVs materials req (2)'!$V$4*'EVs materials req (2)'!B9/1000</f>
        <v>146899.80618690274</v>
      </c>
      <c r="W9" s="6">
        <f>'Texas pop'!$H$134*'EVs materials req (2)'!$W$4/100*'EVs materials req (2)'!B9/1000</f>
        <v>177164.55774578237</v>
      </c>
      <c r="X9" s="6">
        <f>'Texas pop'!$H$134*'EVs materials req (2)'!$X$4/100*'EVs materials req (2)'!B9/1000</f>
        <v>199310.12746400517</v>
      </c>
      <c r="Y9" s="6">
        <f>'Texas pop'!$H$134*'EVs materials req (2)'!$Y$4/100*'EVs materials req (2)'!B9/1000</f>
        <v>221455.69718222797</v>
      </c>
      <c r="Z9" s="6">
        <f>'Texas pop'!$H$134*'EVs materials req (2)'!$Z$4/100*'EVs materials req (2)'!B9/1000</f>
        <v>310037.97605511913</v>
      </c>
      <c r="AA9" s="6">
        <f>'Texas pop'!$H$134*'EVs materials req (2)'!$AA$4/100*'EVs materials req (2)'!B9/1000</f>
        <v>442911.39436445595</v>
      </c>
      <c r="AB9" s="41">
        <f t="shared" si="6"/>
        <v>0.74270217647366532</v>
      </c>
      <c r="AC9" s="41">
        <f>W9/$P$9</f>
        <v>0.89571597163562733</v>
      </c>
      <c r="AD9" s="41">
        <f t="shared" ref="AD9:AG9" si="13">X9/$P$9</f>
        <v>1.0076804680900808</v>
      </c>
      <c r="AE9" s="41">
        <f t="shared" si="13"/>
        <v>1.1196449645445343</v>
      </c>
      <c r="AF9" s="41">
        <f t="shared" si="13"/>
        <v>1.5675029503623479</v>
      </c>
      <c r="AG9" s="41">
        <f t="shared" si="13"/>
        <v>2.2392899290890687</v>
      </c>
    </row>
    <row r="10" spans="1:33" x14ac:dyDescent="0.25">
      <c r="A10" s="11" t="s">
        <v>43</v>
      </c>
      <c r="B10" s="12">
        <v>66.3</v>
      </c>
      <c r="C10" s="12"/>
      <c r="D10" s="15">
        <f>'Texas pop'!$K$114*'EVs materials req (2)'!B10</f>
        <v>80439184.101729557</v>
      </c>
      <c r="E10" s="15">
        <f>B10*'Texas pop'!$K$124</f>
        <v>284348256.76986706</v>
      </c>
      <c r="F10" s="15">
        <f>B10*'Texas pop'!$K$134</f>
        <v>507554959.80527347</v>
      </c>
      <c r="G10" s="12">
        <f t="shared" si="11"/>
        <v>80439.184101729552</v>
      </c>
      <c r="H10" s="12">
        <f t="shared" si="0"/>
        <v>284348.25676986709</v>
      </c>
      <c r="I10" s="12">
        <f t="shared" si="0"/>
        <v>507554.95980527345</v>
      </c>
      <c r="J10" s="13">
        <f t="shared" si="2"/>
        <v>8.0439184101729552E-2</v>
      </c>
      <c r="K10" s="13">
        <f t="shared" si="3"/>
        <v>0.28434825676986708</v>
      </c>
      <c r="L10" s="13">
        <f t="shared" si="3"/>
        <v>0.50755495980527343</v>
      </c>
      <c r="M10" s="12">
        <f>C10*'Texas pop'!$E$76/1000000000</f>
        <v>0</v>
      </c>
      <c r="N10" s="12">
        <f>C10*'Texas pop'!$E$77/1000000000</f>
        <v>0</v>
      </c>
      <c r="O10" s="12">
        <f>C10*'Texas pop'!$E$78/1000000000</f>
        <v>0</v>
      </c>
      <c r="P10" s="12">
        <v>1300000</v>
      </c>
      <c r="Q10" s="12" t="s">
        <v>86</v>
      </c>
      <c r="R10" s="13">
        <f t="shared" si="4"/>
        <v>6.1876295462868887E-2</v>
      </c>
      <c r="S10" s="13">
        <f t="shared" si="8"/>
        <v>0.21872942828451314</v>
      </c>
      <c r="T10" s="13">
        <f t="shared" si="9"/>
        <v>0.39042689215790266</v>
      </c>
      <c r="U10" s="9">
        <f t="shared" si="5"/>
        <v>0.67103261590528462</v>
      </c>
      <c r="V10" s="6">
        <f>'Texas pop'!$H$134*'EVs materials req (2)'!$V$4*'EVs materials req (2)'!B10/1000</f>
        <v>732290.01129260543</v>
      </c>
      <c r="W10" s="6">
        <f>'Texas pop'!$H$134*'EVs materials req (2)'!$W$4/100*'EVs materials req (2)'!B10/1000</f>
        <v>883158.66004100535</v>
      </c>
      <c r="X10" s="6">
        <f>'Texas pop'!$H$134*'EVs materials req (2)'!$X$4/100*'EVs materials req (2)'!B10/1000</f>
        <v>993553.4925461309</v>
      </c>
      <c r="Y10" s="6">
        <f>'Texas pop'!$H$134*'EVs materials req (2)'!$Y$4/100*'EVs materials req (2)'!B10/1000</f>
        <v>1103948.3250512567</v>
      </c>
      <c r="Z10" s="6">
        <f>'Texas pop'!$H$134*'EVs materials req (2)'!$Z$4/100*'EVs materials req (2)'!B10/1000</f>
        <v>1545527.6550717594</v>
      </c>
      <c r="AA10" s="6">
        <f>'Texas pop'!$H$134*'EVs materials req (2)'!$AA$4/100*'EVs materials req (2)'!B10/1000</f>
        <v>2207896.6501025134</v>
      </c>
      <c r="AB10" s="41">
        <f t="shared" si="6"/>
        <v>0.56330000868661956</v>
      </c>
      <c r="AC10" s="41">
        <f>W10/$P$10</f>
        <v>0.679352815416158</v>
      </c>
      <c r="AD10" s="41">
        <f t="shared" ref="AD10:AG10" si="14">X10/$P$10</f>
        <v>0.76427191734317756</v>
      </c>
      <c r="AE10" s="41">
        <f t="shared" si="14"/>
        <v>0.84919101927019747</v>
      </c>
      <c r="AF10" s="41">
        <f t="shared" si="14"/>
        <v>1.1888674269782764</v>
      </c>
      <c r="AG10" s="41">
        <f t="shared" si="14"/>
        <v>1.6983820385403949</v>
      </c>
    </row>
    <row r="11" spans="1:33" x14ac:dyDescent="0.25">
      <c r="A11" t="s">
        <v>44</v>
      </c>
      <c r="B11" s="6"/>
      <c r="C11" s="6"/>
      <c r="D11" s="15">
        <f>'Texas pop'!$K$114*'EVs materials req (2)'!B11</f>
        <v>0</v>
      </c>
      <c r="E11" s="15">
        <f>B11*'Texas pop'!$K$124</f>
        <v>0</v>
      </c>
      <c r="F11" s="15">
        <f>B11*'Texas pop'!$K$134</f>
        <v>0</v>
      </c>
      <c r="G11" s="6">
        <f t="shared" si="11"/>
        <v>0</v>
      </c>
      <c r="H11" s="6">
        <f t="shared" si="0"/>
        <v>0</v>
      </c>
      <c r="I11" s="6">
        <f t="shared" si="0"/>
        <v>0</v>
      </c>
      <c r="J11" s="9">
        <f t="shared" si="2"/>
        <v>0</v>
      </c>
      <c r="K11" s="9">
        <f t="shared" si="3"/>
        <v>0</v>
      </c>
      <c r="L11" s="9">
        <f t="shared" si="3"/>
        <v>0</v>
      </c>
      <c r="M11" s="6">
        <f>C11*'Texas pop'!$E$76/1000000000</f>
        <v>0</v>
      </c>
      <c r="N11" s="6">
        <f>C11*'Texas pop'!$E$77/1000000000</f>
        <v>0</v>
      </c>
      <c r="O11" s="6">
        <f>C11*'Texas pop'!$E$78/1000000000</f>
        <v>0</v>
      </c>
      <c r="P11" s="6">
        <v>12500000</v>
      </c>
      <c r="Q11" s="6" t="s">
        <v>87</v>
      </c>
      <c r="R11" s="9">
        <f t="shared" si="4"/>
        <v>0</v>
      </c>
      <c r="S11" s="9">
        <f t="shared" si="8"/>
        <v>0</v>
      </c>
      <c r="T11" s="9">
        <f t="shared" si="9"/>
        <v>0</v>
      </c>
      <c r="U11" s="9">
        <f t="shared" si="5"/>
        <v>0</v>
      </c>
      <c r="V11" s="6">
        <f>'Texas pop'!$H$134*'EVs materials req (2)'!$V$4*'EVs materials req (2)'!B11/1000</f>
        <v>0</v>
      </c>
      <c r="W11" s="6">
        <f>S11*$W$2/100</f>
        <v>0</v>
      </c>
      <c r="X11" s="6">
        <f>'Texas pop'!$H$134*'EVs materials req (2)'!$X$4/100*'EVs materials req (2)'!B11/1000</f>
        <v>0</v>
      </c>
      <c r="Y11">
        <f>X5-W5</f>
        <v>88582.278872891213</v>
      </c>
      <c r="Z11">
        <f>Y5-X5</f>
        <v>88582.278872891213</v>
      </c>
    </row>
    <row r="12" spans="1:33" x14ac:dyDescent="0.25">
      <c r="A12" t="s">
        <v>45</v>
      </c>
      <c r="B12" s="6">
        <v>0.5</v>
      </c>
      <c r="C12" s="6"/>
      <c r="D12" s="15">
        <f>'Texas pop'!$K$114*'EVs materials req (2)'!B12</f>
        <v>606630.34767518518</v>
      </c>
      <c r="E12" s="15">
        <f>B12*'Texas pop'!$K$124</f>
        <v>2144406.1596520897</v>
      </c>
      <c r="F12" s="15">
        <f>B12*'Texas pop'!$K$134</f>
        <v>3827714.6289990461</v>
      </c>
      <c r="G12" s="6">
        <f t="shared" si="11"/>
        <v>606.63034767518513</v>
      </c>
      <c r="H12" s="6">
        <f t="shared" si="0"/>
        <v>2144.4061596520896</v>
      </c>
      <c r="I12" s="6">
        <f t="shared" si="0"/>
        <v>3827.714628999046</v>
      </c>
      <c r="J12" s="9">
        <f t="shared" si="2"/>
        <v>6.0663034767518512E-4</v>
      </c>
      <c r="K12" s="9">
        <f t="shared" si="3"/>
        <v>2.1444061596520895E-3</v>
      </c>
      <c r="L12" s="9">
        <f t="shared" si="3"/>
        <v>3.8277146289990458E-3</v>
      </c>
      <c r="M12" s="6">
        <f>C12*'Texas pop'!$E$76/1000000000</f>
        <v>0</v>
      </c>
      <c r="N12" s="6">
        <f>C12*'Texas pop'!$E$77/1000000000</f>
        <v>0</v>
      </c>
      <c r="O12" s="6">
        <f>C12*'Texas pop'!$E$78/1000000000</f>
        <v>0</v>
      </c>
      <c r="P12" s="6">
        <v>1</v>
      </c>
      <c r="Q12" s="6"/>
      <c r="R12" s="9">
        <f t="shared" si="4"/>
        <v>606.63034767518513</v>
      </c>
      <c r="S12" s="9">
        <f t="shared" si="8"/>
        <v>2144.4061596520896</v>
      </c>
      <c r="T12" s="9">
        <f t="shared" si="9"/>
        <v>3827.714628999046</v>
      </c>
      <c r="U12" s="9">
        <f t="shared" si="5"/>
        <v>6578.7511363263202</v>
      </c>
      <c r="V12" s="6">
        <f>'Texas pop'!$H$134*'EVs materials req (2)'!$V$4*'EVs materials req (2)'!B12/1000</f>
        <v>5522.5491047707792</v>
      </c>
      <c r="W12" s="6">
        <f>S12*$W$2/100</f>
        <v>809.29888465269858</v>
      </c>
      <c r="X12" s="6">
        <f>T12*$W$2/100</f>
        <v>1444.5795009842402</v>
      </c>
      <c r="Y12">
        <f>W5-G5-H5-I5</f>
        <v>8679.1100780089619</v>
      </c>
      <c r="Z12">
        <f>W5-V5</f>
        <v>121059.00623551849</v>
      </c>
    </row>
    <row r="13" spans="1:33" x14ac:dyDescent="0.25">
      <c r="A13" t="s">
        <v>46</v>
      </c>
      <c r="C13" s="6">
        <v>0.3</v>
      </c>
      <c r="H13" t="s">
        <v>151</v>
      </c>
      <c r="I13" s="43">
        <f>G6+H6+I6</f>
        <v>117101.77022660853</v>
      </c>
      <c r="L13" s="9">
        <f t="shared" si="3"/>
        <v>0.11710177022660853</v>
      </c>
      <c r="M13" s="6">
        <f>C13*'Texas pop'!$E$76/1000000000</f>
        <v>7.9799999999999992E-3</v>
      </c>
      <c r="N13" s="6">
        <f>C13*'Texas pop'!$E$77/1000000000</f>
        <v>9.3480000000000004E-3</v>
      </c>
      <c r="O13" s="6">
        <f>C13*'Texas pop'!$E$78/1000000000</f>
        <v>1.0716E-2</v>
      </c>
      <c r="P13" s="6">
        <v>1</v>
      </c>
      <c r="Q13" s="6"/>
      <c r="R13" s="9">
        <f t="shared" si="4"/>
        <v>0</v>
      </c>
      <c r="S13" s="9" t="e">
        <f t="shared" si="8"/>
        <v>#VALUE!</v>
      </c>
      <c r="T13" s="9">
        <f t="shared" si="9"/>
        <v>117101.77022660853</v>
      </c>
      <c r="U13" s="9" t="e">
        <f t="shared" si="5"/>
        <v>#VALUE!</v>
      </c>
      <c r="V13" s="6">
        <f>'Texas pop'!$H$134*'EVs materials req (2)'!$V$4*'EVs materials req (2)'!B13/1000</f>
        <v>0</v>
      </c>
      <c r="W13" s="6" t="e">
        <f>S13*$W$2/100</f>
        <v>#VALUE!</v>
      </c>
      <c r="X13" s="6">
        <f>T13*$W$2/100</f>
        <v>44194.208083522062</v>
      </c>
    </row>
    <row r="14" spans="1:33" x14ac:dyDescent="0.25">
      <c r="A14" t="s">
        <v>33</v>
      </c>
    </row>
    <row r="15" spans="1:33" ht="15.75" thickBot="1" x14ac:dyDescent="0.3">
      <c r="A15">
        <v>2030</v>
      </c>
      <c r="C15" s="11" t="s">
        <v>62</v>
      </c>
      <c r="D15" s="11"/>
      <c r="E15" s="11"/>
      <c r="F15" s="1" t="s">
        <v>72</v>
      </c>
      <c r="G15" s="1"/>
      <c r="H15" s="1">
        <v>3</v>
      </c>
      <c r="I15" s="1" t="s">
        <v>4</v>
      </c>
      <c r="J15" s="21">
        <v>3000</v>
      </c>
      <c r="K15" s="1" t="s">
        <v>73</v>
      </c>
    </row>
    <row r="16" spans="1:33" ht="16.5" thickBot="1" x14ac:dyDescent="0.3">
      <c r="A16">
        <v>2040</v>
      </c>
      <c r="C16" s="18">
        <v>22425000</v>
      </c>
      <c r="I16" s="46"/>
      <c r="J16" s="46" t="s">
        <v>143</v>
      </c>
      <c r="K16" s="46"/>
      <c r="L16" s="46"/>
      <c r="U16" t="s">
        <v>108</v>
      </c>
      <c r="W16">
        <f>W2/100*'Texas pop'!E78</f>
        <v>13480728</v>
      </c>
    </row>
    <row r="17" spans="1:24" x14ac:dyDescent="0.25">
      <c r="A17">
        <v>2050</v>
      </c>
      <c r="C17" t="s">
        <v>65</v>
      </c>
      <c r="D17" t="s">
        <v>66</v>
      </c>
      <c r="E17" t="s">
        <v>66</v>
      </c>
      <c r="F17" s="118" t="s">
        <v>67</v>
      </c>
      <c r="G17" s="118"/>
      <c r="H17" t="s">
        <v>147</v>
      </c>
      <c r="I17">
        <f>SUM(G6:I6)</f>
        <v>117101.77022660853</v>
      </c>
      <c r="J17" s="79">
        <f>I17/C16*100</f>
        <v>0.52219295530260212</v>
      </c>
      <c r="K17" s="46" t="s">
        <v>143</v>
      </c>
      <c r="L17" s="46"/>
      <c r="U17" t="s">
        <v>109</v>
      </c>
      <c r="V17">
        <v>78585</v>
      </c>
      <c r="W17" t="s">
        <v>112</v>
      </c>
      <c r="X17">
        <f>V18/V17*W16</f>
        <v>848453.02141630079</v>
      </c>
    </row>
    <row r="18" spans="1:24" x14ac:dyDescent="0.25">
      <c r="A18" t="s">
        <v>48</v>
      </c>
      <c r="C18">
        <f>C16*1000</f>
        <v>22425000000</v>
      </c>
      <c r="D18">
        <f>C18/B6</f>
        <v>2519662921.3483143</v>
      </c>
      <c r="E18">
        <f>C18/B6*0.74</f>
        <v>1864550561.7977526</v>
      </c>
      <c r="F18" s="20">
        <f>D18/1000000</f>
        <v>2519.6629213483143</v>
      </c>
      <c r="G18" s="19">
        <f>E18/1000000</f>
        <v>1864.5505617977526</v>
      </c>
      <c r="H18" s="48">
        <f>G18/J15</f>
        <v>0.62151685393258416</v>
      </c>
      <c r="I18">
        <v>750000</v>
      </c>
      <c r="J18" s="79">
        <f>I17/I18*100</f>
        <v>15.613569363547802</v>
      </c>
      <c r="K18" s="46" t="s">
        <v>146</v>
      </c>
      <c r="L18" s="46"/>
      <c r="U18" t="s">
        <v>110</v>
      </c>
      <c r="V18">
        <v>4946</v>
      </c>
      <c r="W18" t="s">
        <v>113</v>
      </c>
      <c r="X18">
        <f>X17-V18</f>
        <v>843507.02141630079</v>
      </c>
    </row>
    <row r="19" spans="1:24" x14ac:dyDescent="0.25">
      <c r="A19" t="s">
        <v>49</v>
      </c>
      <c r="I19" s="3">
        <f>J18</f>
        <v>15.613569363547802</v>
      </c>
      <c r="J19" s="79">
        <f>J18*Y4/V4/100</f>
        <v>23.53790640477942</v>
      </c>
      <c r="K19" s="79">
        <f>J18*Z4/V4/100</f>
        <v>32.953068966691191</v>
      </c>
      <c r="L19" s="79">
        <f>J18*AA4/V4/100</f>
        <v>47.07581280955884</v>
      </c>
      <c r="U19" t="s">
        <v>111</v>
      </c>
      <c r="V19">
        <f>V17/V18</f>
        <v>15.88859684593611</v>
      </c>
    </row>
    <row r="20" spans="1:24" x14ac:dyDescent="0.25">
      <c r="A20" t="s">
        <v>57</v>
      </c>
      <c r="I20">
        <v>33.17</v>
      </c>
      <c r="J20" s="43">
        <v>50</v>
      </c>
      <c r="K20" s="43">
        <v>70</v>
      </c>
      <c r="L20" s="43">
        <v>100</v>
      </c>
    </row>
    <row r="38" spans="1:34" ht="14.45" customHeight="1" x14ac:dyDescent="0.25">
      <c r="AC38" s="119" t="s">
        <v>114</v>
      </c>
      <c r="AD38" s="119"/>
      <c r="AE38" s="119"/>
      <c r="AF38" s="119"/>
      <c r="AG38" s="119"/>
      <c r="AH38" s="119"/>
    </row>
    <row r="39" spans="1:34" x14ac:dyDescent="0.25">
      <c r="AC39" s="119"/>
      <c r="AD39" s="119"/>
      <c r="AE39" s="119"/>
      <c r="AF39" s="119"/>
      <c r="AG39" s="119"/>
      <c r="AH39" s="119"/>
    </row>
    <row r="40" spans="1:34" x14ac:dyDescent="0.25">
      <c r="AC40" s="119"/>
      <c r="AD40" s="119"/>
      <c r="AE40" s="119"/>
      <c r="AF40" s="119"/>
      <c r="AG40" s="119"/>
      <c r="AH40" s="119"/>
    </row>
    <row r="41" spans="1:34" x14ac:dyDescent="0.25">
      <c r="AC41" s="119"/>
      <c r="AD41" s="119"/>
      <c r="AE41" s="119"/>
      <c r="AF41" s="119"/>
      <c r="AG41" s="119"/>
      <c r="AH41" s="119"/>
    </row>
    <row r="42" spans="1:34" x14ac:dyDescent="0.25">
      <c r="A42" t="s">
        <v>59</v>
      </c>
      <c r="G42" t="s">
        <v>60</v>
      </c>
      <c r="AC42" s="119"/>
      <c r="AD42" s="119"/>
      <c r="AE42" s="119"/>
      <c r="AF42" s="119"/>
      <c r="AG42" s="119"/>
      <c r="AH42" s="119"/>
    </row>
    <row r="43" spans="1:34" x14ac:dyDescent="0.25">
      <c r="A43" t="s">
        <v>68</v>
      </c>
      <c r="AC43" s="119"/>
      <c r="AD43" s="119"/>
      <c r="AE43" s="119"/>
      <c r="AF43" s="119"/>
      <c r="AG43" s="119"/>
      <c r="AH43" s="119"/>
    </row>
    <row r="67" spans="1:13" x14ac:dyDescent="0.25">
      <c r="M67" t="s">
        <v>69</v>
      </c>
    </row>
    <row r="73" spans="1:13" x14ac:dyDescent="0.25">
      <c r="A73" t="s">
        <v>70</v>
      </c>
    </row>
    <row r="74" spans="1:13" x14ac:dyDescent="0.25">
      <c r="A74" s="38" t="s">
        <v>71</v>
      </c>
    </row>
    <row r="92" spans="1:25" x14ac:dyDescent="0.25">
      <c r="A92" t="s">
        <v>76</v>
      </c>
      <c r="L92" t="s">
        <v>77</v>
      </c>
      <c r="Y92" t="s">
        <v>78</v>
      </c>
    </row>
    <row r="123" spans="11:11" x14ac:dyDescent="0.25">
      <c r="K123" t="s">
        <v>79</v>
      </c>
    </row>
  </sheetData>
  <mergeCells count="10">
    <mergeCell ref="R3:T3"/>
    <mergeCell ref="U3:W3"/>
    <mergeCell ref="F17:G17"/>
    <mergeCell ref="AC38:AH43"/>
    <mergeCell ref="B3:C3"/>
    <mergeCell ref="D3:F3"/>
    <mergeCell ref="G3:I3"/>
    <mergeCell ref="J3:L3"/>
    <mergeCell ref="M3:O3"/>
    <mergeCell ref="P3:P4"/>
  </mergeCells>
  <hyperlinks>
    <hyperlink ref="Q8" r:id="rId1" location=":~:text=South%20Africa%20is%20the%20world's,was%2049.5%20million%20metric%20tons." xr:uid="{C5D74C98-4473-48EF-A091-8909B5412C5D}"/>
    <hyperlink ref="Q7" r:id="rId2" xr:uid="{B4603854-A01D-48A9-8093-A7E6E3901CDC}"/>
    <hyperlink ref="A74" r:id="rId3" location=":~:text=By%202050%2C%20there%20will%20be,%2C%20using%20petroleum%2Dbased%20fuels." xr:uid="{845AC52F-1614-4073-B15B-9AA48668A332}"/>
    <hyperlink ref="F1" r:id="rId4" xr:uid="{C5B692DD-0BE8-4EFE-A403-4A21F2FF1BB3}"/>
  </hyperlinks>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9189E-DC3F-4F75-8EB0-1F1BF3A40024}">
  <dimension ref="A2:S137"/>
  <sheetViews>
    <sheetView tabSelected="1" topLeftCell="D82" zoomScale="70" zoomScaleNormal="70" workbookViewId="0">
      <selection activeCell="N84" sqref="N84"/>
    </sheetView>
  </sheetViews>
  <sheetFormatPr defaultColWidth="11.42578125" defaultRowHeight="15" x14ac:dyDescent="0.25"/>
  <cols>
    <col min="2" max="2" width="19.140625" bestFit="1" customWidth="1"/>
    <col min="3" max="3" width="14.28515625" customWidth="1"/>
    <col min="4" max="4" width="20.140625" customWidth="1"/>
    <col min="5" max="5" width="13.42578125" customWidth="1"/>
    <col min="8" max="8" width="14.85546875" bestFit="1" customWidth="1"/>
    <col min="9" max="9" width="17" customWidth="1"/>
    <col min="10" max="10" width="19.28515625" bestFit="1" customWidth="1"/>
    <col min="11" max="11" width="13.42578125" customWidth="1"/>
  </cols>
  <sheetData>
    <row r="2" spans="1:19" x14ac:dyDescent="0.25">
      <c r="J2" t="s">
        <v>8</v>
      </c>
      <c r="K2">
        <v>1238.9000000000001</v>
      </c>
      <c r="L2">
        <v>-9857.1</v>
      </c>
      <c r="M2">
        <v>31025</v>
      </c>
      <c r="N2">
        <v>-12429</v>
      </c>
    </row>
    <row r="3" spans="1:19" x14ac:dyDescent="0.25">
      <c r="A3" t="s">
        <v>122</v>
      </c>
      <c r="C3" t="s">
        <v>123</v>
      </c>
      <c r="J3" t="s">
        <v>23</v>
      </c>
      <c r="K3">
        <v>261.11</v>
      </c>
      <c r="L3">
        <v>-2225</v>
      </c>
      <c r="M3">
        <v>8778.2000000000007</v>
      </c>
      <c r="N3">
        <v>928.57</v>
      </c>
    </row>
    <row r="4" spans="1:19" x14ac:dyDescent="0.25">
      <c r="C4" t="s">
        <v>34</v>
      </c>
      <c r="J4" t="s">
        <v>24</v>
      </c>
      <c r="K4">
        <v>922.22</v>
      </c>
      <c r="L4">
        <v>-6407.1</v>
      </c>
      <c r="M4">
        <v>24763</v>
      </c>
      <c r="N4">
        <v>186286</v>
      </c>
    </row>
    <row r="5" spans="1:19" x14ac:dyDescent="0.25">
      <c r="A5" t="s">
        <v>33</v>
      </c>
      <c r="C5">
        <v>2016</v>
      </c>
      <c r="D5">
        <v>2017</v>
      </c>
      <c r="E5">
        <v>2018</v>
      </c>
      <c r="F5">
        <v>2019</v>
      </c>
      <c r="G5">
        <v>2020</v>
      </c>
      <c r="H5">
        <v>2021</v>
      </c>
      <c r="I5">
        <v>2022</v>
      </c>
      <c r="J5">
        <v>2023</v>
      </c>
      <c r="K5">
        <v>2024</v>
      </c>
      <c r="L5">
        <v>2025</v>
      </c>
      <c r="M5">
        <v>2026</v>
      </c>
      <c r="N5">
        <v>2027</v>
      </c>
      <c r="O5">
        <v>2028</v>
      </c>
      <c r="P5">
        <v>2029</v>
      </c>
      <c r="Q5">
        <v>2030</v>
      </c>
      <c r="R5">
        <v>2040</v>
      </c>
      <c r="S5">
        <v>2050</v>
      </c>
    </row>
    <row r="6" spans="1:19" x14ac:dyDescent="0.25">
      <c r="A6" s="1" t="s">
        <v>8</v>
      </c>
      <c r="B6" s="1"/>
      <c r="C6">
        <v>11900</v>
      </c>
      <c r="D6">
        <v>16100</v>
      </c>
      <c r="E6">
        <v>24500</v>
      </c>
      <c r="F6">
        <v>38400</v>
      </c>
      <c r="G6">
        <v>52200</v>
      </c>
      <c r="H6">
        <v>80900</v>
      </c>
      <c r="I6">
        <v>149000</v>
      </c>
      <c r="J6" s="3">
        <f>K2*$J$5^3+L2*$J$5^2+M2*$J$5+N2</f>
        <v>10216806025836.4</v>
      </c>
    </row>
    <row r="7" spans="1:19" x14ac:dyDescent="0.25">
      <c r="A7" s="1" t="s">
        <v>23</v>
      </c>
      <c r="B7" s="1"/>
      <c r="C7">
        <v>8000</v>
      </c>
      <c r="D7">
        <v>10900</v>
      </c>
      <c r="E7">
        <v>14700</v>
      </c>
      <c r="F7">
        <v>18100</v>
      </c>
      <c r="G7">
        <v>20400</v>
      </c>
      <c r="H7">
        <v>30600</v>
      </c>
      <c r="I7">
        <v>42800</v>
      </c>
    </row>
    <row r="8" spans="1:19" x14ac:dyDescent="0.25">
      <c r="A8" s="1" t="s">
        <v>24</v>
      </c>
      <c r="B8" s="1"/>
      <c r="C8">
        <v>205800</v>
      </c>
      <c r="D8">
        <v>217100</v>
      </c>
      <c r="E8">
        <v>227100</v>
      </c>
      <c r="F8">
        <v>244600</v>
      </c>
      <c r="G8">
        <v>262300</v>
      </c>
      <c r="H8">
        <v>304700</v>
      </c>
      <c r="I8">
        <v>361800</v>
      </c>
    </row>
    <row r="9" spans="1:19" x14ac:dyDescent="0.25">
      <c r="A9" s="2" t="s">
        <v>25</v>
      </c>
      <c r="B9" s="2"/>
      <c r="H9">
        <v>376300</v>
      </c>
      <c r="I9">
        <v>420800</v>
      </c>
    </row>
    <row r="10" spans="1:19" x14ac:dyDescent="0.25">
      <c r="A10" s="2" t="s">
        <v>26</v>
      </c>
      <c r="B10" s="2"/>
      <c r="C10">
        <v>2596600</v>
      </c>
      <c r="D10">
        <v>2813400</v>
      </c>
      <c r="E10">
        <v>3005900</v>
      </c>
      <c r="F10">
        <v>3200700</v>
      </c>
      <c r="G10">
        <v>3250000</v>
      </c>
      <c r="H10">
        <v>2422300</v>
      </c>
      <c r="I10">
        <v>2398800</v>
      </c>
    </row>
    <row r="11" spans="1:19" x14ac:dyDescent="0.25">
      <c r="A11" s="2" t="s">
        <v>27</v>
      </c>
      <c r="B11" s="2"/>
      <c r="C11">
        <v>64700</v>
      </c>
      <c r="D11">
        <v>56900</v>
      </c>
      <c r="E11">
        <v>51300</v>
      </c>
      <c r="F11">
        <v>47300</v>
      </c>
      <c r="G11">
        <v>43600</v>
      </c>
      <c r="H11">
        <v>2200</v>
      </c>
      <c r="I11">
        <v>1400</v>
      </c>
    </row>
    <row r="12" spans="1:19" x14ac:dyDescent="0.25">
      <c r="A12" s="2" t="s">
        <v>28</v>
      </c>
      <c r="B12" s="2"/>
      <c r="H12">
        <v>1600</v>
      </c>
      <c r="I12">
        <v>1400</v>
      </c>
    </row>
    <row r="13" spans="1:19" x14ac:dyDescent="0.25">
      <c r="A13" s="2" t="s">
        <v>29</v>
      </c>
      <c r="B13" s="2"/>
      <c r="F13">
        <v>100</v>
      </c>
      <c r="G13">
        <v>100</v>
      </c>
    </row>
    <row r="14" spans="1:19" x14ac:dyDescent="0.25">
      <c r="A14" s="2" t="s">
        <v>30</v>
      </c>
      <c r="B14" s="2"/>
      <c r="C14">
        <v>18245400</v>
      </c>
      <c r="D14">
        <v>18252800</v>
      </c>
      <c r="E14">
        <v>18453800</v>
      </c>
      <c r="F14">
        <v>19293900</v>
      </c>
      <c r="G14">
        <v>19609700</v>
      </c>
      <c r="H14">
        <v>20599100</v>
      </c>
      <c r="I14">
        <v>21065800</v>
      </c>
    </row>
    <row r="15" spans="1:19" x14ac:dyDescent="0.25">
      <c r="A15" s="2" t="s">
        <v>31</v>
      </c>
      <c r="B15" s="2"/>
      <c r="C15">
        <v>961200</v>
      </c>
      <c r="D15">
        <v>982900</v>
      </c>
      <c r="E15">
        <v>1019300</v>
      </c>
      <c r="F15">
        <v>1070200</v>
      </c>
      <c r="G15">
        <v>1107000</v>
      </c>
      <c r="H15">
        <v>765100</v>
      </c>
      <c r="I15">
        <v>771100</v>
      </c>
    </row>
    <row r="16" spans="1:19" x14ac:dyDescent="0.25">
      <c r="A16" s="2" t="s">
        <v>32</v>
      </c>
      <c r="B16" s="2"/>
      <c r="C16">
        <v>213100</v>
      </c>
      <c r="D16">
        <v>194300</v>
      </c>
      <c r="E16">
        <v>175300</v>
      </c>
      <c r="F16">
        <v>178000</v>
      </c>
      <c r="G16">
        <v>163600</v>
      </c>
      <c r="H16">
        <v>131100</v>
      </c>
      <c r="I16">
        <v>133200</v>
      </c>
    </row>
    <row r="17" spans="1:9" x14ac:dyDescent="0.25">
      <c r="A17" s="2" t="s">
        <v>50</v>
      </c>
      <c r="B17" s="2"/>
      <c r="C17" s="2">
        <f>SUM(C6:C16)</f>
        <v>22306700</v>
      </c>
      <c r="D17" s="2">
        <f t="shared" ref="D17:I17" si="0">SUM(D6:D16)</f>
        <v>22544400</v>
      </c>
      <c r="E17" s="2">
        <f t="shared" si="0"/>
        <v>22971900</v>
      </c>
      <c r="F17" s="2">
        <f t="shared" si="0"/>
        <v>24091300</v>
      </c>
      <c r="G17" s="2">
        <f t="shared" si="0"/>
        <v>24508900</v>
      </c>
      <c r="H17" s="2">
        <f t="shared" si="0"/>
        <v>24713900</v>
      </c>
      <c r="I17" s="2">
        <f t="shared" si="0"/>
        <v>25346100</v>
      </c>
    </row>
    <row r="18" spans="1:9" x14ac:dyDescent="0.25">
      <c r="A18" s="38" t="s">
        <v>121</v>
      </c>
    </row>
    <row r="19" spans="1:9" x14ac:dyDescent="0.25">
      <c r="C19" t="s">
        <v>35</v>
      </c>
    </row>
    <row r="20" spans="1:9" x14ac:dyDescent="0.25">
      <c r="A20" t="s">
        <v>33</v>
      </c>
      <c r="C20">
        <v>2016</v>
      </c>
      <c r="D20">
        <v>2017</v>
      </c>
      <c r="E20">
        <v>2018</v>
      </c>
      <c r="F20">
        <v>2019</v>
      </c>
      <c r="G20">
        <v>2020</v>
      </c>
      <c r="H20">
        <v>2021</v>
      </c>
      <c r="I20">
        <v>2022</v>
      </c>
    </row>
    <row r="21" spans="1:9" x14ac:dyDescent="0.25">
      <c r="A21" t="s">
        <v>8</v>
      </c>
      <c r="C21">
        <f>C6/$C$17*100</f>
        <v>5.334720061685503E-2</v>
      </c>
      <c r="D21">
        <f>D6/$D$17*100</f>
        <v>7.1414630684338454E-2</v>
      </c>
      <c r="E21">
        <f>E6/$E$17*100</f>
        <v>0.10665204010116708</v>
      </c>
      <c r="F21">
        <f>F6/$F$17*100</f>
        <v>0.15939364002772785</v>
      </c>
      <c r="G21">
        <f>G6/$G$17*100</f>
        <v>0.21298385484456667</v>
      </c>
      <c r="H21">
        <f>H6/$H$17*100</f>
        <v>0.32734614933296646</v>
      </c>
      <c r="I21">
        <f>I6/$I$17*100</f>
        <v>0.58786164340865055</v>
      </c>
    </row>
    <row r="22" spans="1:9" x14ac:dyDescent="0.25">
      <c r="A22" t="s">
        <v>23</v>
      </c>
      <c r="C22">
        <f t="shared" ref="C22:C32" si="1">C7/$C$17*100</f>
        <v>3.5863664280238676E-2</v>
      </c>
      <c r="D22">
        <f t="shared" ref="D22:D31" si="2">D7/$D$17*100</f>
        <v>4.8349035680701195E-2</v>
      </c>
      <c r="E22">
        <f t="shared" ref="E22:E31" si="3">E7/$E$17*100</f>
        <v>6.399122406070025E-2</v>
      </c>
      <c r="F22">
        <f t="shared" ref="F22:F31" si="4">F7/$F$17*100</f>
        <v>7.5130856367236307E-2</v>
      </c>
      <c r="G22">
        <f t="shared" ref="G22:G31" si="5">G7/$G$17*100</f>
        <v>8.323506970937089E-2</v>
      </c>
      <c r="H22">
        <f t="shared" ref="H22:H31" si="6">H7/$H$17*100</f>
        <v>0.12381696130517644</v>
      </c>
      <c r="I22">
        <f t="shared" ref="I22:I31" si="7">I7/$I$17*100</f>
        <v>0.16886227072409563</v>
      </c>
    </row>
    <row r="23" spans="1:9" x14ac:dyDescent="0.25">
      <c r="A23" t="s">
        <v>24</v>
      </c>
      <c r="C23">
        <f t="shared" si="1"/>
        <v>0.92259276360913989</v>
      </c>
      <c r="D23">
        <f t="shared" si="2"/>
        <v>0.96298859140185578</v>
      </c>
      <c r="E23">
        <f t="shared" si="3"/>
        <v>0.98859911457041005</v>
      </c>
      <c r="F23">
        <f t="shared" si="4"/>
        <v>1.0153042799682872</v>
      </c>
      <c r="G23">
        <f t="shared" si="5"/>
        <v>1.0702234698415678</v>
      </c>
      <c r="H23">
        <f t="shared" si="6"/>
        <v>1.2329094153492568</v>
      </c>
      <c r="I23">
        <f t="shared" si="7"/>
        <v>1.4274385408406027</v>
      </c>
    </row>
    <row r="24" spans="1:9" x14ac:dyDescent="0.25">
      <c r="A24" t="s">
        <v>25</v>
      </c>
      <c r="C24">
        <f t="shared" si="1"/>
        <v>0</v>
      </c>
      <c r="D24">
        <f t="shared" si="2"/>
        <v>0</v>
      </c>
      <c r="E24">
        <f t="shared" si="3"/>
        <v>0</v>
      </c>
      <c r="F24">
        <f t="shared" si="4"/>
        <v>0</v>
      </c>
      <c r="G24">
        <f t="shared" si="5"/>
        <v>0</v>
      </c>
      <c r="H24">
        <f t="shared" si="6"/>
        <v>1.5226249195796697</v>
      </c>
      <c r="I24">
        <f t="shared" si="7"/>
        <v>1.6602159701098</v>
      </c>
    </row>
    <row r="25" spans="1:9" x14ac:dyDescent="0.25">
      <c r="A25" t="s">
        <v>26</v>
      </c>
      <c r="C25">
        <f t="shared" si="1"/>
        <v>11.640448833758468</v>
      </c>
      <c r="D25">
        <f t="shared" si="2"/>
        <v>12.479374035237132</v>
      </c>
      <c r="E25">
        <f t="shared" si="3"/>
        <v>13.08511703428972</v>
      </c>
      <c r="F25">
        <f t="shared" si="4"/>
        <v>13.285708948873658</v>
      </c>
      <c r="G25">
        <f t="shared" si="5"/>
        <v>13.260489046836046</v>
      </c>
      <c r="H25">
        <f t="shared" si="6"/>
        <v>9.8013668421414657</v>
      </c>
      <c r="I25">
        <f t="shared" si="7"/>
        <v>9.4641779208635644</v>
      </c>
    </row>
    <row r="26" spans="1:9" x14ac:dyDescent="0.25">
      <c r="A26" t="s">
        <v>27</v>
      </c>
      <c r="C26">
        <f t="shared" si="1"/>
        <v>0.29004738486643028</v>
      </c>
      <c r="D26">
        <f t="shared" si="2"/>
        <v>0.25239083763595394</v>
      </c>
      <c r="E26">
        <f t="shared" si="3"/>
        <v>0.22331631253836209</v>
      </c>
      <c r="F26">
        <f t="shared" si="4"/>
        <v>0.19633643680498769</v>
      </c>
      <c r="G26">
        <f t="shared" si="5"/>
        <v>0.1778945607514005</v>
      </c>
      <c r="H26">
        <f t="shared" si="6"/>
        <v>8.9018730350126848E-3</v>
      </c>
      <c r="I26">
        <f t="shared" si="7"/>
        <v>5.523532219947053E-3</v>
      </c>
    </row>
    <row r="27" spans="1:9" x14ac:dyDescent="0.25">
      <c r="A27" t="s">
        <v>28</v>
      </c>
      <c r="C27">
        <f t="shared" si="1"/>
        <v>0</v>
      </c>
      <c r="D27">
        <f t="shared" si="2"/>
        <v>0</v>
      </c>
      <c r="E27">
        <f t="shared" si="3"/>
        <v>0</v>
      </c>
      <c r="F27">
        <f t="shared" si="4"/>
        <v>0</v>
      </c>
      <c r="G27">
        <f t="shared" si="5"/>
        <v>0</v>
      </c>
      <c r="H27">
        <f t="shared" si="6"/>
        <v>6.4740894800092248E-3</v>
      </c>
      <c r="I27">
        <f t="shared" si="7"/>
        <v>5.523532219947053E-3</v>
      </c>
    </row>
    <row r="28" spans="1:9" x14ac:dyDescent="0.25">
      <c r="A28" t="s">
        <v>29</v>
      </c>
      <c r="C28">
        <f t="shared" si="1"/>
        <v>0</v>
      </c>
      <c r="D28">
        <f t="shared" si="2"/>
        <v>0</v>
      </c>
      <c r="E28">
        <f t="shared" si="3"/>
        <v>0</v>
      </c>
      <c r="F28">
        <f t="shared" si="4"/>
        <v>4.1508760423887461E-4</v>
      </c>
      <c r="G28">
        <f t="shared" si="5"/>
        <v>4.0801504759495528E-4</v>
      </c>
      <c r="H28">
        <f t="shared" si="6"/>
        <v>0</v>
      </c>
      <c r="I28">
        <f t="shared" si="7"/>
        <v>0</v>
      </c>
    </row>
    <row r="29" spans="1:9" x14ac:dyDescent="0.25">
      <c r="A29" t="s">
        <v>30</v>
      </c>
      <c r="C29">
        <f t="shared" si="1"/>
        <v>81.793362532333333</v>
      </c>
      <c r="D29">
        <f t="shared" si="2"/>
        <v>80.963787015844289</v>
      </c>
      <c r="E29">
        <f t="shared" si="3"/>
        <v>80.332057861996603</v>
      </c>
      <c r="F29">
        <f t="shared" si="4"/>
        <v>80.086587274244224</v>
      </c>
      <c r="G29">
        <f t="shared" si="5"/>
        <v>80.010526788227949</v>
      </c>
      <c r="H29">
        <f t="shared" si="6"/>
        <v>83.350260379786278</v>
      </c>
      <c r="I29">
        <f t="shared" si="7"/>
        <v>83.11258931354331</v>
      </c>
    </row>
    <row r="30" spans="1:9" x14ac:dyDescent="0.25">
      <c r="A30" t="s">
        <v>31</v>
      </c>
      <c r="C30">
        <f t="shared" si="1"/>
        <v>4.3090192632706765</v>
      </c>
      <c r="D30">
        <f t="shared" si="2"/>
        <v>4.3598410248221287</v>
      </c>
      <c r="E30">
        <f t="shared" si="3"/>
        <v>4.4371601826579425</v>
      </c>
      <c r="F30">
        <f t="shared" si="4"/>
        <v>4.4422675405644361</v>
      </c>
      <c r="G30">
        <f t="shared" si="5"/>
        <v>4.5167265768761551</v>
      </c>
      <c r="H30">
        <f t="shared" si="6"/>
        <v>3.0958286632219116</v>
      </c>
      <c r="I30">
        <f t="shared" si="7"/>
        <v>3.0422826391436946</v>
      </c>
    </row>
    <row r="31" spans="1:9" x14ac:dyDescent="0.25">
      <c r="A31" t="s">
        <v>32</v>
      </c>
      <c r="C31">
        <f t="shared" si="1"/>
        <v>0.95531835726485759</v>
      </c>
      <c r="D31">
        <f t="shared" si="2"/>
        <v>0.86185482869360008</v>
      </c>
      <c r="E31">
        <f t="shared" si="3"/>
        <v>0.76310622978508524</v>
      </c>
      <c r="F31">
        <f t="shared" si="4"/>
        <v>0.7388559355451968</v>
      </c>
      <c r="G31">
        <f t="shared" si="5"/>
        <v>0.66751261786534688</v>
      </c>
      <c r="H31">
        <f t="shared" si="6"/>
        <v>0.53047070676825592</v>
      </c>
      <c r="I31">
        <f t="shared" si="7"/>
        <v>0.52552463692639106</v>
      </c>
    </row>
    <row r="32" spans="1:9" x14ac:dyDescent="0.25">
      <c r="C32">
        <f t="shared" si="1"/>
        <v>100</v>
      </c>
      <c r="D32">
        <f t="shared" ref="D32" si="8">SUM(D21:D31)</f>
        <v>100</v>
      </c>
      <c r="E32">
        <f t="shared" ref="E32" si="9">SUM(E21:E31)</f>
        <v>99.999999999999986</v>
      </c>
      <c r="F32">
        <f t="shared" ref="F32" si="10">SUM(F21:F31)</f>
        <v>100</v>
      </c>
      <c r="G32">
        <f t="shared" ref="G32" si="11">SUM(G21:G31)</f>
        <v>99.999999999999986</v>
      </c>
      <c r="H32">
        <f t="shared" ref="H32" si="12">SUM(H21:H31)</f>
        <v>100</v>
      </c>
      <c r="I32">
        <f t="shared" ref="I32" si="13">SUM(I21:I31)</f>
        <v>100</v>
      </c>
    </row>
    <row r="65" spans="1:6" x14ac:dyDescent="0.25">
      <c r="A65" t="s">
        <v>58</v>
      </c>
    </row>
    <row r="66" spans="1:6" x14ac:dyDescent="0.25">
      <c r="A66" t="s">
        <v>51</v>
      </c>
    </row>
    <row r="67" spans="1:6" x14ac:dyDescent="0.25">
      <c r="D67" cm="1">
        <f t="array" ref="D67:E67">LINEST(C69:C75,A69:A75)</f>
        <v>338932.64285714284</v>
      </c>
      <c r="E67">
        <v>-655356812.21428561</v>
      </c>
    </row>
    <row r="68" spans="1:6" x14ac:dyDescent="0.25">
      <c r="A68" t="s">
        <v>33</v>
      </c>
      <c r="D68" t="s">
        <v>52</v>
      </c>
      <c r="E68" t="s">
        <v>53</v>
      </c>
    </row>
    <row r="69" spans="1:6" ht="15.75" thickBot="1" x14ac:dyDescent="0.3">
      <c r="A69" s="6">
        <v>2016</v>
      </c>
      <c r="B69" s="6"/>
      <c r="C69" s="7">
        <v>27914064</v>
      </c>
      <c r="D69">
        <f>C69/C17</f>
        <v>1.2513757749913703</v>
      </c>
      <c r="E69">
        <f>1/D69</f>
        <v>0.79912047203158953</v>
      </c>
    </row>
    <row r="70" spans="1:6" ht="15.75" thickBot="1" x14ac:dyDescent="0.3">
      <c r="A70" s="6">
        <v>2017</v>
      </c>
      <c r="B70" s="6"/>
      <c r="C70" s="4">
        <v>28291024</v>
      </c>
      <c r="D70">
        <f>C70/D17</f>
        <v>1.2549025035041961</v>
      </c>
      <c r="E70">
        <f t="shared" ref="E70:E74" si="14">1/D70</f>
        <v>0.79687465536772373</v>
      </c>
    </row>
    <row r="71" spans="1:6" ht="15.75" thickBot="1" x14ac:dyDescent="0.3">
      <c r="A71" s="6">
        <v>2018</v>
      </c>
      <c r="B71" s="6"/>
      <c r="C71" s="5">
        <v>28624564</v>
      </c>
      <c r="D71">
        <f>C71/E17</f>
        <v>1.2460686316760912</v>
      </c>
      <c r="E71">
        <f t="shared" si="14"/>
        <v>0.80252401399022188</v>
      </c>
    </row>
    <row r="72" spans="1:6" ht="15.75" thickBot="1" x14ac:dyDescent="0.3">
      <c r="A72" s="6">
        <v>2019</v>
      </c>
      <c r="B72" s="6"/>
      <c r="C72" s="4">
        <v>28986794</v>
      </c>
      <c r="D72">
        <f>C72/F17</f>
        <v>1.2032058876025786</v>
      </c>
      <c r="E72">
        <f t="shared" si="14"/>
        <v>0.83111295440261512</v>
      </c>
    </row>
    <row r="73" spans="1:6" x14ac:dyDescent="0.25">
      <c r="A73" s="6">
        <v>2020</v>
      </c>
      <c r="B73" s="6"/>
      <c r="C73" s="8">
        <v>29232474</v>
      </c>
      <c r="D73">
        <f>C73/G17</f>
        <v>1.1927289270428294</v>
      </c>
      <c r="E73">
        <f t="shared" si="14"/>
        <v>0.83841347126486787</v>
      </c>
    </row>
    <row r="74" spans="1:6" ht="15.75" thickBot="1" x14ac:dyDescent="0.3">
      <c r="A74" s="6">
        <v>2021</v>
      </c>
      <c r="B74" s="6"/>
      <c r="C74" s="8">
        <v>29558864</v>
      </c>
      <c r="D74">
        <f>C74/H17</f>
        <v>1.1960420653963963</v>
      </c>
      <c r="E74">
        <f t="shared" si="14"/>
        <v>0.8360909945659617</v>
      </c>
    </row>
    <row r="75" spans="1:6" ht="15.75" thickBot="1" x14ac:dyDescent="0.3">
      <c r="A75" s="6">
        <v>2022</v>
      </c>
      <c r="B75" s="6"/>
      <c r="C75" s="5">
        <v>30029572</v>
      </c>
      <c r="D75" s="46">
        <f>C75/I17</f>
        <v>1.1847807749515704</v>
      </c>
      <c r="E75" s="46">
        <f>1/D75</f>
        <v>0.84403800360524617</v>
      </c>
      <c r="F75" t="s">
        <v>127</v>
      </c>
    </row>
    <row r="76" spans="1:6" x14ac:dyDescent="0.25">
      <c r="A76" s="6">
        <v>2030</v>
      </c>
      <c r="B76" s="6"/>
      <c r="C76" s="6">
        <f>$D$67*A76+$E$67</f>
        <v>32676452.785714388</v>
      </c>
      <c r="D76" s="11">
        <f>C76*$E$75</f>
        <v>27580167.974155456</v>
      </c>
      <c r="E76" s="1">
        <v>26600000</v>
      </c>
    </row>
    <row r="77" spans="1:6" x14ac:dyDescent="0.25">
      <c r="A77" s="6">
        <v>2040</v>
      </c>
      <c r="B77" s="6"/>
      <c r="C77" s="6">
        <f>$D$67*A77+$E$67</f>
        <v>36065779.214285731</v>
      </c>
      <c r="D77" s="11">
        <f t="shared" ref="D77:D78" si="15">C77*$E$75</f>
        <v>30440888.286493313</v>
      </c>
      <c r="E77" s="1">
        <v>31160000</v>
      </c>
    </row>
    <row r="78" spans="1:6" x14ac:dyDescent="0.25">
      <c r="A78" s="6">
        <v>2050</v>
      </c>
      <c r="B78" s="6"/>
      <c r="C78" s="6">
        <f>$D$67*A78+$E$67</f>
        <v>39455105.642857194</v>
      </c>
      <c r="D78" s="11">
        <f t="shared" si="15"/>
        <v>33301608.59883127</v>
      </c>
      <c r="E78" s="1">
        <v>35720000</v>
      </c>
    </row>
    <row r="79" spans="1:6" x14ac:dyDescent="0.25">
      <c r="E79" t="s">
        <v>54</v>
      </c>
    </row>
    <row r="94" spans="6:12" x14ac:dyDescent="0.25">
      <c r="K94" s="122" t="s">
        <v>133</v>
      </c>
      <c r="L94" s="123"/>
    </row>
    <row r="95" spans="6:12" x14ac:dyDescent="0.25">
      <c r="F95" s="55" t="s">
        <v>137</v>
      </c>
      <c r="G95" s="56"/>
      <c r="H95" s="56"/>
      <c r="I95" s="57">
        <v>13000</v>
      </c>
      <c r="J95" s="103" t="s">
        <v>241</v>
      </c>
      <c r="K95" s="51" t="s">
        <v>134</v>
      </c>
      <c r="L95" s="52" t="s">
        <v>135</v>
      </c>
    </row>
    <row r="96" spans="6:12" x14ac:dyDescent="0.25">
      <c r="F96" t="s">
        <v>240</v>
      </c>
      <c r="G96">
        <v>220.62735799999999</v>
      </c>
      <c r="H96" t="s">
        <v>239</v>
      </c>
      <c r="I96" s="137">
        <f>K111/I97*10000*365</f>
        <v>0.75679099999999999</v>
      </c>
      <c r="J96" s="19">
        <f>G96*I96</f>
        <v>166.96879888817799</v>
      </c>
      <c r="K96" s="51" t="s">
        <v>136</v>
      </c>
      <c r="L96" s="52" t="s">
        <v>136</v>
      </c>
    </row>
    <row r="97" spans="1:17" x14ac:dyDescent="0.25">
      <c r="F97" s="133" t="s">
        <v>238</v>
      </c>
      <c r="G97" s="131"/>
      <c r="H97" s="131"/>
      <c r="I97" s="132">
        <f>E109*$I$95</f>
        <v>1602959025.4079998</v>
      </c>
      <c r="J97" s="138">
        <f>365*2.7*1.09/1000*10/13</f>
        <v>0.82630384615384633</v>
      </c>
      <c r="K97" s="53">
        <v>0.25</v>
      </c>
      <c r="L97" s="54">
        <v>0.4</v>
      </c>
    </row>
    <row r="98" spans="1:17" x14ac:dyDescent="0.25">
      <c r="B98" t="s">
        <v>139</v>
      </c>
      <c r="D98" s="6">
        <v>0.05</v>
      </c>
      <c r="J98" s="138" t="s">
        <v>242</v>
      </c>
      <c r="K98" s="6" t="s">
        <v>131</v>
      </c>
      <c r="L98" s="6" t="s">
        <v>131</v>
      </c>
      <c r="M98" s="6" t="s">
        <v>132</v>
      </c>
    </row>
    <row r="99" spans="1:17" x14ac:dyDescent="0.25">
      <c r="A99" s="6" t="s">
        <v>33</v>
      </c>
      <c r="B99" s="6" t="s">
        <v>138</v>
      </c>
      <c r="C99" s="39" t="s">
        <v>56</v>
      </c>
      <c r="D99" s="39" t="s">
        <v>145</v>
      </c>
      <c r="E99" s="6" t="s">
        <v>154</v>
      </c>
      <c r="F99" s="6" t="s">
        <v>125</v>
      </c>
      <c r="G99" s="6" t="s">
        <v>124</v>
      </c>
      <c r="H99" s="6" t="s">
        <v>126</v>
      </c>
      <c r="I99" s="6" t="s">
        <v>128</v>
      </c>
      <c r="J99" s="6" t="s">
        <v>128</v>
      </c>
      <c r="L99" s="6" t="s">
        <v>148</v>
      </c>
      <c r="M99" s="6" t="s">
        <v>148</v>
      </c>
    </row>
    <row r="100" spans="1:17" x14ac:dyDescent="0.25">
      <c r="A100" s="6">
        <v>2016</v>
      </c>
      <c r="B100" s="7">
        <f>C69</f>
        <v>27914064</v>
      </c>
      <c r="C100" s="6">
        <v>11900</v>
      </c>
      <c r="D100" s="6">
        <v>11900</v>
      </c>
      <c r="E100" s="6">
        <f t="shared" ref="E100:E105" si="16">C101-C100</f>
        <v>4200</v>
      </c>
      <c r="F100" s="40">
        <f t="shared" ref="F100:F134" si="17">C101/C100</f>
        <v>1.3529411764705883</v>
      </c>
      <c r="G100" s="41">
        <f>(C101/C100)*100-100</f>
        <v>35.29411764705884</v>
      </c>
      <c r="H100" s="6">
        <v>22306700</v>
      </c>
      <c r="I100" s="49">
        <f t="shared" ref="I100:I134" si="18">C100/H100</f>
        <v>5.3347200616855027E-4</v>
      </c>
      <c r="J100" s="49">
        <f>D100/H100</f>
        <v>5.3347200616855027E-4</v>
      </c>
      <c r="L100" s="9">
        <f>D100*$I$95*$K$97/10^9</f>
        <v>3.8675000000000001E-2</v>
      </c>
      <c r="M100" s="9">
        <f>D100*$I$95*$L$97/10^9</f>
        <v>6.1879999999999998E-2</v>
      </c>
    </row>
    <row r="101" spans="1:17" x14ac:dyDescent="0.25">
      <c r="A101" s="6">
        <v>2017</v>
      </c>
      <c r="B101" s="7">
        <f t="shared" ref="B101:B106" si="19">C70</f>
        <v>28291024</v>
      </c>
      <c r="C101" s="6">
        <v>16100</v>
      </c>
      <c r="D101" s="6">
        <v>16100</v>
      </c>
      <c r="E101" s="6">
        <f t="shared" si="16"/>
        <v>8400</v>
      </c>
      <c r="F101" s="40">
        <f t="shared" si="17"/>
        <v>1.5217391304347827</v>
      </c>
      <c r="G101" s="41">
        <f>(C102/C101)*100-100</f>
        <v>52.173913043478279</v>
      </c>
      <c r="H101" s="6">
        <v>22544400</v>
      </c>
      <c r="I101" s="49">
        <f t="shared" si="18"/>
        <v>7.1414630684338461E-4</v>
      </c>
      <c r="J101" s="49">
        <f t="shared" ref="J101:J133" si="20">D101/H101</f>
        <v>7.1414630684338461E-4</v>
      </c>
      <c r="L101" s="9">
        <f t="shared" ref="L101:L134" si="21">D101*$I$95*$K$97/10^9</f>
        <v>5.2325000000000003E-2</v>
      </c>
      <c r="M101" s="9">
        <f t="shared" ref="M101:M134" si="22">D101*$I$95*$L$97/10^9</f>
        <v>8.3720000000000003E-2</v>
      </c>
    </row>
    <row r="102" spans="1:17" x14ac:dyDescent="0.25">
      <c r="A102" s="6">
        <v>2018</v>
      </c>
      <c r="B102" s="7">
        <f t="shared" si="19"/>
        <v>28624564</v>
      </c>
      <c r="C102" s="6">
        <v>24500</v>
      </c>
      <c r="D102" s="6">
        <v>24500</v>
      </c>
      <c r="E102" s="6">
        <f t="shared" si="16"/>
        <v>13900</v>
      </c>
      <c r="F102" s="40">
        <f t="shared" si="17"/>
        <v>1.5673469387755101</v>
      </c>
      <c r="G102" s="41">
        <f>(C103/C102)*100-100</f>
        <v>56.734693877551024</v>
      </c>
      <c r="H102" s="6">
        <v>22971900</v>
      </c>
      <c r="I102" s="49">
        <f t="shared" si="18"/>
        <v>1.0665204010116708E-3</v>
      </c>
      <c r="J102" s="49">
        <f t="shared" si="20"/>
        <v>1.0665204010116708E-3</v>
      </c>
      <c r="L102" s="9">
        <f t="shared" si="21"/>
        <v>7.9625000000000001E-2</v>
      </c>
      <c r="M102" s="9">
        <f t="shared" si="22"/>
        <v>0.12740000000000001</v>
      </c>
    </row>
    <row r="103" spans="1:17" x14ac:dyDescent="0.25">
      <c r="A103" s="6">
        <v>2019</v>
      </c>
      <c r="B103" s="7">
        <f t="shared" si="19"/>
        <v>28986794</v>
      </c>
      <c r="C103" s="6">
        <v>38400</v>
      </c>
      <c r="D103" s="6">
        <v>38400</v>
      </c>
      <c r="E103" s="6">
        <f t="shared" si="16"/>
        <v>13800</v>
      </c>
      <c r="F103" s="40">
        <f t="shared" si="17"/>
        <v>1.359375</v>
      </c>
      <c r="G103" s="41">
        <f t="shared" ref="G103:G104" si="23">(C104/C103)*100-100</f>
        <v>35.9375</v>
      </c>
      <c r="H103" s="6">
        <v>24091300</v>
      </c>
      <c r="I103" s="49">
        <f t="shared" si="18"/>
        <v>1.5939364002772786E-3</v>
      </c>
      <c r="J103" s="49">
        <f t="shared" si="20"/>
        <v>1.5939364002772786E-3</v>
      </c>
      <c r="L103" s="9">
        <f t="shared" si="21"/>
        <v>0.12479999999999999</v>
      </c>
      <c r="M103" s="9">
        <f t="shared" si="22"/>
        <v>0.19968</v>
      </c>
    </row>
    <row r="104" spans="1:17" x14ac:dyDescent="0.25">
      <c r="A104" s="6">
        <v>2020</v>
      </c>
      <c r="B104" s="7">
        <f t="shared" si="19"/>
        <v>29232474</v>
      </c>
      <c r="C104" s="6">
        <v>52200</v>
      </c>
      <c r="D104" s="6">
        <v>52200</v>
      </c>
      <c r="E104" s="6">
        <f t="shared" si="16"/>
        <v>28700</v>
      </c>
      <c r="F104" s="40">
        <f t="shared" si="17"/>
        <v>1.5498084291187739</v>
      </c>
      <c r="G104" s="41">
        <f t="shared" si="23"/>
        <v>54.980842911877403</v>
      </c>
      <c r="H104" s="6">
        <v>24508900</v>
      </c>
      <c r="I104" s="49">
        <f t="shared" si="18"/>
        <v>2.1298385484456667E-3</v>
      </c>
      <c r="J104" s="49">
        <f t="shared" si="20"/>
        <v>2.1298385484456667E-3</v>
      </c>
      <c r="L104" s="9">
        <f t="shared" si="21"/>
        <v>0.16965</v>
      </c>
      <c r="M104" s="9">
        <f t="shared" si="22"/>
        <v>0.27144000000000001</v>
      </c>
    </row>
    <row r="105" spans="1:17" x14ac:dyDescent="0.25">
      <c r="A105" s="12">
        <v>2021</v>
      </c>
      <c r="B105" s="7">
        <f t="shared" si="19"/>
        <v>29558864</v>
      </c>
      <c r="C105" s="12">
        <v>80900</v>
      </c>
      <c r="D105" s="12">
        <v>80900</v>
      </c>
      <c r="E105" s="12">
        <f t="shared" si="16"/>
        <v>68100</v>
      </c>
      <c r="F105" s="42">
        <f t="shared" si="17"/>
        <v>1.8417799752781212</v>
      </c>
      <c r="G105" s="37">
        <f>(C106/C105)*100-100</f>
        <v>84.177997527812124</v>
      </c>
      <c r="H105" s="6">
        <v>24713900</v>
      </c>
      <c r="I105" s="49">
        <f t="shared" si="18"/>
        <v>3.2734614933296645E-3</v>
      </c>
      <c r="J105" s="49">
        <f t="shared" si="20"/>
        <v>3.2734614933296645E-3</v>
      </c>
      <c r="L105" s="9">
        <f t="shared" si="21"/>
        <v>0.26292500000000002</v>
      </c>
      <c r="M105" s="9">
        <f t="shared" si="22"/>
        <v>0.42068</v>
      </c>
    </row>
    <row r="106" spans="1:17" x14ac:dyDescent="0.25">
      <c r="A106" s="12">
        <v>2022</v>
      </c>
      <c r="B106" s="7">
        <f t="shared" si="19"/>
        <v>30029572</v>
      </c>
      <c r="C106" s="12">
        <v>149000</v>
      </c>
      <c r="D106" s="12">
        <v>149000</v>
      </c>
      <c r="E106" s="13">
        <f>E105*(100+G106)/100</f>
        <v>78996</v>
      </c>
      <c r="F106" s="42">
        <f t="shared" si="17"/>
        <v>1.5301744966442954</v>
      </c>
      <c r="G106" s="12">
        <v>16</v>
      </c>
      <c r="H106" s="6">
        <v>25346100</v>
      </c>
      <c r="I106" s="49">
        <f t="shared" si="18"/>
        <v>5.878616434086506E-3</v>
      </c>
      <c r="J106" s="49">
        <f t="shared" si="20"/>
        <v>5.878616434086506E-3</v>
      </c>
      <c r="K106" s="111" t="s">
        <v>160</v>
      </c>
      <c r="L106" s="9">
        <f t="shared" si="21"/>
        <v>0.48425000000000001</v>
      </c>
      <c r="M106" s="9">
        <f t="shared" si="22"/>
        <v>0.77480000000000004</v>
      </c>
    </row>
    <row r="107" spans="1:17" ht="15.75" thickBot="1" x14ac:dyDescent="0.3">
      <c r="A107" s="12">
        <v>2023</v>
      </c>
      <c r="B107" s="7">
        <f>$D$67*A107+$E$67</f>
        <v>30303924.285714388</v>
      </c>
      <c r="C107" s="13">
        <f t="shared" ref="C107:C134" si="24">C106+E106</f>
        <v>227996</v>
      </c>
      <c r="D107" s="13">
        <f>D106+E106</f>
        <v>227996</v>
      </c>
      <c r="E107" s="13">
        <f>E106*(100+G107)/100</f>
        <v>91635.36</v>
      </c>
      <c r="F107" s="42">
        <f t="shared" si="17"/>
        <v>1.401916524851313</v>
      </c>
      <c r="G107" s="12">
        <v>16</v>
      </c>
      <c r="H107" s="47">
        <f t="shared" ref="H107:H134" si="25">(A107*$D$67+$E$67)*$E$75</f>
        <v>25577663.755518906</v>
      </c>
      <c r="I107" s="49">
        <f t="shared" si="18"/>
        <v>8.9138711877391526E-3</v>
      </c>
      <c r="J107" s="49">
        <f t="shared" si="20"/>
        <v>8.9138711877391526E-3</v>
      </c>
      <c r="K107" s="111">
        <v>302.27300000000002</v>
      </c>
      <c r="L107" s="9">
        <f t="shared" si="21"/>
        <v>0.74098699999999995</v>
      </c>
      <c r="M107" s="9">
        <f t="shared" si="22"/>
        <v>1.1855792000000001</v>
      </c>
    </row>
    <row r="108" spans="1:17" ht="15.75" thickBot="1" x14ac:dyDescent="0.3">
      <c r="A108" s="12">
        <v>2024</v>
      </c>
      <c r="B108" s="7">
        <f t="shared" ref="B108:B134" si="26">$D$67*A108+$E$67</f>
        <v>30642856.928571463</v>
      </c>
      <c r="C108" s="13">
        <f t="shared" si="24"/>
        <v>319631.35999999999</v>
      </c>
      <c r="D108" s="13">
        <f>D107+E107</f>
        <v>319631.35999999999</v>
      </c>
      <c r="E108" s="135">
        <f t="shared" ref="E107:E108" si="27">E107*(100+G108)/100</f>
        <v>106297.01759999999</v>
      </c>
      <c r="F108" s="42">
        <f t="shared" si="17"/>
        <v>1.3325612906067792</v>
      </c>
      <c r="G108" s="12">
        <v>16</v>
      </c>
      <c r="H108" s="47">
        <f t="shared" si="25"/>
        <v>25863735.786752641</v>
      </c>
      <c r="I108" s="49">
        <f t="shared" si="18"/>
        <v>1.2358282756805557E-2</v>
      </c>
      <c r="J108" s="49">
        <f t="shared" si="20"/>
        <v>1.2358282756805557E-2</v>
      </c>
      <c r="K108" s="131">
        <f>M109/K107*10^6/$I$95</f>
        <v>0.56363403625199737</v>
      </c>
      <c r="L108" s="9">
        <f t="shared" si="21"/>
        <v>1.03880192</v>
      </c>
      <c r="M108" s="9">
        <f t="shared" si="22"/>
        <v>1.6620830719999999</v>
      </c>
    </row>
    <row r="109" spans="1:17" ht="15.75" thickBot="1" x14ac:dyDescent="0.3">
      <c r="A109" s="12">
        <v>2025</v>
      </c>
      <c r="B109" s="7">
        <f t="shared" si="26"/>
        <v>30981789.571428657</v>
      </c>
      <c r="C109" s="13">
        <f>C108+E108</f>
        <v>425928.37760000001</v>
      </c>
      <c r="D109" s="13">
        <f t="shared" ref="D109:D118" si="28">D108+E108</f>
        <v>425928.37760000001</v>
      </c>
      <c r="E109" s="135">
        <f>E108*(100+G109)/100</f>
        <v>123304.54041599999</v>
      </c>
      <c r="F109" s="42">
        <f t="shared" si="17"/>
        <v>1.2894959502599714</v>
      </c>
      <c r="G109" s="12">
        <v>16</v>
      </c>
      <c r="H109" s="47">
        <f t="shared" si="25"/>
        <v>26149807.817986477</v>
      </c>
      <c r="I109" s="49">
        <f t="shared" si="18"/>
        <v>1.6288011772959802E-2</v>
      </c>
      <c r="J109" s="49">
        <f t="shared" si="20"/>
        <v>1.6288011772959802E-2</v>
      </c>
      <c r="K109" s="131">
        <f>L109/K107*10^6/$I$95</f>
        <v>0.35227127265749836</v>
      </c>
      <c r="L109" s="130">
        <f>D109*$I$95*$K$97/10^9</f>
        <v>1.3842672272000001</v>
      </c>
      <c r="M109" s="136">
        <f t="shared" si="22"/>
        <v>2.2148275635200001</v>
      </c>
    </row>
    <row r="110" spans="1:17" x14ac:dyDescent="0.25">
      <c r="A110" s="43">
        <v>2026</v>
      </c>
      <c r="B110" s="7">
        <f t="shared" si="26"/>
        <v>31320722.214285731</v>
      </c>
      <c r="C110" s="13">
        <f>C109+E109</f>
        <v>549232.91801599995</v>
      </c>
      <c r="D110" s="13">
        <f t="shared" si="28"/>
        <v>549232.91801599995</v>
      </c>
      <c r="E110" s="13">
        <f t="shared" ref="E110:E133" si="29">E109*(100+G110)/100</f>
        <v>143033.26688255998</v>
      </c>
      <c r="F110" s="42">
        <f t="shared" si="17"/>
        <v>1.2604236967427964</v>
      </c>
      <c r="G110" s="43">
        <v>16</v>
      </c>
      <c r="H110" s="47">
        <f>(A110*$D$67+$E$67)*$E$75</f>
        <v>26435879.849220213</v>
      </c>
      <c r="I110" s="49">
        <f t="shared" si="18"/>
        <v>2.0776040788073141E-2</v>
      </c>
      <c r="J110" s="49">
        <f t="shared" si="20"/>
        <v>2.0776040788073141E-2</v>
      </c>
      <c r="K110">
        <f>M109*10^6</f>
        <v>2214827.5635200003</v>
      </c>
      <c r="L110" s="9">
        <f t="shared" si="21"/>
        <v>1.7850069835519997</v>
      </c>
      <c r="M110" s="9">
        <f t="shared" si="22"/>
        <v>2.8560111736831999</v>
      </c>
    </row>
    <row r="111" spans="1:17" x14ac:dyDescent="0.25">
      <c r="A111" s="43">
        <v>2027</v>
      </c>
      <c r="B111" s="7">
        <f t="shared" si="26"/>
        <v>31659654.857142925</v>
      </c>
      <c r="C111" s="13">
        <f t="shared" si="24"/>
        <v>692266.18489855994</v>
      </c>
      <c r="D111" s="13">
        <f t="shared" si="28"/>
        <v>692266.18489855994</v>
      </c>
      <c r="E111" s="13">
        <f>E110*(100+G111)/100</f>
        <v>165918.58958376959</v>
      </c>
      <c r="F111" s="42">
        <f t="shared" si="17"/>
        <v>1.2396745546773777</v>
      </c>
      <c r="G111" s="43">
        <v>16</v>
      </c>
      <c r="H111" s="47">
        <f t="shared" si="25"/>
        <v>26721951.880454049</v>
      </c>
      <c r="I111" s="49">
        <f t="shared" si="18"/>
        <v>2.5906273164308879E-2</v>
      </c>
      <c r="J111" s="49">
        <f t="shared" si="20"/>
        <v>2.5906273164308879E-2</v>
      </c>
      <c r="K111" s="134">
        <v>332.35752432809466</v>
      </c>
      <c r="L111" s="9">
        <f t="shared" si="21"/>
        <v>2.2498651009203194</v>
      </c>
      <c r="M111" s="9">
        <f t="shared" si="22"/>
        <v>3.5997841614725115</v>
      </c>
    </row>
    <row r="112" spans="1:17" x14ac:dyDescent="0.25">
      <c r="A112" s="43">
        <v>2028</v>
      </c>
      <c r="B112" s="7">
        <f t="shared" si="26"/>
        <v>31998587.500000119</v>
      </c>
      <c r="C112" s="13">
        <f t="shared" si="24"/>
        <v>858184.77448232949</v>
      </c>
      <c r="D112" s="13">
        <f t="shared" si="28"/>
        <v>858184.77448232949</v>
      </c>
      <c r="E112" s="13">
        <f t="shared" si="29"/>
        <v>192465.56391717272</v>
      </c>
      <c r="F112" s="42">
        <f t="shared" si="17"/>
        <v>1.2242705413100239</v>
      </c>
      <c r="G112" s="43">
        <v>16</v>
      </c>
      <c r="H112" s="47">
        <f t="shared" si="25"/>
        <v>27008023.911687884</v>
      </c>
      <c r="I112" s="49">
        <f t="shared" si="18"/>
        <v>3.1775178268816061E-2</v>
      </c>
      <c r="J112" s="49">
        <f t="shared" si="20"/>
        <v>3.1775178268816061E-2</v>
      </c>
      <c r="L112" s="9">
        <f t="shared" si="21"/>
        <v>2.7891005170675709</v>
      </c>
      <c r="M112" s="9">
        <f t="shared" si="22"/>
        <v>4.4625608273081134</v>
      </c>
      <c r="Q112" t="s">
        <v>144</v>
      </c>
    </row>
    <row r="113" spans="1:14" x14ac:dyDescent="0.25">
      <c r="A113" s="43">
        <v>2029</v>
      </c>
      <c r="B113" s="7">
        <f t="shared" si="26"/>
        <v>32337520.142857194</v>
      </c>
      <c r="C113" s="13">
        <f t="shared" si="24"/>
        <v>1050650.3383995022</v>
      </c>
      <c r="D113" s="13">
        <f t="shared" si="28"/>
        <v>1050650.3383995022</v>
      </c>
      <c r="E113" s="13">
        <f t="shared" si="29"/>
        <v>223260.05414392037</v>
      </c>
      <c r="F113" s="42">
        <f t="shared" si="17"/>
        <v>1.2124970087422438</v>
      </c>
      <c r="G113" s="43">
        <v>16</v>
      </c>
      <c r="H113" s="47">
        <f t="shared" si="25"/>
        <v>27294095.94292162</v>
      </c>
      <c r="I113" s="49">
        <f t="shared" si="18"/>
        <v>3.8493685249610735E-2</v>
      </c>
      <c r="J113" s="49">
        <f t="shared" si="20"/>
        <v>3.8493685249610735E-2</v>
      </c>
      <c r="L113" s="9">
        <f t="shared" si="21"/>
        <v>3.4146135997983822</v>
      </c>
      <c r="M113" s="9">
        <f t="shared" si="22"/>
        <v>5.4633817596774117</v>
      </c>
    </row>
    <row r="114" spans="1:14" x14ac:dyDescent="0.25">
      <c r="A114" s="43">
        <v>2030</v>
      </c>
      <c r="B114" s="7">
        <f t="shared" si="26"/>
        <v>32676452.785714388</v>
      </c>
      <c r="C114" s="89">
        <f>C113+E113</f>
        <v>1273910.3925434225</v>
      </c>
      <c r="D114" s="13">
        <f>D113+E113</f>
        <v>1273910.3925434225</v>
      </c>
      <c r="E114" s="59">
        <f t="shared" si="29"/>
        <v>258981.66280694763</v>
      </c>
      <c r="F114" s="60">
        <f t="shared" si="17"/>
        <v>1.2032966088689163</v>
      </c>
      <c r="G114" s="43">
        <v>16</v>
      </c>
      <c r="H114" s="61">
        <f t="shared" si="25"/>
        <v>27580167.974155456</v>
      </c>
      <c r="I114" s="62">
        <f t="shared" si="18"/>
        <v>4.6189363086445508E-2</v>
      </c>
      <c r="J114" s="62">
        <f t="shared" si="20"/>
        <v>4.6189363086445508E-2</v>
      </c>
      <c r="K114" s="63">
        <f>SUM(E108:E114)</f>
        <v>1213260.6953503704</v>
      </c>
      <c r="L114" s="59">
        <f t="shared" si="21"/>
        <v>4.1402087757661237</v>
      </c>
      <c r="M114" s="59">
        <f t="shared" si="22"/>
        <v>6.6243340412257981</v>
      </c>
      <c r="N114" s="3"/>
    </row>
    <row r="115" spans="1:14" x14ac:dyDescent="0.25">
      <c r="A115" s="39">
        <v>2031</v>
      </c>
      <c r="B115" s="7">
        <f t="shared" si="26"/>
        <v>33015385.428571463</v>
      </c>
      <c r="C115" s="13">
        <f t="shared" si="24"/>
        <v>1532892.0553503702</v>
      </c>
      <c r="D115" s="13">
        <f>D114+E114</f>
        <v>1532892.0553503702</v>
      </c>
      <c r="E115" s="13">
        <f>E114*(100+G115)/100</f>
        <v>282290.01245957293</v>
      </c>
      <c r="F115" s="42">
        <f t="shared" si="17"/>
        <v>1.1841551800560741</v>
      </c>
      <c r="G115" s="39">
        <v>9</v>
      </c>
      <c r="H115" s="47">
        <f t="shared" si="25"/>
        <v>27866240.005389191</v>
      </c>
      <c r="I115" s="49">
        <f t="shared" si="18"/>
        <v>5.50089303420166E-2</v>
      </c>
      <c r="J115" s="49">
        <f t="shared" si="20"/>
        <v>5.50089303420166E-2</v>
      </c>
      <c r="L115" s="9">
        <f t="shared" si="21"/>
        <v>4.9818991798887033</v>
      </c>
      <c r="M115" s="9">
        <f t="shared" si="22"/>
        <v>7.9710386878219257</v>
      </c>
    </row>
    <row r="116" spans="1:14" x14ac:dyDescent="0.25">
      <c r="A116" s="39">
        <v>2032</v>
      </c>
      <c r="B116" s="7">
        <f t="shared" si="26"/>
        <v>33354318.071428657</v>
      </c>
      <c r="C116" s="13">
        <f t="shared" si="24"/>
        <v>1815182.0678099431</v>
      </c>
      <c r="D116" s="13">
        <f t="shared" si="28"/>
        <v>1815182.0678099431</v>
      </c>
      <c r="E116" s="13">
        <f t="shared" si="29"/>
        <v>307696.11358093447</v>
      </c>
      <c r="F116" s="42">
        <f t="shared" si="17"/>
        <v>1.1695125348787612</v>
      </c>
      <c r="G116" s="39">
        <v>9</v>
      </c>
      <c r="H116" s="47">
        <f t="shared" si="25"/>
        <v>28152312.036623027</v>
      </c>
      <c r="I116" s="49">
        <f t="shared" si="18"/>
        <v>6.4477193398843877E-2</v>
      </c>
      <c r="J116" s="49">
        <f t="shared" si="20"/>
        <v>6.4477193398843877E-2</v>
      </c>
      <c r="L116" s="9">
        <f t="shared" si="21"/>
        <v>5.8993417203823144</v>
      </c>
      <c r="M116" s="9">
        <f t="shared" si="22"/>
        <v>9.4389467526117041</v>
      </c>
    </row>
    <row r="117" spans="1:14" x14ac:dyDescent="0.25">
      <c r="A117" s="39">
        <v>2033</v>
      </c>
      <c r="B117" s="7">
        <f t="shared" si="26"/>
        <v>33693250.714285731</v>
      </c>
      <c r="C117" s="13">
        <f t="shared" si="24"/>
        <v>2122878.1813908778</v>
      </c>
      <c r="D117" s="13">
        <f t="shared" si="28"/>
        <v>2122878.1813908778</v>
      </c>
      <c r="E117" s="13">
        <f t="shared" si="29"/>
        <v>335388.76380321855</v>
      </c>
      <c r="F117" s="42">
        <f t="shared" si="17"/>
        <v>1.1579877577259177</v>
      </c>
      <c r="G117" s="39">
        <v>9</v>
      </c>
      <c r="H117" s="47">
        <f t="shared" si="25"/>
        <v>28438384.067856763</v>
      </c>
      <c r="I117" s="49">
        <f t="shared" si="18"/>
        <v>7.4648340648522188E-2</v>
      </c>
      <c r="J117" s="49">
        <f t="shared" si="20"/>
        <v>7.4648340648522188E-2</v>
      </c>
      <c r="L117" s="9">
        <f t="shared" si="21"/>
        <v>6.8993540895203536</v>
      </c>
      <c r="M117" s="9">
        <f t="shared" si="22"/>
        <v>11.038966543232567</v>
      </c>
    </row>
    <row r="118" spans="1:14" x14ac:dyDescent="0.25">
      <c r="A118" s="39">
        <v>2034</v>
      </c>
      <c r="B118" s="7">
        <f t="shared" si="26"/>
        <v>34032183.357142925</v>
      </c>
      <c r="C118" s="13">
        <f t="shared" si="24"/>
        <v>2458266.9451940963</v>
      </c>
      <c r="D118" s="13">
        <f t="shared" si="28"/>
        <v>2458266.9451940963</v>
      </c>
      <c r="E118" s="13">
        <f t="shared" si="29"/>
        <v>365573.75254550821</v>
      </c>
      <c r="F118" s="42">
        <f t="shared" si="17"/>
        <v>1.148711983155533</v>
      </c>
      <c r="G118" s="39">
        <v>9</v>
      </c>
      <c r="H118" s="47">
        <f t="shared" si="25"/>
        <v>28724456.099090599</v>
      </c>
      <c r="I118" s="49">
        <f t="shared" si="18"/>
        <v>8.5580974508754015E-2</v>
      </c>
      <c r="J118" s="49">
        <f t="shared" si="20"/>
        <v>8.5580974508754015E-2</v>
      </c>
      <c r="L118" s="9">
        <f t="shared" si="21"/>
        <v>7.9893675718808126</v>
      </c>
      <c r="M118" s="9">
        <f t="shared" si="22"/>
        <v>12.782988115009299</v>
      </c>
    </row>
    <row r="119" spans="1:14" x14ac:dyDescent="0.25">
      <c r="A119" s="39">
        <v>2035</v>
      </c>
      <c r="B119" s="7">
        <f t="shared" si="26"/>
        <v>34371116.000000119</v>
      </c>
      <c r="C119" s="19">
        <f t="shared" si="24"/>
        <v>2823840.6977396044</v>
      </c>
      <c r="D119" s="13">
        <f>D118+E118</f>
        <v>2823840.6977396044</v>
      </c>
      <c r="E119" s="19">
        <f t="shared" si="29"/>
        <v>398475.39027460397</v>
      </c>
      <c r="F119" s="64">
        <f t="shared" si="17"/>
        <v>1.1411111436256198</v>
      </c>
      <c r="G119" s="39">
        <v>9</v>
      </c>
      <c r="H119" s="65">
        <f t="shared" si="25"/>
        <v>29010528.130324434</v>
      </c>
      <c r="I119" s="66">
        <f t="shared" si="18"/>
        <v>9.7338479501442449E-2</v>
      </c>
      <c r="J119" s="66">
        <f t="shared" si="20"/>
        <v>9.7338479501442449E-2</v>
      </c>
      <c r="K119" s="1"/>
      <c r="L119" s="19">
        <f t="shared" si="21"/>
        <v>9.1774822676537156</v>
      </c>
      <c r="M119" s="19">
        <f t="shared" si="22"/>
        <v>14.683971628245946</v>
      </c>
    </row>
    <row r="120" spans="1:14" x14ac:dyDescent="0.25">
      <c r="A120" s="10">
        <v>2036</v>
      </c>
      <c r="B120" s="7">
        <f t="shared" si="26"/>
        <v>34710048.642857194</v>
      </c>
      <c r="C120" s="13">
        <f t="shared" si="24"/>
        <v>3222316.0880142082</v>
      </c>
      <c r="D120" s="13">
        <f>D119-D100+E119</f>
        <v>3210416.0880142082</v>
      </c>
      <c r="E120" s="13">
        <f t="shared" si="29"/>
        <v>434338.17539931834</v>
      </c>
      <c r="F120" s="42">
        <f t="shared" si="17"/>
        <v>1.1347906796030629</v>
      </c>
      <c r="G120" s="10">
        <v>9</v>
      </c>
      <c r="H120" s="47">
        <f t="shared" si="25"/>
        <v>29296600.16155817</v>
      </c>
      <c r="I120" s="49">
        <f t="shared" si="18"/>
        <v>0.10998942096504437</v>
      </c>
      <c r="J120" s="49">
        <f t="shared" si="20"/>
        <v>0.10958323048784303</v>
      </c>
      <c r="L120" s="9">
        <f t="shared" si="21"/>
        <v>10.433852286046177</v>
      </c>
      <c r="M120" s="9">
        <f t="shared" si="22"/>
        <v>16.694163657673883</v>
      </c>
    </row>
    <row r="121" spans="1:14" x14ac:dyDescent="0.25">
      <c r="A121" s="10">
        <v>2037</v>
      </c>
      <c r="B121" s="7">
        <f t="shared" si="26"/>
        <v>35048981.285714388</v>
      </c>
      <c r="C121" s="13">
        <f t="shared" si="24"/>
        <v>3656654.2634135266</v>
      </c>
      <c r="D121" s="13">
        <f>D120-E100+E120</f>
        <v>3640554.2634135266</v>
      </c>
      <c r="E121" s="13">
        <f t="shared" si="29"/>
        <v>473428.61118525697</v>
      </c>
      <c r="F121" s="42">
        <f t="shared" si="17"/>
        <v>1.1294704331011338</v>
      </c>
      <c r="G121" s="10">
        <v>9</v>
      </c>
      <c r="H121" s="47">
        <f t="shared" si="25"/>
        <v>29582672.192792006</v>
      </c>
      <c r="I121" s="49">
        <f t="shared" si="18"/>
        <v>0.12360797698000021</v>
      </c>
      <c r="J121" s="49">
        <f t="shared" si="20"/>
        <v>0.12306373946504297</v>
      </c>
      <c r="L121" s="9">
        <f t="shared" si="21"/>
        <v>11.831801356093962</v>
      </c>
      <c r="M121" s="9">
        <f t="shared" si="22"/>
        <v>18.93088216975034</v>
      </c>
    </row>
    <row r="122" spans="1:14" x14ac:dyDescent="0.25">
      <c r="A122" s="10">
        <v>2038</v>
      </c>
      <c r="B122" s="7">
        <f t="shared" si="26"/>
        <v>35387913.928571463</v>
      </c>
      <c r="C122" s="13">
        <f t="shared" si="24"/>
        <v>4130082.8745987834</v>
      </c>
      <c r="D122" s="13">
        <f>D121-E102+E121</f>
        <v>4100082.8745987834</v>
      </c>
      <c r="E122" s="13">
        <f t="shared" si="29"/>
        <v>516037.18619193009</v>
      </c>
      <c r="F122" s="42">
        <f t="shared" si="17"/>
        <v>1.1249459640061243</v>
      </c>
      <c r="G122" s="10">
        <v>9</v>
      </c>
      <c r="H122" s="47">
        <f t="shared" si="25"/>
        <v>29868744.224025741</v>
      </c>
      <c r="I122" s="49">
        <f t="shared" si="18"/>
        <v>0.13827440630318291</v>
      </c>
      <c r="J122" s="49">
        <f t="shared" si="20"/>
        <v>0.13727001188422142</v>
      </c>
      <c r="L122" s="9">
        <f t="shared" si="21"/>
        <v>13.325269342446047</v>
      </c>
      <c r="M122" s="9">
        <f t="shared" si="22"/>
        <v>21.320430947913678</v>
      </c>
    </row>
    <row r="123" spans="1:14" x14ac:dyDescent="0.25">
      <c r="A123" s="10">
        <v>2039</v>
      </c>
      <c r="B123" s="7">
        <f t="shared" si="26"/>
        <v>35726846.571428657</v>
      </c>
      <c r="C123" s="13">
        <f t="shared" si="24"/>
        <v>4646120.0607907139</v>
      </c>
      <c r="D123" s="13">
        <f>D122-E103+E122</f>
        <v>4602320.0607907139</v>
      </c>
      <c r="E123" s="13">
        <f>E122*(100+G123)/100</f>
        <v>562480.53294920374</v>
      </c>
      <c r="F123" s="42">
        <f t="shared" si="17"/>
        <v>1.1210645712098701</v>
      </c>
      <c r="G123" s="10">
        <v>9</v>
      </c>
      <c r="H123" s="47">
        <f t="shared" si="25"/>
        <v>30154816.255259577</v>
      </c>
      <c r="I123" s="49">
        <f t="shared" si="18"/>
        <v>0.15407555534284981</v>
      </c>
      <c r="J123" s="49">
        <f t="shared" si="20"/>
        <v>0.15262305105201832</v>
      </c>
      <c r="L123" s="9">
        <f t="shared" si="21"/>
        <v>14.95754019756982</v>
      </c>
      <c r="M123" s="9">
        <f t="shared" si="22"/>
        <v>23.932064316111713</v>
      </c>
    </row>
    <row r="124" spans="1:14" x14ac:dyDescent="0.25">
      <c r="A124" s="10">
        <v>2040</v>
      </c>
      <c r="B124" s="7">
        <f t="shared" si="26"/>
        <v>36065779.214285731</v>
      </c>
      <c r="C124" s="90">
        <f t="shared" si="24"/>
        <v>5208600.5937399175</v>
      </c>
      <c r="D124" s="13">
        <f>D123-E104+E123</f>
        <v>5136100.5937399175</v>
      </c>
      <c r="E124" s="67">
        <f t="shared" si="29"/>
        <v>613103.78091463214</v>
      </c>
      <c r="F124" s="68">
        <f t="shared" si="17"/>
        <v>1.1177098857707588</v>
      </c>
      <c r="G124" s="10">
        <v>9</v>
      </c>
      <c r="H124" s="69">
        <f t="shared" si="25"/>
        <v>30440888.286493313</v>
      </c>
      <c r="I124" s="70">
        <f t="shared" si="18"/>
        <v>0.1711054074611543</v>
      </c>
      <c r="J124" s="70">
        <f t="shared" si="20"/>
        <v>0.16872374240205126</v>
      </c>
      <c r="K124" s="71">
        <f>SUM(E115:E124)</f>
        <v>4288812.3193041794</v>
      </c>
      <c r="L124" s="67">
        <f t="shared" si="21"/>
        <v>16.692326929654733</v>
      </c>
      <c r="M124" s="67">
        <f t="shared" si="22"/>
        <v>26.707723087447572</v>
      </c>
    </row>
    <row r="125" spans="1:14" x14ac:dyDescent="0.25">
      <c r="A125" s="12">
        <v>2041</v>
      </c>
      <c r="B125" s="7">
        <f t="shared" si="26"/>
        <v>36404711.857142925</v>
      </c>
      <c r="C125" s="13">
        <f t="shared" si="24"/>
        <v>5821704.3746545501</v>
      </c>
      <c r="D125" s="13">
        <f t="shared" ref="D125:D131" si="30">D124-E105+E124</f>
        <v>5681104.3746545501</v>
      </c>
      <c r="E125" s="13">
        <f t="shared" si="29"/>
        <v>637627.93215121748</v>
      </c>
      <c r="F125" s="42">
        <f t="shared" si="17"/>
        <v>1.1095259894898137</v>
      </c>
      <c r="G125" s="12">
        <v>4</v>
      </c>
      <c r="H125" s="47">
        <f t="shared" si="25"/>
        <v>30726960.317727149</v>
      </c>
      <c r="I125" s="49">
        <f t="shared" si="18"/>
        <v>0.18946567816849308</v>
      </c>
      <c r="J125" s="49">
        <f t="shared" si="20"/>
        <v>0.18488989200070596</v>
      </c>
      <c r="L125" s="9">
        <f t="shared" si="21"/>
        <v>18.463589217627288</v>
      </c>
      <c r="M125" s="9">
        <f t="shared" si="22"/>
        <v>29.541742748203664</v>
      </c>
    </row>
    <row r="126" spans="1:14" x14ac:dyDescent="0.25">
      <c r="A126" s="12">
        <v>2042</v>
      </c>
      <c r="B126" s="7">
        <f t="shared" si="26"/>
        <v>36743644.500000119</v>
      </c>
      <c r="C126" s="13">
        <f t="shared" si="24"/>
        <v>6459332.3068057671</v>
      </c>
      <c r="D126" s="13">
        <f t="shared" si="30"/>
        <v>6239736.3068057671</v>
      </c>
      <c r="E126" s="13">
        <f t="shared" si="29"/>
        <v>663133.04943726619</v>
      </c>
      <c r="F126" s="42">
        <f t="shared" si="17"/>
        <v>1.1026627858638836</v>
      </c>
      <c r="G126" s="12">
        <v>4</v>
      </c>
      <c r="H126" s="47">
        <f t="shared" si="25"/>
        <v>31013032.348960984</v>
      </c>
      <c r="I126" s="49">
        <f t="shared" si="18"/>
        <v>0.20827799855637694</v>
      </c>
      <c r="J126" s="49">
        <f t="shared" si="20"/>
        <v>0.20119723336292247</v>
      </c>
      <c r="L126" s="9">
        <f t="shared" si="21"/>
        <v>20.279142997118743</v>
      </c>
      <c r="M126" s="9">
        <f t="shared" si="22"/>
        <v>32.446628795389991</v>
      </c>
    </row>
    <row r="127" spans="1:14" x14ac:dyDescent="0.25">
      <c r="A127" s="12">
        <v>2043</v>
      </c>
      <c r="B127" s="7">
        <f t="shared" si="26"/>
        <v>37082577.142857194</v>
      </c>
      <c r="C127" s="13">
        <f t="shared" si="24"/>
        <v>7122465.356243033</v>
      </c>
      <c r="D127" s="13">
        <f t="shared" si="30"/>
        <v>6811233.9962430326</v>
      </c>
      <c r="E127" s="13">
        <f t="shared" si="29"/>
        <v>689658.37141475675</v>
      </c>
      <c r="F127" s="42">
        <f t="shared" si="17"/>
        <v>1.0968286031479608</v>
      </c>
      <c r="G127" s="12">
        <v>4</v>
      </c>
      <c r="H127" s="47">
        <f t="shared" si="25"/>
        <v>31299104.38019472</v>
      </c>
      <c r="I127" s="49">
        <f t="shared" si="18"/>
        <v>0.22756131516497796</v>
      </c>
      <c r="J127" s="49">
        <f t="shared" si="20"/>
        <v>0.21761753670347861</v>
      </c>
      <c r="L127" s="9">
        <f t="shared" si="21"/>
        <v>22.136510487789856</v>
      </c>
      <c r="M127" s="9">
        <f t="shared" si="22"/>
        <v>35.418416780463765</v>
      </c>
    </row>
    <row r="128" spans="1:14" x14ac:dyDescent="0.25">
      <c r="A128" s="12">
        <v>2044</v>
      </c>
      <c r="B128" s="7">
        <f t="shared" si="26"/>
        <v>37421509.785714388</v>
      </c>
      <c r="C128" s="13">
        <f t="shared" si="24"/>
        <v>7812123.7276577894</v>
      </c>
      <c r="D128" s="13">
        <f t="shared" si="30"/>
        <v>7394595.3500577891</v>
      </c>
      <c r="E128" s="13">
        <f t="shared" si="29"/>
        <v>717244.70627134701</v>
      </c>
      <c r="F128" s="42">
        <f t="shared" si="17"/>
        <v>1.0918117443189024</v>
      </c>
      <c r="G128" s="12">
        <v>4</v>
      </c>
      <c r="H128" s="47">
        <f t="shared" si="25"/>
        <v>31585176.411428556</v>
      </c>
      <c r="I128" s="49">
        <f t="shared" si="18"/>
        <v>0.24733513043894559</v>
      </c>
      <c r="J128" s="49">
        <f t="shared" si="20"/>
        <v>0.23411600599394408</v>
      </c>
      <c r="L128" s="9">
        <f t="shared" si="21"/>
        <v>24.032434887687813</v>
      </c>
      <c r="M128" s="9">
        <f t="shared" si="22"/>
        <v>38.4518958203005</v>
      </c>
    </row>
    <row r="129" spans="1:16" x14ac:dyDescent="0.25">
      <c r="A129" s="12">
        <v>2045</v>
      </c>
      <c r="B129" s="7">
        <f t="shared" si="26"/>
        <v>37760442.428571463</v>
      </c>
      <c r="C129" s="13">
        <f t="shared" si="24"/>
        <v>8529368.433929136</v>
      </c>
      <c r="D129" s="13">
        <f t="shared" si="30"/>
        <v>7988535.5159131354</v>
      </c>
      <c r="E129" s="13">
        <f t="shared" si="29"/>
        <v>745934.49452220078</v>
      </c>
      <c r="F129" s="42">
        <f t="shared" si="17"/>
        <v>1.0874548332974965</v>
      </c>
      <c r="G129" s="12">
        <v>4</v>
      </c>
      <c r="H129" s="45">
        <f t="shared" si="25"/>
        <v>31871248.442662291</v>
      </c>
      <c r="I129" s="58">
        <f t="shared" si="18"/>
        <v>0.267619527025238</v>
      </c>
      <c r="J129" s="58">
        <f t="shared" si="20"/>
        <v>0.25065022257552427</v>
      </c>
      <c r="K129" s="11"/>
      <c r="L129" s="13">
        <f t="shared" si="21"/>
        <v>25.962740426717691</v>
      </c>
      <c r="M129" s="13">
        <f t="shared" si="22"/>
        <v>41.540384682748304</v>
      </c>
    </row>
    <row r="130" spans="1:16" x14ac:dyDescent="0.25">
      <c r="A130" s="43">
        <v>2046</v>
      </c>
      <c r="B130" s="7">
        <f t="shared" si="26"/>
        <v>38099375.071428657</v>
      </c>
      <c r="C130" s="13">
        <f t="shared" si="24"/>
        <v>9275302.9284513369</v>
      </c>
      <c r="D130" s="13">
        <f t="shared" si="30"/>
        <v>8591436.7435527761</v>
      </c>
      <c r="E130" s="13">
        <f t="shared" si="29"/>
        <v>775771.87430308876</v>
      </c>
      <c r="F130" s="42">
        <f t="shared" si="17"/>
        <v>1.0836384407374409</v>
      </c>
      <c r="G130" s="43">
        <v>4</v>
      </c>
      <c r="H130" s="47">
        <f t="shared" si="25"/>
        <v>32157320.473896127</v>
      </c>
      <c r="I130" s="49">
        <f t="shared" si="18"/>
        <v>0.28843519272635332</v>
      </c>
      <c r="J130" s="49">
        <f t="shared" si="20"/>
        <v>0.26716892505166651</v>
      </c>
      <c r="L130" s="9">
        <f t="shared" si="21"/>
        <v>27.922169416546524</v>
      </c>
      <c r="M130" s="9">
        <f t="shared" si="22"/>
        <v>44.675471066474444</v>
      </c>
      <c r="O130">
        <v>2021</v>
      </c>
    </row>
    <row r="131" spans="1:16" x14ac:dyDescent="0.25">
      <c r="A131" s="43">
        <v>2047</v>
      </c>
      <c r="B131" s="7">
        <f t="shared" si="26"/>
        <v>38438307.714285731</v>
      </c>
      <c r="C131" s="13">
        <f t="shared" si="24"/>
        <v>10051074.802754426</v>
      </c>
      <c r="D131" s="13">
        <f t="shared" si="30"/>
        <v>9201290.0282720961</v>
      </c>
      <c r="E131" s="13">
        <f>E130*(100+G131)/100</f>
        <v>806802.74927521229</v>
      </c>
      <c r="F131" s="42">
        <f t="shared" si="17"/>
        <v>1.0802702959741295</v>
      </c>
      <c r="G131" s="43">
        <v>4</v>
      </c>
      <c r="H131" s="47">
        <f t="shared" si="25"/>
        <v>32443392.505129863</v>
      </c>
      <c r="I131" s="49">
        <f t="shared" si="18"/>
        <v>0.30980344614593486</v>
      </c>
      <c r="J131" s="49">
        <f t="shared" si="20"/>
        <v>0.28361060042710429</v>
      </c>
      <c r="L131" s="9">
        <f t="shared" si="21"/>
        <v>29.904192591884311</v>
      </c>
      <c r="M131" s="9">
        <f t="shared" si="22"/>
        <v>47.846708147014901</v>
      </c>
      <c r="O131">
        <f>481844256/1000000</f>
        <v>481.84425599999997</v>
      </c>
    </row>
    <row r="132" spans="1:16" x14ac:dyDescent="0.25">
      <c r="A132" s="43">
        <v>2048</v>
      </c>
      <c r="B132" s="7">
        <f t="shared" si="26"/>
        <v>38777240.357142925</v>
      </c>
      <c r="C132" s="13">
        <f t="shared" si="24"/>
        <v>10857877.552029639</v>
      </c>
      <c r="D132" s="13">
        <f>D131-E112+E131</f>
        <v>9815627.2136301361</v>
      </c>
      <c r="E132" s="13">
        <f t="shared" si="29"/>
        <v>839074.85924622079</v>
      </c>
      <c r="F132" s="42">
        <f t="shared" si="17"/>
        <v>1.0772779813757776</v>
      </c>
      <c r="G132" s="43">
        <v>4</v>
      </c>
      <c r="H132" s="47">
        <f t="shared" si="25"/>
        <v>32729464.536363699</v>
      </c>
      <c r="I132" s="49">
        <f t="shared" si="18"/>
        <v>0.331746263064161</v>
      </c>
      <c r="J132" s="49">
        <f t="shared" si="20"/>
        <v>0.29990185762815019</v>
      </c>
      <c r="L132" s="9">
        <f t="shared" si="21"/>
        <v>31.900788444297945</v>
      </c>
      <c r="M132" s="9">
        <f t="shared" si="22"/>
        <v>51.041261510876708</v>
      </c>
      <c r="O132" s="38" t="s">
        <v>150</v>
      </c>
    </row>
    <row r="133" spans="1:16" x14ac:dyDescent="0.25">
      <c r="A133" s="43">
        <v>2049</v>
      </c>
      <c r="B133" s="7">
        <f t="shared" si="26"/>
        <v>39116173.000000119</v>
      </c>
      <c r="C133" s="13">
        <f t="shared" si="24"/>
        <v>11696952.41127586</v>
      </c>
      <c r="D133" s="13">
        <f>D132-E113+E132</f>
        <v>10431442.018732436</v>
      </c>
      <c r="E133" s="13">
        <f t="shared" si="29"/>
        <v>872637.85361606954</v>
      </c>
      <c r="F133" s="42">
        <f t="shared" si="17"/>
        <v>1.0746038645737199</v>
      </c>
      <c r="G133" s="43">
        <v>4</v>
      </c>
      <c r="H133" s="47">
        <f t="shared" si="25"/>
        <v>33015536.567597535</v>
      </c>
      <c r="I133" s="49">
        <f t="shared" si="18"/>
        <v>0.35428630358095131</v>
      </c>
      <c r="J133" s="49">
        <f t="shared" si="20"/>
        <v>0.31595555012030835</v>
      </c>
      <c r="L133" s="9">
        <f t="shared" si="21"/>
        <v>33.902186560880416</v>
      </c>
      <c r="M133" s="9">
        <f t="shared" si="22"/>
        <v>54.243498497408666</v>
      </c>
      <c r="N133" s="44" t="s">
        <v>149</v>
      </c>
      <c r="O133" s="44"/>
      <c r="P133" s="44"/>
    </row>
    <row r="134" spans="1:16" x14ac:dyDescent="0.25">
      <c r="A134" s="43">
        <v>2050</v>
      </c>
      <c r="B134" s="7">
        <f t="shared" si="26"/>
        <v>39455105.642857194</v>
      </c>
      <c r="C134" s="59">
        <f t="shared" si="24"/>
        <v>12569590.26489193</v>
      </c>
      <c r="D134" s="13">
        <f>D133-E114+E133</f>
        <v>11045098.209541559</v>
      </c>
      <c r="E134" s="59">
        <f>E133*(100+G134)/100</f>
        <v>907543.3677607124</v>
      </c>
      <c r="F134" s="60">
        <f t="shared" si="17"/>
        <v>0.87804757171505543</v>
      </c>
      <c r="G134" s="43">
        <v>4</v>
      </c>
      <c r="H134" s="61">
        <f t="shared" si="25"/>
        <v>33301608.59883127</v>
      </c>
      <c r="I134" s="62">
        <f t="shared" si="18"/>
        <v>0.37744694006562385</v>
      </c>
      <c r="J134" s="62">
        <f>D134/H134</f>
        <v>0.33166860924337421</v>
      </c>
      <c r="K134" s="63">
        <f>SUM(E125:E134)</f>
        <v>7655429.2579980921</v>
      </c>
      <c r="L134" s="59">
        <f t="shared" si="21"/>
        <v>35.896569181010072</v>
      </c>
      <c r="M134" s="59">
        <f t="shared" si="22"/>
        <v>57.434510689616118</v>
      </c>
      <c r="N134" s="49">
        <f>L134/$O$131</f>
        <v>7.4498281828662236E-2</v>
      </c>
      <c r="O134" s="49">
        <f>M134/$O$131</f>
        <v>0.11919725092585959</v>
      </c>
    </row>
    <row r="135" spans="1:16" x14ac:dyDescent="0.25">
      <c r="C135" s="3">
        <f>SUM(E115:E133)</f>
        <v>11036698.209541559</v>
      </c>
      <c r="D135" s="9">
        <f>D134+SUM(D100,E100:E114)</f>
        <v>12577990.26489193</v>
      </c>
      <c r="E135" s="13">
        <f>C100+SUM(E100:E133)</f>
        <v>12569590.26489193</v>
      </c>
      <c r="F135" s="80">
        <f>D134/C135</f>
        <v>1.0007610971905292</v>
      </c>
      <c r="G135" s="81">
        <f>D135/C134</f>
        <v>1.0006682795399833</v>
      </c>
      <c r="H135" s="47"/>
      <c r="I135" s="49"/>
      <c r="J135" s="83">
        <f>(M134*10^6)/365</f>
        <v>157354.82380716744</v>
      </c>
      <c r="K135" s="3">
        <f>C134-SUM(E112:E134)</f>
        <v>-49358.593278381974</v>
      </c>
      <c r="L135" s="50" t="s">
        <v>129</v>
      </c>
      <c r="M135" s="6">
        <f>C135*$I$95*$L$97/10^9</f>
        <v>57.390830689616116</v>
      </c>
    </row>
    <row r="136" spans="1:16" x14ac:dyDescent="0.25">
      <c r="B136" s="3">
        <f>SUM(C112+C134)</f>
        <v>13427775.03937426</v>
      </c>
      <c r="I136" t="s">
        <v>130</v>
      </c>
    </row>
    <row r="137" spans="1:16" x14ac:dyDescent="0.25">
      <c r="K137" s="3"/>
    </row>
  </sheetData>
  <mergeCells count="1">
    <mergeCell ref="K94:L94"/>
  </mergeCells>
  <hyperlinks>
    <hyperlink ref="O132" r:id="rId1" xr:uid="{6520032C-D1FB-4110-AC79-7E545A3D5783}"/>
    <hyperlink ref="A18" r:id="rId2" xr:uid="{507DFB03-4488-4348-8224-607394D139C1}"/>
  </hyperlinks>
  <pageMargins left="0.7" right="0.7" top="0.75" bottom="0.75" header="0.3" footer="0.3"/>
  <pageSetup paperSize="9" orientation="portrait" r:id="rId3"/>
  <ignoredErrors>
    <ignoredError sqref="C17 D17:I17" formulaRange="1"/>
  </ignoredErrors>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FD072-8F3E-417B-9AF1-FDB319BD7179}">
  <dimension ref="A1:AD57"/>
  <sheetViews>
    <sheetView topLeftCell="C1" zoomScale="40" zoomScaleNormal="40" workbookViewId="0">
      <selection activeCell="E41" sqref="E41"/>
    </sheetView>
  </sheetViews>
  <sheetFormatPr defaultColWidth="11.42578125" defaultRowHeight="15" x14ac:dyDescent="0.25"/>
  <cols>
    <col min="5" max="5" width="24.85546875" customWidth="1"/>
    <col min="24" max="24" width="16.28515625" customWidth="1"/>
    <col min="25" max="25" width="11.5703125" customWidth="1"/>
    <col min="26" max="26" width="14.42578125" customWidth="1"/>
  </cols>
  <sheetData>
    <row r="1" spans="1:30" ht="50.45" customHeight="1" x14ac:dyDescent="0.25">
      <c r="W1" s="86" t="s">
        <v>175</v>
      </c>
      <c r="X1" s="86" t="s">
        <v>184</v>
      </c>
      <c r="Y1" s="86" t="s">
        <v>176</v>
      </c>
      <c r="Z1" s="86" t="s">
        <v>185</v>
      </c>
      <c r="AA1" s="86" t="s">
        <v>177</v>
      </c>
      <c r="AC1" s="86" t="s">
        <v>180</v>
      </c>
    </row>
    <row r="2" spans="1:30" x14ac:dyDescent="0.25">
      <c r="E2" t="s">
        <v>171</v>
      </c>
      <c r="F2">
        <v>14.168411340797761</v>
      </c>
      <c r="G2">
        <v>13.236279015745275</v>
      </c>
      <c r="H2">
        <v>19.947631756123162</v>
      </c>
      <c r="I2">
        <v>1.304985255073478</v>
      </c>
      <c r="J2">
        <v>1.304985255073478</v>
      </c>
      <c r="K2">
        <v>2.6099705101469555</v>
      </c>
      <c r="L2">
        <v>2.6099705101469555</v>
      </c>
      <c r="M2">
        <v>2.6099705101469555</v>
      </c>
      <c r="N2">
        <v>2.0506911151154656</v>
      </c>
      <c r="O2">
        <v>13.049852550734776</v>
      </c>
      <c r="P2">
        <v>6.5249262753673891</v>
      </c>
      <c r="Q2">
        <v>3.1692499051784466</v>
      </c>
      <c r="R2">
        <v>33.743190166899929</v>
      </c>
      <c r="S2">
        <v>22.744028731280615</v>
      </c>
      <c r="T2">
        <v>21.625469941217634</v>
      </c>
      <c r="U2">
        <v>25.72685217144857</v>
      </c>
      <c r="W2">
        <v>7.4623923629998226</v>
      </c>
      <c r="X2" s="9">
        <f>28.32*7.46239236299982</f>
        <v>211.33495172015489</v>
      </c>
      <c r="Y2">
        <v>22.472902571142505</v>
      </c>
      <c r="Z2">
        <f>0.00378541*22.4729025711425</f>
        <v>8.506915012182853E-2</v>
      </c>
      <c r="AA2">
        <v>356.27221527469521</v>
      </c>
      <c r="AC2" s="87">
        <v>2636.4</v>
      </c>
      <c r="AD2" s="6">
        <v>50000</v>
      </c>
    </row>
    <row r="3" spans="1:30" x14ac:dyDescent="0.25">
      <c r="A3" s="84" t="str">
        <f>'Texas pop'!A99</f>
        <v>Year</v>
      </c>
      <c r="B3" s="6" t="str">
        <f>'Texas pop'!B99</f>
        <v>Population</v>
      </c>
      <c r="C3" s="6" t="str">
        <f>'Texas pop'!C99</f>
        <v>EVs</v>
      </c>
      <c r="D3" s="6" t="str">
        <f>'Texas pop'!D99</f>
        <v>EVs w retirement</v>
      </c>
      <c r="E3" s="84" t="str">
        <f>'Texas pop'!E99</f>
        <v xml:space="preserve"> Sales Difference/New cars</v>
      </c>
      <c r="F3" s="6" t="s">
        <v>155</v>
      </c>
      <c r="G3" s="6" t="s">
        <v>156</v>
      </c>
      <c r="H3" s="6" t="s">
        <v>157</v>
      </c>
      <c r="I3" s="6" t="s">
        <v>158</v>
      </c>
      <c r="J3" s="6" t="s">
        <v>159</v>
      </c>
      <c r="K3" s="84" t="s">
        <v>160</v>
      </c>
      <c r="L3" s="84" t="s">
        <v>161</v>
      </c>
      <c r="M3" s="84" t="s">
        <v>162</v>
      </c>
      <c r="N3" s="6" t="s">
        <v>163</v>
      </c>
      <c r="O3" s="6" t="s">
        <v>164</v>
      </c>
      <c r="P3" s="6" t="s">
        <v>165</v>
      </c>
      <c r="Q3" s="6" t="s">
        <v>166</v>
      </c>
      <c r="R3" s="6" t="s">
        <v>167</v>
      </c>
      <c r="S3" s="6" t="s">
        <v>168</v>
      </c>
      <c r="T3" s="6" t="s">
        <v>169</v>
      </c>
      <c r="U3" s="6" t="s">
        <v>170</v>
      </c>
      <c r="V3" s="6" t="s">
        <v>50</v>
      </c>
      <c r="W3" s="85" t="s">
        <v>172</v>
      </c>
      <c r="X3" s="85" t="s">
        <v>172</v>
      </c>
      <c r="Y3" s="85" t="s">
        <v>173</v>
      </c>
      <c r="Z3" s="85"/>
      <c r="AA3" s="85" t="s">
        <v>174</v>
      </c>
      <c r="AC3" s="6">
        <f>AD3*AC2/AD2</f>
        <v>393.47702451625452</v>
      </c>
      <c r="AD3" s="6">
        <f>7.46239236299982*1000</f>
        <v>7462.3923629998199</v>
      </c>
    </row>
    <row r="4" spans="1:30" x14ac:dyDescent="0.25">
      <c r="A4" s="6">
        <f>'Texas pop'!A100</f>
        <v>2016</v>
      </c>
      <c r="B4" s="6">
        <f>'Texas pop'!B100</f>
        <v>27914064</v>
      </c>
      <c r="C4" s="6">
        <f>'Texas pop'!C100</f>
        <v>11900</v>
      </c>
      <c r="D4" s="6">
        <f>'Texas pop'!D100</f>
        <v>11900</v>
      </c>
      <c r="E4" s="6">
        <f>'Texas pop'!E100</f>
        <v>4200</v>
      </c>
      <c r="F4">
        <f>$E4*F$2/1000000</f>
        <v>5.9507327631350596E-2</v>
      </c>
      <c r="G4">
        <f t="shared" ref="G4:U19" si="0">$E4*G$2/1000000</f>
        <v>5.5592371866130155E-2</v>
      </c>
      <c r="H4">
        <f t="shared" si="0"/>
        <v>8.3780053375717284E-2</v>
      </c>
      <c r="I4">
        <f t="shared" si="0"/>
        <v>5.4809380713086078E-3</v>
      </c>
      <c r="J4">
        <f t="shared" si="0"/>
        <v>5.4809380713086078E-3</v>
      </c>
      <c r="K4">
        <f t="shared" si="0"/>
        <v>1.0961876142617214E-2</v>
      </c>
      <c r="L4">
        <f t="shared" si="0"/>
        <v>1.0961876142617214E-2</v>
      </c>
      <c r="M4">
        <f t="shared" si="0"/>
        <v>1.0961876142617214E-2</v>
      </c>
      <c r="N4">
        <f t="shared" si="0"/>
        <v>8.6129026834849548E-3</v>
      </c>
      <c r="O4">
        <f t="shared" si="0"/>
        <v>5.480938071308606E-2</v>
      </c>
      <c r="P4">
        <f t="shared" si="0"/>
        <v>2.7404690356543034E-2</v>
      </c>
      <c r="Q4">
        <f t="shared" si="0"/>
        <v>1.3310849601749476E-2</v>
      </c>
      <c r="R4">
        <f t="shared" si="0"/>
        <v>0.14172139870097972</v>
      </c>
      <c r="S4">
        <f t="shared" si="0"/>
        <v>9.5524920671378577E-2</v>
      </c>
      <c r="T4">
        <f t="shared" si="0"/>
        <v>9.0826973753114076E-2</v>
      </c>
      <c r="U4">
        <f>$E4*U$2/1000000</f>
        <v>0.108052779120084</v>
      </c>
      <c r="V4">
        <f>SUM(F4:U4)</f>
        <v>0.78299115304408684</v>
      </c>
      <c r="W4" s="9">
        <f>$E4*W$2</f>
        <v>31342.047924599254</v>
      </c>
      <c r="X4" s="9">
        <f>$E4*X$2/1000000</f>
        <v>0.88760679722465052</v>
      </c>
      <c r="Y4" s="9">
        <f>$E4*Y$2/(42*1000)</f>
        <v>2.2472902571142503</v>
      </c>
      <c r="Z4" s="9">
        <f>$E4*Z$2/1000</f>
        <v>0.3572904305116798</v>
      </c>
      <c r="AA4" s="9">
        <f>$E4*AA$2/1000000</f>
        <v>1.49634330415372</v>
      </c>
      <c r="AC4" s="84">
        <f>AC3*AD5</f>
        <v>178.4780305043769</v>
      </c>
      <c r="AD4" s="6" t="s">
        <v>179</v>
      </c>
    </row>
    <row r="5" spans="1:30" x14ac:dyDescent="0.25">
      <c r="A5" s="6">
        <f>'Texas pop'!A101</f>
        <v>2017</v>
      </c>
      <c r="B5" s="6">
        <f>'Texas pop'!B101</f>
        <v>28291024</v>
      </c>
      <c r="C5" s="6">
        <f>'Texas pop'!C101</f>
        <v>16100</v>
      </c>
      <c r="D5" s="6">
        <f>'Texas pop'!D101</f>
        <v>16100</v>
      </c>
      <c r="E5" s="6">
        <f>'Texas pop'!E101</f>
        <v>8400</v>
      </c>
      <c r="F5">
        <f t="shared" ref="F5:U34" si="1">$E5*F$2/1000000</f>
        <v>0.11901465526270119</v>
      </c>
      <c r="G5">
        <f t="shared" si="0"/>
        <v>0.11118474373226031</v>
      </c>
      <c r="H5">
        <f t="shared" si="0"/>
        <v>0.16756010675143457</v>
      </c>
      <c r="I5">
        <f t="shared" si="0"/>
        <v>1.0961876142617216E-2</v>
      </c>
      <c r="J5">
        <f t="shared" si="0"/>
        <v>1.0961876142617216E-2</v>
      </c>
      <c r="K5">
        <f t="shared" si="0"/>
        <v>2.1923752285234428E-2</v>
      </c>
      <c r="L5">
        <f t="shared" si="0"/>
        <v>2.1923752285234428E-2</v>
      </c>
      <c r="M5">
        <f t="shared" si="0"/>
        <v>2.1923752285234428E-2</v>
      </c>
      <c r="N5">
        <f t="shared" si="0"/>
        <v>1.722580536696991E-2</v>
      </c>
      <c r="O5">
        <f t="shared" si="0"/>
        <v>0.10961876142617212</v>
      </c>
      <c r="P5">
        <f t="shared" si="0"/>
        <v>5.4809380713086067E-2</v>
      </c>
      <c r="Q5">
        <f t="shared" si="0"/>
        <v>2.6621699203498952E-2</v>
      </c>
      <c r="R5">
        <f t="shared" si="0"/>
        <v>0.28344279740195943</v>
      </c>
      <c r="S5">
        <f t="shared" si="0"/>
        <v>0.19104984134275715</v>
      </c>
      <c r="T5">
        <f t="shared" si="0"/>
        <v>0.18165394750622815</v>
      </c>
      <c r="U5">
        <f>$E5*U$2/1000000</f>
        <v>0.216105558240168</v>
      </c>
      <c r="V5">
        <f t="shared" ref="V5:V38" si="2">SUM(F5:U5)</f>
        <v>1.5659823060881737</v>
      </c>
      <c r="W5" s="9">
        <f t="shared" ref="W5:W37" si="3">$E5*W$2</f>
        <v>62684.095849198507</v>
      </c>
      <c r="X5" s="9">
        <f t="shared" ref="X5:X38" si="4">$E5*X$2/1000000</f>
        <v>1.775213594449301</v>
      </c>
      <c r="Y5" s="9">
        <f t="shared" ref="Y5:Y37" si="5">$E5*Y$2/(42*1000)</f>
        <v>4.4945805142285007</v>
      </c>
      <c r="Z5" s="9">
        <f t="shared" ref="Z5:Z38" si="6">$E5*Z$2/1000</f>
        <v>0.7145808610233596</v>
      </c>
      <c r="AA5" s="9">
        <f t="shared" ref="AA5:AA19" si="7">$E5*AA$2/1000000</f>
        <v>2.9926866083074399</v>
      </c>
      <c r="AC5" s="6" t="s">
        <v>178</v>
      </c>
      <c r="AD5" s="6">
        <v>0.453592</v>
      </c>
    </row>
    <row r="6" spans="1:30" x14ac:dyDescent="0.25">
      <c r="A6" s="6">
        <f>'Texas pop'!A102</f>
        <v>2018</v>
      </c>
      <c r="B6" s="6">
        <f>'Texas pop'!B102</f>
        <v>28624564</v>
      </c>
      <c r="C6" s="6">
        <f>'Texas pop'!C102</f>
        <v>24500</v>
      </c>
      <c r="D6" s="6">
        <f>'Texas pop'!D102</f>
        <v>24500</v>
      </c>
      <c r="E6" s="6">
        <f>'Texas pop'!E102</f>
        <v>13900</v>
      </c>
      <c r="F6">
        <f t="shared" si="1"/>
        <v>0.19694091763708885</v>
      </c>
      <c r="G6">
        <f t="shared" si="0"/>
        <v>0.18398427831885933</v>
      </c>
      <c r="H6">
        <f t="shared" si="0"/>
        <v>0.277272081410112</v>
      </c>
      <c r="I6">
        <f t="shared" si="0"/>
        <v>1.8139295045521343E-2</v>
      </c>
      <c r="J6">
        <f t="shared" si="0"/>
        <v>1.8139295045521343E-2</v>
      </c>
      <c r="K6">
        <f t="shared" si="0"/>
        <v>3.627859009104268E-2</v>
      </c>
      <c r="L6">
        <f t="shared" si="0"/>
        <v>3.627859009104268E-2</v>
      </c>
      <c r="M6">
        <f t="shared" si="0"/>
        <v>3.627859009104268E-2</v>
      </c>
      <c r="N6">
        <f t="shared" si="0"/>
        <v>2.8504606500104973E-2</v>
      </c>
      <c r="O6">
        <f t="shared" si="0"/>
        <v>0.18139295045521339</v>
      </c>
      <c r="P6">
        <f t="shared" si="0"/>
        <v>9.069647522760671E-2</v>
      </c>
      <c r="Q6">
        <f t="shared" si="0"/>
        <v>4.4052573681980407E-2</v>
      </c>
      <c r="R6">
        <f t="shared" si="0"/>
        <v>0.469030343319909</v>
      </c>
      <c r="S6">
        <f t="shared" si="0"/>
        <v>0.31614199936480053</v>
      </c>
      <c r="T6">
        <f t="shared" si="0"/>
        <v>0.30059403218292507</v>
      </c>
      <c r="U6">
        <f t="shared" si="0"/>
        <v>0.35760324518313513</v>
      </c>
      <c r="V6">
        <f t="shared" si="2"/>
        <v>2.5913278636459065</v>
      </c>
      <c r="W6" s="9">
        <f t="shared" si="3"/>
        <v>103727.25384569753</v>
      </c>
      <c r="X6" s="9">
        <f t="shared" si="4"/>
        <v>2.9375558289101531</v>
      </c>
      <c r="Y6" s="9">
        <f t="shared" si="5"/>
        <v>7.4374606128304954</v>
      </c>
      <c r="Z6" s="9">
        <f t="shared" si="6"/>
        <v>1.1824611866934165</v>
      </c>
      <c r="AA6" s="9">
        <f t="shared" si="7"/>
        <v>4.9521837923182632</v>
      </c>
    </row>
    <row r="7" spans="1:30" x14ac:dyDescent="0.25">
      <c r="A7" s="6">
        <f>'Texas pop'!A103</f>
        <v>2019</v>
      </c>
      <c r="B7" s="6">
        <f>'Texas pop'!B103</f>
        <v>28986794</v>
      </c>
      <c r="C7" s="6">
        <f>'Texas pop'!C103</f>
        <v>38400</v>
      </c>
      <c r="D7" s="6">
        <f>'Texas pop'!D103</f>
        <v>38400</v>
      </c>
      <c r="E7" s="6">
        <f>'Texas pop'!E103</f>
        <v>13800</v>
      </c>
      <c r="F7">
        <f t="shared" si="1"/>
        <v>0.1955240765030091</v>
      </c>
      <c r="G7">
        <f t="shared" si="0"/>
        <v>0.1826606504172848</v>
      </c>
      <c r="H7">
        <f t="shared" si="0"/>
        <v>0.27527731823449963</v>
      </c>
      <c r="I7">
        <f t="shared" si="0"/>
        <v>1.8008796520013994E-2</v>
      </c>
      <c r="J7">
        <f t="shared" si="0"/>
        <v>1.8008796520013994E-2</v>
      </c>
      <c r="K7">
        <f t="shared" si="0"/>
        <v>3.6017593040027981E-2</v>
      </c>
      <c r="L7">
        <f t="shared" si="0"/>
        <v>3.6017593040027981E-2</v>
      </c>
      <c r="M7">
        <f t="shared" si="0"/>
        <v>3.6017593040027981E-2</v>
      </c>
      <c r="N7">
        <f t="shared" si="0"/>
        <v>2.8299537388593424E-2</v>
      </c>
      <c r="O7">
        <f t="shared" si="0"/>
        <v>0.18008796520013992</v>
      </c>
      <c r="P7">
        <f t="shared" si="0"/>
        <v>9.0043982600069974E-2</v>
      </c>
      <c r="Q7">
        <f t="shared" si="0"/>
        <v>4.3735648691462563E-2</v>
      </c>
      <c r="R7">
        <f t="shared" si="0"/>
        <v>0.46565602430321901</v>
      </c>
      <c r="S7">
        <f t="shared" si="0"/>
        <v>0.31386759649167251</v>
      </c>
      <c r="T7">
        <f t="shared" si="0"/>
        <v>0.29843148518880336</v>
      </c>
      <c r="U7">
        <f t="shared" si="0"/>
        <v>0.35503055996599026</v>
      </c>
      <c r="V7">
        <f t="shared" si="2"/>
        <v>2.5726852171448562</v>
      </c>
      <c r="W7" s="9">
        <f t="shared" si="3"/>
        <v>102981.01460939755</v>
      </c>
      <c r="X7" s="9">
        <f t="shared" si="4"/>
        <v>2.9164223337381374</v>
      </c>
      <c r="Y7" s="9">
        <f t="shared" si="5"/>
        <v>7.3839537019468233</v>
      </c>
      <c r="Z7" s="9">
        <f t="shared" si="6"/>
        <v>1.1739542716812337</v>
      </c>
      <c r="AA7" s="9">
        <f t="shared" si="7"/>
        <v>4.9165565707907941</v>
      </c>
      <c r="AC7" t="s">
        <v>181</v>
      </c>
    </row>
    <row r="8" spans="1:30" x14ac:dyDescent="0.25">
      <c r="A8" s="6">
        <f>'Texas pop'!A104</f>
        <v>2020</v>
      </c>
      <c r="B8" s="6">
        <f>'Texas pop'!B104</f>
        <v>29232474</v>
      </c>
      <c r="C8" s="6">
        <f>'Texas pop'!C104</f>
        <v>52200</v>
      </c>
      <c r="D8" s="6">
        <f>'Texas pop'!D104</f>
        <v>52200</v>
      </c>
      <c r="E8" s="6">
        <f>'Texas pop'!E104</f>
        <v>28700</v>
      </c>
      <c r="F8">
        <f t="shared" si="1"/>
        <v>0.40663340548089572</v>
      </c>
      <c r="G8">
        <f t="shared" si="0"/>
        <v>0.37988120775188938</v>
      </c>
      <c r="H8">
        <f t="shared" si="0"/>
        <v>0.57249703140073482</v>
      </c>
      <c r="I8">
        <f t="shared" si="0"/>
        <v>3.7453076820608819E-2</v>
      </c>
      <c r="J8">
        <f t="shared" si="0"/>
        <v>3.7453076820608819E-2</v>
      </c>
      <c r="K8">
        <f t="shared" si="0"/>
        <v>7.4906153641217624E-2</v>
      </c>
      <c r="L8">
        <f t="shared" si="0"/>
        <v>7.4906153641217624E-2</v>
      </c>
      <c r="M8">
        <f t="shared" si="0"/>
        <v>7.4906153641217624E-2</v>
      </c>
      <c r="N8">
        <f t="shared" si="0"/>
        <v>5.8854835003813867E-2</v>
      </c>
      <c r="O8">
        <f t="shared" si="0"/>
        <v>0.3745307682060881</v>
      </c>
      <c r="P8">
        <f t="shared" si="0"/>
        <v>0.18726538410304408</v>
      </c>
      <c r="Q8">
        <f t="shared" si="0"/>
        <v>9.0957472278621415E-2</v>
      </c>
      <c r="R8">
        <f t="shared" si="0"/>
        <v>0.96842955779002793</v>
      </c>
      <c r="S8">
        <f t="shared" si="0"/>
        <v>0.65275362458775366</v>
      </c>
      <c r="T8">
        <f t="shared" si="0"/>
        <v>0.6206509873129461</v>
      </c>
      <c r="U8">
        <f t="shared" si="0"/>
        <v>0.73836065732057388</v>
      </c>
      <c r="V8">
        <f t="shared" si="2"/>
        <v>5.3504395458012599</v>
      </c>
      <c r="W8" s="9">
        <f t="shared" si="3"/>
        <v>214170.66081809491</v>
      </c>
      <c r="X8" s="9">
        <f t="shared" si="4"/>
        <v>6.0653131143684451</v>
      </c>
      <c r="Y8" s="9">
        <f t="shared" si="5"/>
        <v>15.356483423614046</v>
      </c>
      <c r="Z8" s="9">
        <f t="shared" si="6"/>
        <v>2.441484608496479</v>
      </c>
      <c r="AA8" s="9">
        <f t="shared" si="7"/>
        <v>10.225012578383753</v>
      </c>
      <c r="AC8">
        <v>7.2</v>
      </c>
      <c r="AD8">
        <f>AC8*Y2</f>
        <v>161.80489851222603</v>
      </c>
    </row>
    <row r="9" spans="1:30" x14ac:dyDescent="0.25">
      <c r="A9" s="6">
        <f>'Texas pop'!A105</f>
        <v>2021</v>
      </c>
      <c r="B9" s="6">
        <f>'Texas pop'!B105</f>
        <v>29558864</v>
      </c>
      <c r="C9" s="6">
        <f>'Texas pop'!C105</f>
        <v>80900</v>
      </c>
      <c r="D9" s="6">
        <f>'Texas pop'!D105</f>
        <v>80900</v>
      </c>
      <c r="E9" s="6">
        <f>'Texas pop'!E105</f>
        <v>68100</v>
      </c>
      <c r="F9">
        <f t="shared" si="1"/>
        <v>0.96486881230832755</v>
      </c>
      <c r="G9">
        <f t="shared" si="0"/>
        <v>0.90139060097225321</v>
      </c>
      <c r="H9">
        <f t="shared" si="0"/>
        <v>1.3584337225919874</v>
      </c>
      <c r="I9">
        <f t="shared" si="0"/>
        <v>8.8869495870503842E-2</v>
      </c>
      <c r="J9">
        <f t="shared" si="0"/>
        <v>8.8869495870503842E-2</v>
      </c>
      <c r="K9">
        <f t="shared" si="0"/>
        <v>0.17773899174100766</v>
      </c>
      <c r="L9">
        <f t="shared" si="0"/>
        <v>0.17773899174100766</v>
      </c>
      <c r="M9">
        <f t="shared" si="0"/>
        <v>0.17773899174100766</v>
      </c>
      <c r="N9">
        <f t="shared" si="0"/>
        <v>0.13965206493936322</v>
      </c>
      <c r="O9">
        <f t="shared" si="0"/>
        <v>0.88869495870503834</v>
      </c>
      <c r="P9">
        <f t="shared" si="0"/>
        <v>0.44434747935251923</v>
      </c>
      <c r="Q9">
        <f t="shared" si="0"/>
        <v>0.21582591854265221</v>
      </c>
      <c r="R9">
        <f t="shared" si="0"/>
        <v>2.2979112503658849</v>
      </c>
      <c r="S9">
        <f t="shared" si="0"/>
        <v>1.5488683566002099</v>
      </c>
      <c r="T9">
        <f t="shared" si="0"/>
        <v>1.472694502996921</v>
      </c>
      <c r="U9">
        <f t="shared" si="0"/>
        <v>1.7519986328756476</v>
      </c>
      <c r="V9">
        <f t="shared" si="2"/>
        <v>12.695642267214835</v>
      </c>
      <c r="W9" s="9">
        <f t="shared" si="3"/>
        <v>508188.91992028791</v>
      </c>
      <c r="X9" s="9">
        <f t="shared" si="4"/>
        <v>14.391910212142548</v>
      </c>
      <c r="Y9" s="9">
        <f t="shared" si="5"/>
        <v>36.438206311781066</v>
      </c>
      <c r="Z9" s="9">
        <f t="shared" si="6"/>
        <v>5.7932091232965233</v>
      </c>
      <c r="AA9" s="9">
        <f t="shared" si="7"/>
        <v>24.262137860206746</v>
      </c>
      <c r="AC9" t="s">
        <v>179</v>
      </c>
      <c r="AD9" s="46">
        <f>AD5*AD8</f>
        <v>73.393407525957628</v>
      </c>
    </row>
    <row r="10" spans="1:30" x14ac:dyDescent="0.25">
      <c r="A10" s="6">
        <f>'Texas pop'!A106</f>
        <v>2022</v>
      </c>
      <c r="B10" s="6">
        <f>'Texas pop'!B106</f>
        <v>30029572</v>
      </c>
      <c r="C10" s="6">
        <f>'Texas pop'!C106</f>
        <v>149000</v>
      </c>
      <c r="D10" s="6">
        <f>'Texas pop'!D106</f>
        <v>149000</v>
      </c>
      <c r="E10" s="6">
        <f>'Texas pop'!E106</f>
        <v>78996</v>
      </c>
      <c r="F10">
        <f t="shared" si="1"/>
        <v>1.1192478222776598</v>
      </c>
      <c r="G10">
        <f t="shared" si="0"/>
        <v>1.0456130971278137</v>
      </c>
      <c r="H10">
        <f t="shared" si="0"/>
        <v>1.5757831182067052</v>
      </c>
      <c r="I10">
        <f t="shared" si="0"/>
        <v>0.10308861520978446</v>
      </c>
      <c r="J10">
        <f t="shared" si="0"/>
        <v>0.10308861520978446</v>
      </c>
      <c r="K10">
        <f t="shared" si="0"/>
        <v>0.2061772304195689</v>
      </c>
      <c r="L10">
        <f t="shared" si="0"/>
        <v>0.2061772304195689</v>
      </c>
      <c r="M10">
        <f t="shared" si="0"/>
        <v>0.2061772304195689</v>
      </c>
      <c r="N10">
        <f t="shared" si="0"/>
        <v>0.16199639532966131</v>
      </c>
      <c r="O10">
        <f t="shared" si="0"/>
        <v>1.0308861520978445</v>
      </c>
      <c r="P10">
        <f t="shared" si="0"/>
        <v>0.51544307604892226</v>
      </c>
      <c r="Q10">
        <f t="shared" si="0"/>
        <v>0.25035806550947659</v>
      </c>
      <c r="R10">
        <f t="shared" si="0"/>
        <v>2.6655770504244267</v>
      </c>
      <c r="S10">
        <f t="shared" si="0"/>
        <v>1.7966872936562435</v>
      </c>
      <c r="T10">
        <f t="shared" si="0"/>
        <v>1.7083256234764281</v>
      </c>
      <c r="U10">
        <f t="shared" si="0"/>
        <v>2.0323184141357511</v>
      </c>
      <c r="V10">
        <f t="shared" si="2"/>
        <v>14.726945029969208</v>
      </c>
      <c r="W10" s="9">
        <f t="shared" si="3"/>
        <v>589499.14710753399</v>
      </c>
      <c r="X10" s="9">
        <f t="shared" si="4"/>
        <v>16.694615846085355</v>
      </c>
      <c r="Y10" s="9">
        <f t="shared" si="5"/>
        <v>42.268319321666027</v>
      </c>
      <c r="Z10" s="9">
        <f t="shared" si="6"/>
        <v>6.7201225830239668</v>
      </c>
      <c r="AA10" s="9">
        <f t="shared" si="7"/>
        <v>28.144079917839822</v>
      </c>
      <c r="AC10" t="s">
        <v>179</v>
      </c>
      <c r="AD10" s="46">
        <f>AC4+AD9</f>
        <v>251.87143803033453</v>
      </c>
    </row>
    <row r="11" spans="1:30" x14ac:dyDescent="0.25">
      <c r="A11" s="6">
        <f>'Texas pop'!A107</f>
        <v>2023</v>
      </c>
      <c r="B11" s="6">
        <f>'Texas pop'!B107</f>
        <v>30303924.285714388</v>
      </c>
      <c r="C11" s="6">
        <f>'Texas pop'!C107</f>
        <v>227996</v>
      </c>
      <c r="D11" s="6">
        <f>'Texas pop'!D107</f>
        <v>227996</v>
      </c>
      <c r="E11" s="6">
        <f>'Texas pop'!E107</f>
        <v>91635.36</v>
      </c>
      <c r="F11">
        <f t="shared" si="1"/>
        <v>1.2983274738420856</v>
      </c>
      <c r="G11">
        <f t="shared" si="0"/>
        <v>1.2129111926682641</v>
      </c>
      <c r="H11">
        <f t="shared" si="0"/>
        <v>1.8279084171197781</v>
      </c>
      <c r="I11">
        <f t="shared" si="0"/>
        <v>0.11958279364334999</v>
      </c>
      <c r="J11">
        <f t="shared" si="0"/>
        <v>0.11958279364334999</v>
      </c>
      <c r="K11">
        <f t="shared" si="0"/>
        <v>0.2391655872866999</v>
      </c>
      <c r="L11">
        <f t="shared" si="0"/>
        <v>0.2391655872866999</v>
      </c>
      <c r="M11">
        <f t="shared" si="0"/>
        <v>0.2391655872866999</v>
      </c>
      <c r="N11">
        <f t="shared" si="0"/>
        <v>0.18791581858240713</v>
      </c>
      <c r="O11">
        <f t="shared" si="0"/>
        <v>1.1958279364334994</v>
      </c>
      <c r="P11">
        <f t="shared" si="0"/>
        <v>0.5979139682167498</v>
      </c>
      <c r="Q11">
        <f t="shared" si="0"/>
        <v>0.29041535599099277</v>
      </c>
      <c r="R11">
        <f t="shared" si="0"/>
        <v>3.0920693784923348</v>
      </c>
      <c r="S11">
        <f t="shared" si="0"/>
        <v>2.0841572606412422</v>
      </c>
      <c r="T11">
        <f t="shared" si="0"/>
        <v>1.9816577232326567</v>
      </c>
      <c r="U11">
        <f t="shared" si="0"/>
        <v>2.3574893603974716</v>
      </c>
      <c r="V11">
        <f t="shared" si="2"/>
        <v>17.083256234764278</v>
      </c>
      <c r="W11" s="9">
        <f t="shared" si="3"/>
        <v>683819.01064473938</v>
      </c>
      <c r="X11" s="9">
        <f t="shared" si="4"/>
        <v>19.365754381459013</v>
      </c>
      <c r="Y11" s="9">
        <f t="shared" si="5"/>
        <v>49.031250413132597</v>
      </c>
      <c r="Z11" s="9">
        <f t="shared" si="6"/>
        <v>7.7953421963078009</v>
      </c>
      <c r="AA11" s="9">
        <f t="shared" si="7"/>
        <v>32.647132704694194</v>
      </c>
      <c r="AC11" t="s">
        <v>182</v>
      </c>
      <c r="AD11">
        <v>186.43</v>
      </c>
    </row>
    <row r="12" spans="1:30" x14ac:dyDescent="0.25">
      <c r="A12" s="6">
        <f>'Texas pop'!A108</f>
        <v>2024</v>
      </c>
      <c r="B12" s="6">
        <f>'Texas pop'!B108</f>
        <v>30642856.928571463</v>
      </c>
      <c r="C12" s="6">
        <f>'Texas pop'!C108</f>
        <v>319631.35999999999</v>
      </c>
      <c r="D12" s="6">
        <f>'Texas pop'!D108</f>
        <v>319631.35999999999</v>
      </c>
      <c r="E12" s="6">
        <f>'Texas pop'!E108</f>
        <v>106297.01759999999</v>
      </c>
      <c r="F12">
        <f t="shared" si="1"/>
        <v>1.5060598696568193</v>
      </c>
      <c r="G12">
        <f t="shared" si="0"/>
        <v>1.4069769834951862</v>
      </c>
      <c r="H12">
        <f t="shared" si="0"/>
        <v>2.1203737638589422</v>
      </c>
      <c r="I12">
        <f t="shared" si="0"/>
        <v>0.13871604062628598</v>
      </c>
      <c r="J12">
        <f t="shared" si="0"/>
        <v>0.13871604062628598</v>
      </c>
      <c r="K12">
        <f t="shared" si="0"/>
        <v>0.2774320812525719</v>
      </c>
      <c r="L12">
        <f t="shared" si="0"/>
        <v>0.2774320812525719</v>
      </c>
      <c r="M12">
        <f t="shared" si="0"/>
        <v>0.2774320812525719</v>
      </c>
      <c r="N12">
        <f t="shared" si="0"/>
        <v>0.21798234955559226</v>
      </c>
      <c r="O12">
        <f t="shared" si="0"/>
        <v>1.3871604062628593</v>
      </c>
      <c r="P12">
        <f t="shared" si="0"/>
        <v>0.69358020313142976</v>
      </c>
      <c r="Q12">
        <f t="shared" si="0"/>
        <v>0.33688181294955161</v>
      </c>
      <c r="R12">
        <f t="shared" si="0"/>
        <v>3.5868004790511083</v>
      </c>
      <c r="S12">
        <f t="shared" si="0"/>
        <v>2.4176224223438409</v>
      </c>
      <c r="T12">
        <f t="shared" si="0"/>
        <v>2.2987229589498814</v>
      </c>
      <c r="U12">
        <f t="shared" si="0"/>
        <v>2.7346876580610666</v>
      </c>
      <c r="V12">
        <f t="shared" si="2"/>
        <v>19.816577232326566</v>
      </c>
      <c r="W12" s="9">
        <f t="shared" si="3"/>
        <v>793230.05234789767</v>
      </c>
      <c r="X12" s="9">
        <f t="shared" si="4"/>
        <v>22.464275082492453</v>
      </c>
      <c r="Y12" s="9">
        <f t="shared" si="5"/>
        <v>56.876250479233804</v>
      </c>
      <c r="Z12" s="9">
        <f t="shared" si="6"/>
        <v>9.0425969477170494</v>
      </c>
      <c r="AA12" s="9">
        <f t="shared" si="7"/>
        <v>37.870673937445261</v>
      </c>
      <c r="AC12" s="46" t="s">
        <v>183</v>
      </c>
      <c r="AD12" s="88">
        <f>AD10/AD11</f>
        <v>1.351024180820332</v>
      </c>
    </row>
    <row r="13" spans="1:30" x14ac:dyDescent="0.25">
      <c r="A13" s="6">
        <f>'Texas pop'!A109</f>
        <v>2025</v>
      </c>
      <c r="B13" s="6">
        <f>'Texas pop'!B109</f>
        <v>30981789.571428657</v>
      </c>
      <c r="C13" s="6">
        <f>'Texas pop'!C109</f>
        <v>425928.37760000001</v>
      </c>
      <c r="D13" s="6">
        <f>'Texas pop'!D109</f>
        <v>425928.37760000001</v>
      </c>
      <c r="E13" s="6">
        <f>'Texas pop'!E109</f>
        <v>123304.54041599999</v>
      </c>
      <c r="F13">
        <f t="shared" si="1"/>
        <v>1.74702944880191</v>
      </c>
      <c r="G13">
        <f t="shared" si="0"/>
        <v>1.6320933008544158</v>
      </c>
      <c r="H13">
        <f t="shared" si="0"/>
        <v>2.4596335660763731</v>
      </c>
      <c r="I13">
        <f t="shared" si="0"/>
        <v>0.16091060712649172</v>
      </c>
      <c r="J13">
        <f t="shared" si="0"/>
        <v>0.16091060712649172</v>
      </c>
      <c r="K13">
        <f t="shared" si="0"/>
        <v>0.32182121425298338</v>
      </c>
      <c r="L13">
        <f t="shared" si="0"/>
        <v>0.32182121425298338</v>
      </c>
      <c r="M13">
        <f t="shared" si="0"/>
        <v>0.32182121425298338</v>
      </c>
      <c r="N13">
        <f t="shared" si="0"/>
        <v>0.25285952548448698</v>
      </c>
      <c r="O13">
        <f t="shared" si="0"/>
        <v>1.6091060712649168</v>
      </c>
      <c r="P13">
        <f t="shared" si="0"/>
        <v>0.8045530356324585</v>
      </c>
      <c r="Q13">
        <f t="shared" si="0"/>
        <v>0.39078290302147989</v>
      </c>
      <c r="R13">
        <f t="shared" si="0"/>
        <v>4.1606885556992852</v>
      </c>
      <c r="S13">
        <f t="shared" si="0"/>
        <v>2.8044420099188554</v>
      </c>
      <c r="T13">
        <f t="shared" si="0"/>
        <v>2.6665186323818624</v>
      </c>
      <c r="U13">
        <f t="shared" si="0"/>
        <v>3.1722376833508372</v>
      </c>
      <c r="V13">
        <f t="shared" si="2"/>
        <v>22.987229589498813</v>
      </c>
      <c r="W13" s="9">
        <f t="shared" si="3"/>
        <v>920146.86072356126</v>
      </c>
      <c r="X13" s="9">
        <f t="shared" si="4"/>
        <v>26.058559095691244</v>
      </c>
      <c r="Y13" s="9">
        <f t="shared" si="5"/>
        <v>65.976450555911228</v>
      </c>
      <c r="Z13" s="9">
        <f t="shared" si="6"/>
        <v>10.489412459351776</v>
      </c>
      <c r="AA13" s="9">
        <f t="shared" si="7"/>
        <v>43.929981767436502</v>
      </c>
    </row>
    <row r="14" spans="1:30" x14ac:dyDescent="0.25">
      <c r="A14" s="6">
        <f>'Texas pop'!A110</f>
        <v>2026</v>
      </c>
      <c r="B14" s="6">
        <f>'Texas pop'!B110</f>
        <v>31320722.214285731</v>
      </c>
      <c r="C14" s="6">
        <f>'Texas pop'!C110</f>
        <v>549232.91801599995</v>
      </c>
      <c r="D14" s="6">
        <f>'Texas pop'!D110</f>
        <v>549232.91801599995</v>
      </c>
      <c r="E14" s="6">
        <f>'Texas pop'!E110</f>
        <v>143033.26688255998</v>
      </c>
      <c r="F14">
        <f t="shared" si="1"/>
        <v>2.0265541606102153</v>
      </c>
      <c r="G14">
        <f t="shared" si="0"/>
        <v>1.8932282289911222</v>
      </c>
      <c r="H14">
        <f t="shared" si="0"/>
        <v>2.853174936648593</v>
      </c>
      <c r="I14">
        <f t="shared" si="0"/>
        <v>0.18665630426673038</v>
      </c>
      <c r="J14">
        <f t="shared" si="0"/>
        <v>0.18665630426673038</v>
      </c>
      <c r="K14">
        <f t="shared" si="0"/>
        <v>0.37331260853346071</v>
      </c>
      <c r="L14">
        <f t="shared" si="0"/>
        <v>0.37331260853346071</v>
      </c>
      <c r="M14">
        <f t="shared" si="0"/>
        <v>0.37331260853346071</v>
      </c>
      <c r="N14">
        <f t="shared" si="0"/>
        <v>0.29331704956200494</v>
      </c>
      <c r="O14">
        <f t="shared" si="0"/>
        <v>1.8665630426673034</v>
      </c>
      <c r="P14">
        <f t="shared" si="0"/>
        <v>0.93328152133365183</v>
      </c>
      <c r="Q14">
        <f t="shared" si="0"/>
        <v>0.45330816750491665</v>
      </c>
      <c r="R14">
        <f t="shared" si="0"/>
        <v>4.8263987246111713</v>
      </c>
      <c r="S14">
        <f t="shared" si="0"/>
        <v>3.2531527315058724</v>
      </c>
      <c r="T14">
        <f t="shared" si="0"/>
        <v>3.0931616135629607</v>
      </c>
      <c r="U14">
        <f t="shared" si="0"/>
        <v>3.6797957126869711</v>
      </c>
      <c r="V14">
        <f t="shared" si="2"/>
        <v>26.66518632381862</v>
      </c>
      <c r="W14" s="9">
        <f t="shared" si="3"/>
        <v>1067370.3584393309</v>
      </c>
      <c r="X14" s="9">
        <f t="shared" si="4"/>
        <v>30.227928551001842</v>
      </c>
      <c r="Y14" s="9">
        <f t="shared" si="5"/>
        <v>76.532682644857005</v>
      </c>
      <c r="Z14" s="9">
        <f t="shared" si="6"/>
        <v>12.16771845284806</v>
      </c>
      <c r="AA14" s="9">
        <f t="shared" si="7"/>
        <v>50.958778850226345</v>
      </c>
    </row>
    <row r="15" spans="1:30" x14ac:dyDescent="0.25">
      <c r="A15" s="6">
        <f>'Texas pop'!A111</f>
        <v>2027</v>
      </c>
      <c r="B15" s="6">
        <f>'Texas pop'!B111</f>
        <v>31659654.857142925</v>
      </c>
      <c r="C15" s="6">
        <f>'Texas pop'!C111</f>
        <v>692266.18489855994</v>
      </c>
      <c r="D15" s="6">
        <f>'Texas pop'!D111</f>
        <v>692266.18489855994</v>
      </c>
      <c r="E15" s="6">
        <f>'Texas pop'!E111</f>
        <v>165918.58958376959</v>
      </c>
      <c r="F15">
        <f t="shared" si="1"/>
        <v>2.35080282630785</v>
      </c>
      <c r="G15">
        <f t="shared" si="0"/>
        <v>2.1961447456297019</v>
      </c>
      <c r="H15">
        <f t="shared" si="0"/>
        <v>3.3096829265123682</v>
      </c>
      <c r="I15">
        <f t="shared" si="0"/>
        <v>0.21652131294940727</v>
      </c>
      <c r="J15">
        <f t="shared" si="0"/>
        <v>0.21652131294940727</v>
      </c>
      <c r="K15">
        <f t="shared" si="0"/>
        <v>0.43304262589881443</v>
      </c>
      <c r="L15">
        <f t="shared" si="0"/>
        <v>0.43304262589881443</v>
      </c>
      <c r="M15">
        <f t="shared" si="0"/>
        <v>0.43304262589881443</v>
      </c>
      <c r="N15">
        <f t="shared" si="0"/>
        <v>0.34024777749192575</v>
      </c>
      <c r="O15">
        <f t="shared" si="0"/>
        <v>2.165213129494072</v>
      </c>
      <c r="P15">
        <f t="shared" si="0"/>
        <v>1.0826065647470362</v>
      </c>
      <c r="Q15">
        <f t="shared" si="0"/>
        <v>0.52583747430570327</v>
      </c>
      <c r="R15">
        <f t="shared" si="0"/>
        <v>5.5986225205489593</v>
      </c>
      <c r="S15">
        <f t="shared" si="0"/>
        <v>3.7736571685468121</v>
      </c>
      <c r="T15">
        <f t="shared" si="0"/>
        <v>3.5880674717330345</v>
      </c>
      <c r="U15">
        <f t="shared" si="0"/>
        <v>4.2685630267168868</v>
      </c>
      <c r="V15">
        <f t="shared" si="2"/>
        <v>30.931616135629607</v>
      </c>
      <c r="W15" s="9">
        <f t="shared" si="3"/>
        <v>1238149.6157896242</v>
      </c>
      <c r="X15" s="9">
        <f t="shared" si="4"/>
        <v>35.064397119162145</v>
      </c>
      <c r="Y15" s="9">
        <f t="shared" si="5"/>
        <v>88.777911868034124</v>
      </c>
      <c r="Z15" s="9">
        <f t="shared" si="6"/>
        <v>14.11455340530375</v>
      </c>
      <c r="AA15" s="9">
        <f t="shared" si="7"/>
        <v>59.112183466262564</v>
      </c>
    </row>
    <row r="16" spans="1:30" x14ac:dyDescent="0.25">
      <c r="A16" s="6">
        <f>'Texas pop'!A112</f>
        <v>2028</v>
      </c>
      <c r="B16" s="6">
        <f>'Texas pop'!B112</f>
        <v>31998587.500000119</v>
      </c>
      <c r="C16" s="6">
        <f>'Texas pop'!C112</f>
        <v>858184.77448232949</v>
      </c>
      <c r="D16" s="6">
        <f>'Texas pop'!D112</f>
        <v>858184.77448232949</v>
      </c>
      <c r="E16" s="6">
        <f>'Texas pop'!E112</f>
        <v>192465.56391717272</v>
      </c>
      <c r="F16">
        <f t="shared" si="1"/>
        <v>2.7269312785171063</v>
      </c>
      <c r="G16">
        <f t="shared" si="0"/>
        <v>2.5475279049304542</v>
      </c>
      <c r="H16">
        <f t="shared" si="0"/>
        <v>3.8392321947543468</v>
      </c>
      <c r="I16">
        <f t="shared" si="0"/>
        <v>0.25116472302131243</v>
      </c>
      <c r="J16">
        <f t="shared" si="0"/>
        <v>0.25116472302131243</v>
      </c>
      <c r="K16">
        <f t="shared" si="0"/>
        <v>0.50232944604262475</v>
      </c>
      <c r="L16">
        <f t="shared" si="0"/>
        <v>0.50232944604262475</v>
      </c>
      <c r="M16">
        <f t="shared" si="0"/>
        <v>0.50232944604262475</v>
      </c>
      <c r="N16">
        <f t="shared" si="0"/>
        <v>0.39468742189063388</v>
      </c>
      <c r="O16">
        <f t="shared" si="0"/>
        <v>2.5116472302131236</v>
      </c>
      <c r="P16">
        <f t="shared" si="0"/>
        <v>1.2558236151065618</v>
      </c>
      <c r="Q16">
        <f t="shared" si="0"/>
        <v>0.60997147019461584</v>
      </c>
      <c r="R16">
        <f t="shared" si="0"/>
        <v>6.4944021238367924</v>
      </c>
      <c r="S16">
        <f t="shared" si="0"/>
        <v>4.3774423155143021</v>
      </c>
      <c r="T16">
        <f t="shared" si="0"/>
        <v>4.1621582672103203</v>
      </c>
      <c r="U16">
        <f t="shared" si="0"/>
        <v>4.9515331109915888</v>
      </c>
      <c r="V16">
        <f t="shared" si="2"/>
        <v>35.880674717330344</v>
      </c>
      <c r="W16" s="9">
        <f t="shared" si="3"/>
        <v>1436253.554315964</v>
      </c>
      <c r="X16" s="9">
        <f t="shared" si="4"/>
        <v>40.674700658228083</v>
      </c>
      <c r="Y16" s="9">
        <f t="shared" si="5"/>
        <v>102.98237776691958</v>
      </c>
      <c r="Z16" s="9">
        <f t="shared" si="6"/>
        <v>16.372881950152351</v>
      </c>
      <c r="AA16" s="9">
        <f t="shared" si="7"/>
        <v>68.570132820864572</v>
      </c>
    </row>
    <row r="17" spans="1:27" x14ac:dyDescent="0.25">
      <c r="A17" s="6">
        <f>'Texas pop'!A113</f>
        <v>2029</v>
      </c>
      <c r="B17" s="6">
        <f>'Texas pop'!B113</f>
        <v>32337520.142857194</v>
      </c>
      <c r="C17" s="6">
        <f>'Texas pop'!C113</f>
        <v>1050650.3383995022</v>
      </c>
      <c r="D17" s="6">
        <f>'Texas pop'!D113</f>
        <v>1050650.3383995022</v>
      </c>
      <c r="E17" s="6">
        <f>'Texas pop'!E113</f>
        <v>223260.05414392037</v>
      </c>
      <c r="F17">
        <f t="shared" si="1"/>
        <v>3.1632402830798436</v>
      </c>
      <c r="G17">
        <f t="shared" si="0"/>
        <v>2.955132369719327</v>
      </c>
      <c r="H17">
        <f t="shared" si="0"/>
        <v>4.4535093459150428</v>
      </c>
      <c r="I17">
        <f t="shared" si="0"/>
        <v>0.29135107870472238</v>
      </c>
      <c r="J17">
        <f t="shared" si="0"/>
        <v>0.29135107870472238</v>
      </c>
      <c r="K17">
        <f t="shared" si="0"/>
        <v>0.58270215740944464</v>
      </c>
      <c r="L17">
        <f t="shared" si="0"/>
        <v>0.58270215740944464</v>
      </c>
      <c r="M17">
        <f t="shared" si="0"/>
        <v>0.58270215740944464</v>
      </c>
      <c r="N17">
        <f t="shared" si="0"/>
        <v>0.45783740939313528</v>
      </c>
      <c r="O17">
        <f t="shared" si="0"/>
        <v>2.9135107870472234</v>
      </c>
      <c r="P17">
        <f t="shared" si="0"/>
        <v>1.4567553935236117</v>
      </c>
      <c r="Q17">
        <f t="shared" si="0"/>
        <v>0.70756690542575451</v>
      </c>
      <c r="R17">
        <f t="shared" si="0"/>
        <v>7.5335064636506788</v>
      </c>
      <c r="S17">
        <f t="shared" si="0"/>
        <v>5.0778330859965903</v>
      </c>
      <c r="T17">
        <f t="shared" si="0"/>
        <v>4.8281035899639715</v>
      </c>
      <c r="U17">
        <f t="shared" si="0"/>
        <v>5.7437784087502424</v>
      </c>
      <c r="V17">
        <f t="shared" si="2"/>
        <v>41.621582672103202</v>
      </c>
      <c r="W17" s="9">
        <f t="shared" si="3"/>
        <v>1666054.1230065182</v>
      </c>
      <c r="X17" s="9">
        <f t="shared" si="4"/>
        <v>47.182652763544574</v>
      </c>
      <c r="Y17" s="9">
        <f t="shared" si="5"/>
        <v>119.45955820962673</v>
      </c>
      <c r="Z17" s="9">
        <f t="shared" si="6"/>
        <v>18.992543062176725</v>
      </c>
      <c r="AA17" s="9">
        <f t="shared" si="7"/>
        <v>79.541354072202907</v>
      </c>
    </row>
    <row r="18" spans="1:27" x14ac:dyDescent="0.25">
      <c r="A18" s="6">
        <f>'Texas pop'!A114</f>
        <v>2030</v>
      </c>
      <c r="B18" s="6">
        <f>'Texas pop'!B114</f>
        <v>32676452.785714388</v>
      </c>
      <c r="C18" s="6">
        <f>'Texas pop'!C114</f>
        <v>1273910.3925434225</v>
      </c>
      <c r="D18" s="6">
        <f>'Texas pop'!D114</f>
        <v>1273910.3925434225</v>
      </c>
      <c r="E18" s="6">
        <f>'Texas pop'!E114</f>
        <v>258981.66280694763</v>
      </c>
      <c r="F18">
        <f t="shared" si="1"/>
        <v>3.6693587283726186</v>
      </c>
      <c r="G18">
        <f t="shared" si="0"/>
        <v>3.4279535488744197</v>
      </c>
      <c r="H18">
        <f t="shared" si="0"/>
        <v>5.1660708412614493</v>
      </c>
      <c r="I18">
        <f t="shared" si="0"/>
        <v>0.33796725129747796</v>
      </c>
      <c r="J18">
        <f t="shared" si="0"/>
        <v>0.33796725129747796</v>
      </c>
      <c r="K18">
        <f t="shared" si="0"/>
        <v>0.6759345025949558</v>
      </c>
      <c r="L18">
        <f t="shared" si="0"/>
        <v>0.6759345025949558</v>
      </c>
      <c r="M18">
        <f t="shared" si="0"/>
        <v>0.6759345025949558</v>
      </c>
      <c r="N18">
        <f t="shared" si="0"/>
        <v>0.53109139489603696</v>
      </c>
      <c r="O18">
        <f t="shared" si="0"/>
        <v>3.3796725129747793</v>
      </c>
      <c r="P18">
        <f t="shared" si="0"/>
        <v>1.6898362564873899</v>
      </c>
      <c r="Q18">
        <f t="shared" si="0"/>
        <v>0.82077761029387519</v>
      </c>
      <c r="R18">
        <f t="shared" si="0"/>
        <v>8.7388674978347893</v>
      </c>
      <c r="S18">
        <f t="shared" si="0"/>
        <v>5.8902863797560459</v>
      </c>
      <c r="T18">
        <f t="shared" si="0"/>
        <v>5.6006001643582071</v>
      </c>
      <c r="U18">
        <f t="shared" si="0"/>
        <v>6.6627829541502814</v>
      </c>
      <c r="V18">
        <f t="shared" si="2"/>
        <v>48.281035899639711</v>
      </c>
      <c r="W18" s="9">
        <f t="shared" si="3"/>
        <v>1932622.7826875611</v>
      </c>
      <c r="X18" s="9">
        <f t="shared" si="4"/>
        <v>54.731877205711704</v>
      </c>
      <c r="Y18" s="9">
        <f t="shared" si="5"/>
        <v>138.57308752316703</v>
      </c>
      <c r="Z18" s="9">
        <f t="shared" si="6"/>
        <v>22.031349952125005</v>
      </c>
      <c r="AA18" s="9">
        <f t="shared" si="7"/>
        <v>92.267970723755369</v>
      </c>
    </row>
    <row r="19" spans="1:27" x14ac:dyDescent="0.25">
      <c r="A19" s="6">
        <f>'Texas pop'!A115</f>
        <v>2031</v>
      </c>
      <c r="B19" s="6">
        <f>'Texas pop'!B115</f>
        <v>33015385.428571463</v>
      </c>
      <c r="C19" s="6">
        <f>'Texas pop'!C115</f>
        <v>1532892.0553503702</v>
      </c>
      <c r="D19" s="6">
        <f>'Texas pop'!D115</f>
        <v>1532892.0553503702</v>
      </c>
      <c r="E19" s="6">
        <f>'Texas pop'!E115</f>
        <v>282290.01245957293</v>
      </c>
      <c r="F19">
        <f t="shared" si="1"/>
        <v>3.9996010139261542</v>
      </c>
      <c r="G19">
        <f t="shared" si="0"/>
        <v>3.7364693682731174</v>
      </c>
      <c r="H19">
        <f t="shared" si="0"/>
        <v>5.6310172169749801</v>
      </c>
      <c r="I19">
        <f t="shared" si="0"/>
        <v>0.36838430391425103</v>
      </c>
      <c r="J19">
        <f t="shared" si="0"/>
        <v>0.36838430391425103</v>
      </c>
      <c r="K19">
        <f t="shared" si="0"/>
        <v>0.73676860782850195</v>
      </c>
      <c r="L19">
        <f t="shared" si="0"/>
        <v>0.73676860782850195</v>
      </c>
      <c r="M19">
        <f t="shared" si="0"/>
        <v>0.73676860782850195</v>
      </c>
      <c r="N19">
        <f t="shared" si="0"/>
        <v>0.57888962043668024</v>
      </c>
      <c r="O19">
        <f t="shared" si="0"/>
        <v>3.6838430391425097</v>
      </c>
      <c r="P19">
        <f t="shared" si="0"/>
        <v>1.8419215195712551</v>
      </c>
      <c r="Q19">
        <f t="shared" si="0"/>
        <v>0.894647595220324</v>
      </c>
      <c r="R19">
        <f t="shared" si="0"/>
        <v>9.5253655726399202</v>
      </c>
      <c r="S19">
        <f t="shared" si="0"/>
        <v>6.4204121539340893</v>
      </c>
      <c r="T19">
        <f t="shared" si="0"/>
        <v>6.1046541791504456</v>
      </c>
      <c r="U19">
        <f t="shared" si="0"/>
        <v>7.2624334200238074</v>
      </c>
      <c r="V19">
        <f t="shared" si="2"/>
        <v>52.626329130607289</v>
      </c>
      <c r="W19" s="9">
        <f t="shared" si="3"/>
        <v>2106558.8331294418</v>
      </c>
      <c r="X19" s="9">
        <f t="shared" si="4"/>
        <v>59.657746154225769</v>
      </c>
      <c r="Y19" s="9">
        <f t="shared" si="5"/>
        <v>151.04466540025206</v>
      </c>
      <c r="Z19" s="9">
        <f t="shared" si="6"/>
        <v>24.014171447816253</v>
      </c>
      <c r="AA19" s="9">
        <f t="shared" si="7"/>
        <v>100.57208808889335</v>
      </c>
    </row>
    <row r="20" spans="1:27" x14ac:dyDescent="0.25">
      <c r="A20" s="6">
        <f>'Texas pop'!A116</f>
        <v>2032</v>
      </c>
      <c r="B20" s="6">
        <f>'Texas pop'!B116</f>
        <v>33354318.071428657</v>
      </c>
      <c r="C20" s="6">
        <f>'Texas pop'!C116</f>
        <v>1815182.0678099431</v>
      </c>
      <c r="D20" s="6">
        <f>'Texas pop'!D116</f>
        <v>1815182.0678099431</v>
      </c>
      <c r="E20" s="6">
        <f>'Texas pop'!E116</f>
        <v>307696.11358093447</v>
      </c>
      <c r="F20">
        <f t="shared" si="1"/>
        <v>4.3595651051795086</v>
      </c>
      <c r="G20">
        <f t="shared" si="1"/>
        <v>4.072751611417698</v>
      </c>
      <c r="H20">
        <f t="shared" si="1"/>
        <v>6.1378087665027277</v>
      </c>
      <c r="I20">
        <f t="shared" si="1"/>
        <v>0.40153889126653364</v>
      </c>
      <c r="J20">
        <f t="shared" si="1"/>
        <v>0.40153889126653364</v>
      </c>
      <c r="K20">
        <f t="shared" si="1"/>
        <v>0.80307778253306705</v>
      </c>
      <c r="L20">
        <f t="shared" si="1"/>
        <v>0.80307778253306705</v>
      </c>
      <c r="M20">
        <f t="shared" si="1"/>
        <v>0.80307778253306705</v>
      </c>
      <c r="N20">
        <f t="shared" si="1"/>
        <v>0.63098968627598151</v>
      </c>
      <c r="O20">
        <f t="shared" si="1"/>
        <v>4.015388912665335</v>
      </c>
      <c r="P20">
        <f t="shared" si="1"/>
        <v>2.007694456332668</v>
      </c>
      <c r="Q20">
        <f t="shared" si="1"/>
        <v>0.97516587879015304</v>
      </c>
      <c r="R20">
        <f t="shared" si="1"/>
        <v>10.382648474177511</v>
      </c>
      <c r="S20">
        <f t="shared" si="1"/>
        <v>6.9982492477881575</v>
      </c>
      <c r="T20">
        <f t="shared" si="1"/>
        <v>6.6540730552739857</v>
      </c>
      <c r="U20">
        <f t="shared" si="1"/>
        <v>7.9160524278259503</v>
      </c>
      <c r="V20">
        <f t="shared" si="2"/>
        <v>57.36269875236195</v>
      </c>
      <c r="W20" s="9">
        <f t="shared" si="3"/>
        <v>2296149.1281110914</v>
      </c>
      <c r="X20" s="9">
        <f t="shared" si="4"/>
        <v>65.026943308106084</v>
      </c>
      <c r="Y20" s="9">
        <f t="shared" si="5"/>
        <v>164.63868528627472</v>
      </c>
      <c r="Z20" s="9">
        <f t="shared" si="6"/>
        <v>26.175446878119718</v>
      </c>
      <c r="AA20" s="9">
        <f t="shared" ref="AA20:AA38" si="8">$E20*AA$2/1000000</f>
        <v>109.62357601689376</v>
      </c>
    </row>
    <row r="21" spans="1:27" x14ac:dyDescent="0.25">
      <c r="A21" s="6">
        <f>'Texas pop'!A117</f>
        <v>2033</v>
      </c>
      <c r="B21" s="6">
        <f>'Texas pop'!B117</f>
        <v>33693250.714285731</v>
      </c>
      <c r="C21" s="6">
        <f>'Texas pop'!C117</f>
        <v>2122878.1813908778</v>
      </c>
      <c r="D21" s="6">
        <f>'Texas pop'!D117</f>
        <v>2122878.1813908778</v>
      </c>
      <c r="E21" s="6">
        <f>'Texas pop'!E117</f>
        <v>335388.76380321855</v>
      </c>
      <c r="F21">
        <f t="shared" si="1"/>
        <v>4.7519259646456629</v>
      </c>
      <c r="G21">
        <f t="shared" si="1"/>
        <v>4.4392992564452909</v>
      </c>
      <c r="H21">
        <f t="shared" si="1"/>
        <v>6.6902115554879726</v>
      </c>
      <c r="I21">
        <f t="shared" si="1"/>
        <v>0.43767739148052159</v>
      </c>
      <c r="J21">
        <f t="shared" si="1"/>
        <v>0.43767739148052159</v>
      </c>
      <c r="K21">
        <f t="shared" si="1"/>
        <v>0.87535478296104308</v>
      </c>
      <c r="L21">
        <f t="shared" si="1"/>
        <v>0.87535478296104308</v>
      </c>
      <c r="M21">
        <f t="shared" si="1"/>
        <v>0.87535478296104308</v>
      </c>
      <c r="N21">
        <f t="shared" si="1"/>
        <v>0.68777875804081978</v>
      </c>
      <c r="O21">
        <f t="shared" si="1"/>
        <v>4.3767739148052147</v>
      </c>
      <c r="P21">
        <f t="shared" si="1"/>
        <v>2.1883869574026078</v>
      </c>
      <c r="Q21">
        <f t="shared" si="1"/>
        <v>1.0629308078812667</v>
      </c>
      <c r="R21">
        <f t="shared" si="1"/>
        <v>11.317086836853488</v>
      </c>
      <c r="S21">
        <f t="shared" si="1"/>
        <v>7.6280916800890912</v>
      </c>
      <c r="T21">
        <f t="shared" si="1"/>
        <v>7.2529396302486431</v>
      </c>
      <c r="U21">
        <f t="shared" si="1"/>
        <v>8.6284971463302842</v>
      </c>
      <c r="V21">
        <f t="shared" si="2"/>
        <v>62.525341640074508</v>
      </c>
      <c r="W21" s="9">
        <f t="shared" si="3"/>
        <v>2502802.5496410895</v>
      </c>
      <c r="X21" s="9">
        <f t="shared" si="4"/>
        <v>70.879368205835632</v>
      </c>
      <c r="Y21" s="9">
        <f t="shared" si="5"/>
        <v>179.45616696203945</v>
      </c>
      <c r="Z21" s="9">
        <f t="shared" si="6"/>
        <v>28.531237097150491</v>
      </c>
      <c r="AA21" s="9">
        <f t="shared" si="8"/>
        <v>119.48969785841419</v>
      </c>
    </row>
    <row r="22" spans="1:27" x14ac:dyDescent="0.25">
      <c r="A22" s="6">
        <f>'Texas pop'!A118</f>
        <v>2034</v>
      </c>
      <c r="B22" s="6">
        <f>'Texas pop'!B118</f>
        <v>34032183.357142925</v>
      </c>
      <c r="C22" s="6">
        <f>'Texas pop'!C118</f>
        <v>2458266.9451940963</v>
      </c>
      <c r="D22" s="6">
        <f>'Texas pop'!D118</f>
        <v>2458266.9451940963</v>
      </c>
      <c r="E22" s="6">
        <f>'Texas pop'!E118</f>
        <v>365573.75254550821</v>
      </c>
      <c r="F22">
        <f t="shared" si="1"/>
        <v>5.1795993014637727</v>
      </c>
      <c r="G22">
        <f t="shared" si="1"/>
        <v>4.8388361895253658</v>
      </c>
      <c r="H22">
        <f t="shared" si="1"/>
        <v>7.2923305954818902</v>
      </c>
      <c r="I22">
        <f t="shared" si="1"/>
        <v>0.47706835671376857</v>
      </c>
      <c r="J22">
        <f t="shared" si="1"/>
        <v>0.47706835671376857</v>
      </c>
      <c r="K22">
        <f t="shared" si="1"/>
        <v>0.95413671342753692</v>
      </c>
      <c r="L22">
        <f t="shared" si="1"/>
        <v>0.95413671342753692</v>
      </c>
      <c r="M22">
        <f t="shared" si="1"/>
        <v>0.95413671342753692</v>
      </c>
      <c r="N22">
        <f t="shared" si="1"/>
        <v>0.74967884626449355</v>
      </c>
      <c r="O22">
        <f t="shared" si="1"/>
        <v>4.7706835671376844</v>
      </c>
      <c r="P22">
        <f t="shared" si="1"/>
        <v>2.3853417835688422</v>
      </c>
      <c r="Q22">
        <f t="shared" si="1"/>
        <v>1.1585945805905808</v>
      </c>
      <c r="R22">
        <f t="shared" si="1"/>
        <v>12.335624652170301</v>
      </c>
      <c r="S22">
        <f t="shared" si="1"/>
        <v>8.3146199312971092</v>
      </c>
      <c r="T22">
        <f t="shared" si="1"/>
        <v>7.9057041969710218</v>
      </c>
      <c r="U22">
        <f t="shared" si="1"/>
        <v>9.4050618895000113</v>
      </c>
      <c r="V22">
        <f t="shared" si="2"/>
        <v>68.15262238768122</v>
      </c>
      <c r="W22" s="9">
        <f t="shared" si="3"/>
        <v>2728054.7791087874</v>
      </c>
      <c r="X22" s="9">
        <f t="shared" si="4"/>
        <v>77.258511344360826</v>
      </c>
      <c r="Y22" s="9">
        <f t="shared" si="5"/>
        <v>195.607221988623</v>
      </c>
      <c r="Z22" s="9">
        <f t="shared" si="6"/>
        <v>31.099048435894034</v>
      </c>
      <c r="AA22" s="9">
        <f t="shared" si="8"/>
        <v>130.24377066567146</v>
      </c>
    </row>
    <row r="23" spans="1:27" x14ac:dyDescent="0.25">
      <c r="A23" s="6">
        <f>'Texas pop'!A119</f>
        <v>2035</v>
      </c>
      <c r="B23" s="6">
        <f>'Texas pop'!B119</f>
        <v>34371116.000000119</v>
      </c>
      <c r="C23" s="6">
        <f>'Texas pop'!C119</f>
        <v>2823840.6977396044</v>
      </c>
      <c r="D23" s="6">
        <f>'Texas pop'!D119</f>
        <v>2823840.6977396044</v>
      </c>
      <c r="E23" s="6">
        <f>'Texas pop'!E119</f>
        <v>398475.39027460397</v>
      </c>
      <c r="F23">
        <f t="shared" si="1"/>
        <v>5.6457632385955128</v>
      </c>
      <c r="G23">
        <f t="shared" si="1"/>
        <v>5.2743314465826492</v>
      </c>
      <c r="H23">
        <f t="shared" si="1"/>
        <v>7.9486403490752604</v>
      </c>
      <c r="I23">
        <f t="shared" si="1"/>
        <v>0.52000450881800775</v>
      </c>
      <c r="J23">
        <f t="shared" si="1"/>
        <v>0.52000450881800775</v>
      </c>
      <c r="K23">
        <f t="shared" si="1"/>
        <v>1.0400090176360153</v>
      </c>
      <c r="L23">
        <f t="shared" si="1"/>
        <v>1.0400090176360153</v>
      </c>
      <c r="M23">
        <f t="shared" si="1"/>
        <v>1.0400090176360153</v>
      </c>
      <c r="N23">
        <f t="shared" si="1"/>
        <v>0.81714994242829797</v>
      </c>
      <c r="O23">
        <f t="shared" si="1"/>
        <v>5.2000450881800759</v>
      </c>
      <c r="P23">
        <f t="shared" si="1"/>
        <v>2.6000225440900384</v>
      </c>
      <c r="Q23">
        <f t="shared" si="1"/>
        <v>1.262868092843733</v>
      </c>
      <c r="R23">
        <f t="shared" si="1"/>
        <v>13.445830870865628</v>
      </c>
      <c r="S23">
        <f t="shared" si="1"/>
        <v>9.0629357251138476</v>
      </c>
      <c r="T23">
        <f t="shared" si="1"/>
        <v>8.6172175746984152</v>
      </c>
      <c r="U23">
        <f t="shared" si="1"/>
        <v>10.251517459555011</v>
      </c>
      <c r="V23">
        <f t="shared" si="2"/>
        <v>74.286358402572517</v>
      </c>
      <c r="W23" s="9">
        <f t="shared" si="3"/>
        <v>2973579.7092285785</v>
      </c>
      <c r="X23" s="9">
        <f t="shared" si="4"/>
        <v>84.211777365353299</v>
      </c>
      <c r="Y23" s="9">
        <f t="shared" si="5"/>
        <v>213.21187196759905</v>
      </c>
      <c r="Z23" s="9">
        <f t="shared" si="6"/>
        <v>33.897962795124499</v>
      </c>
      <c r="AA23" s="9">
        <f t="shared" si="8"/>
        <v>141.9657100255819</v>
      </c>
    </row>
    <row r="24" spans="1:27" x14ac:dyDescent="0.25">
      <c r="A24" s="6">
        <f>'Texas pop'!A120</f>
        <v>2036</v>
      </c>
      <c r="B24" s="6">
        <f>'Texas pop'!B120</f>
        <v>34710048.642857194</v>
      </c>
      <c r="C24" s="6">
        <f>'Texas pop'!C120</f>
        <v>3222316.0880142082</v>
      </c>
      <c r="D24" s="6">
        <f>'Texas pop'!D120</f>
        <v>3210416.0880142082</v>
      </c>
      <c r="E24" s="6">
        <f>'Texas pop'!E120</f>
        <v>434338.17539931834</v>
      </c>
      <c r="F24">
        <f t="shared" si="1"/>
        <v>6.1538819300691081</v>
      </c>
      <c r="G24">
        <f t="shared" si="1"/>
        <v>5.7490212767750881</v>
      </c>
      <c r="H24">
        <f t="shared" si="1"/>
        <v>8.6640179804920354</v>
      </c>
      <c r="I24">
        <f t="shared" si="1"/>
        <v>0.56680491461162841</v>
      </c>
      <c r="J24">
        <f t="shared" si="1"/>
        <v>0.56680491461162841</v>
      </c>
      <c r="K24">
        <f t="shared" si="1"/>
        <v>1.1336098292232568</v>
      </c>
      <c r="L24">
        <f t="shared" si="1"/>
        <v>1.1336098292232568</v>
      </c>
      <c r="M24">
        <f t="shared" si="1"/>
        <v>1.1336098292232568</v>
      </c>
      <c r="N24">
        <f t="shared" si="1"/>
        <v>0.89069343724684491</v>
      </c>
      <c r="O24">
        <f t="shared" si="1"/>
        <v>5.6680491461162825</v>
      </c>
      <c r="P24">
        <f t="shared" si="1"/>
        <v>2.8340245730581417</v>
      </c>
      <c r="Q24">
        <f t="shared" si="1"/>
        <v>1.3765262211996692</v>
      </c>
      <c r="R24">
        <f t="shared" si="1"/>
        <v>14.655955649243536</v>
      </c>
      <c r="S24">
        <f t="shared" si="1"/>
        <v>9.8785999403740945</v>
      </c>
      <c r="T24">
        <f t="shared" si="1"/>
        <v>9.3927671564212716</v>
      </c>
      <c r="U24">
        <f t="shared" si="1"/>
        <v>11.174154030914963</v>
      </c>
      <c r="V24">
        <f t="shared" si="2"/>
        <v>80.972130658804062</v>
      </c>
      <c r="W24" s="9">
        <f t="shared" si="3"/>
        <v>3241201.8830591505</v>
      </c>
      <c r="X24" s="9">
        <f t="shared" si="4"/>
        <v>91.790837328235099</v>
      </c>
      <c r="Y24" s="9">
        <f t="shared" si="5"/>
        <v>232.40094044468299</v>
      </c>
      <c r="Z24" s="9">
        <f t="shared" si="6"/>
        <v>36.948779446685698</v>
      </c>
      <c r="AA24" s="9">
        <f t="shared" si="8"/>
        <v>154.74262392788427</v>
      </c>
    </row>
    <row r="25" spans="1:27" x14ac:dyDescent="0.25">
      <c r="A25" s="6">
        <f>'Texas pop'!A121</f>
        <v>2037</v>
      </c>
      <c r="B25" s="6">
        <f>'Texas pop'!B121</f>
        <v>35048981.285714388</v>
      </c>
      <c r="C25" s="6">
        <f>'Texas pop'!C121</f>
        <v>3656654.2634135266</v>
      </c>
      <c r="D25" s="6">
        <f>'Texas pop'!D121</f>
        <v>3640554.2634135266</v>
      </c>
      <c r="E25" s="6">
        <f>'Texas pop'!E121</f>
        <v>473428.61118525697</v>
      </c>
      <c r="F25">
        <f t="shared" si="1"/>
        <v>6.7077313037753283</v>
      </c>
      <c r="G25">
        <f t="shared" si="1"/>
        <v>6.2664331916848459</v>
      </c>
      <c r="H25">
        <f t="shared" si="1"/>
        <v>9.4437795987363184</v>
      </c>
      <c r="I25">
        <f t="shared" si="1"/>
        <v>0.61781735692667494</v>
      </c>
      <c r="J25">
        <f t="shared" si="1"/>
        <v>0.61781735692667494</v>
      </c>
      <c r="K25">
        <f t="shared" si="1"/>
        <v>1.2356347138533497</v>
      </c>
      <c r="L25">
        <f t="shared" si="1"/>
        <v>1.2356347138533497</v>
      </c>
      <c r="M25">
        <f t="shared" si="1"/>
        <v>1.2356347138533497</v>
      </c>
      <c r="N25">
        <f t="shared" si="1"/>
        <v>0.97085584659906077</v>
      </c>
      <c r="O25">
        <f t="shared" si="1"/>
        <v>6.1781735692667485</v>
      </c>
      <c r="P25">
        <f t="shared" si="1"/>
        <v>3.0890867846333747</v>
      </c>
      <c r="Q25">
        <f t="shared" si="1"/>
        <v>1.5004135811076393</v>
      </c>
      <c r="R25">
        <f t="shared" si="1"/>
        <v>15.974991657675453</v>
      </c>
      <c r="S25">
        <f t="shared" si="1"/>
        <v>10.767673935007764</v>
      </c>
      <c r="T25">
        <f t="shared" si="1"/>
        <v>10.238116200499187</v>
      </c>
      <c r="U25">
        <f t="shared" si="1"/>
        <v>12.179827893697308</v>
      </c>
      <c r="V25">
        <f t="shared" si="2"/>
        <v>88.259622418096441</v>
      </c>
      <c r="W25" s="9">
        <f t="shared" si="3"/>
        <v>3532910.0525344741</v>
      </c>
      <c r="X25" s="9">
        <f t="shared" si="4"/>
        <v>100.05201268777627</v>
      </c>
      <c r="Y25" s="9">
        <f t="shared" si="5"/>
        <v>253.31702508470443</v>
      </c>
      <c r="Z25" s="9">
        <f t="shared" si="6"/>
        <v>40.274169596887411</v>
      </c>
      <c r="AA25" s="9">
        <f t="shared" si="8"/>
        <v>168.66946008139385</v>
      </c>
    </row>
    <row r="26" spans="1:27" x14ac:dyDescent="0.25">
      <c r="A26" s="6">
        <f>'Texas pop'!A122</f>
        <v>2038</v>
      </c>
      <c r="B26" s="6">
        <f>'Texas pop'!B122</f>
        <v>35387913.928571463</v>
      </c>
      <c r="C26" s="6">
        <f>'Texas pop'!C122</f>
        <v>4130082.8745987834</v>
      </c>
      <c r="D26" s="6">
        <f>'Texas pop'!D122</f>
        <v>4100082.8745987834</v>
      </c>
      <c r="E26" s="6">
        <f>'Texas pop'!E122</f>
        <v>516037.18619193009</v>
      </c>
      <c r="F26">
        <f t="shared" si="1"/>
        <v>7.3114271211151083</v>
      </c>
      <c r="G26">
        <f t="shared" si="1"/>
        <v>6.8304121789364816</v>
      </c>
      <c r="H26">
        <f t="shared" si="1"/>
        <v>10.293719762622585</v>
      </c>
      <c r="I26">
        <f t="shared" si="1"/>
        <v>0.67342091905007573</v>
      </c>
      <c r="J26">
        <f t="shared" si="1"/>
        <v>0.67342091905007573</v>
      </c>
      <c r="K26">
        <f t="shared" si="1"/>
        <v>1.3468418381001512</v>
      </c>
      <c r="L26">
        <f t="shared" si="1"/>
        <v>1.3468418381001512</v>
      </c>
      <c r="M26">
        <f t="shared" si="1"/>
        <v>1.3468418381001512</v>
      </c>
      <c r="N26">
        <f t="shared" si="1"/>
        <v>1.0582328727929762</v>
      </c>
      <c r="O26">
        <f t="shared" si="1"/>
        <v>6.7342091905007555</v>
      </c>
      <c r="P26">
        <f t="shared" si="1"/>
        <v>3.3671045952503782</v>
      </c>
      <c r="Q26">
        <f t="shared" si="1"/>
        <v>1.6354508034073267</v>
      </c>
      <c r="R26">
        <f t="shared" si="1"/>
        <v>17.41274090686624</v>
      </c>
      <c r="S26">
        <f t="shared" si="1"/>
        <v>11.736764589158462</v>
      </c>
      <c r="T26">
        <f t="shared" si="1"/>
        <v>11.159546658544112</v>
      </c>
      <c r="U26">
        <f t="shared" si="1"/>
        <v>13.276012404130066</v>
      </c>
      <c r="V26">
        <f t="shared" si="2"/>
        <v>96.202988435725103</v>
      </c>
      <c r="W26" s="9">
        <f t="shared" si="3"/>
        <v>3850871.9572625766</v>
      </c>
      <c r="X26" s="9">
        <f t="shared" si="4"/>
        <v>109.05669382967612</v>
      </c>
      <c r="Y26" s="9">
        <f t="shared" si="5"/>
        <v>276.1155573423278</v>
      </c>
      <c r="Z26" s="9">
        <f t="shared" si="6"/>
        <v>43.898844860607277</v>
      </c>
      <c r="AA26" s="9">
        <f t="shared" si="8"/>
        <v>183.84971148871929</v>
      </c>
    </row>
    <row r="27" spans="1:27" x14ac:dyDescent="0.25">
      <c r="A27" s="6">
        <f>'Texas pop'!A123</f>
        <v>2039</v>
      </c>
      <c r="B27" s="6">
        <f>'Texas pop'!B123</f>
        <v>35726846.571428657</v>
      </c>
      <c r="C27" s="6">
        <f>'Texas pop'!C123</f>
        <v>4646120.0607907139</v>
      </c>
      <c r="D27" s="6">
        <f>'Texas pop'!D123</f>
        <v>4602320.0607907139</v>
      </c>
      <c r="E27" s="6">
        <f>'Texas pop'!E123</f>
        <v>562480.53294920374</v>
      </c>
      <c r="F27">
        <f t="shared" si="1"/>
        <v>7.9694555620154661</v>
      </c>
      <c r="G27">
        <f t="shared" si="1"/>
        <v>7.4451492750407642</v>
      </c>
      <c r="H27">
        <f t="shared" si="1"/>
        <v>11.220154541258616</v>
      </c>
      <c r="I27">
        <f t="shared" si="1"/>
        <v>0.73402880176458252</v>
      </c>
      <c r="J27">
        <f t="shared" si="1"/>
        <v>0.73402880176458252</v>
      </c>
      <c r="K27">
        <f t="shared" si="1"/>
        <v>1.4680576035291648</v>
      </c>
      <c r="L27">
        <f t="shared" si="1"/>
        <v>1.4680576035291648</v>
      </c>
      <c r="M27">
        <f t="shared" si="1"/>
        <v>1.4680576035291648</v>
      </c>
      <c r="N27">
        <f t="shared" si="1"/>
        <v>1.153473831344344</v>
      </c>
      <c r="O27">
        <f t="shared" si="1"/>
        <v>7.3402880176458227</v>
      </c>
      <c r="P27">
        <f t="shared" si="1"/>
        <v>3.6701440088229118</v>
      </c>
      <c r="Q27">
        <f t="shared" si="1"/>
        <v>1.7826413757139861</v>
      </c>
      <c r="R27">
        <f t="shared" si="1"/>
        <v>18.979887588484203</v>
      </c>
      <c r="S27">
        <f t="shared" si="1"/>
        <v>12.793073402182722</v>
      </c>
      <c r="T27">
        <f t="shared" si="1"/>
        <v>12.163905857813081</v>
      </c>
      <c r="U27">
        <f t="shared" si="1"/>
        <v>14.470853520501771</v>
      </c>
      <c r="V27">
        <f t="shared" si="2"/>
        <v>104.86125739494035</v>
      </c>
      <c r="W27" s="9">
        <f t="shared" si="3"/>
        <v>4197450.4334162083</v>
      </c>
      <c r="X27" s="9">
        <f t="shared" si="4"/>
        <v>118.87179627434696</v>
      </c>
      <c r="Y27" s="9">
        <f t="shared" si="5"/>
        <v>300.9659575031373</v>
      </c>
      <c r="Z27" s="9">
        <f t="shared" si="6"/>
        <v>47.849740898061931</v>
      </c>
      <c r="AA27" s="9">
        <f t="shared" si="8"/>
        <v>200.396185522704</v>
      </c>
    </row>
    <row r="28" spans="1:27" x14ac:dyDescent="0.25">
      <c r="A28" s="6">
        <f>'Texas pop'!A124</f>
        <v>2040</v>
      </c>
      <c r="B28" s="6">
        <f>'Texas pop'!B124</f>
        <v>36065779.214285731</v>
      </c>
      <c r="C28" s="6">
        <f>'Texas pop'!C124</f>
        <v>5208600.5937399175</v>
      </c>
      <c r="D28" s="6">
        <f>'Texas pop'!D124</f>
        <v>5136100.5937399175</v>
      </c>
      <c r="E28" s="6">
        <f>'Texas pop'!E124</f>
        <v>613103.78091463214</v>
      </c>
      <c r="F28">
        <f t="shared" si="1"/>
        <v>8.6867065625968589</v>
      </c>
      <c r="G28">
        <f t="shared" si="1"/>
        <v>8.1152127097944344</v>
      </c>
      <c r="H28">
        <f t="shared" si="1"/>
        <v>12.229968449971894</v>
      </c>
      <c r="I28">
        <f t="shared" si="1"/>
        <v>0.80009139392339501</v>
      </c>
      <c r="J28">
        <f t="shared" si="1"/>
        <v>0.80009139392339501</v>
      </c>
      <c r="K28">
        <f t="shared" si="1"/>
        <v>1.6001827878467898</v>
      </c>
      <c r="L28">
        <f t="shared" si="1"/>
        <v>1.6001827878467898</v>
      </c>
      <c r="M28">
        <f t="shared" si="1"/>
        <v>1.6001827878467898</v>
      </c>
      <c r="N28">
        <f t="shared" si="1"/>
        <v>1.2572864761653351</v>
      </c>
      <c r="O28">
        <f t="shared" si="1"/>
        <v>8.0009139392339481</v>
      </c>
      <c r="P28">
        <f t="shared" si="1"/>
        <v>4.0004569696169741</v>
      </c>
      <c r="Q28">
        <f t="shared" si="1"/>
        <v>1.943079099528245</v>
      </c>
      <c r="R28">
        <f t="shared" si="1"/>
        <v>20.688077471447784</v>
      </c>
      <c r="S28">
        <f t="shared" si="1"/>
        <v>13.944450008379169</v>
      </c>
      <c r="T28">
        <f t="shared" si="1"/>
        <v>13.258657385016258</v>
      </c>
      <c r="U28">
        <f t="shared" si="1"/>
        <v>15.773230337346932</v>
      </c>
      <c r="V28">
        <f t="shared" si="2"/>
        <v>114.298770560485</v>
      </c>
      <c r="W28" s="9">
        <f t="shared" si="3"/>
        <v>4575220.9724236671</v>
      </c>
      <c r="X28" s="9">
        <f t="shared" si="4"/>
        <v>129.57025793903821</v>
      </c>
      <c r="Y28" s="9">
        <f t="shared" si="5"/>
        <v>328.05289367841971</v>
      </c>
      <c r="Z28" s="9">
        <f t="shared" si="6"/>
        <v>52.156217578887507</v>
      </c>
      <c r="AA28" s="9">
        <f t="shared" si="8"/>
        <v>218.43184221974738</v>
      </c>
    </row>
    <row r="29" spans="1:27" x14ac:dyDescent="0.25">
      <c r="A29" s="6">
        <f>'Texas pop'!A125</f>
        <v>2041</v>
      </c>
      <c r="B29" s="6">
        <f>'Texas pop'!B125</f>
        <v>36404711.857142925</v>
      </c>
      <c r="C29" s="6">
        <f>'Texas pop'!C125</f>
        <v>5821704.3746545501</v>
      </c>
      <c r="D29" s="6">
        <f>'Texas pop'!D125</f>
        <v>5681104.3746545501</v>
      </c>
      <c r="E29" s="6">
        <f>'Texas pop'!E125</f>
        <v>637627.93215121748</v>
      </c>
      <c r="F29">
        <f t="shared" si="1"/>
        <v>9.0341748251007346</v>
      </c>
      <c r="G29">
        <f t="shared" si="1"/>
        <v>8.4398212181862124</v>
      </c>
      <c r="H29">
        <f t="shared" si="1"/>
        <v>12.71916718797077</v>
      </c>
      <c r="I29">
        <f t="shared" si="1"/>
        <v>0.83209504968033077</v>
      </c>
      <c r="J29">
        <f t="shared" si="1"/>
        <v>0.83209504968033077</v>
      </c>
      <c r="K29">
        <f t="shared" si="1"/>
        <v>1.6641900993606613</v>
      </c>
      <c r="L29">
        <f t="shared" si="1"/>
        <v>1.6641900993606613</v>
      </c>
      <c r="M29">
        <f t="shared" si="1"/>
        <v>1.6641900993606613</v>
      </c>
      <c r="N29">
        <f t="shared" si="1"/>
        <v>1.3075779352119485</v>
      </c>
      <c r="O29">
        <f t="shared" si="1"/>
        <v>8.3209504968033059</v>
      </c>
      <c r="P29">
        <f t="shared" si="1"/>
        <v>4.1604752484016538</v>
      </c>
      <c r="Q29">
        <f t="shared" si="1"/>
        <v>2.020802263509375</v>
      </c>
      <c r="R29">
        <f t="shared" si="1"/>
        <v>21.515600570305697</v>
      </c>
      <c r="S29">
        <f t="shared" si="1"/>
        <v>14.502228008714336</v>
      </c>
      <c r="T29">
        <f t="shared" si="1"/>
        <v>13.78900368041691</v>
      </c>
      <c r="U29">
        <f t="shared" si="1"/>
        <v>16.404159550840813</v>
      </c>
      <c r="V29">
        <f t="shared" si="2"/>
        <v>118.87072138290439</v>
      </c>
      <c r="W29" s="9">
        <f t="shared" si="3"/>
        <v>4758229.8113206141</v>
      </c>
      <c r="X29" s="9">
        <f t="shared" si="4"/>
        <v>134.75306825659976</v>
      </c>
      <c r="Y29" s="9">
        <f t="shared" si="5"/>
        <v>341.17500942555648</v>
      </c>
      <c r="Z29" s="9">
        <f t="shared" si="6"/>
        <v>54.242466282043019</v>
      </c>
      <c r="AA29" s="9">
        <f t="shared" si="8"/>
        <v>227.16911590853729</v>
      </c>
    </row>
    <row r="30" spans="1:27" x14ac:dyDescent="0.25">
      <c r="A30" s="6">
        <f>'Texas pop'!A126</f>
        <v>2042</v>
      </c>
      <c r="B30" s="6">
        <f>'Texas pop'!B126</f>
        <v>36743644.500000119</v>
      </c>
      <c r="C30" s="6">
        <f>'Texas pop'!C126</f>
        <v>6459332.3068057671</v>
      </c>
      <c r="D30" s="6">
        <f>'Texas pop'!D126</f>
        <v>6239736.3068057671</v>
      </c>
      <c r="E30" s="6">
        <f>'Texas pop'!E126</f>
        <v>663133.04943726619</v>
      </c>
      <c r="F30">
        <f t="shared" si="1"/>
        <v>9.3955418181047641</v>
      </c>
      <c r="G30">
        <f t="shared" si="1"/>
        <v>8.7774140669136607</v>
      </c>
      <c r="H30">
        <f t="shared" si="1"/>
        <v>13.227933875489601</v>
      </c>
      <c r="I30">
        <f t="shared" si="1"/>
        <v>0.86537885166754414</v>
      </c>
      <c r="J30">
        <f t="shared" si="1"/>
        <v>0.86537885166754414</v>
      </c>
      <c r="K30">
        <f t="shared" si="1"/>
        <v>1.730757703335088</v>
      </c>
      <c r="L30">
        <f t="shared" si="1"/>
        <v>1.730757703335088</v>
      </c>
      <c r="M30">
        <f t="shared" si="1"/>
        <v>1.730757703335088</v>
      </c>
      <c r="N30">
        <f t="shared" si="1"/>
        <v>1.3598810526204266</v>
      </c>
      <c r="O30">
        <f t="shared" si="1"/>
        <v>8.6537885166754389</v>
      </c>
      <c r="P30">
        <f t="shared" si="1"/>
        <v>4.3268942583377203</v>
      </c>
      <c r="Q30">
        <f t="shared" si="1"/>
        <v>2.1016343540497502</v>
      </c>
      <c r="R30">
        <f t="shared" si="1"/>
        <v>22.376224593117925</v>
      </c>
      <c r="S30">
        <f t="shared" si="1"/>
        <v>15.082317129062911</v>
      </c>
      <c r="T30">
        <f t="shared" si="1"/>
        <v>14.340563827633588</v>
      </c>
      <c r="U30">
        <f t="shared" si="1"/>
        <v>17.060325932874445</v>
      </c>
      <c r="V30">
        <f t="shared" si="2"/>
        <v>123.62555023822058</v>
      </c>
      <c r="W30" s="9">
        <f t="shared" si="3"/>
        <v>4948559.0037734387</v>
      </c>
      <c r="X30" s="9">
        <f t="shared" si="4"/>
        <v>140.14319098686374</v>
      </c>
      <c r="Y30" s="9">
        <f t="shared" si="5"/>
        <v>354.8220098025788</v>
      </c>
      <c r="Z30" s="9">
        <f t="shared" si="6"/>
        <v>56.412164933324739</v>
      </c>
      <c r="AA30" s="9">
        <f t="shared" si="8"/>
        <v>236.25588054487881</v>
      </c>
    </row>
    <row r="31" spans="1:27" x14ac:dyDescent="0.25">
      <c r="A31" s="6">
        <f>'Texas pop'!A127</f>
        <v>2043</v>
      </c>
      <c r="B31" s="6">
        <f>'Texas pop'!B127</f>
        <v>37082577.142857194</v>
      </c>
      <c r="C31" s="6">
        <f>'Texas pop'!C127</f>
        <v>7122465.356243033</v>
      </c>
      <c r="D31" s="6">
        <f>'Texas pop'!D127</f>
        <v>6811233.9962430326</v>
      </c>
      <c r="E31" s="6">
        <f>'Texas pop'!E127</f>
        <v>689658.37141475675</v>
      </c>
      <c r="F31">
        <f t="shared" si="1"/>
        <v>9.7713634908289535</v>
      </c>
      <c r="G31">
        <f t="shared" si="1"/>
        <v>9.1285106295902061</v>
      </c>
      <c r="H31">
        <f t="shared" si="1"/>
        <v>13.757051230509184</v>
      </c>
      <c r="I31">
        <f t="shared" si="1"/>
        <v>0.89999400573424571</v>
      </c>
      <c r="J31">
        <f t="shared" si="1"/>
        <v>0.89999400573424571</v>
      </c>
      <c r="K31">
        <f t="shared" si="1"/>
        <v>1.7999880114684912</v>
      </c>
      <c r="L31">
        <f t="shared" si="1"/>
        <v>1.7999880114684912</v>
      </c>
      <c r="M31">
        <f t="shared" si="1"/>
        <v>1.7999880114684912</v>
      </c>
      <c r="N31">
        <f t="shared" si="1"/>
        <v>1.4142762947252434</v>
      </c>
      <c r="O31">
        <f t="shared" si="1"/>
        <v>8.9999400573424548</v>
      </c>
      <c r="P31">
        <f t="shared" si="1"/>
        <v>4.4999700286712283</v>
      </c>
      <c r="Q31">
        <f t="shared" si="1"/>
        <v>2.1856997282117394</v>
      </c>
      <c r="R31">
        <f t="shared" si="1"/>
        <v>23.271273576842638</v>
      </c>
      <c r="S31">
        <f t="shared" si="1"/>
        <v>15.685609814225426</v>
      </c>
      <c r="T31">
        <f t="shared" si="1"/>
        <v>14.914186380738929</v>
      </c>
      <c r="U31">
        <f t="shared" si="1"/>
        <v>17.742738970189418</v>
      </c>
      <c r="V31">
        <f t="shared" si="2"/>
        <v>128.5705722477494</v>
      </c>
      <c r="W31" s="9">
        <f t="shared" si="3"/>
        <v>5146501.3639243757</v>
      </c>
      <c r="X31" s="9">
        <f t="shared" si="4"/>
        <v>145.74891862633828</v>
      </c>
      <c r="Y31" s="9">
        <f t="shared" si="5"/>
        <v>369.01489019468193</v>
      </c>
      <c r="Z31" s="9">
        <f t="shared" si="6"/>
        <v>58.668651530657719</v>
      </c>
      <c r="AA31" s="9">
        <f t="shared" si="8"/>
        <v>245.70611576667392</v>
      </c>
    </row>
    <row r="32" spans="1:27" x14ac:dyDescent="0.25">
      <c r="A32" s="6">
        <f>'Texas pop'!A128</f>
        <v>2044</v>
      </c>
      <c r="B32" s="6">
        <f>'Texas pop'!B128</f>
        <v>37421509.785714388</v>
      </c>
      <c r="C32" s="6">
        <f>'Texas pop'!C128</f>
        <v>7812123.7276577894</v>
      </c>
      <c r="D32" s="6">
        <f>'Texas pop'!D128</f>
        <v>7394595.3500577891</v>
      </c>
      <c r="E32" s="6">
        <f>'Texas pop'!E128</f>
        <v>717244.70627134701</v>
      </c>
      <c r="F32">
        <f t="shared" si="1"/>
        <v>10.162218030462112</v>
      </c>
      <c r="G32">
        <f t="shared" si="1"/>
        <v>9.4936510547738138</v>
      </c>
      <c r="H32">
        <f t="shared" si="1"/>
        <v>14.307333279729551</v>
      </c>
      <c r="I32">
        <f t="shared" si="1"/>
        <v>0.9359937659636155</v>
      </c>
      <c r="J32">
        <f t="shared" si="1"/>
        <v>0.9359937659636155</v>
      </c>
      <c r="K32">
        <f t="shared" si="1"/>
        <v>1.8719875319272308</v>
      </c>
      <c r="L32">
        <f t="shared" si="1"/>
        <v>1.8719875319272308</v>
      </c>
      <c r="M32">
        <f t="shared" si="1"/>
        <v>1.8719875319272308</v>
      </c>
      <c r="N32">
        <f t="shared" si="1"/>
        <v>1.4708473465142531</v>
      </c>
      <c r="O32">
        <f t="shared" si="1"/>
        <v>9.3599376596361523</v>
      </c>
      <c r="P32">
        <f t="shared" si="1"/>
        <v>4.679968829818077</v>
      </c>
      <c r="Q32">
        <f t="shared" si="1"/>
        <v>2.2731277173402096</v>
      </c>
      <c r="R32">
        <f t="shared" si="1"/>
        <v>24.202124519916346</v>
      </c>
      <c r="S32">
        <f t="shared" si="1"/>
        <v>16.313034206794441</v>
      </c>
      <c r="T32">
        <f t="shared" si="1"/>
        <v>15.510753835968485</v>
      </c>
      <c r="U32">
        <f t="shared" si="1"/>
        <v>18.452448528996996</v>
      </c>
      <c r="V32">
        <f t="shared" si="2"/>
        <v>133.71339513765938</v>
      </c>
      <c r="W32" s="9">
        <f t="shared" si="3"/>
        <v>5352361.4184813509</v>
      </c>
      <c r="X32" s="9">
        <f t="shared" si="4"/>
        <v>151.5788753713918</v>
      </c>
      <c r="Y32" s="9">
        <f t="shared" si="5"/>
        <v>383.77548580246918</v>
      </c>
      <c r="Z32" s="9">
        <f t="shared" si="6"/>
        <v>61.015397591884032</v>
      </c>
      <c r="AA32" s="9">
        <f t="shared" si="8"/>
        <v>255.53436039734086</v>
      </c>
    </row>
    <row r="33" spans="1:27" x14ac:dyDescent="0.25">
      <c r="A33" s="6">
        <f>'Texas pop'!A129</f>
        <v>2045</v>
      </c>
      <c r="B33" s="6">
        <f>'Texas pop'!B129</f>
        <v>37760442.428571463</v>
      </c>
      <c r="C33" s="6">
        <f>'Texas pop'!C129</f>
        <v>8529368.433929136</v>
      </c>
      <c r="D33" s="6">
        <f>'Texas pop'!D129</f>
        <v>7988535.5159131354</v>
      </c>
      <c r="E33" s="6">
        <f>'Texas pop'!E129</f>
        <v>745934.49452220078</v>
      </c>
      <c r="F33">
        <f t="shared" si="1"/>
        <v>10.568706751680594</v>
      </c>
      <c r="G33">
        <f t="shared" si="1"/>
        <v>9.8733970969647658</v>
      </c>
      <c r="H33">
        <f t="shared" si="1"/>
        <v>14.879626610918731</v>
      </c>
      <c r="I33">
        <f t="shared" si="1"/>
        <v>0.97343351660216004</v>
      </c>
      <c r="J33">
        <f t="shared" si="1"/>
        <v>0.97343351660216004</v>
      </c>
      <c r="K33">
        <f t="shared" si="1"/>
        <v>1.9468670332043196</v>
      </c>
      <c r="L33">
        <f t="shared" si="1"/>
        <v>1.9468670332043196</v>
      </c>
      <c r="M33">
        <f t="shared" si="1"/>
        <v>1.9468670332043196</v>
      </c>
      <c r="N33">
        <f t="shared" si="1"/>
        <v>1.529681240374823</v>
      </c>
      <c r="O33">
        <f t="shared" si="1"/>
        <v>9.734335166021598</v>
      </c>
      <c r="P33">
        <f t="shared" si="1"/>
        <v>4.867167583010799</v>
      </c>
      <c r="Q33">
        <f t="shared" si="1"/>
        <v>2.3640528260338169</v>
      </c>
      <c r="R33">
        <f t="shared" si="1"/>
        <v>25.170209500712996</v>
      </c>
      <c r="S33">
        <f t="shared" si="1"/>
        <v>16.965555575066215</v>
      </c>
      <c r="T33">
        <f t="shared" si="1"/>
        <v>16.131183989407223</v>
      </c>
      <c r="U33">
        <f t="shared" si="1"/>
        <v>19.190546470156875</v>
      </c>
      <c r="V33">
        <f t="shared" si="2"/>
        <v>139.06193094316569</v>
      </c>
      <c r="W33" s="9">
        <f t="shared" si="3"/>
        <v>5566455.8752206042</v>
      </c>
      <c r="X33" s="9">
        <f t="shared" si="4"/>
        <v>157.64203038624746</v>
      </c>
      <c r="Y33" s="9">
        <f t="shared" si="5"/>
        <v>399.1265052345679</v>
      </c>
      <c r="Z33" s="9">
        <f t="shared" si="6"/>
        <v>63.456013495559382</v>
      </c>
      <c r="AA33" s="9">
        <f t="shared" si="8"/>
        <v>265.75573481323448</v>
      </c>
    </row>
    <row r="34" spans="1:27" x14ac:dyDescent="0.25">
      <c r="A34" s="6">
        <f>'Texas pop'!A130</f>
        <v>2046</v>
      </c>
      <c r="B34" s="6">
        <f>'Texas pop'!B130</f>
        <v>38099375.071428657</v>
      </c>
      <c r="C34" s="6">
        <f>'Texas pop'!C130</f>
        <v>9275302.9284513369</v>
      </c>
      <c r="D34" s="6">
        <f>'Texas pop'!D130</f>
        <v>8591436.7435527761</v>
      </c>
      <c r="E34" s="6">
        <f>'Texas pop'!E130</f>
        <v>775771.87430308876</v>
      </c>
      <c r="F34">
        <f t="shared" si="1"/>
        <v>10.991455021747818</v>
      </c>
      <c r="G34">
        <f t="shared" si="1"/>
        <v>10.268332980843354</v>
      </c>
      <c r="H34">
        <f t="shared" si="1"/>
        <v>15.474811675355479</v>
      </c>
      <c r="I34">
        <f t="shared" si="1"/>
        <v>1.0123708572662464</v>
      </c>
      <c r="J34">
        <f t="shared" si="1"/>
        <v>1.0123708572662464</v>
      </c>
      <c r="K34">
        <f t="shared" si="1"/>
        <v>2.0247417145324924</v>
      </c>
      <c r="L34">
        <f t="shared" si="1"/>
        <v>2.0247417145324924</v>
      </c>
      <c r="M34">
        <f t="shared" si="1"/>
        <v>2.0247417145324924</v>
      </c>
      <c r="N34">
        <f t="shared" si="1"/>
        <v>1.590868489989816</v>
      </c>
      <c r="O34">
        <f t="shared" si="1"/>
        <v>10.123708572662462</v>
      </c>
      <c r="P34">
        <f t="shared" si="1"/>
        <v>5.0618542863312319</v>
      </c>
      <c r="Q34">
        <f t="shared" si="1"/>
        <v>2.4586149390751699</v>
      </c>
      <c r="R34">
        <f t="shared" si="1"/>
        <v>26.177017880741509</v>
      </c>
      <c r="S34">
        <f t="shared" si="1"/>
        <v>17.644177798068867</v>
      </c>
      <c r="T34">
        <f t="shared" si="1"/>
        <v>16.776431348983511</v>
      </c>
      <c r="U34">
        <f t="shared" si="1"/>
        <v>19.958168328963147</v>
      </c>
      <c r="V34">
        <f t="shared" si="2"/>
        <v>144.62440818089235</v>
      </c>
      <c r="W34" s="9">
        <f t="shared" si="3"/>
        <v>5789114.1102294279</v>
      </c>
      <c r="X34" s="9">
        <f t="shared" si="4"/>
        <v>163.94771160169734</v>
      </c>
      <c r="Y34" s="9">
        <f t="shared" si="5"/>
        <v>415.09156544395057</v>
      </c>
      <c r="Z34" s="9">
        <f t="shared" si="6"/>
        <v>65.994254035381744</v>
      </c>
      <c r="AA34" s="9">
        <f t="shared" si="8"/>
        <v>276.3859642057638</v>
      </c>
    </row>
    <row r="35" spans="1:27" x14ac:dyDescent="0.25">
      <c r="A35" s="6">
        <f>'Texas pop'!A131</f>
        <v>2047</v>
      </c>
      <c r="B35" s="6">
        <f>'Texas pop'!B131</f>
        <v>38438307.714285731</v>
      </c>
      <c r="C35" s="6">
        <f>'Texas pop'!C131</f>
        <v>10051074.802754426</v>
      </c>
      <c r="D35" s="6">
        <f>'Texas pop'!D131</f>
        <v>9201290.0282720961</v>
      </c>
      <c r="E35" s="6">
        <f>'Texas pop'!E131</f>
        <v>806802.74927521229</v>
      </c>
      <c r="F35">
        <f t="shared" ref="F35:U38" si="9">$E35*F$2/1000000</f>
        <v>11.43111322261773</v>
      </c>
      <c r="G35">
        <f t="shared" si="9"/>
        <v>10.679066300077087</v>
      </c>
      <c r="H35">
        <f t="shared" si="9"/>
        <v>16.093804142369699</v>
      </c>
      <c r="I35">
        <f t="shared" si="9"/>
        <v>1.0528656915568961</v>
      </c>
      <c r="J35">
        <f t="shared" si="9"/>
        <v>1.0528656915568961</v>
      </c>
      <c r="K35">
        <f t="shared" si="9"/>
        <v>2.1057313831137923</v>
      </c>
      <c r="L35">
        <f t="shared" si="9"/>
        <v>2.1057313831137923</v>
      </c>
      <c r="M35">
        <f t="shared" si="9"/>
        <v>2.1057313831137923</v>
      </c>
      <c r="N35">
        <f t="shared" si="9"/>
        <v>1.6545032295894084</v>
      </c>
      <c r="O35">
        <f t="shared" si="9"/>
        <v>10.528656915568959</v>
      </c>
      <c r="P35">
        <f t="shared" si="9"/>
        <v>5.2643284577844804</v>
      </c>
      <c r="Q35">
        <f t="shared" si="9"/>
        <v>2.5569595366381765</v>
      </c>
      <c r="R35">
        <f t="shared" si="9"/>
        <v>27.224098595971171</v>
      </c>
      <c r="S35">
        <f t="shared" si="9"/>
        <v>18.349944909991617</v>
      </c>
      <c r="T35">
        <f t="shared" si="9"/>
        <v>17.447488602942851</v>
      </c>
      <c r="U35">
        <f t="shared" si="9"/>
        <v>20.756495062121672</v>
      </c>
      <c r="V35">
        <f t="shared" si="2"/>
        <v>150.40938450812803</v>
      </c>
      <c r="W35" s="9">
        <f t="shared" si="3"/>
        <v>6020678.6746386047</v>
      </c>
      <c r="X35" s="9">
        <f t="shared" si="4"/>
        <v>170.50562006576524</v>
      </c>
      <c r="Y35" s="9">
        <f t="shared" si="5"/>
        <v>431.69522806170858</v>
      </c>
      <c r="Z35" s="9">
        <f t="shared" si="6"/>
        <v>68.634024196797014</v>
      </c>
      <c r="AA35" s="9">
        <f t="shared" si="8"/>
        <v>287.44140277399441</v>
      </c>
    </row>
    <row r="36" spans="1:27" x14ac:dyDescent="0.25">
      <c r="A36" s="6">
        <f>'Texas pop'!A132</f>
        <v>2048</v>
      </c>
      <c r="B36" s="6">
        <f>'Texas pop'!B132</f>
        <v>38777240.357142925</v>
      </c>
      <c r="C36" s="6">
        <f>'Texas pop'!C132</f>
        <v>10857877.552029639</v>
      </c>
      <c r="D36" s="6">
        <f>'Texas pop'!D132</f>
        <v>9815627.2136301361</v>
      </c>
      <c r="E36" s="6">
        <f>'Texas pop'!E132</f>
        <v>839074.85924622079</v>
      </c>
      <c r="F36">
        <f t="shared" si="9"/>
        <v>11.888357751522438</v>
      </c>
      <c r="G36">
        <f t="shared" si="9"/>
        <v>11.106228952080171</v>
      </c>
      <c r="H36">
        <f t="shared" si="9"/>
        <v>16.737556308064487</v>
      </c>
      <c r="I36">
        <f t="shared" si="9"/>
        <v>1.094980319219172</v>
      </c>
      <c r="J36">
        <f t="shared" si="9"/>
        <v>1.094980319219172</v>
      </c>
      <c r="K36">
        <f t="shared" si="9"/>
        <v>2.1899606384383437</v>
      </c>
      <c r="L36">
        <f t="shared" si="9"/>
        <v>2.1899606384383437</v>
      </c>
      <c r="M36">
        <f t="shared" si="9"/>
        <v>2.1899606384383437</v>
      </c>
      <c r="N36">
        <f t="shared" si="9"/>
        <v>1.7206833587729848</v>
      </c>
      <c r="O36">
        <f t="shared" si="9"/>
        <v>10.949803192191718</v>
      </c>
      <c r="P36">
        <f t="shared" si="9"/>
        <v>5.4749015960958598</v>
      </c>
      <c r="Q36">
        <f t="shared" si="9"/>
        <v>2.6592379181037038</v>
      </c>
      <c r="R36">
        <f t="shared" si="9"/>
        <v>28.313062539810019</v>
      </c>
      <c r="S36">
        <f t="shared" si="9"/>
        <v>19.083942706391284</v>
      </c>
      <c r="T36">
        <f t="shared" si="9"/>
        <v>18.145388147060565</v>
      </c>
      <c r="U36">
        <f t="shared" si="9"/>
        <v>21.586754864606537</v>
      </c>
      <c r="V36">
        <f t="shared" si="2"/>
        <v>156.42575988845314</v>
      </c>
      <c r="W36" s="9">
        <f t="shared" si="3"/>
        <v>6261505.8216241486</v>
      </c>
      <c r="X36" s="9">
        <f t="shared" si="4"/>
        <v>177.32584486839585</v>
      </c>
      <c r="Y36" s="9">
        <f t="shared" si="5"/>
        <v>448.96303718417698</v>
      </c>
      <c r="Z36" s="9">
        <f t="shared" si="6"/>
        <v>71.379385164668903</v>
      </c>
      <c r="AA36" s="9">
        <f t="shared" si="8"/>
        <v>298.93905888495414</v>
      </c>
    </row>
    <row r="37" spans="1:27" x14ac:dyDescent="0.25">
      <c r="A37" s="6">
        <f>'Texas pop'!A133</f>
        <v>2049</v>
      </c>
      <c r="B37" s="6">
        <f>'Texas pop'!B133</f>
        <v>39116173.000000119</v>
      </c>
      <c r="C37" s="6">
        <f>'Texas pop'!C133</f>
        <v>11696952.41127586</v>
      </c>
      <c r="D37" s="6">
        <f>'Texas pop'!D133</f>
        <v>10431442.018732436</v>
      </c>
      <c r="E37" s="6">
        <f>'Texas pop'!E133</f>
        <v>872637.85361606954</v>
      </c>
      <c r="F37">
        <f t="shared" si="9"/>
        <v>12.363892061583336</v>
      </c>
      <c r="G37">
        <f t="shared" si="9"/>
        <v>11.550478110163377</v>
      </c>
      <c r="H37">
        <f t="shared" si="9"/>
        <v>17.407058560387064</v>
      </c>
      <c r="I37">
        <f t="shared" si="9"/>
        <v>1.1387795319879388</v>
      </c>
      <c r="J37">
        <f t="shared" si="9"/>
        <v>1.1387795319879388</v>
      </c>
      <c r="K37">
        <f t="shared" si="9"/>
        <v>2.2775590639758772</v>
      </c>
      <c r="L37">
        <f t="shared" si="9"/>
        <v>2.2775590639758772</v>
      </c>
      <c r="M37">
        <f t="shared" si="9"/>
        <v>2.2775590639758772</v>
      </c>
      <c r="N37">
        <f t="shared" si="9"/>
        <v>1.789510693123904</v>
      </c>
      <c r="O37">
        <f t="shared" si="9"/>
        <v>11.387795319879384</v>
      </c>
      <c r="P37">
        <f t="shared" si="9"/>
        <v>5.6938976599396929</v>
      </c>
      <c r="Q37">
        <f t="shared" si="9"/>
        <v>2.7656074348278517</v>
      </c>
      <c r="R37">
        <f t="shared" si="9"/>
        <v>29.445585041402417</v>
      </c>
      <c r="S37">
        <f t="shared" si="9"/>
        <v>19.847300414646934</v>
      </c>
      <c r="T37">
        <f t="shared" si="9"/>
        <v>18.871203672942986</v>
      </c>
      <c r="U37">
        <f t="shared" si="9"/>
        <v>22.450225059190799</v>
      </c>
      <c r="V37">
        <f t="shared" si="2"/>
        <v>162.68279028399127</v>
      </c>
      <c r="W37" s="9">
        <f t="shared" si="3"/>
        <v>6511966.0544891143</v>
      </c>
      <c r="X37" s="9">
        <f t="shared" si="4"/>
        <v>184.41887866313166</v>
      </c>
      <c r="Y37" s="9">
        <f t="shared" si="5"/>
        <v>466.92155867154401</v>
      </c>
      <c r="Z37" s="9">
        <f t="shared" si="6"/>
        <v>74.234560571255642</v>
      </c>
      <c r="AA37" s="9">
        <f t="shared" si="8"/>
        <v>310.89662124035226</v>
      </c>
    </row>
    <row r="38" spans="1:27" x14ac:dyDescent="0.25">
      <c r="A38" s="6">
        <f>'Texas pop'!A134</f>
        <v>2050</v>
      </c>
      <c r="B38" s="6">
        <f>'Texas pop'!B134</f>
        <v>39455105.642857194</v>
      </c>
      <c r="C38" s="6">
        <f>'Texas pop'!C134</f>
        <v>12569590.26489193</v>
      </c>
      <c r="D38" s="6">
        <f>'Texas pop'!D134</f>
        <v>11045098.209541559</v>
      </c>
      <c r="E38" s="6">
        <f>'Texas pop'!E134</f>
        <v>907543.3677607124</v>
      </c>
      <c r="F38">
        <f t="shared" si="9"/>
        <v>12.85844774404667</v>
      </c>
      <c r="G38">
        <f t="shared" si="9"/>
        <v>12.012497234569915</v>
      </c>
      <c r="H38">
        <f t="shared" si="9"/>
        <v>18.10334090280255</v>
      </c>
      <c r="I38">
        <f t="shared" si="9"/>
        <v>1.1843307132674565</v>
      </c>
      <c r="J38">
        <f t="shared" si="9"/>
        <v>1.1843307132674565</v>
      </c>
      <c r="K38">
        <f t="shared" si="9"/>
        <v>2.3686614265349126</v>
      </c>
      <c r="L38">
        <f t="shared" si="9"/>
        <v>2.3686614265349126</v>
      </c>
      <c r="M38">
        <f t="shared" si="9"/>
        <v>2.3686614265349126</v>
      </c>
      <c r="N38">
        <f t="shared" si="9"/>
        <v>1.8610911208488603</v>
      </c>
      <c r="O38">
        <f t="shared" si="9"/>
        <v>11.843307132674562</v>
      </c>
      <c r="P38">
        <f t="shared" si="9"/>
        <v>5.921653566337282</v>
      </c>
      <c r="Q38">
        <f t="shared" si="9"/>
        <v>2.8762317322209658</v>
      </c>
      <c r="R38">
        <f t="shared" si="9"/>
        <v>30.623408443058516</v>
      </c>
      <c r="S38">
        <f t="shared" si="9"/>
        <v>20.641192431232813</v>
      </c>
      <c r="T38">
        <f t="shared" si="9"/>
        <v>19.626051819860709</v>
      </c>
      <c r="U38">
        <f t="shared" si="9"/>
        <v>23.348234061558433</v>
      </c>
      <c r="V38">
        <f t="shared" si="2"/>
        <v>169.19010189535095</v>
      </c>
      <c r="W38" s="9">
        <f>$E38*W$2</f>
        <v>6772444.6966686798</v>
      </c>
      <c r="X38" s="9">
        <f t="shared" si="4"/>
        <v>191.79563380965692</v>
      </c>
      <c r="Y38" s="9">
        <f>$E38*Y$2/(42*1000)</f>
        <v>485.59842101840576</v>
      </c>
      <c r="Z38" s="9">
        <f t="shared" si="6"/>
        <v>77.203942994105873</v>
      </c>
      <c r="AA38" s="9">
        <f t="shared" si="8"/>
        <v>323.33248608996644</v>
      </c>
    </row>
    <row r="39" spans="1:27" x14ac:dyDescent="0.25">
      <c r="A39">
        <f>'Texas pop'!A135</f>
        <v>0</v>
      </c>
      <c r="B39">
        <f>'Texas pop'!B135</f>
        <v>0</v>
      </c>
      <c r="C39">
        <f>'Texas pop'!C135</f>
        <v>11036698.209541559</v>
      </c>
      <c r="D39">
        <f>'Texas pop'!D135</f>
        <v>12577990.26489193</v>
      </c>
      <c r="E39" s="91">
        <f>'Texas pop'!E135</f>
        <v>12569590.26489193</v>
      </c>
      <c r="F39">
        <f t="shared" ref="F39:U39" si="10">$E39*F$2</f>
        <v>178091125.25827596</v>
      </c>
      <c r="G39">
        <f t="shared" si="10"/>
        <v>166374603.85970515</v>
      </c>
      <c r="H39">
        <f t="shared" si="10"/>
        <v>250733557.92941481</v>
      </c>
      <c r="I39">
        <f t="shared" si="10"/>
        <v>16403129.957999101</v>
      </c>
      <c r="J39">
        <f t="shared" si="10"/>
        <v>16403129.957999101</v>
      </c>
      <c r="K39">
        <f t="shared" si="10"/>
        <v>32806259.915998194</v>
      </c>
      <c r="L39">
        <f t="shared" si="10"/>
        <v>32806259.915998194</v>
      </c>
      <c r="M39">
        <f t="shared" si="10"/>
        <v>32806259.915998194</v>
      </c>
      <c r="N39">
        <f t="shared" si="10"/>
        <v>25776347.076855734</v>
      </c>
      <c r="O39">
        <f t="shared" si="10"/>
        <v>164031299.57999095</v>
      </c>
      <c r="P39">
        <f t="shared" si="10"/>
        <v>82015649.789995492</v>
      </c>
      <c r="Q39">
        <f t="shared" si="10"/>
        <v>39836172.755140677</v>
      </c>
      <c r="R39">
        <f t="shared" si="10"/>
        <v>424138074.62826246</v>
      </c>
      <c r="S39">
        <f t="shared" si="10"/>
        <v>285883122.1251272</v>
      </c>
      <c r="T39">
        <f t="shared" si="10"/>
        <v>271823296.44684225</v>
      </c>
      <c r="U39">
        <f t="shared" si="10"/>
        <v>323375990.60055375</v>
      </c>
    </row>
    <row r="40" spans="1:27" x14ac:dyDescent="0.25">
      <c r="A40">
        <f>'Texas pop'!A136</f>
        <v>0</v>
      </c>
      <c r="B40">
        <f>'Texas pop'!B136</f>
        <v>13427775.03937426</v>
      </c>
      <c r="C40">
        <f>'Texas pop'!C136</f>
        <v>0</v>
      </c>
      <c r="D40">
        <f>'Texas pop'!D136</f>
        <v>0</v>
      </c>
      <c r="E40">
        <f>'Texas pop'!E136</f>
        <v>0</v>
      </c>
    </row>
    <row r="41" spans="1:27" x14ac:dyDescent="0.25">
      <c r="B41" s="1">
        <v>2029</v>
      </c>
      <c r="C41" s="1" t="s">
        <v>186</v>
      </c>
      <c r="D41" s="1">
        <f>575.6647*0.9</f>
        <v>518.09823000000006</v>
      </c>
      <c r="E41">
        <f>E17*D41/1000</f>
        <v>115670.63888166931</v>
      </c>
    </row>
    <row r="42" spans="1:27" x14ac:dyDescent="0.25">
      <c r="C42" t="s">
        <v>187</v>
      </c>
      <c r="D42">
        <v>7.2</v>
      </c>
      <c r="E42" s="11">
        <f>E41/7.2</f>
        <v>16065.36651134296</v>
      </c>
      <c r="F42" t="s">
        <v>188</v>
      </c>
    </row>
    <row r="43" spans="1:27" x14ac:dyDescent="0.25">
      <c r="C43" t="s">
        <v>190</v>
      </c>
      <c r="D43">
        <v>0.95</v>
      </c>
      <c r="E43" s="11">
        <f>E42*D43</f>
        <v>15262.098185775811</v>
      </c>
      <c r="F43" t="s">
        <v>189</v>
      </c>
    </row>
    <row r="44" spans="1:27" x14ac:dyDescent="0.25">
      <c r="B44" t="s">
        <v>191</v>
      </c>
      <c r="D44">
        <v>8.09</v>
      </c>
      <c r="E44" s="46">
        <f>E17*D44/1000</f>
        <v>1806.1738380243157</v>
      </c>
      <c r="F44" t="s">
        <v>192</v>
      </c>
    </row>
    <row r="45" spans="1:27" x14ac:dyDescent="0.25">
      <c r="B45" t="s">
        <v>193</v>
      </c>
      <c r="D45">
        <v>192.53</v>
      </c>
      <c r="E45" s="46">
        <f>D45*E18/1000</f>
        <v>49861.739540221621</v>
      </c>
      <c r="F45" t="s">
        <v>194</v>
      </c>
    </row>
    <row r="47" spans="1:27" x14ac:dyDescent="0.25">
      <c r="D47" t="s">
        <v>198</v>
      </c>
    </row>
    <row r="48" spans="1:27" x14ac:dyDescent="0.25">
      <c r="D48" t="s">
        <v>195</v>
      </c>
      <c r="F48" t="s">
        <v>196</v>
      </c>
      <c r="H48" t="s">
        <v>197</v>
      </c>
      <c r="J48" t="s">
        <v>200</v>
      </c>
    </row>
    <row r="49" spans="2:11" x14ac:dyDescent="0.25">
      <c r="D49" s="91">
        <f>E43</f>
        <v>15262.098185775811</v>
      </c>
      <c r="E49" s="91"/>
      <c r="F49" s="91">
        <f>E45</f>
        <v>49861.739540221621</v>
      </c>
      <c r="G49" s="91"/>
      <c r="H49" s="91">
        <f>F49-D49</f>
        <v>34599.641354445812</v>
      </c>
    </row>
    <row r="50" spans="2:11" x14ac:dyDescent="0.25">
      <c r="B50" s="120" t="s">
        <v>199</v>
      </c>
      <c r="C50" s="120"/>
      <c r="D50" s="91">
        <v>2236.89</v>
      </c>
      <c r="E50" s="91"/>
      <c r="F50" s="91"/>
      <c r="G50" s="91"/>
      <c r="H50" s="6">
        <v>500</v>
      </c>
      <c r="J50" s="19">
        <f>D49/$F$49*D50+H49/$F$49*H50</f>
        <v>1031.6418151939656</v>
      </c>
    </row>
    <row r="51" spans="2:11" x14ac:dyDescent="0.25">
      <c r="J51" s="93">
        <f>J50/H50</f>
        <v>2.0632836303879314</v>
      </c>
    </row>
    <row r="52" spans="2:11" x14ac:dyDescent="0.25">
      <c r="J52" s="92">
        <v>2.0632836303879314</v>
      </c>
      <c r="K52" t="s">
        <v>201</v>
      </c>
    </row>
    <row r="53" spans="2:11" x14ac:dyDescent="0.25">
      <c r="J53" s="92">
        <v>1.8506269043103447</v>
      </c>
      <c r="K53" t="s">
        <v>202</v>
      </c>
    </row>
    <row r="54" spans="2:11" x14ac:dyDescent="0.25">
      <c r="J54" s="92">
        <v>1.6379701782327589</v>
      </c>
      <c r="K54" t="s">
        <v>203</v>
      </c>
    </row>
    <row r="55" spans="2:11" x14ac:dyDescent="0.25">
      <c r="J55" s="94">
        <v>1.4253134521551725</v>
      </c>
      <c r="K55" t="s">
        <v>204</v>
      </c>
    </row>
    <row r="56" spans="2:11" x14ac:dyDescent="0.25">
      <c r="J56" s="94">
        <v>1.2126567260775862</v>
      </c>
      <c r="K56" t="s">
        <v>204</v>
      </c>
    </row>
    <row r="57" spans="2:11" x14ac:dyDescent="0.25">
      <c r="J57">
        <v>1</v>
      </c>
      <c r="K57" t="s">
        <v>205</v>
      </c>
    </row>
  </sheetData>
  <mergeCells count="1">
    <mergeCell ref="B50:C50"/>
  </mergeCells>
  <pageMargins left="0.7" right="0.7" top="0.75" bottom="0.75" header="0.3" footer="0.3"/>
  <ignoredErrors>
    <ignoredError sqref="Y4" formula="1"/>
  </ignoredError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34C0D-9F21-415C-87B8-D4DFA7EAC9EA}">
  <dimension ref="A1:AG122"/>
  <sheetViews>
    <sheetView topLeftCell="H1" zoomScale="69" zoomScaleNormal="85" workbookViewId="0">
      <selection activeCell="D4" sqref="D4"/>
    </sheetView>
  </sheetViews>
  <sheetFormatPr defaultColWidth="11.42578125" defaultRowHeight="15" x14ac:dyDescent="0.25"/>
  <cols>
    <col min="3" max="3" width="17.5703125" customWidth="1"/>
    <col min="4" max="4" width="12.7109375" bestFit="1" customWidth="1"/>
    <col min="16" max="16" width="14.7109375" customWidth="1"/>
    <col min="17" max="17" width="9" customWidth="1"/>
    <col min="18" max="18" width="14.28515625" bestFit="1" customWidth="1"/>
    <col min="21" max="21" width="13.5703125" customWidth="1"/>
    <col min="23" max="23" width="13.42578125" customWidth="1"/>
  </cols>
  <sheetData>
    <row r="1" spans="1:24" x14ac:dyDescent="0.25">
      <c r="D1" t="s">
        <v>56</v>
      </c>
      <c r="G1" t="s">
        <v>55</v>
      </c>
      <c r="M1" t="s">
        <v>37</v>
      </c>
      <c r="R1" s="1" t="s">
        <v>74</v>
      </c>
      <c r="S1" s="1"/>
      <c r="T1" s="1"/>
      <c r="U1" s="1" t="s">
        <v>75</v>
      </c>
      <c r="V1" s="1"/>
      <c r="W1" s="1">
        <v>37.74</v>
      </c>
      <c r="X1">
        <v>42</v>
      </c>
    </row>
    <row r="2" spans="1:24" ht="57.6" customHeight="1" x14ac:dyDescent="0.25">
      <c r="B2" s="120" t="s">
        <v>47</v>
      </c>
      <c r="C2" s="120"/>
      <c r="D2" s="121" t="s">
        <v>33</v>
      </c>
      <c r="E2" s="121"/>
      <c r="F2" s="121"/>
      <c r="G2" s="121" t="s">
        <v>63</v>
      </c>
      <c r="H2" s="121"/>
      <c r="I2" s="121"/>
      <c r="J2" s="121" t="s">
        <v>64</v>
      </c>
      <c r="K2" s="121"/>
      <c r="L2" s="121"/>
      <c r="M2" s="121" t="s">
        <v>64</v>
      </c>
      <c r="N2" s="121"/>
      <c r="O2" s="121"/>
      <c r="P2" s="116" t="s">
        <v>80</v>
      </c>
      <c r="Q2" s="17" t="s">
        <v>81</v>
      </c>
      <c r="R2" s="116" t="s">
        <v>61</v>
      </c>
      <c r="S2" s="116"/>
      <c r="T2" s="116"/>
      <c r="U2" s="116" t="s">
        <v>61</v>
      </c>
      <c r="V2" s="116"/>
      <c r="W2" s="116"/>
    </row>
    <row r="3" spans="1:24" x14ac:dyDescent="0.25">
      <c r="A3" t="s">
        <v>36</v>
      </c>
      <c r="B3" s="6" t="s">
        <v>8</v>
      </c>
      <c r="C3" s="6" t="s">
        <v>37</v>
      </c>
      <c r="D3" s="10">
        <v>2030</v>
      </c>
      <c r="E3" s="10">
        <v>2040</v>
      </c>
      <c r="F3" s="10">
        <v>2050</v>
      </c>
      <c r="G3" s="10">
        <v>2030</v>
      </c>
      <c r="H3" s="10">
        <v>2040</v>
      </c>
      <c r="I3" s="10">
        <v>2050</v>
      </c>
      <c r="J3" s="10">
        <v>2030</v>
      </c>
      <c r="K3" s="10">
        <v>2040</v>
      </c>
      <c r="L3" s="10">
        <v>2050</v>
      </c>
      <c r="M3" s="10">
        <v>2030</v>
      </c>
      <c r="N3" s="10">
        <v>2040</v>
      </c>
      <c r="O3" s="10">
        <v>2050</v>
      </c>
      <c r="P3" s="116"/>
      <c r="Q3" s="17"/>
      <c r="R3" s="10">
        <v>2030</v>
      </c>
      <c r="S3" s="10">
        <v>2040</v>
      </c>
      <c r="T3" s="10">
        <v>2050</v>
      </c>
      <c r="U3" s="10">
        <v>2030</v>
      </c>
      <c r="V3" s="10">
        <v>2040</v>
      </c>
      <c r="W3" s="10">
        <v>2050</v>
      </c>
    </row>
    <row r="4" spans="1:24" x14ac:dyDescent="0.25">
      <c r="A4" s="14" t="s">
        <v>38</v>
      </c>
      <c r="B4" s="15">
        <v>53.2</v>
      </c>
      <c r="C4" s="15">
        <v>22.3</v>
      </c>
      <c r="D4" s="15">
        <f>'Texas pop'!$E$76*'EVs materials req'!B4</f>
        <v>1415120000</v>
      </c>
      <c r="E4" s="15">
        <f>B4*'Texas pop'!$E$77</f>
        <v>1657712000</v>
      </c>
      <c r="F4" s="15">
        <f>B4*'Texas pop'!$E$78</f>
        <v>1900304000</v>
      </c>
      <c r="G4" s="15">
        <f>D4/1000</f>
        <v>1415120</v>
      </c>
      <c r="H4" s="15">
        <f t="shared" ref="H4:I4" si="0">E4/1000</f>
        <v>1657712</v>
      </c>
      <c r="I4" s="15">
        <f t="shared" si="0"/>
        <v>1900304</v>
      </c>
      <c r="J4" s="16">
        <f>G4/1000000</f>
        <v>1.4151199999999999</v>
      </c>
      <c r="K4" s="16">
        <f t="shared" ref="K4:L4" si="1">H4/1000000</f>
        <v>1.6577120000000001</v>
      </c>
      <c r="L4" s="16">
        <f t="shared" si="1"/>
        <v>1.900304</v>
      </c>
      <c r="M4" s="6">
        <f>C4*'Texas pop'!$E$76/1000000000</f>
        <v>0.59318000000000004</v>
      </c>
      <c r="N4" s="6">
        <f>C4*'Texas pop'!$E$77/1000000000</f>
        <v>0.69486800000000004</v>
      </c>
      <c r="O4" s="6">
        <f>C4*'Texas pop'!$E$78/1000000000</f>
        <v>0.79655600000000004</v>
      </c>
      <c r="P4" s="6">
        <v>22000000</v>
      </c>
      <c r="Q4" s="6" t="s">
        <v>84</v>
      </c>
      <c r="R4" s="9">
        <f>G4/$P$4</f>
        <v>6.4323636363636361E-2</v>
      </c>
      <c r="S4" s="9">
        <f>H4/$P4</f>
        <v>7.5350545454545448E-2</v>
      </c>
      <c r="T4" s="9">
        <f>I4/P4</f>
        <v>8.6377454545454549E-2</v>
      </c>
      <c r="U4" s="6">
        <f>R4*$W$1/100</f>
        <v>2.4275740363636365E-2</v>
      </c>
      <c r="V4" s="6">
        <f t="shared" ref="V4:W4" si="2">S4*$W$1/100</f>
        <v>2.8437295854545453E-2</v>
      </c>
      <c r="W4" s="6">
        <f t="shared" si="2"/>
        <v>3.2598851345454552E-2</v>
      </c>
    </row>
    <row r="5" spans="1:24" x14ac:dyDescent="0.25">
      <c r="A5" s="11" t="s">
        <v>39</v>
      </c>
      <c r="B5" s="12">
        <v>8.9</v>
      </c>
      <c r="C5" s="11"/>
      <c r="D5" s="12">
        <f>'Texas pop'!$E$76*'EVs materials req'!B5</f>
        <v>236740000</v>
      </c>
      <c r="E5" s="12">
        <f>B5*'Texas pop'!$E$77</f>
        <v>277324000</v>
      </c>
      <c r="F5" s="12">
        <f>B5*'Texas pop'!$E$78</f>
        <v>317908000</v>
      </c>
      <c r="G5" s="12">
        <f>D5/1000</f>
        <v>236740</v>
      </c>
      <c r="H5" s="12">
        <f t="shared" ref="H5:H11" si="3">E5/1000</f>
        <v>277324</v>
      </c>
      <c r="I5" s="12">
        <f t="shared" ref="I5:I11" si="4">F5/1000</f>
        <v>317908</v>
      </c>
      <c r="J5" s="13">
        <f t="shared" ref="J5:J11" si="5">G5/1000000</f>
        <v>0.23674000000000001</v>
      </c>
      <c r="K5" s="13">
        <f t="shared" ref="K5:K11" si="6">H5/1000000</f>
        <v>0.27732400000000001</v>
      </c>
      <c r="L5" s="13">
        <f t="shared" ref="L5:L11" si="7">I5/1000000</f>
        <v>0.31790800000000002</v>
      </c>
      <c r="M5" s="6">
        <f>C5*'Texas pop'!$E$76/1000000000</f>
        <v>0</v>
      </c>
      <c r="N5" s="6">
        <f>C5*'Texas pop'!$E$77/1000000000</f>
        <v>0</v>
      </c>
      <c r="O5" s="6">
        <f>C5*'Texas pop'!$E$78/1000000000</f>
        <v>0</v>
      </c>
      <c r="P5" s="6">
        <v>130000</v>
      </c>
      <c r="Q5" s="6" t="s">
        <v>59</v>
      </c>
      <c r="R5" s="13">
        <f t="shared" ref="R5:R12" si="8">G5/P5</f>
        <v>1.821076923076923</v>
      </c>
      <c r="S5" s="13">
        <f t="shared" ref="S5:S12" si="9">H5/$P5</f>
        <v>2.1332615384615385</v>
      </c>
      <c r="T5" s="13">
        <f>I5/P5</f>
        <v>2.445446153846154</v>
      </c>
      <c r="U5" s="13">
        <f t="shared" ref="U5:U12" si="10">R5*$W$1/100</f>
        <v>0.68727443076923078</v>
      </c>
      <c r="V5" s="13">
        <f t="shared" ref="V5:V12" si="11">S5*$W$1/100</f>
        <v>0.80509290461538474</v>
      </c>
      <c r="W5" s="13">
        <f>T5*$W$1/100</f>
        <v>0.92291137846153859</v>
      </c>
    </row>
    <row r="6" spans="1:24" x14ac:dyDescent="0.25">
      <c r="A6" t="s">
        <v>40</v>
      </c>
      <c r="B6" s="6">
        <v>39.9</v>
      </c>
      <c r="C6" s="6"/>
      <c r="D6" s="6">
        <f>'Texas pop'!$E$76*'EVs materials req'!B6</f>
        <v>1061340000</v>
      </c>
      <c r="E6" s="6">
        <f>B6*'Texas pop'!$E$77</f>
        <v>1243284000</v>
      </c>
      <c r="F6" s="6">
        <f>B6*'Texas pop'!$E$78</f>
        <v>1425228000</v>
      </c>
      <c r="G6" s="6">
        <f t="shared" ref="G6:G11" si="12">D6/1000</f>
        <v>1061340</v>
      </c>
      <c r="H6" s="6">
        <f t="shared" si="3"/>
        <v>1243284</v>
      </c>
      <c r="I6" s="6">
        <f t="shared" si="4"/>
        <v>1425228</v>
      </c>
      <c r="J6" s="9">
        <f t="shared" si="5"/>
        <v>1.06134</v>
      </c>
      <c r="K6" s="9">
        <f t="shared" si="6"/>
        <v>1.2432840000000001</v>
      </c>
      <c r="L6" s="9">
        <f t="shared" si="7"/>
        <v>1.4252279999999999</v>
      </c>
      <c r="M6" s="6">
        <f>C6*'Texas pop'!$E$76/1000000000</f>
        <v>0</v>
      </c>
      <c r="N6" s="6">
        <f>C6*'Texas pop'!$E$77/1000000000</f>
        <v>0</v>
      </c>
      <c r="O6" s="6">
        <f>C6*'Texas pop'!$E$78/1000000000</f>
        <v>0</v>
      </c>
      <c r="P6" s="6">
        <v>2800000</v>
      </c>
      <c r="Q6" s="24" t="s">
        <v>85</v>
      </c>
      <c r="R6" s="9">
        <f t="shared" si="8"/>
        <v>0.37905</v>
      </c>
      <c r="S6" s="9">
        <f t="shared" si="9"/>
        <v>0.44402999999999998</v>
      </c>
      <c r="T6" s="9">
        <f t="shared" ref="T6:T12" si="13">I6/P6</f>
        <v>0.50900999999999996</v>
      </c>
      <c r="U6" s="6">
        <f t="shared" si="10"/>
        <v>0.14305347000000002</v>
      </c>
      <c r="V6" s="6">
        <f t="shared" si="11"/>
        <v>0.16757692200000002</v>
      </c>
      <c r="W6" s="6">
        <f t="shared" ref="W6:W12" si="14">T6*$W$1/100</f>
        <v>0.19210037400000002</v>
      </c>
    </row>
    <row r="7" spans="1:24" x14ac:dyDescent="0.25">
      <c r="A7" t="s">
        <v>41</v>
      </c>
      <c r="B7" s="6">
        <v>24.5</v>
      </c>
      <c r="C7" s="6">
        <v>11.2</v>
      </c>
      <c r="D7" s="6">
        <f>'Texas pop'!$E$76*'EVs materials req'!B7</f>
        <v>651700000</v>
      </c>
      <c r="E7" s="6">
        <f>B7*'Texas pop'!$E$77</f>
        <v>763420000</v>
      </c>
      <c r="F7" s="6">
        <f>B7*'Texas pop'!$E$78</f>
        <v>875140000</v>
      </c>
      <c r="G7" s="6">
        <f t="shared" si="12"/>
        <v>651700</v>
      </c>
      <c r="H7" s="6">
        <f t="shared" si="3"/>
        <v>763420</v>
      </c>
      <c r="I7" s="6">
        <f t="shared" si="4"/>
        <v>875140</v>
      </c>
      <c r="J7" s="9">
        <f t="shared" si="5"/>
        <v>0.65169999999999995</v>
      </c>
      <c r="K7" s="9">
        <f t="shared" si="6"/>
        <v>0.76341999999999999</v>
      </c>
      <c r="L7" s="9">
        <f t="shared" si="7"/>
        <v>0.87514000000000003</v>
      </c>
      <c r="M7" s="6">
        <f>C7*'Texas pop'!$E$76/1000000000</f>
        <v>0.29792000000000002</v>
      </c>
      <c r="N7" s="6">
        <f>C7*'Texas pop'!$E$77/1000000000</f>
        <v>0.34899200000000002</v>
      </c>
      <c r="O7" s="6">
        <f>C7*'Texas pop'!$E$78/1000000000</f>
        <v>0.40006399999999998</v>
      </c>
      <c r="P7" s="6">
        <v>50000000</v>
      </c>
      <c r="Q7" s="22" t="s">
        <v>83</v>
      </c>
      <c r="R7" s="9">
        <f t="shared" si="8"/>
        <v>1.3034E-2</v>
      </c>
      <c r="S7" s="9">
        <f t="shared" si="9"/>
        <v>1.52684E-2</v>
      </c>
      <c r="T7" s="9">
        <f t="shared" si="13"/>
        <v>1.7502799999999999E-2</v>
      </c>
      <c r="U7" s="6">
        <f t="shared" si="10"/>
        <v>4.919031600000001E-3</v>
      </c>
      <c r="V7" s="6">
        <f t="shared" si="11"/>
        <v>5.7622941599999996E-3</v>
      </c>
      <c r="W7" s="6">
        <f t="shared" si="14"/>
        <v>6.60555672E-3</v>
      </c>
    </row>
    <row r="8" spans="1:24" x14ac:dyDescent="0.25">
      <c r="A8" s="11" t="s">
        <v>42</v>
      </c>
      <c r="B8" s="12">
        <v>13.3</v>
      </c>
      <c r="C8" s="12"/>
      <c r="D8" s="12">
        <f>'Texas pop'!$E$76*'EVs materials req'!B8</f>
        <v>353780000</v>
      </c>
      <c r="E8" s="12">
        <f>B8*'Texas pop'!$E$77</f>
        <v>414428000</v>
      </c>
      <c r="F8" s="12">
        <f>B8*'Texas pop'!$E$78</f>
        <v>475076000</v>
      </c>
      <c r="G8" s="12">
        <f t="shared" si="12"/>
        <v>353780</v>
      </c>
      <c r="H8" s="12">
        <f t="shared" si="3"/>
        <v>414428</v>
      </c>
      <c r="I8" s="12">
        <f t="shared" si="4"/>
        <v>475076</v>
      </c>
      <c r="J8" s="13">
        <f t="shared" si="5"/>
        <v>0.35377999999999998</v>
      </c>
      <c r="K8" s="13">
        <f t="shared" si="6"/>
        <v>0.41442800000000002</v>
      </c>
      <c r="L8" s="13">
        <f t="shared" si="7"/>
        <v>0.475076</v>
      </c>
      <c r="M8" s="12">
        <f>C8*'Texas pop'!$E$76/1000000000</f>
        <v>0</v>
      </c>
      <c r="N8" s="12">
        <f>C8*'Texas pop'!$E$77/1000000000</f>
        <v>0</v>
      </c>
      <c r="O8" s="12">
        <f>C8*'Texas pop'!$E$78/1000000000</f>
        <v>0</v>
      </c>
      <c r="P8" s="23">
        <v>197791</v>
      </c>
      <c r="Q8" s="23" t="s">
        <v>82</v>
      </c>
      <c r="R8" s="13">
        <f t="shared" si="8"/>
        <v>1.7886557022311429</v>
      </c>
      <c r="S8" s="13">
        <f t="shared" si="9"/>
        <v>2.0952823940421959</v>
      </c>
      <c r="T8" s="13">
        <f t="shared" si="13"/>
        <v>2.4019090858532492</v>
      </c>
      <c r="U8" s="12">
        <f t="shared" si="10"/>
        <v>0.67503866202203344</v>
      </c>
      <c r="V8" s="12">
        <f t="shared" si="11"/>
        <v>0.79075957551152465</v>
      </c>
      <c r="W8" s="12">
        <f t="shared" si="14"/>
        <v>0.9064804890010163</v>
      </c>
    </row>
    <row r="9" spans="1:24" x14ac:dyDescent="0.25">
      <c r="A9" s="11" t="s">
        <v>43</v>
      </c>
      <c r="B9" s="12">
        <v>66.3</v>
      </c>
      <c r="C9" s="12"/>
      <c r="D9" s="12">
        <f>'Texas pop'!$E$76*'EVs materials req'!B9</f>
        <v>1763580000</v>
      </c>
      <c r="E9" s="12">
        <f>B9*'Texas pop'!$E$77</f>
        <v>2065908000</v>
      </c>
      <c r="F9" s="12">
        <f>B9*'Texas pop'!$E$78</f>
        <v>2368236000</v>
      </c>
      <c r="G9" s="12">
        <f t="shared" si="12"/>
        <v>1763580</v>
      </c>
      <c r="H9" s="12">
        <f t="shared" si="3"/>
        <v>2065908</v>
      </c>
      <c r="I9" s="12">
        <f t="shared" si="4"/>
        <v>2368236</v>
      </c>
      <c r="J9" s="13">
        <f t="shared" si="5"/>
        <v>1.7635799999999999</v>
      </c>
      <c r="K9" s="13">
        <f t="shared" si="6"/>
        <v>2.0659079999999999</v>
      </c>
      <c r="L9" s="13">
        <f t="shared" si="7"/>
        <v>2.368236</v>
      </c>
      <c r="M9" s="12">
        <f>C9*'Texas pop'!$E$76/1000000000</f>
        <v>0</v>
      </c>
      <c r="N9" s="12">
        <f>C9*'Texas pop'!$E$77/1000000000</f>
        <v>0</v>
      </c>
      <c r="O9" s="12">
        <f>C9*'Texas pop'!$E$78/1000000000</f>
        <v>0</v>
      </c>
      <c r="P9" s="12">
        <v>1300000</v>
      </c>
      <c r="Q9" s="12" t="s">
        <v>86</v>
      </c>
      <c r="R9" s="13">
        <f t="shared" si="8"/>
        <v>1.3566</v>
      </c>
      <c r="S9" s="13">
        <f t="shared" si="9"/>
        <v>1.5891599999999999</v>
      </c>
      <c r="T9" s="13">
        <f t="shared" si="13"/>
        <v>1.82172</v>
      </c>
      <c r="U9" s="12">
        <f t="shared" si="10"/>
        <v>0.51198083999999999</v>
      </c>
      <c r="V9" s="12">
        <f t="shared" si="11"/>
        <v>0.59974898399999998</v>
      </c>
      <c r="W9" s="12">
        <f t="shared" si="14"/>
        <v>0.68751712800000009</v>
      </c>
    </row>
    <row r="10" spans="1:24" x14ac:dyDescent="0.25">
      <c r="A10" t="s">
        <v>44</v>
      </c>
      <c r="B10" s="6"/>
      <c r="C10" s="6"/>
      <c r="D10" s="6">
        <f>'Texas pop'!$E$76*'EVs materials req'!B10</f>
        <v>0</v>
      </c>
      <c r="E10" s="6">
        <f>B10*'Texas pop'!$E$77</f>
        <v>0</v>
      </c>
      <c r="F10" s="6">
        <f>B10*'Texas pop'!$E$78</f>
        <v>0</v>
      </c>
      <c r="G10" s="6">
        <f t="shared" si="12"/>
        <v>0</v>
      </c>
      <c r="H10" s="6">
        <f t="shared" si="3"/>
        <v>0</v>
      </c>
      <c r="I10" s="6">
        <f t="shared" si="4"/>
        <v>0</v>
      </c>
      <c r="J10" s="9">
        <f t="shared" si="5"/>
        <v>0</v>
      </c>
      <c r="K10" s="9">
        <f t="shared" si="6"/>
        <v>0</v>
      </c>
      <c r="L10" s="9">
        <f t="shared" si="7"/>
        <v>0</v>
      </c>
      <c r="M10" s="6">
        <f>C10*'Texas pop'!$E$76/1000000000</f>
        <v>0</v>
      </c>
      <c r="N10" s="6">
        <f>C10*'Texas pop'!$E$77/1000000000</f>
        <v>0</v>
      </c>
      <c r="O10" s="6">
        <f>C10*'Texas pop'!$E$78/1000000000</f>
        <v>0</v>
      </c>
      <c r="P10" s="6">
        <v>12500000</v>
      </c>
      <c r="Q10" s="6" t="s">
        <v>87</v>
      </c>
      <c r="R10" s="9">
        <f t="shared" si="8"/>
        <v>0</v>
      </c>
      <c r="S10" s="9">
        <f t="shared" si="9"/>
        <v>0</v>
      </c>
      <c r="T10" s="9">
        <f t="shared" si="13"/>
        <v>0</v>
      </c>
      <c r="U10" s="6">
        <f t="shared" si="10"/>
        <v>0</v>
      </c>
      <c r="V10" s="6">
        <f t="shared" si="11"/>
        <v>0</v>
      </c>
      <c r="W10" s="6">
        <f t="shared" si="14"/>
        <v>0</v>
      </c>
    </row>
    <row r="11" spans="1:24" x14ac:dyDescent="0.25">
      <c r="A11" t="s">
        <v>45</v>
      </c>
      <c r="B11" s="6">
        <v>0.5</v>
      </c>
      <c r="C11" s="6"/>
      <c r="D11" s="6">
        <f>'Texas pop'!$E$76*'EVs materials req'!B11</f>
        <v>13300000</v>
      </c>
      <c r="E11" s="6">
        <f>B11*'Texas pop'!$E$77</f>
        <v>15580000</v>
      </c>
      <c r="F11" s="6">
        <f>B11*'Texas pop'!$E$78</f>
        <v>17860000</v>
      </c>
      <c r="G11" s="6">
        <f t="shared" si="12"/>
        <v>13300</v>
      </c>
      <c r="H11" s="6">
        <f t="shared" si="3"/>
        <v>15580</v>
      </c>
      <c r="I11" s="6">
        <f t="shared" si="4"/>
        <v>17860</v>
      </c>
      <c r="J11" s="9">
        <f t="shared" si="5"/>
        <v>1.3299999999999999E-2</v>
      </c>
      <c r="K11" s="9">
        <f t="shared" si="6"/>
        <v>1.558E-2</v>
      </c>
      <c r="L11" s="9">
        <f t="shared" si="7"/>
        <v>1.7860000000000001E-2</v>
      </c>
      <c r="M11" s="6">
        <f>C11*'Texas pop'!$E$76/1000000000</f>
        <v>0</v>
      </c>
      <c r="N11" s="6">
        <f>C11*'Texas pop'!$E$77/1000000000</f>
        <v>0</v>
      </c>
      <c r="O11" s="6">
        <f>C11*'Texas pop'!$E$78/1000000000</f>
        <v>0</v>
      </c>
      <c r="P11" s="6">
        <v>1</v>
      </c>
      <c r="Q11" s="6"/>
      <c r="R11" s="9">
        <f t="shared" si="8"/>
        <v>13300</v>
      </c>
      <c r="S11" s="9">
        <f t="shared" si="9"/>
        <v>15580</v>
      </c>
      <c r="T11" s="9">
        <f t="shared" si="13"/>
        <v>17860</v>
      </c>
      <c r="U11" s="6">
        <f t="shared" si="10"/>
        <v>5019.42</v>
      </c>
      <c r="V11" s="6">
        <f t="shared" si="11"/>
        <v>5879.8920000000007</v>
      </c>
      <c r="W11" s="6">
        <f t="shared" si="14"/>
        <v>6740.3640000000005</v>
      </c>
    </row>
    <row r="12" spans="1:24" x14ac:dyDescent="0.25">
      <c r="A12" t="s">
        <v>46</v>
      </c>
      <c r="C12" s="6">
        <v>0.3</v>
      </c>
      <c r="M12" s="6">
        <f>C12*'Texas pop'!$E$76/1000000000</f>
        <v>7.9799999999999992E-3</v>
      </c>
      <c r="N12" s="6">
        <f>C12*'Texas pop'!$E$77/1000000000</f>
        <v>9.3480000000000004E-3</v>
      </c>
      <c r="O12" s="6">
        <f>C12*'Texas pop'!$E$78/1000000000</f>
        <v>1.0716E-2</v>
      </c>
      <c r="P12" s="6">
        <v>1</v>
      </c>
      <c r="Q12" s="6"/>
      <c r="R12" s="9">
        <f t="shared" si="8"/>
        <v>0</v>
      </c>
      <c r="S12" s="9">
        <f t="shared" si="9"/>
        <v>0</v>
      </c>
      <c r="T12" s="9">
        <f t="shared" si="13"/>
        <v>0</v>
      </c>
      <c r="U12" s="6">
        <f t="shared" si="10"/>
        <v>0</v>
      </c>
      <c r="V12" s="6">
        <f t="shared" si="11"/>
        <v>0</v>
      </c>
      <c r="W12" s="6">
        <f t="shared" si="14"/>
        <v>0</v>
      </c>
    </row>
    <row r="13" spans="1:24" x14ac:dyDescent="0.25">
      <c r="A13" t="s">
        <v>33</v>
      </c>
    </row>
    <row r="14" spans="1:24" ht="15.75" thickBot="1" x14ac:dyDescent="0.3">
      <c r="A14">
        <v>2030</v>
      </c>
      <c r="C14" s="11" t="s">
        <v>62</v>
      </c>
      <c r="D14" s="11"/>
      <c r="E14" s="11"/>
      <c r="F14" s="1" t="s">
        <v>72</v>
      </c>
      <c r="G14" s="1"/>
      <c r="H14" s="1">
        <v>3</v>
      </c>
      <c r="I14" s="1" t="s">
        <v>4</v>
      </c>
      <c r="J14" s="21">
        <v>3000</v>
      </c>
      <c r="K14" s="1" t="s">
        <v>73</v>
      </c>
    </row>
    <row r="15" spans="1:24" ht="16.5" thickBot="1" x14ac:dyDescent="0.3">
      <c r="A15">
        <v>2040</v>
      </c>
      <c r="C15" s="18">
        <v>22425000</v>
      </c>
      <c r="U15" t="s">
        <v>108</v>
      </c>
      <c r="W15">
        <f>W1/100*'Texas pop'!E78</f>
        <v>13480728</v>
      </c>
    </row>
    <row r="16" spans="1:24" x14ac:dyDescent="0.25">
      <c r="A16">
        <v>2050</v>
      </c>
      <c r="C16" t="s">
        <v>65</v>
      </c>
      <c r="D16" t="s">
        <v>66</v>
      </c>
      <c r="E16" t="s">
        <v>66</v>
      </c>
      <c r="F16" s="118" t="s">
        <v>67</v>
      </c>
      <c r="G16" s="118"/>
      <c r="U16" t="s">
        <v>109</v>
      </c>
      <c r="V16">
        <v>78585</v>
      </c>
      <c r="W16" t="s">
        <v>112</v>
      </c>
      <c r="X16">
        <f>V17/V16*W15</f>
        <v>848453.02141630079</v>
      </c>
    </row>
    <row r="17" spans="1:24" x14ac:dyDescent="0.25">
      <c r="A17" t="s">
        <v>48</v>
      </c>
      <c r="C17">
        <f>C15*1000</f>
        <v>22425000000</v>
      </c>
      <c r="D17">
        <f>C17/B5</f>
        <v>2519662921.3483143</v>
      </c>
      <c r="E17">
        <f>C17/B5*0.74</f>
        <v>1864550561.7977526</v>
      </c>
      <c r="F17" s="20">
        <f>D17/1000000</f>
        <v>2519.6629213483143</v>
      </c>
      <c r="G17" s="19">
        <f>E17/1000000</f>
        <v>1864.5505617977526</v>
      </c>
      <c r="U17" t="s">
        <v>110</v>
      </c>
      <c r="V17">
        <v>4946</v>
      </c>
      <c r="W17" t="s">
        <v>113</v>
      </c>
      <c r="X17">
        <f>X16-V17</f>
        <v>843507.02141630079</v>
      </c>
    </row>
    <row r="18" spans="1:24" x14ac:dyDescent="0.25">
      <c r="A18" t="s">
        <v>49</v>
      </c>
      <c r="U18" t="s">
        <v>111</v>
      </c>
      <c r="V18">
        <f>V16/V17</f>
        <v>15.88859684593611</v>
      </c>
    </row>
    <row r="19" spans="1:24" x14ac:dyDescent="0.25">
      <c r="A19" t="s">
        <v>57</v>
      </c>
    </row>
    <row r="37" spans="1:33" ht="14.45" customHeight="1" x14ac:dyDescent="0.25">
      <c r="AB37" s="119" t="s">
        <v>114</v>
      </c>
      <c r="AC37" s="119"/>
      <c r="AD37" s="119"/>
      <c r="AE37" s="119"/>
      <c r="AF37" s="119"/>
      <c r="AG37" s="119"/>
    </row>
    <row r="38" spans="1:33" x14ac:dyDescent="0.25">
      <c r="AB38" s="119"/>
      <c r="AC38" s="119"/>
      <c r="AD38" s="119"/>
      <c r="AE38" s="119"/>
      <c r="AF38" s="119"/>
      <c r="AG38" s="119"/>
    </row>
    <row r="39" spans="1:33" x14ac:dyDescent="0.25">
      <c r="AB39" s="119"/>
      <c r="AC39" s="119"/>
      <c r="AD39" s="119"/>
      <c r="AE39" s="119"/>
      <c r="AF39" s="119"/>
      <c r="AG39" s="119"/>
    </row>
    <row r="40" spans="1:33" x14ac:dyDescent="0.25">
      <c r="AB40" s="119"/>
      <c r="AC40" s="119"/>
      <c r="AD40" s="119"/>
      <c r="AE40" s="119"/>
      <c r="AF40" s="119"/>
      <c r="AG40" s="119"/>
    </row>
    <row r="41" spans="1:33" x14ac:dyDescent="0.25">
      <c r="A41" t="s">
        <v>59</v>
      </c>
      <c r="G41" t="s">
        <v>60</v>
      </c>
      <c r="AB41" s="119"/>
      <c r="AC41" s="119"/>
      <c r="AD41" s="119"/>
      <c r="AE41" s="119"/>
      <c r="AF41" s="119"/>
      <c r="AG41" s="119"/>
    </row>
    <row r="42" spans="1:33" x14ac:dyDescent="0.25">
      <c r="A42" t="s">
        <v>68</v>
      </c>
      <c r="AB42" s="119"/>
      <c r="AC42" s="119"/>
      <c r="AD42" s="119"/>
      <c r="AE42" s="119"/>
      <c r="AF42" s="119"/>
      <c r="AG42" s="119"/>
    </row>
    <row r="66" spans="1:13" x14ac:dyDescent="0.25">
      <c r="M66" t="s">
        <v>69</v>
      </c>
    </row>
    <row r="72" spans="1:13" x14ac:dyDescent="0.25">
      <c r="A72" t="s">
        <v>70</v>
      </c>
    </row>
    <row r="73" spans="1:13" x14ac:dyDescent="0.25">
      <c r="A73" s="38" t="s">
        <v>71</v>
      </c>
    </row>
    <row r="91" spans="1:25" x14ac:dyDescent="0.25">
      <c r="A91" t="s">
        <v>76</v>
      </c>
      <c r="L91" s="38" t="s">
        <v>77</v>
      </c>
      <c r="Y91" t="s">
        <v>78</v>
      </c>
    </row>
    <row r="122" spans="11:11" x14ac:dyDescent="0.25">
      <c r="K122" t="s">
        <v>79</v>
      </c>
    </row>
  </sheetData>
  <mergeCells count="10">
    <mergeCell ref="R2:T2"/>
    <mergeCell ref="F16:G16"/>
    <mergeCell ref="U2:W2"/>
    <mergeCell ref="AB37:AG42"/>
    <mergeCell ref="D2:F2"/>
    <mergeCell ref="B2:C2"/>
    <mergeCell ref="G2:I2"/>
    <mergeCell ref="J2:L2"/>
    <mergeCell ref="M2:O2"/>
    <mergeCell ref="P2:P3"/>
  </mergeCells>
  <hyperlinks>
    <hyperlink ref="Q7" r:id="rId1" location=":~:text=South%20Africa%20is%20the%20world's,was%2049.5%20million%20metric%20tons." xr:uid="{F084CEDB-E967-4094-93F7-5E284FB9F755}"/>
    <hyperlink ref="Q6" r:id="rId2" xr:uid="{C16B1662-45DC-4EFE-AD85-C364BC37FA48}"/>
    <hyperlink ref="A73" r:id="rId3" location=":~:text=By%202050%2C%20there%20will%20be,%2C%20using%20petroleum%2Dbased%20fuels." xr:uid="{507530C4-A5BC-4343-9B11-AA393EC34283}"/>
    <hyperlink ref="L91" r:id="rId4" xr:uid="{1AA15B74-470A-4FF7-991C-C69CCD1E40D9}"/>
  </hyperlinks>
  <pageMargins left="0.7" right="0.7" top="0.75" bottom="0.75" header="0.3" footer="0.3"/>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74117-9923-4141-A995-2623F9CECF86}">
  <dimension ref="A13:W68"/>
  <sheetViews>
    <sheetView topLeftCell="A22" zoomScale="79" zoomScaleNormal="70" workbookViewId="0">
      <selection activeCell="L11" sqref="L11"/>
    </sheetView>
  </sheetViews>
  <sheetFormatPr defaultColWidth="11.42578125" defaultRowHeight="15" x14ac:dyDescent="0.25"/>
  <sheetData>
    <row r="13" spans="1:22" x14ac:dyDescent="0.25">
      <c r="A13" t="s">
        <v>88</v>
      </c>
    </row>
    <row r="14" spans="1:22" x14ac:dyDescent="0.25">
      <c r="A14" t="s">
        <v>89</v>
      </c>
    </row>
    <row r="15" spans="1:22" x14ac:dyDescent="0.25">
      <c r="A15" t="s">
        <v>90</v>
      </c>
    </row>
    <row r="16" spans="1:22" x14ac:dyDescent="0.25">
      <c r="A16" t="s">
        <v>120</v>
      </c>
      <c r="B16" s="46" t="s">
        <v>38</v>
      </c>
      <c r="C16" s="46" t="s">
        <v>40</v>
      </c>
      <c r="D16" s="46" t="s">
        <v>41</v>
      </c>
      <c r="E16" s="46" t="s">
        <v>42</v>
      </c>
      <c r="F16" t="s">
        <v>91</v>
      </c>
      <c r="G16" t="s">
        <v>92</v>
      </c>
      <c r="H16" s="46" t="s">
        <v>44</v>
      </c>
      <c r="I16" t="s">
        <v>45</v>
      </c>
      <c r="J16" t="s">
        <v>93</v>
      </c>
      <c r="K16" t="s">
        <v>46</v>
      </c>
      <c r="M16" s="11" t="s">
        <v>115</v>
      </c>
      <c r="N16" s="11"/>
      <c r="O16" s="11"/>
      <c r="U16" s="1" t="s">
        <v>119</v>
      </c>
      <c r="V16" s="1">
        <v>42</v>
      </c>
    </row>
    <row r="17" spans="1:22" x14ac:dyDescent="0.25">
      <c r="A17" t="s">
        <v>94</v>
      </c>
      <c r="B17">
        <v>8000</v>
      </c>
      <c r="C17">
        <v>240</v>
      </c>
      <c r="D17">
        <v>790</v>
      </c>
      <c r="E17">
        <v>0</v>
      </c>
      <c r="F17">
        <v>525</v>
      </c>
      <c r="G17">
        <v>109</v>
      </c>
      <c r="H17">
        <v>5500</v>
      </c>
      <c r="I17">
        <v>239</v>
      </c>
      <c r="J17">
        <v>0</v>
      </c>
      <c r="K17">
        <v>6</v>
      </c>
      <c r="M17" s="12"/>
      <c r="N17" s="12" t="s">
        <v>100</v>
      </c>
      <c r="O17" s="12" t="s">
        <v>101</v>
      </c>
      <c r="Q17" s="12" t="s">
        <v>116</v>
      </c>
      <c r="R17" s="12" t="s">
        <v>117</v>
      </c>
      <c r="S17" s="12" t="s">
        <v>118</v>
      </c>
      <c r="T17" s="12" t="s">
        <v>118</v>
      </c>
      <c r="U17" s="12" t="s">
        <v>118</v>
      </c>
      <c r="V17" s="12" t="s">
        <v>118</v>
      </c>
    </row>
    <row r="18" spans="1:22" x14ac:dyDescent="0.25">
      <c r="A18" t="s">
        <v>95</v>
      </c>
      <c r="B18">
        <v>2900</v>
      </c>
      <c r="C18">
        <v>403.5</v>
      </c>
      <c r="D18">
        <v>780</v>
      </c>
      <c r="F18">
        <v>470</v>
      </c>
      <c r="G18">
        <v>99</v>
      </c>
      <c r="H18">
        <v>5500</v>
      </c>
      <c r="I18">
        <v>14</v>
      </c>
      <c r="K18">
        <v>0</v>
      </c>
      <c r="M18" s="12">
        <v>2030</v>
      </c>
      <c r="N18" s="12">
        <f>'Texas pop'!$L$114</f>
        <v>4.1402087757661237</v>
      </c>
      <c r="O18" s="12">
        <f>'Texas pop'!$M$114</f>
        <v>6.6243340412257981</v>
      </c>
      <c r="Q18" s="12">
        <v>2030</v>
      </c>
      <c r="R18" s="12">
        <v>485</v>
      </c>
      <c r="S18" s="37">
        <f>N18/$R$18*100</f>
        <v>0.8536512939723967</v>
      </c>
      <c r="T18" s="37">
        <f>O18/$R$18*100</f>
        <v>1.3658420703558347</v>
      </c>
      <c r="U18" s="9">
        <f>$V$16/100*S18</f>
        <v>0.3585335434684066</v>
      </c>
      <c r="V18" s="9">
        <f>$V$16/100*T18</f>
        <v>0.57365366954945052</v>
      </c>
    </row>
    <row r="19" spans="1:22" x14ac:dyDescent="0.25">
      <c r="A19" t="s">
        <v>96</v>
      </c>
      <c r="B19">
        <v>2822.1</v>
      </c>
      <c r="C19">
        <v>1.3</v>
      </c>
      <c r="D19">
        <v>0</v>
      </c>
      <c r="E19">
        <v>0</v>
      </c>
      <c r="F19">
        <v>0</v>
      </c>
      <c r="G19">
        <v>0</v>
      </c>
      <c r="H19">
        <v>29.99</v>
      </c>
      <c r="J19">
        <v>3948.3</v>
      </c>
      <c r="K19">
        <v>31.95</v>
      </c>
      <c r="M19" s="12">
        <v>2040</v>
      </c>
      <c r="N19" s="12">
        <f>'Texas pop'!$L$124</f>
        <v>16.692326929654733</v>
      </c>
      <c r="O19" s="12">
        <f>'Texas pop'!$M$124</f>
        <v>26.707723087447572</v>
      </c>
      <c r="Q19" s="12">
        <v>2040</v>
      </c>
      <c r="R19" s="12">
        <v>568</v>
      </c>
      <c r="S19" s="37">
        <f>N19/$R$19*100</f>
        <v>2.9387899524040022</v>
      </c>
      <c r="T19" s="37">
        <f>O19/$R$19*100</f>
        <v>4.7020639238464037</v>
      </c>
      <c r="U19" s="9">
        <f t="shared" ref="U19:U20" si="0">$V$16/100*S19</f>
        <v>1.2342917800096809</v>
      </c>
      <c r="V19" s="9">
        <f t="shared" ref="V19:V20" si="1">$V$16/100*T19</f>
        <v>1.9748668480154894</v>
      </c>
    </row>
    <row r="20" spans="1:22" x14ac:dyDescent="0.25">
      <c r="A20" t="s">
        <v>97</v>
      </c>
      <c r="B20">
        <v>1473</v>
      </c>
      <c r="C20">
        <v>1297.4000000000001</v>
      </c>
      <c r="D20">
        <v>147.69</v>
      </c>
      <c r="E20">
        <v>0</v>
      </c>
      <c r="F20">
        <v>2190</v>
      </c>
      <c r="G20">
        <v>70.8</v>
      </c>
      <c r="H20">
        <v>0</v>
      </c>
      <c r="I20">
        <v>0.5</v>
      </c>
      <c r="J20">
        <v>0</v>
      </c>
      <c r="K20">
        <v>94.28</v>
      </c>
      <c r="M20" s="12">
        <v>2050</v>
      </c>
      <c r="N20" s="12">
        <f>'Texas pop'!$L$134</f>
        <v>35.896569181010072</v>
      </c>
      <c r="O20" s="12">
        <f>'Texas pop'!$M$134</f>
        <v>57.434510689616118</v>
      </c>
      <c r="Q20" s="12">
        <v>2050</v>
      </c>
      <c r="R20" s="12">
        <v>650</v>
      </c>
      <c r="S20" s="37">
        <f>N20/$R$20*100</f>
        <v>5.5225491047707802</v>
      </c>
      <c r="T20" s="37">
        <f>O20/$R$20*100</f>
        <v>8.8360785676332494</v>
      </c>
      <c r="U20" s="9">
        <f t="shared" si="0"/>
        <v>2.3194706240037277</v>
      </c>
      <c r="V20" s="9">
        <f t="shared" si="1"/>
        <v>3.7111529984059648</v>
      </c>
    </row>
    <row r="21" spans="1:22" x14ac:dyDescent="0.25">
      <c r="A21" t="s">
        <v>98</v>
      </c>
      <c r="B21">
        <v>1150</v>
      </c>
      <c r="C21">
        <v>721.04</v>
      </c>
      <c r="D21">
        <v>4.63</v>
      </c>
      <c r="E21">
        <v>201.46</v>
      </c>
      <c r="F21">
        <v>307.5</v>
      </c>
      <c r="G21">
        <v>66.25</v>
      </c>
      <c r="H21">
        <v>0</v>
      </c>
      <c r="I21">
        <v>0</v>
      </c>
      <c r="J21">
        <v>0</v>
      </c>
      <c r="K21">
        <v>33.9</v>
      </c>
    </row>
    <row r="22" spans="1:22" ht="15.75" thickBot="1" x14ac:dyDescent="0.3">
      <c r="A22" t="s">
        <v>99</v>
      </c>
      <c r="B22">
        <v>1100</v>
      </c>
      <c r="C22">
        <v>15.75</v>
      </c>
      <c r="E22">
        <v>1.8</v>
      </c>
      <c r="F22">
        <v>48.34</v>
      </c>
      <c r="G22">
        <v>0</v>
      </c>
      <c r="H22">
        <v>0</v>
      </c>
      <c r="I22">
        <v>0</v>
      </c>
      <c r="J22">
        <v>0</v>
      </c>
      <c r="K22">
        <v>0</v>
      </c>
    </row>
    <row r="23" spans="1:22" x14ac:dyDescent="0.25">
      <c r="H23" s="124" t="s">
        <v>102</v>
      </c>
      <c r="I23" s="125"/>
      <c r="J23" s="125"/>
      <c r="K23" s="125"/>
      <c r="L23" s="125"/>
      <c r="M23" s="126"/>
      <c r="N23" s="124" t="s">
        <v>103</v>
      </c>
      <c r="O23" s="125"/>
      <c r="P23" s="125"/>
      <c r="Q23" s="125"/>
      <c r="R23" s="125"/>
      <c r="S23" s="126"/>
    </row>
    <row r="24" spans="1:22" x14ac:dyDescent="0.25">
      <c r="B24" t="s">
        <v>94</v>
      </c>
      <c r="C24" t="s">
        <v>95</v>
      </c>
      <c r="D24" t="s">
        <v>96</v>
      </c>
      <c r="E24" t="s">
        <v>97</v>
      </c>
      <c r="F24" t="s">
        <v>98</v>
      </c>
      <c r="G24" t="s">
        <v>99</v>
      </c>
      <c r="H24" s="25" t="s">
        <v>94</v>
      </c>
      <c r="I24" t="s">
        <v>95</v>
      </c>
      <c r="J24" t="s">
        <v>96</v>
      </c>
      <c r="K24" t="s">
        <v>97</v>
      </c>
      <c r="L24" t="s">
        <v>98</v>
      </c>
      <c r="M24" s="26" t="s">
        <v>99</v>
      </c>
      <c r="N24" s="25" t="s">
        <v>94</v>
      </c>
      <c r="O24" t="s">
        <v>95</v>
      </c>
      <c r="P24" t="s">
        <v>96</v>
      </c>
      <c r="Q24" t="s">
        <v>97</v>
      </c>
      <c r="R24" t="s">
        <v>98</v>
      </c>
      <c r="S24" s="26" t="s">
        <v>99</v>
      </c>
    </row>
    <row r="25" spans="1:22" x14ac:dyDescent="0.25">
      <c r="A25" t="s">
        <v>38</v>
      </c>
      <c r="B25">
        <v>8000</v>
      </c>
      <c r="C25">
        <v>2900</v>
      </c>
      <c r="D25">
        <v>2822.1</v>
      </c>
      <c r="E25">
        <v>1473</v>
      </c>
      <c r="F25">
        <v>1150</v>
      </c>
      <c r="G25" s="6">
        <v>1100</v>
      </c>
      <c r="H25" s="27">
        <f>B25*$N$18/1000</f>
        <v>33.121670206128989</v>
      </c>
      <c r="I25" s="6">
        <f t="shared" ref="I25:M25" si="2">C25*$N$18/1000</f>
        <v>12.006605449721759</v>
      </c>
      <c r="J25" s="6">
        <f t="shared" si="2"/>
        <v>11.684083186089579</v>
      </c>
      <c r="K25" s="6">
        <f t="shared" si="2"/>
        <v>6.0985275267035002</v>
      </c>
      <c r="L25" s="6">
        <f t="shared" si="2"/>
        <v>4.7612400921310414</v>
      </c>
      <c r="M25" s="28">
        <f t="shared" si="2"/>
        <v>4.5542296533427358</v>
      </c>
      <c r="N25" s="32">
        <f>B25*$O$18/1000</f>
        <v>52.994672329806392</v>
      </c>
      <c r="O25" s="9">
        <f t="shared" ref="O25:S25" si="3">C25*$O$18/1000</f>
        <v>19.210568719554814</v>
      </c>
      <c r="P25" s="9">
        <f t="shared" si="3"/>
        <v>18.694533097743321</v>
      </c>
      <c r="Q25" s="9">
        <f t="shared" si="3"/>
        <v>9.7576440427255999</v>
      </c>
      <c r="R25" s="9">
        <f t="shared" si="3"/>
        <v>7.6179841474096675</v>
      </c>
      <c r="S25" s="33">
        <f t="shared" si="3"/>
        <v>7.2867674453483779</v>
      </c>
    </row>
    <row r="26" spans="1:22" x14ac:dyDescent="0.25">
      <c r="A26" t="s">
        <v>40</v>
      </c>
      <c r="B26">
        <v>240</v>
      </c>
      <c r="C26">
        <v>403.5</v>
      </c>
      <c r="D26">
        <v>1.3</v>
      </c>
      <c r="E26">
        <v>1297.4000000000001</v>
      </c>
      <c r="F26">
        <v>721.04</v>
      </c>
      <c r="G26" s="6">
        <v>15.75</v>
      </c>
      <c r="H26" s="27">
        <f t="shared" ref="H26:H34" si="4">B26*$N$18/1000</f>
        <v>0.99365010618386962</v>
      </c>
      <c r="I26" s="6">
        <f t="shared" ref="I26:I34" si="5">C26*$N$18/1000</f>
        <v>1.6705742410216311</v>
      </c>
      <c r="J26" s="6">
        <f t="shared" ref="J26:J34" si="6">D26*$N$18/1000</f>
        <v>5.3822714084959611E-3</v>
      </c>
      <c r="K26" s="6">
        <f t="shared" ref="K26:K34" si="7">E26*$N$18/1000</f>
        <v>5.3715068656789686</v>
      </c>
      <c r="L26" s="6">
        <f t="shared" ref="L26:L34" si="8">F26*$N$18/1000</f>
        <v>2.985256135678406</v>
      </c>
      <c r="M26" s="28">
        <f t="shared" ref="M26:M34" si="9">G26*$N$18/1000</f>
        <v>6.5208288218316451E-2</v>
      </c>
      <c r="N26" s="32">
        <f t="shared" ref="N26:N34" si="10">B26*$O$18/1000</f>
        <v>1.5898401698941915</v>
      </c>
      <c r="O26" s="9">
        <f t="shared" ref="O26:O34" si="11">C26*$O$18/1000</f>
        <v>2.6729187856346095</v>
      </c>
      <c r="P26" s="9">
        <f t="shared" ref="P26:P34" si="12">D26*$O$18/1000</f>
        <v>8.6116342535935385E-3</v>
      </c>
      <c r="Q26" s="9">
        <f t="shared" ref="Q26:Q34" si="13">E26*$O$18/1000</f>
        <v>8.5944109850863519</v>
      </c>
      <c r="R26" s="9">
        <f t="shared" ref="R26:R34" si="14">F26*$O$18/1000</f>
        <v>4.7764098170854492</v>
      </c>
      <c r="S26" s="33">
        <f t="shared" ref="S26:S34" si="15">G26*$O$18/1000</f>
        <v>0.10433326114930633</v>
      </c>
    </row>
    <row r="27" spans="1:22" x14ac:dyDescent="0.25">
      <c r="A27" t="s">
        <v>41</v>
      </c>
      <c r="B27">
        <v>790</v>
      </c>
      <c r="C27">
        <v>780</v>
      </c>
      <c r="D27">
        <v>0</v>
      </c>
      <c r="E27">
        <v>147.69</v>
      </c>
      <c r="F27">
        <v>4.63</v>
      </c>
      <c r="G27" s="6"/>
      <c r="H27" s="27">
        <f t="shared" si="4"/>
        <v>3.2707649328552373</v>
      </c>
      <c r="I27" s="6">
        <f t="shared" si="5"/>
        <v>3.2293628450975764</v>
      </c>
      <c r="J27" s="6">
        <f t="shared" si="6"/>
        <v>0</v>
      </c>
      <c r="K27" s="6">
        <f t="shared" si="7"/>
        <v>0.61146743409289872</v>
      </c>
      <c r="L27" s="6">
        <f t="shared" si="8"/>
        <v>1.9169166631797154E-2</v>
      </c>
      <c r="M27" s="28">
        <f t="shared" si="9"/>
        <v>0</v>
      </c>
      <c r="N27" s="32">
        <f t="shared" si="10"/>
        <v>5.2332238925683807</v>
      </c>
      <c r="O27" s="9">
        <f t="shared" si="11"/>
        <v>5.1669805521561223</v>
      </c>
      <c r="P27" s="9">
        <f t="shared" si="12"/>
        <v>0</v>
      </c>
      <c r="Q27" s="9">
        <f t="shared" si="13"/>
        <v>0.97834789454863813</v>
      </c>
      <c r="R27" s="9">
        <f t="shared" si="14"/>
        <v>3.0670666610875443E-2</v>
      </c>
      <c r="S27" s="33">
        <f t="shared" si="15"/>
        <v>0</v>
      </c>
    </row>
    <row r="28" spans="1:22" x14ac:dyDescent="0.25">
      <c r="A28" t="s">
        <v>42</v>
      </c>
      <c r="B28">
        <v>0</v>
      </c>
      <c r="D28">
        <v>0</v>
      </c>
      <c r="E28">
        <v>0</v>
      </c>
      <c r="F28">
        <v>201.46</v>
      </c>
      <c r="G28" s="6">
        <v>1.8</v>
      </c>
      <c r="H28" s="27">
        <f t="shared" si="4"/>
        <v>0</v>
      </c>
      <c r="I28" s="6">
        <f t="shared" si="5"/>
        <v>0</v>
      </c>
      <c r="J28" s="6">
        <f t="shared" si="6"/>
        <v>0</v>
      </c>
      <c r="K28" s="6">
        <f t="shared" si="7"/>
        <v>0</v>
      </c>
      <c r="L28" s="6">
        <f t="shared" si="8"/>
        <v>0.8340864599658433</v>
      </c>
      <c r="M28" s="28">
        <f t="shared" si="9"/>
        <v>7.4523757963790233E-3</v>
      </c>
      <c r="N28" s="32">
        <f t="shared" si="10"/>
        <v>0</v>
      </c>
      <c r="O28" s="9">
        <f t="shared" si="11"/>
        <v>0</v>
      </c>
      <c r="P28" s="9">
        <f t="shared" si="12"/>
        <v>0</v>
      </c>
      <c r="Q28" s="9">
        <f t="shared" si="13"/>
        <v>0</v>
      </c>
      <c r="R28" s="9">
        <f t="shared" si="14"/>
        <v>1.3345383359453493</v>
      </c>
      <c r="S28" s="33">
        <f t="shared" si="15"/>
        <v>1.1923801274206437E-2</v>
      </c>
    </row>
    <row r="29" spans="1:22" x14ac:dyDescent="0.25">
      <c r="A29" t="s">
        <v>91</v>
      </c>
      <c r="B29">
        <v>525</v>
      </c>
      <c r="C29">
        <v>470</v>
      </c>
      <c r="D29">
        <v>0</v>
      </c>
      <c r="E29">
        <v>2190</v>
      </c>
      <c r="F29">
        <v>307.5</v>
      </c>
      <c r="G29" s="6">
        <v>48.34</v>
      </c>
      <c r="H29" s="27">
        <f t="shared" si="4"/>
        <v>2.1736096072772146</v>
      </c>
      <c r="I29" s="6">
        <f t="shared" si="5"/>
        <v>1.9458981246100782</v>
      </c>
      <c r="J29" s="6">
        <f t="shared" si="6"/>
        <v>0</v>
      </c>
      <c r="K29" s="6">
        <f t="shared" si="7"/>
        <v>9.0670572189278094</v>
      </c>
      <c r="L29" s="6">
        <f t="shared" si="8"/>
        <v>1.2731141985480832</v>
      </c>
      <c r="M29" s="28">
        <f t="shared" si="9"/>
        <v>0.20013769222053443</v>
      </c>
      <c r="N29" s="32">
        <f t="shared" si="10"/>
        <v>3.4777753716435442</v>
      </c>
      <c r="O29" s="9">
        <f t="shared" si="11"/>
        <v>3.1134369993761251</v>
      </c>
      <c r="P29" s="9">
        <f t="shared" si="12"/>
        <v>0</v>
      </c>
      <c r="Q29" s="9">
        <f t="shared" si="13"/>
        <v>14.507291550284497</v>
      </c>
      <c r="R29" s="9">
        <f t="shared" si="14"/>
        <v>2.0369827176769331</v>
      </c>
      <c r="S29" s="33">
        <f t="shared" si="15"/>
        <v>0.32022030755285508</v>
      </c>
    </row>
    <row r="30" spans="1:22" x14ac:dyDescent="0.25">
      <c r="A30" t="s">
        <v>92</v>
      </c>
      <c r="B30">
        <v>109</v>
      </c>
      <c r="C30">
        <v>99</v>
      </c>
      <c r="D30">
        <v>0</v>
      </c>
      <c r="E30">
        <v>70.8</v>
      </c>
      <c r="F30">
        <v>66.25</v>
      </c>
      <c r="G30" s="6">
        <v>0</v>
      </c>
      <c r="H30" s="27">
        <f t="shared" si="4"/>
        <v>0.45128275655850747</v>
      </c>
      <c r="I30" s="6">
        <f t="shared" si="5"/>
        <v>0.40988066880084623</v>
      </c>
      <c r="J30" s="6">
        <f t="shared" si="6"/>
        <v>0</v>
      </c>
      <c r="K30" s="6">
        <f t="shared" si="7"/>
        <v>0.29312678132424158</v>
      </c>
      <c r="L30" s="6">
        <f t="shared" si="8"/>
        <v>0.27428883139450566</v>
      </c>
      <c r="M30" s="28">
        <f t="shared" si="9"/>
        <v>0</v>
      </c>
      <c r="N30" s="32">
        <f t="shared" si="10"/>
        <v>0.72205241049361202</v>
      </c>
      <c r="O30" s="9">
        <f t="shared" si="11"/>
        <v>0.65580907008135403</v>
      </c>
      <c r="P30" s="9">
        <f t="shared" si="12"/>
        <v>0</v>
      </c>
      <c r="Q30" s="9">
        <f t="shared" si="13"/>
        <v>0.46900285011878645</v>
      </c>
      <c r="R30" s="9">
        <f t="shared" si="14"/>
        <v>0.43886213023120912</v>
      </c>
      <c r="S30" s="33">
        <f t="shared" si="15"/>
        <v>0</v>
      </c>
    </row>
    <row r="31" spans="1:22" x14ac:dyDescent="0.25">
      <c r="A31" t="s">
        <v>44</v>
      </c>
      <c r="B31">
        <v>5500</v>
      </c>
      <c r="C31">
        <v>5500</v>
      </c>
      <c r="D31">
        <v>29.99</v>
      </c>
      <c r="E31">
        <v>0</v>
      </c>
      <c r="F31">
        <v>0</v>
      </c>
      <c r="G31" s="6">
        <v>0</v>
      </c>
      <c r="H31" s="27">
        <f t="shared" si="4"/>
        <v>22.771148266713681</v>
      </c>
      <c r="I31" s="6">
        <f t="shared" si="5"/>
        <v>22.771148266713681</v>
      </c>
      <c r="J31" s="6">
        <f t="shared" si="6"/>
        <v>0.12416486118522604</v>
      </c>
      <c r="K31" s="6">
        <f t="shared" si="7"/>
        <v>0</v>
      </c>
      <c r="L31" s="6">
        <f t="shared" si="8"/>
        <v>0</v>
      </c>
      <c r="M31" s="28">
        <f t="shared" si="9"/>
        <v>0</v>
      </c>
      <c r="N31" s="32">
        <f t="shared" si="10"/>
        <v>36.433837226741886</v>
      </c>
      <c r="O31" s="9">
        <f t="shared" si="11"/>
        <v>36.433837226741886</v>
      </c>
      <c r="P31" s="9">
        <f t="shared" si="12"/>
        <v>0.19866377789636167</v>
      </c>
      <c r="Q31" s="9">
        <f t="shared" si="13"/>
        <v>0</v>
      </c>
      <c r="R31" s="9">
        <f t="shared" si="14"/>
        <v>0</v>
      </c>
      <c r="S31" s="33">
        <f t="shared" si="15"/>
        <v>0</v>
      </c>
    </row>
    <row r="32" spans="1:22" x14ac:dyDescent="0.25">
      <c r="A32" t="s">
        <v>45</v>
      </c>
      <c r="B32">
        <v>239</v>
      </c>
      <c r="C32">
        <v>14</v>
      </c>
      <c r="E32">
        <v>0.5</v>
      </c>
      <c r="F32">
        <v>0</v>
      </c>
      <c r="G32" s="6">
        <v>0</v>
      </c>
      <c r="H32" s="27">
        <f t="shared" si="4"/>
        <v>0.98950989740810358</v>
      </c>
      <c r="I32" s="6">
        <f t="shared" si="5"/>
        <v>5.7962922860725734E-2</v>
      </c>
      <c r="J32" s="6">
        <f t="shared" si="6"/>
        <v>0</v>
      </c>
      <c r="K32" s="6">
        <f t="shared" si="7"/>
        <v>2.0701043878830617E-3</v>
      </c>
      <c r="L32" s="6">
        <f t="shared" si="8"/>
        <v>0</v>
      </c>
      <c r="M32" s="28">
        <f t="shared" si="9"/>
        <v>0</v>
      </c>
      <c r="N32" s="32">
        <f t="shared" si="10"/>
        <v>1.5832158358529658</v>
      </c>
      <c r="O32" s="9">
        <f t="shared" si="11"/>
        <v>9.2740676577161174E-2</v>
      </c>
      <c r="P32" s="9">
        <f t="shared" si="12"/>
        <v>0</v>
      </c>
      <c r="Q32" s="9">
        <f t="shared" si="13"/>
        <v>3.312167020612899E-3</v>
      </c>
      <c r="R32" s="9">
        <f t="shared" si="14"/>
        <v>0</v>
      </c>
      <c r="S32" s="33">
        <f t="shared" si="15"/>
        <v>0</v>
      </c>
    </row>
    <row r="33" spans="1:19" x14ac:dyDescent="0.25">
      <c r="A33" t="s">
        <v>93</v>
      </c>
      <c r="B33">
        <v>0</v>
      </c>
      <c r="D33">
        <v>3948.3</v>
      </c>
      <c r="E33">
        <v>0</v>
      </c>
      <c r="F33">
        <v>0</v>
      </c>
      <c r="G33" s="6">
        <v>0</v>
      </c>
      <c r="H33" s="27">
        <f t="shared" si="4"/>
        <v>0</v>
      </c>
      <c r="I33" s="6">
        <f t="shared" si="5"/>
        <v>0</v>
      </c>
      <c r="J33" s="6">
        <f t="shared" si="6"/>
        <v>16.346786309357388</v>
      </c>
      <c r="K33" s="6">
        <f t="shared" si="7"/>
        <v>0</v>
      </c>
      <c r="L33" s="6">
        <f t="shared" si="8"/>
        <v>0</v>
      </c>
      <c r="M33" s="28">
        <f t="shared" si="9"/>
        <v>0</v>
      </c>
      <c r="N33" s="32">
        <f t="shared" si="10"/>
        <v>0</v>
      </c>
      <c r="O33" s="9">
        <f t="shared" si="11"/>
        <v>0</v>
      </c>
      <c r="P33" s="9">
        <f t="shared" si="12"/>
        <v>26.154858094971821</v>
      </c>
      <c r="Q33" s="9">
        <f t="shared" si="13"/>
        <v>0</v>
      </c>
      <c r="R33" s="9">
        <f t="shared" si="14"/>
        <v>0</v>
      </c>
      <c r="S33" s="33">
        <f t="shared" si="15"/>
        <v>0</v>
      </c>
    </row>
    <row r="34" spans="1:19" ht="15.75" thickBot="1" x14ac:dyDescent="0.3">
      <c r="A34" t="s">
        <v>46</v>
      </c>
      <c r="B34">
        <v>6</v>
      </c>
      <c r="C34">
        <v>0</v>
      </c>
      <c r="D34">
        <v>31.95</v>
      </c>
      <c r="E34">
        <v>94.28</v>
      </c>
      <c r="F34">
        <v>33.9</v>
      </c>
      <c r="G34" s="6">
        <v>0</v>
      </c>
      <c r="H34" s="29">
        <f t="shared" si="4"/>
        <v>2.4841252654596743E-2</v>
      </c>
      <c r="I34" s="30">
        <f t="shared" si="5"/>
        <v>0</v>
      </c>
      <c r="J34" s="30">
        <f t="shared" si="6"/>
        <v>0.13227967038572766</v>
      </c>
      <c r="K34" s="30">
        <f t="shared" si="7"/>
        <v>0.39033888337923012</v>
      </c>
      <c r="L34" s="30">
        <f t="shared" si="8"/>
        <v>0.14035307749847159</v>
      </c>
      <c r="M34" s="31">
        <f t="shared" si="9"/>
        <v>0</v>
      </c>
      <c r="N34" s="34">
        <f t="shared" si="10"/>
        <v>3.9746004247354791E-2</v>
      </c>
      <c r="O34" s="35">
        <f t="shared" si="11"/>
        <v>0</v>
      </c>
      <c r="P34" s="35">
        <f t="shared" si="12"/>
        <v>0.21164747261716427</v>
      </c>
      <c r="Q34" s="35">
        <f t="shared" si="13"/>
        <v>0.6245422134067683</v>
      </c>
      <c r="R34" s="35">
        <f t="shared" si="14"/>
        <v>0.22456492399755457</v>
      </c>
      <c r="S34" s="36">
        <f t="shared" si="15"/>
        <v>0</v>
      </c>
    </row>
    <row r="35" spans="1:19" ht="15.75" thickBot="1" x14ac:dyDescent="0.3"/>
    <row r="36" spans="1:19" x14ac:dyDescent="0.25">
      <c r="H36" s="124" t="s">
        <v>104</v>
      </c>
      <c r="I36" s="125"/>
      <c r="J36" s="125"/>
      <c r="K36" s="125"/>
      <c r="L36" s="125"/>
      <c r="M36" s="126"/>
      <c r="N36" s="124" t="s">
        <v>105</v>
      </c>
      <c r="O36" s="125"/>
      <c r="P36" s="125"/>
      <c r="Q36" s="125"/>
      <c r="R36" s="125"/>
      <c r="S36" s="126"/>
    </row>
    <row r="37" spans="1:19" x14ac:dyDescent="0.25">
      <c r="H37" s="25" t="s">
        <v>94</v>
      </c>
      <c r="I37" t="s">
        <v>95</v>
      </c>
      <c r="J37" t="s">
        <v>96</v>
      </c>
      <c r="K37" t="s">
        <v>97</v>
      </c>
      <c r="L37" t="s">
        <v>98</v>
      </c>
      <c r="M37" s="26" t="s">
        <v>99</v>
      </c>
      <c r="N37" s="25" t="s">
        <v>94</v>
      </c>
      <c r="O37" t="s">
        <v>95</v>
      </c>
      <c r="P37" t="s">
        <v>96</v>
      </c>
      <c r="Q37" t="s">
        <v>97</v>
      </c>
      <c r="R37" t="s">
        <v>98</v>
      </c>
      <c r="S37" s="26" t="s">
        <v>99</v>
      </c>
    </row>
    <row r="38" spans="1:19" x14ac:dyDescent="0.25">
      <c r="H38" s="32">
        <f>B25*$N$19/1000</f>
        <v>133.53861543723787</v>
      </c>
      <c r="I38" s="9">
        <f t="shared" ref="I38:M38" si="16">C25*$N$19/1000</f>
        <v>48.407748095998727</v>
      </c>
      <c r="J38" s="9">
        <f t="shared" si="16"/>
        <v>47.107415828178624</v>
      </c>
      <c r="K38" s="9">
        <f t="shared" si="16"/>
        <v>24.587797567381422</v>
      </c>
      <c r="L38" s="9">
        <f t="shared" si="16"/>
        <v>19.196175969102942</v>
      </c>
      <c r="M38" s="33">
        <f t="shared" si="16"/>
        <v>18.361559622620206</v>
      </c>
      <c r="N38" s="32">
        <f>B25*$O$19/1000</f>
        <v>213.66178469958058</v>
      </c>
      <c r="O38" s="9">
        <f t="shared" ref="O38:S38" si="17">C25*$O$19/1000</f>
        <v>77.452396953597955</v>
      </c>
      <c r="P38" s="9">
        <f t="shared" si="17"/>
        <v>75.371865325085793</v>
      </c>
      <c r="Q38" s="9">
        <f t="shared" si="17"/>
        <v>39.340476107810275</v>
      </c>
      <c r="R38" s="9">
        <f t="shared" si="17"/>
        <v>30.713881550564707</v>
      </c>
      <c r="S38" s="33">
        <f t="shared" si="17"/>
        <v>29.378495396192331</v>
      </c>
    </row>
    <row r="39" spans="1:19" x14ac:dyDescent="0.25">
      <c r="H39" s="32">
        <f t="shared" ref="H39:H46" si="18">B26*$N$19/1000</f>
        <v>4.0061584631171359</v>
      </c>
      <c r="I39" s="9">
        <f t="shared" ref="I39:I47" si="19">C26*$N$19/1000</f>
        <v>6.7353539161156855</v>
      </c>
      <c r="J39" s="9">
        <f t="shared" ref="J39:J47" si="20">D26*$N$19/1000</f>
        <v>2.1700025008551154E-2</v>
      </c>
      <c r="K39" s="9">
        <f t="shared" ref="K39:K47" si="21">E26*$N$19/1000</f>
        <v>21.656624958534053</v>
      </c>
      <c r="L39" s="9">
        <f t="shared" ref="L39:L47" si="22">F26*$N$19/1000</f>
        <v>12.035835409358247</v>
      </c>
      <c r="M39" s="33">
        <f t="shared" ref="M39:M47" si="23">G26*$N$19/1000</f>
        <v>0.26290414914206206</v>
      </c>
      <c r="N39" s="32">
        <f t="shared" ref="N39:N46" si="24">B26*$O$19/1000</f>
        <v>6.4098535409874176</v>
      </c>
      <c r="O39" s="9">
        <f t="shared" ref="O39:O47" si="25">C26*$O$19/1000</f>
        <v>10.776566265785096</v>
      </c>
      <c r="P39" s="9">
        <f t="shared" ref="P39:P47" si="26">D26*$O$19/1000</f>
        <v>3.4720040013681848E-2</v>
      </c>
      <c r="Q39" s="9">
        <f t="shared" ref="Q39:Q47" si="27">E26*$O$19/1000</f>
        <v>34.650599933654483</v>
      </c>
      <c r="R39" s="9">
        <f t="shared" ref="R39:R47" si="28">F26*$O$19/1000</f>
        <v>19.257336654973198</v>
      </c>
      <c r="S39" s="33">
        <f t="shared" ref="S39:S47" si="29">G26*$O$19/1000</f>
        <v>0.42064663862729923</v>
      </c>
    </row>
    <row r="40" spans="1:19" x14ac:dyDescent="0.25">
      <c r="H40" s="32">
        <f t="shared" si="18"/>
        <v>13.18693827442724</v>
      </c>
      <c r="I40" s="9">
        <f t="shared" si="19"/>
        <v>13.020015005130691</v>
      </c>
      <c r="J40" s="9">
        <f t="shared" si="20"/>
        <v>0</v>
      </c>
      <c r="K40" s="9">
        <f t="shared" si="21"/>
        <v>2.4652897642407074</v>
      </c>
      <c r="L40" s="9">
        <f t="shared" si="22"/>
        <v>7.7285473684301415E-2</v>
      </c>
      <c r="M40" s="33">
        <f t="shared" si="23"/>
        <v>0</v>
      </c>
      <c r="N40" s="32">
        <f t="shared" si="24"/>
        <v>21.099101239083581</v>
      </c>
      <c r="O40" s="9">
        <f t="shared" si="25"/>
        <v>20.832024008209107</v>
      </c>
      <c r="P40" s="9">
        <f t="shared" si="26"/>
        <v>0</v>
      </c>
      <c r="Q40" s="9">
        <f t="shared" si="27"/>
        <v>3.9444636227851322</v>
      </c>
      <c r="R40" s="9">
        <f t="shared" si="28"/>
        <v>0.12365675789488226</v>
      </c>
      <c r="S40" s="33">
        <f t="shared" si="29"/>
        <v>0</v>
      </c>
    </row>
    <row r="41" spans="1:19" x14ac:dyDescent="0.25">
      <c r="H41" s="32">
        <f t="shared" si="18"/>
        <v>0</v>
      </c>
      <c r="I41" s="9">
        <f t="shared" si="19"/>
        <v>0</v>
      </c>
      <c r="J41" s="9">
        <f t="shared" si="20"/>
        <v>0</v>
      </c>
      <c r="K41" s="9">
        <f t="shared" si="21"/>
        <v>0</v>
      </c>
      <c r="L41" s="9">
        <f t="shared" si="22"/>
        <v>3.362836183248243</v>
      </c>
      <c r="M41" s="33">
        <f t="shared" si="23"/>
        <v>3.0046188473378522E-2</v>
      </c>
      <c r="N41" s="32">
        <f t="shared" si="24"/>
        <v>0</v>
      </c>
      <c r="O41" s="9">
        <f t="shared" si="25"/>
        <v>0</v>
      </c>
      <c r="P41" s="9">
        <f t="shared" si="26"/>
        <v>0</v>
      </c>
      <c r="Q41" s="9">
        <f t="shared" si="27"/>
        <v>0</v>
      </c>
      <c r="R41" s="9">
        <f t="shared" si="28"/>
        <v>5.3805378931971886</v>
      </c>
      <c r="S41" s="33">
        <f t="shared" si="29"/>
        <v>4.8073901557405631E-2</v>
      </c>
    </row>
    <row r="42" spans="1:19" x14ac:dyDescent="0.25">
      <c r="H42" s="32">
        <f t="shared" si="18"/>
        <v>8.7634716380687347</v>
      </c>
      <c r="I42" s="9">
        <f t="shared" si="19"/>
        <v>7.8453936569377243</v>
      </c>
      <c r="J42" s="9">
        <f t="shared" si="20"/>
        <v>0</v>
      </c>
      <c r="K42" s="9">
        <f t="shared" si="21"/>
        <v>36.556195975943872</v>
      </c>
      <c r="L42" s="9">
        <f t="shared" si="22"/>
        <v>5.1328905308688313</v>
      </c>
      <c r="M42" s="33">
        <f t="shared" si="23"/>
        <v>0.80690708377950993</v>
      </c>
      <c r="N42" s="32">
        <f t="shared" si="24"/>
        <v>14.021554620909976</v>
      </c>
      <c r="O42" s="9">
        <f t="shared" si="25"/>
        <v>12.55262985110036</v>
      </c>
      <c r="P42" s="9">
        <f t="shared" si="26"/>
        <v>0</v>
      </c>
      <c r="Q42" s="9">
        <f t="shared" si="27"/>
        <v>58.489913561510186</v>
      </c>
      <c r="R42" s="9">
        <f t="shared" si="28"/>
        <v>8.2126248493901297</v>
      </c>
      <c r="S42" s="33">
        <f t="shared" si="29"/>
        <v>1.2910513340472158</v>
      </c>
    </row>
    <row r="43" spans="1:19" x14ac:dyDescent="0.25">
      <c r="H43" s="32">
        <f t="shared" si="18"/>
        <v>1.8194636353323659</v>
      </c>
      <c r="I43" s="9">
        <f t="shared" si="19"/>
        <v>1.6525403660358187</v>
      </c>
      <c r="J43" s="9">
        <f t="shared" si="20"/>
        <v>0</v>
      </c>
      <c r="K43" s="9">
        <f t="shared" si="21"/>
        <v>1.181816746619555</v>
      </c>
      <c r="L43" s="9">
        <f t="shared" si="22"/>
        <v>1.1058666590896262</v>
      </c>
      <c r="M43" s="33">
        <f t="shared" si="23"/>
        <v>0</v>
      </c>
      <c r="N43" s="32">
        <f t="shared" si="24"/>
        <v>2.9111418165317855</v>
      </c>
      <c r="O43" s="9">
        <f t="shared" si="25"/>
        <v>2.6440645856573095</v>
      </c>
      <c r="P43" s="9">
        <f t="shared" si="26"/>
        <v>0</v>
      </c>
      <c r="Q43" s="9">
        <f t="shared" si="27"/>
        <v>1.8909067945912879</v>
      </c>
      <c r="R43" s="9">
        <f t="shared" si="28"/>
        <v>1.7693866545434016</v>
      </c>
      <c r="S43" s="33">
        <f t="shared" si="29"/>
        <v>0</v>
      </c>
    </row>
    <row r="44" spans="1:19" x14ac:dyDescent="0.25">
      <c r="H44" s="32">
        <f t="shared" si="18"/>
        <v>91.807798113101029</v>
      </c>
      <c r="I44" s="9">
        <f t="shared" si="19"/>
        <v>91.807798113101029</v>
      </c>
      <c r="J44" s="9">
        <f t="shared" si="20"/>
        <v>0.50060288462034541</v>
      </c>
      <c r="K44" s="9">
        <f t="shared" si="21"/>
        <v>0</v>
      </c>
      <c r="L44" s="9">
        <f t="shared" si="22"/>
        <v>0</v>
      </c>
      <c r="M44" s="33">
        <f t="shared" si="23"/>
        <v>0</v>
      </c>
      <c r="N44" s="32">
        <f t="shared" si="24"/>
        <v>146.89247698096165</v>
      </c>
      <c r="O44" s="9">
        <f t="shared" si="25"/>
        <v>146.89247698096165</v>
      </c>
      <c r="P44" s="9">
        <f t="shared" si="26"/>
        <v>0.8009646153925527</v>
      </c>
      <c r="Q44" s="9">
        <f t="shared" si="27"/>
        <v>0</v>
      </c>
      <c r="R44" s="9">
        <f t="shared" si="28"/>
        <v>0</v>
      </c>
      <c r="S44" s="33">
        <f t="shared" si="29"/>
        <v>0</v>
      </c>
    </row>
    <row r="45" spans="1:19" x14ac:dyDescent="0.25">
      <c r="H45" s="32">
        <f t="shared" si="18"/>
        <v>3.9894661361874815</v>
      </c>
      <c r="I45" s="9">
        <f t="shared" si="19"/>
        <v>0.23369257701516624</v>
      </c>
      <c r="J45" s="9">
        <f t="shared" si="20"/>
        <v>0</v>
      </c>
      <c r="K45" s="9">
        <f t="shared" si="21"/>
        <v>8.346163464827366E-3</v>
      </c>
      <c r="L45" s="9">
        <f t="shared" si="22"/>
        <v>0</v>
      </c>
      <c r="M45" s="33">
        <f t="shared" si="23"/>
        <v>0</v>
      </c>
      <c r="N45" s="32">
        <f t="shared" si="24"/>
        <v>6.3831458178999698</v>
      </c>
      <c r="O45" s="9">
        <f t="shared" si="25"/>
        <v>0.37390812322426603</v>
      </c>
      <c r="P45" s="9">
        <f t="shared" si="26"/>
        <v>0</v>
      </c>
      <c r="Q45" s="9">
        <f t="shared" si="27"/>
        <v>1.3353861543723786E-2</v>
      </c>
      <c r="R45" s="9">
        <f t="shared" si="28"/>
        <v>0</v>
      </c>
      <c r="S45" s="33">
        <f t="shared" si="29"/>
        <v>0</v>
      </c>
    </row>
    <row r="46" spans="1:19" x14ac:dyDescent="0.25">
      <c r="H46" s="32">
        <f t="shared" si="18"/>
        <v>0</v>
      </c>
      <c r="I46" s="9">
        <f t="shared" si="19"/>
        <v>0</v>
      </c>
      <c r="J46" s="9">
        <f t="shared" si="20"/>
        <v>65.906314416355784</v>
      </c>
      <c r="K46" s="9">
        <f t="shared" si="21"/>
        <v>0</v>
      </c>
      <c r="L46" s="9">
        <f t="shared" si="22"/>
        <v>0</v>
      </c>
      <c r="M46" s="33">
        <f t="shared" si="23"/>
        <v>0</v>
      </c>
      <c r="N46" s="32">
        <f t="shared" si="24"/>
        <v>0</v>
      </c>
      <c r="O46" s="9">
        <f t="shared" si="25"/>
        <v>0</v>
      </c>
      <c r="P46" s="9">
        <f t="shared" si="26"/>
        <v>105.45010306616925</v>
      </c>
      <c r="Q46" s="9">
        <f t="shared" si="27"/>
        <v>0</v>
      </c>
      <c r="R46" s="9">
        <f t="shared" si="28"/>
        <v>0</v>
      </c>
      <c r="S46" s="33">
        <f t="shared" si="29"/>
        <v>0</v>
      </c>
    </row>
    <row r="47" spans="1:19" ht="15.75" thickBot="1" x14ac:dyDescent="0.3">
      <c r="H47" s="34">
        <f>B34*$N$19/1000</f>
        <v>0.1001539615779284</v>
      </c>
      <c r="I47" s="35">
        <f t="shared" si="19"/>
        <v>0</v>
      </c>
      <c r="J47" s="35">
        <f t="shared" si="20"/>
        <v>0.53331984540246868</v>
      </c>
      <c r="K47" s="35">
        <f t="shared" si="21"/>
        <v>1.5737525829278483</v>
      </c>
      <c r="L47" s="35">
        <f t="shared" si="22"/>
        <v>0.56586988291529539</v>
      </c>
      <c r="M47" s="36">
        <f t="shared" si="23"/>
        <v>0</v>
      </c>
      <c r="N47" s="34">
        <f>B34*$O$19/1000</f>
        <v>0.16024633852468542</v>
      </c>
      <c r="O47" s="35">
        <f t="shared" si="25"/>
        <v>0</v>
      </c>
      <c r="P47" s="35">
        <f t="shared" si="26"/>
        <v>0.85331175264394998</v>
      </c>
      <c r="Q47" s="35">
        <f t="shared" si="27"/>
        <v>2.518004132684557</v>
      </c>
      <c r="R47" s="35">
        <f t="shared" si="28"/>
        <v>0.90539181266447266</v>
      </c>
      <c r="S47" s="36">
        <f t="shared" si="29"/>
        <v>0</v>
      </c>
    </row>
    <row r="48" spans="1:19" ht="15.75" thickBot="1" x14ac:dyDescent="0.3"/>
    <row r="49" spans="1:23" x14ac:dyDescent="0.25">
      <c r="H49" s="124" t="s">
        <v>106</v>
      </c>
      <c r="I49" s="125"/>
      <c r="J49" s="125"/>
      <c r="K49" s="125"/>
      <c r="L49" s="125"/>
      <c r="M49" s="126"/>
      <c r="N49" s="124" t="s">
        <v>107</v>
      </c>
      <c r="O49" s="125"/>
      <c r="P49" s="125"/>
      <c r="Q49" s="125"/>
      <c r="R49" s="125"/>
      <c r="S49" s="126"/>
    </row>
    <row r="50" spans="1:23" x14ac:dyDescent="0.25">
      <c r="H50" s="25" t="s">
        <v>94</v>
      </c>
      <c r="I50" t="s">
        <v>95</v>
      </c>
      <c r="J50" t="s">
        <v>96</v>
      </c>
      <c r="K50" t="s">
        <v>97</v>
      </c>
      <c r="L50" t="s">
        <v>98</v>
      </c>
      <c r="M50" s="26" t="s">
        <v>99</v>
      </c>
      <c r="N50" s="25" t="s">
        <v>94</v>
      </c>
      <c r="O50" t="s">
        <v>95</v>
      </c>
      <c r="P50" t="s">
        <v>96</v>
      </c>
      <c r="Q50" t="s">
        <v>97</v>
      </c>
      <c r="R50" t="s">
        <v>98</v>
      </c>
      <c r="S50" s="26" t="s">
        <v>99</v>
      </c>
    </row>
    <row r="51" spans="1:23" x14ac:dyDescent="0.25">
      <c r="A51" t="s">
        <v>38</v>
      </c>
      <c r="H51" s="32">
        <f>B25*$N$20/1000</f>
        <v>287.17255344808058</v>
      </c>
      <c r="I51" s="9">
        <f t="shared" ref="I51:M51" si="30">C25*$N$20/1000</f>
        <v>104.10005062492921</v>
      </c>
      <c r="J51" s="9">
        <f t="shared" si="30"/>
        <v>101.30370788572853</v>
      </c>
      <c r="K51" s="9">
        <f t="shared" si="30"/>
        <v>52.875646403627833</v>
      </c>
      <c r="L51" s="9">
        <f t="shared" si="30"/>
        <v>41.281054558161578</v>
      </c>
      <c r="M51" s="33">
        <f t="shared" si="30"/>
        <v>39.486226099111079</v>
      </c>
      <c r="N51" s="32">
        <f>B25*$O$20/1000</f>
        <v>459.47608551692895</v>
      </c>
      <c r="O51" s="9">
        <f t="shared" ref="O51:S51" si="31">C25*$O$20/1000</f>
        <v>166.56008099988674</v>
      </c>
      <c r="P51" s="9">
        <f t="shared" si="31"/>
        <v>162.08593261716564</v>
      </c>
      <c r="Q51" s="9">
        <f t="shared" si="31"/>
        <v>84.601034245804556</v>
      </c>
      <c r="R51" s="9">
        <f t="shared" si="31"/>
        <v>66.04968729305854</v>
      </c>
      <c r="S51" s="33">
        <f t="shared" si="31"/>
        <v>63.17796175857773</v>
      </c>
    </row>
    <row r="52" spans="1:23" x14ac:dyDescent="0.25">
      <c r="A52" t="s">
        <v>40</v>
      </c>
      <c r="H52" s="32">
        <f t="shared" ref="H52:H60" si="32">B26*$N$20/1000</f>
        <v>8.6151766034424178</v>
      </c>
      <c r="I52" s="9">
        <f t="shared" ref="I52:I60" si="33">C26*$N$20/1000</f>
        <v>14.484265664537565</v>
      </c>
      <c r="J52" s="9">
        <f t="shared" ref="J52:J60" si="34">D26*$N$20/1000</f>
        <v>4.6665539935313097E-2</v>
      </c>
      <c r="K52" s="9">
        <f t="shared" ref="K52:K60" si="35">E26*$N$20/1000</f>
        <v>46.572208855442469</v>
      </c>
      <c r="L52" s="9">
        <f t="shared" ref="L52:L60" si="36">F26*$N$20/1000</f>
        <v>25.8828622422755</v>
      </c>
      <c r="M52" s="33">
        <f t="shared" ref="M52:M60" si="37">G26*$N$20/1000</f>
        <v>0.56537096460090863</v>
      </c>
      <c r="N52" s="32">
        <f t="shared" ref="N52:N60" si="38">B26*$O$20/1000</f>
        <v>13.784282565507869</v>
      </c>
      <c r="O52" s="9">
        <f t="shared" ref="O52:O60" si="39">C26*$O$20/1000</f>
        <v>23.174825063260105</v>
      </c>
      <c r="P52" s="9">
        <f t="shared" ref="P52:P60" si="40">D26*$O$20/1000</f>
        <v>7.4664863896500955E-2</v>
      </c>
      <c r="Q52" s="9">
        <f t="shared" ref="Q52:Q60" si="41">E26*$O$20/1000</f>
        <v>74.515534168707958</v>
      </c>
      <c r="R52" s="9">
        <f t="shared" ref="R52:R60" si="42">F26*$O$20/1000</f>
        <v>41.412579587640799</v>
      </c>
      <c r="S52" s="33">
        <f t="shared" ref="S52:S60" si="43">G26*$O$20/1000</f>
        <v>0.90459354336145381</v>
      </c>
    </row>
    <row r="53" spans="1:23" x14ac:dyDescent="0.25">
      <c r="A53" t="s">
        <v>41</v>
      </c>
      <c r="H53" s="32">
        <f t="shared" si="32"/>
        <v>28.358289652997954</v>
      </c>
      <c r="I53" s="9">
        <f t="shared" si="33"/>
        <v>27.999323961187855</v>
      </c>
      <c r="J53" s="9">
        <f t="shared" si="34"/>
        <v>0</v>
      </c>
      <c r="K53" s="9">
        <f t="shared" si="35"/>
        <v>5.3015643023433778</v>
      </c>
      <c r="L53" s="9">
        <f t="shared" si="36"/>
        <v>0.16620111530807663</v>
      </c>
      <c r="M53" s="33">
        <f t="shared" si="37"/>
        <v>0</v>
      </c>
      <c r="N53" s="32">
        <f t="shared" si="38"/>
        <v>45.373263444796734</v>
      </c>
      <c r="O53" s="9">
        <f t="shared" si="39"/>
        <v>44.798918337900567</v>
      </c>
      <c r="P53" s="9">
        <f t="shared" si="40"/>
        <v>0</v>
      </c>
      <c r="Q53" s="9">
        <f t="shared" si="41"/>
        <v>8.4825028837494045</v>
      </c>
      <c r="R53" s="9">
        <f t="shared" si="42"/>
        <v>0.26592178449292259</v>
      </c>
      <c r="S53" s="33">
        <f t="shared" si="43"/>
        <v>0</v>
      </c>
    </row>
    <row r="54" spans="1:23" x14ac:dyDescent="0.25">
      <c r="A54" t="s">
        <v>42</v>
      </c>
      <c r="H54" s="32">
        <f t="shared" si="32"/>
        <v>0</v>
      </c>
      <c r="I54" s="9">
        <f t="shared" si="33"/>
        <v>0</v>
      </c>
      <c r="J54" s="9">
        <f t="shared" si="34"/>
        <v>0</v>
      </c>
      <c r="K54" s="9">
        <f t="shared" si="35"/>
        <v>0</v>
      </c>
      <c r="L54" s="9">
        <f t="shared" si="36"/>
        <v>7.2317228272062897</v>
      </c>
      <c r="M54" s="33">
        <f t="shared" si="37"/>
        <v>6.4613824525818125E-2</v>
      </c>
      <c r="N54" s="32">
        <f t="shared" si="38"/>
        <v>0</v>
      </c>
      <c r="O54" s="9">
        <f t="shared" si="39"/>
        <v>0</v>
      </c>
      <c r="P54" s="9">
        <f t="shared" si="40"/>
        <v>0</v>
      </c>
      <c r="Q54" s="9">
        <f t="shared" si="41"/>
        <v>0</v>
      </c>
      <c r="R54" s="9">
        <f t="shared" si="42"/>
        <v>11.570756523530065</v>
      </c>
      <c r="S54" s="33">
        <f t="shared" si="43"/>
        <v>0.10338211924130901</v>
      </c>
    </row>
    <row r="55" spans="1:23" x14ac:dyDescent="0.25">
      <c r="A55" t="s">
        <v>91</v>
      </c>
      <c r="H55" s="32">
        <f t="shared" si="32"/>
        <v>18.845698820030286</v>
      </c>
      <c r="I55" s="9">
        <f t="shared" si="33"/>
        <v>16.871387515074733</v>
      </c>
      <c r="J55" s="9">
        <f t="shared" si="34"/>
        <v>0</v>
      </c>
      <c r="K55" s="9">
        <f t="shared" si="35"/>
        <v>78.613486506412059</v>
      </c>
      <c r="L55" s="9">
        <f t="shared" si="36"/>
        <v>11.038195023160597</v>
      </c>
      <c r="M55" s="33">
        <f t="shared" si="37"/>
        <v>1.7352401542100269</v>
      </c>
      <c r="N55" s="32">
        <f t="shared" si="38"/>
        <v>30.15311811204846</v>
      </c>
      <c r="O55" s="9">
        <f t="shared" si="39"/>
        <v>26.994220024119574</v>
      </c>
      <c r="P55" s="9">
        <f t="shared" si="40"/>
        <v>0</v>
      </c>
      <c r="Q55" s="9">
        <f t="shared" si="41"/>
        <v>125.7815784102593</v>
      </c>
      <c r="R55" s="9">
        <f t="shared" si="42"/>
        <v>17.661112037056956</v>
      </c>
      <c r="S55" s="33">
        <f t="shared" si="43"/>
        <v>2.7763842467360433</v>
      </c>
    </row>
    <row r="56" spans="1:23" x14ac:dyDescent="0.25">
      <c r="A56" t="s">
        <v>92</v>
      </c>
      <c r="H56" s="32">
        <f t="shared" si="32"/>
        <v>3.9127260407300977</v>
      </c>
      <c r="I56" s="9">
        <f t="shared" si="33"/>
        <v>3.5537603489199974</v>
      </c>
      <c r="J56" s="9">
        <f t="shared" si="34"/>
        <v>0</v>
      </c>
      <c r="K56" s="9">
        <f t="shared" si="35"/>
        <v>2.541477098015513</v>
      </c>
      <c r="L56" s="9">
        <f t="shared" si="36"/>
        <v>2.3781477082419173</v>
      </c>
      <c r="M56" s="33">
        <f t="shared" si="37"/>
        <v>0</v>
      </c>
      <c r="N56" s="32">
        <f t="shared" si="38"/>
        <v>6.2603616651681566</v>
      </c>
      <c r="O56" s="9">
        <f t="shared" si="39"/>
        <v>5.6860165582719953</v>
      </c>
      <c r="P56" s="9">
        <f t="shared" si="40"/>
        <v>0</v>
      </c>
      <c r="Q56" s="9">
        <f t="shared" si="41"/>
        <v>4.0663633568248212</v>
      </c>
      <c r="R56" s="9">
        <f t="shared" si="42"/>
        <v>3.805036333187068</v>
      </c>
      <c r="S56" s="33">
        <f t="shared" si="43"/>
        <v>0</v>
      </c>
    </row>
    <row r="57" spans="1:23" x14ac:dyDescent="0.25">
      <c r="A57" t="s">
        <v>44</v>
      </c>
      <c r="H57" s="32">
        <f t="shared" si="32"/>
        <v>197.43113049555541</v>
      </c>
      <c r="I57" s="9">
        <f t="shared" si="33"/>
        <v>197.43113049555541</v>
      </c>
      <c r="J57" s="9">
        <f t="shared" si="34"/>
        <v>1.0765381097384921</v>
      </c>
      <c r="K57" s="9">
        <f t="shared" si="35"/>
        <v>0</v>
      </c>
      <c r="L57" s="9">
        <f t="shared" si="36"/>
        <v>0</v>
      </c>
      <c r="M57" s="33">
        <f t="shared" si="37"/>
        <v>0</v>
      </c>
      <c r="N57" s="32">
        <f t="shared" si="38"/>
        <v>315.88980879288863</v>
      </c>
      <c r="O57" s="9">
        <f t="shared" si="39"/>
        <v>315.88980879288863</v>
      </c>
      <c r="P57" s="9">
        <f t="shared" si="40"/>
        <v>1.7224609755815872</v>
      </c>
      <c r="Q57" s="9">
        <f t="shared" si="41"/>
        <v>0</v>
      </c>
      <c r="R57" s="9">
        <f t="shared" si="42"/>
        <v>0</v>
      </c>
      <c r="S57" s="33">
        <f t="shared" si="43"/>
        <v>0</v>
      </c>
    </row>
    <row r="58" spans="1:23" x14ac:dyDescent="0.25">
      <c r="A58" t="s">
        <v>45</v>
      </c>
      <c r="H58" s="32">
        <f t="shared" si="32"/>
        <v>8.5792800342614068</v>
      </c>
      <c r="I58" s="9">
        <f t="shared" si="33"/>
        <v>0.50255196853414097</v>
      </c>
      <c r="J58" s="9">
        <f t="shared" si="34"/>
        <v>0</v>
      </c>
      <c r="K58" s="9">
        <f t="shared" si="35"/>
        <v>1.7948284590505036E-2</v>
      </c>
      <c r="L58" s="9">
        <f t="shared" si="36"/>
        <v>0</v>
      </c>
      <c r="M58" s="33">
        <f t="shared" si="37"/>
        <v>0</v>
      </c>
      <c r="N58" s="32">
        <f t="shared" si="38"/>
        <v>13.726848054818252</v>
      </c>
      <c r="O58" s="9">
        <f t="shared" si="39"/>
        <v>0.80408314965462568</v>
      </c>
      <c r="P58" s="9">
        <f t="shared" si="40"/>
        <v>0</v>
      </c>
      <c r="Q58" s="9">
        <f t="shared" si="41"/>
        <v>2.8717255344808058E-2</v>
      </c>
      <c r="R58" s="9">
        <f t="shared" si="42"/>
        <v>0</v>
      </c>
      <c r="S58" s="33">
        <f t="shared" si="43"/>
        <v>0</v>
      </c>
    </row>
    <row r="59" spans="1:23" x14ac:dyDescent="0.25">
      <c r="A59" t="s">
        <v>93</v>
      </c>
      <c r="H59" s="32">
        <f t="shared" si="32"/>
        <v>0</v>
      </c>
      <c r="I59" s="9">
        <f t="shared" si="33"/>
        <v>0</v>
      </c>
      <c r="J59" s="9">
        <f t="shared" si="34"/>
        <v>141.7304240973821</v>
      </c>
      <c r="K59" s="9">
        <f t="shared" si="35"/>
        <v>0</v>
      </c>
      <c r="L59" s="9">
        <f t="shared" si="36"/>
        <v>0</v>
      </c>
      <c r="M59" s="33">
        <f t="shared" si="37"/>
        <v>0</v>
      </c>
      <c r="N59" s="32">
        <f t="shared" si="38"/>
        <v>0</v>
      </c>
      <c r="O59" s="9">
        <f t="shared" si="39"/>
        <v>0</v>
      </c>
      <c r="P59" s="9">
        <f>D33*$O$20/1000</f>
        <v>226.76867855581131</v>
      </c>
      <c r="Q59" s="9">
        <f t="shared" si="41"/>
        <v>0</v>
      </c>
      <c r="R59" s="9">
        <f t="shared" si="42"/>
        <v>0</v>
      </c>
      <c r="S59" s="33">
        <f t="shared" si="43"/>
        <v>0</v>
      </c>
    </row>
    <row r="60" spans="1:23" ht="15.75" thickBot="1" x14ac:dyDescent="0.3">
      <c r="A60" t="s">
        <v>46</v>
      </c>
      <c r="H60" s="32">
        <f t="shared" si="32"/>
        <v>0.21537941508606043</v>
      </c>
      <c r="I60" s="9">
        <f t="shared" si="33"/>
        <v>0</v>
      </c>
      <c r="J60" s="9">
        <f t="shared" si="34"/>
        <v>1.146895385333272</v>
      </c>
      <c r="K60" s="9">
        <f t="shared" si="35"/>
        <v>3.3843285423856297</v>
      </c>
      <c r="L60" s="9">
        <f t="shared" si="36"/>
        <v>1.2168936952362415</v>
      </c>
      <c r="M60" s="33">
        <f t="shared" si="37"/>
        <v>0</v>
      </c>
      <c r="N60" s="32">
        <f t="shared" si="38"/>
        <v>0.34460706413769676</v>
      </c>
      <c r="O60" s="9">
        <f t="shared" si="39"/>
        <v>0</v>
      </c>
      <c r="P60" s="9">
        <f t="shared" si="40"/>
        <v>1.8350326165332349</v>
      </c>
      <c r="Q60" s="9">
        <f t="shared" si="41"/>
        <v>5.4149256678170081</v>
      </c>
      <c r="R60" s="9">
        <f t="shared" si="42"/>
        <v>1.9470299123779864</v>
      </c>
      <c r="S60" s="33">
        <f t="shared" si="43"/>
        <v>0</v>
      </c>
    </row>
    <row r="61" spans="1:23" x14ac:dyDescent="0.25">
      <c r="A61" s="72" t="s">
        <v>140</v>
      </c>
      <c r="B61" s="73"/>
      <c r="C61" s="73"/>
      <c r="D61" s="73"/>
      <c r="E61" s="73"/>
      <c r="F61" s="73"/>
      <c r="G61" s="73"/>
      <c r="H61" s="73"/>
      <c r="I61" s="73"/>
      <c r="J61" s="73"/>
      <c r="K61" s="73"/>
      <c r="L61" s="73"/>
      <c r="M61" s="73" t="s">
        <v>141</v>
      </c>
      <c r="N61" s="73"/>
      <c r="O61" s="73"/>
      <c r="P61" s="73"/>
      <c r="Q61" s="73"/>
      <c r="R61" s="73"/>
      <c r="S61" s="73"/>
      <c r="T61" s="73"/>
      <c r="U61" s="73"/>
      <c r="V61" s="73"/>
      <c r="W61" s="74"/>
    </row>
    <row r="62" spans="1:23" x14ac:dyDescent="0.25">
      <c r="A62" s="25" t="s">
        <v>120</v>
      </c>
      <c r="B62" s="6" t="s">
        <v>38</v>
      </c>
      <c r="C62" s="6" t="s">
        <v>40</v>
      </c>
      <c r="D62" s="6" t="s">
        <v>41</v>
      </c>
      <c r="E62" s="6" t="s">
        <v>42</v>
      </c>
      <c r="F62" s="6" t="s">
        <v>91</v>
      </c>
      <c r="G62" s="6" t="s">
        <v>92</v>
      </c>
      <c r="H62" s="6" t="s">
        <v>44</v>
      </c>
      <c r="I62" s="6" t="s">
        <v>45</v>
      </c>
      <c r="J62" s="6" t="s">
        <v>93</v>
      </c>
      <c r="K62" s="6" t="s">
        <v>46</v>
      </c>
      <c r="M62" t="s">
        <v>120</v>
      </c>
      <c r="N62" s="6" t="s">
        <v>38</v>
      </c>
      <c r="O62" s="6" t="s">
        <v>40</v>
      </c>
      <c r="P62" s="6" t="s">
        <v>41</v>
      </c>
      <c r="Q62" s="6" t="s">
        <v>42</v>
      </c>
      <c r="R62" s="6" t="s">
        <v>91</v>
      </c>
      <c r="S62" s="6" t="s">
        <v>92</v>
      </c>
      <c r="T62" s="6" t="s">
        <v>44</v>
      </c>
      <c r="U62" s="6" t="s">
        <v>45</v>
      </c>
      <c r="V62" s="6" t="s">
        <v>93</v>
      </c>
      <c r="W62" s="28" t="s">
        <v>46</v>
      </c>
    </row>
    <row r="63" spans="1:23" x14ac:dyDescent="0.25">
      <c r="A63" s="25" t="s">
        <v>94</v>
      </c>
      <c r="B63" s="9">
        <f>B17*$N$20/1000</f>
        <v>287.17255344808058</v>
      </c>
      <c r="C63" s="9">
        <f t="shared" ref="C63:K63" si="44">C17*$N$20/1000</f>
        <v>8.6151766034424178</v>
      </c>
      <c r="D63" s="9">
        <f t="shared" si="44"/>
        <v>28.358289652997954</v>
      </c>
      <c r="E63" s="9">
        <f t="shared" si="44"/>
        <v>0</v>
      </c>
      <c r="F63" s="9">
        <f t="shared" si="44"/>
        <v>18.845698820030286</v>
      </c>
      <c r="G63" s="9">
        <f t="shared" si="44"/>
        <v>3.9127260407300977</v>
      </c>
      <c r="H63" s="9">
        <f t="shared" si="44"/>
        <v>197.43113049555541</v>
      </c>
      <c r="I63" s="9">
        <f t="shared" si="44"/>
        <v>8.5792800342614068</v>
      </c>
      <c r="J63" s="9">
        <f t="shared" si="44"/>
        <v>0</v>
      </c>
      <c r="K63" s="9">
        <f t="shared" si="44"/>
        <v>0.21537941508606043</v>
      </c>
      <c r="M63" t="s">
        <v>94</v>
      </c>
      <c r="N63" s="9">
        <f>B17*$O$20/1000</f>
        <v>459.47608551692895</v>
      </c>
      <c r="O63" s="9">
        <f t="shared" ref="O63:W63" si="45">C17*$O$20/1000</f>
        <v>13.784282565507869</v>
      </c>
      <c r="P63" s="9">
        <f t="shared" si="45"/>
        <v>45.373263444796734</v>
      </c>
      <c r="Q63" s="9">
        <f t="shared" si="45"/>
        <v>0</v>
      </c>
      <c r="R63" s="9">
        <f t="shared" si="45"/>
        <v>30.15311811204846</v>
      </c>
      <c r="S63" s="9">
        <f t="shared" si="45"/>
        <v>6.2603616651681566</v>
      </c>
      <c r="T63" s="9">
        <f t="shared" si="45"/>
        <v>315.88980879288863</v>
      </c>
      <c r="U63" s="9">
        <f t="shared" si="45"/>
        <v>13.726848054818252</v>
      </c>
      <c r="V63" s="9">
        <f t="shared" si="45"/>
        <v>0</v>
      </c>
      <c r="W63" s="33">
        <f t="shared" si="45"/>
        <v>0.34460706413769676</v>
      </c>
    </row>
    <row r="64" spans="1:23" x14ac:dyDescent="0.25">
      <c r="A64" s="25" t="s">
        <v>95</v>
      </c>
      <c r="B64" s="9">
        <f t="shared" ref="B64:K64" si="46">B18*$N$20/1000</f>
        <v>104.10005062492921</v>
      </c>
      <c r="C64" s="9">
        <f t="shared" si="46"/>
        <v>14.484265664537565</v>
      </c>
      <c r="D64" s="9">
        <f t="shared" si="46"/>
        <v>27.999323961187855</v>
      </c>
      <c r="E64" s="9">
        <f t="shared" si="46"/>
        <v>0</v>
      </c>
      <c r="F64" s="9">
        <f t="shared" si="46"/>
        <v>16.871387515074733</v>
      </c>
      <c r="G64" s="9">
        <f t="shared" si="46"/>
        <v>3.5537603489199974</v>
      </c>
      <c r="H64" s="9">
        <f t="shared" si="46"/>
        <v>197.43113049555541</v>
      </c>
      <c r="I64" s="9">
        <f t="shared" si="46"/>
        <v>0.50255196853414097</v>
      </c>
      <c r="J64" s="9">
        <f t="shared" si="46"/>
        <v>0</v>
      </c>
      <c r="K64" s="9">
        <f t="shared" si="46"/>
        <v>0</v>
      </c>
      <c r="M64" t="s">
        <v>95</v>
      </c>
      <c r="N64" s="9">
        <f t="shared" ref="N64:N68" si="47">B18*$O$20/1000</f>
        <v>166.56008099988674</v>
      </c>
      <c r="O64" s="9">
        <f t="shared" ref="O64:O68" si="48">C18*$O$20/1000</f>
        <v>23.174825063260105</v>
      </c>
      <c r="P64" s="9">
        <f t="shared" ref="P64:P68" si="49">D18*$O$20/1000</f>
        <v>44.798918337900567</v>
      </c>
      <c r="Q64" s="9">
        <f t="shared" ref="Q64:Q68" si="50">E18*$O$20/1000</f>
        <v>0</v>
      </c>
      <c r="R64" s="9">
        <f t="shared" ref="R64:R68" si="51">F18*$O$20/1000</f>
        <v>26.994220024119574</v>
      </c>
      <c r="S64" s="9">
        <f t="shared" ref="S64:S68" si="52">G18*$O$20/1000</f>
        <v>5.6860165582719953</v>
      </c>
      <c r="T64" s="9">
        <f t="shared" ref="T64:T68" si="53">H18*$O$20/1000</f>
        <v>315.88980879288863</v>
      </c>
      <c r="U64" s="9">
        <f t="shared" ref="U64:U68" si="54">I18*$O$20/1000</f>
        <v>0.80408314965462568</v>
      </c>
      <c r="V64" s="9">
        <f t="shared" ref="V64:V68" si="55">J18*$O$20/1000</f>
        <v>0</v>
      </c>
      <c r="W64" s="33">
        <f t="shared" ref="W64:W68" si="56">K18*$O$20/1000</f>
        <v>0</v>
      </c>
    </row>
    <row r="65" spans="1:23" x14ac:dyDescent="0.25">
      <c r="A65" s="25" t="s">
        <v>96</v>
      </c>
      <c r="B65" s="9">
        <f t="shared" ref="B65:K65" si="57">B19*$N$20/1000</f>
        <v>101.30370788572853</v>
      </c>
      <c r="C65" s="9">
        <f t="shared" si="57"/>
        <v>4.6665539935313097E-2</v>
      </c>
      <c r="D65" s="9">
        <f t="shared" si="57"/>
        <v>0</v>
      </c>
      <c r="E65" s="9">
        <f t="shared" si="57"/>
        <v>0</v>
      </c>
      <c r="F65" s="9">
        <f t="shared" si="57"/>
        <v>0</v>
      </c>
      <c r="G65" s="9">
        <f t="shared" si="57"/>
        <v>0</v>
      </c>
      <c r="H65" s="9">
        <f t="shared" si="57"/>
        <v>1.0765381097384921</v>
      </c>
      <c r="I65" s="9">
        <f t="shared" si="57"/>
        <v>0</v>
      </c>
      <c r="J65" s="9">
        <f t="shared" si="57"/>
        <v>141.7304240973821</v>
      </c>
      <c r="K65" s="9">
        <f t="shared" si="57"/>
        <v>1.146895385333272</v>
      </c>
      <c r="M65" t="s">
        <v>96</v>
      </c>
      <c r="N65" s="9">
        <f t="shared" si="47"/>
        <v>162.08593261716564</v>
      </c>
      <c r="O65" s="9">
        <f t="shared" si="48"/>
        <v>7.4664863896500955E-2</v>
      </c>
      <c r="P65" s="9">
        <f t="shared" si="49"/>
        <v>0</v>
      </c>
      <c r="Q65" s="9">
        <f t="shared" si="50"/>
        <v>0</v>
      </c>
      <c r="R65" s="9">
        <f t="shared" si="51"/>
        <v>0</v>
      </c>
      <c r="S65" s="9">
        <f t="shared" si="52"/>
        <v>0</v>
      </c>
      <c r="T65" s="9">
        <f t="shared" si="53"/>
        <v>1.7224609755815872</v>
      </c>
      <c r="U65" s="9">
        <f t="shared" si="54"/>
        <v>0</v>
      </c>
      <c r="V65" s="9">
        <f t="shared" si="55"/>
        <v>226.76867855581131</v>
      </c>
      <c r="W65" s="33">
        <f t="shared" si="56"/>
        <v>1.8350326165332349</v>
      </c>
    </row>
    <row r="66" spans="1:23" x14ac:dyDescent="0.25">
      <c r="A66" s="25" t="s">
        <v>97</v>
      </c>
      <c r="B66" s="9">
        <f t="shared" ref="B66:K66" si="58">B20*$N$20/1000</f>
        <v>52.875646403627833</v>
      </c>
      <c r="C66" s="9">
        <f t="shared" si="58"/>
        <v>46.572208855442469</v>
      </c>
      <c r="D66" s="9">
        <f t="shared" si="58"/>
        <v>5.3015643023433778</v>
      </c>
      <c r="E66" s="9">
        <f t="shared" si="58"/>
        <v>0</v>
      </c>
      <c r="F66" s="9">
        <f t="shared" si="58"/>
        <v>78.613486506412059</v>
      </c>
      <c r="G66" s="9">
        <f t="shared" si="58"/>
        <v>2.541477098015513</v>
      </c>
      <c r="H66" s="9">
        <f t="shared" si="58"/>
        <v>0</v>
      </c>
      <c r="I66" s="9">
        <f t="shared" si="58"/>
        <v>1.7948284590505036E-2</v>
      </c>
      <c r="J66" s="9">
        <f t="shared" si="58"/>
        <v>0</v>
      </c>
      <c r="K66" s="9">
        <f t="shared" si="58"/>
        <v>3.3843285423856297</v>
      </c>
      <c r="M66" t="s">
        <v>97</v>
      </c>
      <c r="N66" s="9">
        <f t="shared" si="47"/>
        <v>84.601034245804556</v>
      </c>
      <c r="O66" s="9">
        <f t="shared" si="48"/>
        <v>74.515534168707958</v>
      </c>
      <c r="P66" s="9">
        <f t="shared" si="49"/>
        <v>8.4825028837494045</v>
      </c>
      <c r="Q66" s="9">
        <f t="shared" si="50"/>
        <v>0</v>
      </c>
      <c r="R66" s="9">
        <f t="shared" si="51"/>
        <v>125.7815784102593</v>
      </c>
      <c r="S66" s="9">
        <f t="shared" si="52"/>
        <v>4.0663633568248212</v>
      </c>
      <c r="T66" s="9">
        <f t="shared" si="53"/>
        <v>0</v>
      </c>
      <c r="U66" s="9">
        <f t="shared" si="54"/>
        <v>2.8717255344808058E-2</v>
      </c>
      <c r="V66" s="9">
        <f t="shared" si="55"/>
        <v>0</v>
      </c>
      <c r="W66" s="33">
        <f t="shared" si="56"/>
        <v>5.4149256678170081</v>
      </c>
    </row>
    <row r="67" spans="1:23" x14ac:dyDescent="0.25">
      <c r="A67" s="25" t="s">
        <v>98</v>
      </c>
      <c r="B67" s="9">
        <f t="shared" ref="B67:K67" si="59">B21*$N$20/1000</f>
        <v>41.281054558161578</v>
      </c>
      <c r="C67" s="9">
        <f t="shared" si="59"/>
        <v>25.8828622422755</v>
      </c>
      <c r="D67" s="9">
        <f t="shared" si="59"/>
        <v>0.16620111530807663</v>
      </c>
      <c r="E67" s="9">
        <f t="shared" si="59"/>
        <v>7.2317228272062897</v>
      </c>
      <c r="F67" s="9">
        <f t="shared" si="59"/>
        <v>11.038195023160597</v>
      </c>
      <c r="G67" s="9">
        <f t="shared" si="59"/>
        <v>2.3781477082419173</v>
      </c>
      <c r="H67" s="9">
        <f t="shared" si="59"/>
        <v>0</v>
      </c>
      <c r="I67" s="9">
        <f t="shared" si="59"/>
        <v>0</v>
      </c>
      <c r="J67" s="9">
        <f t="shared" si="59"/>
        <v>0</v>
      </c>
      <c r="K67" s="9">
        <f t="shared" si="59"/>
        <v>1.2168936952362415</v>
      </c>
      <c r="M67" t="s">
        <v>98</v>
      </c>
      <c r="N67" s="9">
        <f t="shared" si="47"/>
        <v>66.04968729305854</v>
      </c>
      <c r="O67" s="9">
        <f t="shared" si="48"/>
        <v>41.412579587640799</v>
      </c>
      <c r="P67" s="9">
        <f t="shared" si="49"/>
        <v>0.26592178449292259</v>
      </c>
      <c r="Q67" s="9">
        <f t="shared" si="50"/>
        <v>11.570756523530065</v>
      </c>
      <c r="R67" s="9">
        <f t="shared" si="51"/>
        <v>17.661112037056956</v>
      </c>
      <c r="S67" s="9">
        <f t="shared" si="52"/>
        <v>3.805036333187068</v>
      </c>
      <c r="T67" s="9">
        <f t="shared" si="53"/>
        <v>0</v>
      </c>
      <c r="U67" s="9">
        <f t="shared" si="54"/>
        <v>0</v>
      </c>
      <c r="V67" s="9">
        <f t="shared" si="55"/>
        <v>0</v>
      </c>
      <c r="W67" s="33">
        <f t="shared" si="56"/>
        <v>1.9470299123779864</v>
      </c>
    </row>
    <row r="68" spans="1:23" ht="15.75" thickBot="1" x14ac:dyDescent="0.3">
      <c r="A68" s="75" t="s">
        <v>99</v>
      </c>
      <c r="B68" s="35">
        <f t="shared" ref="B68:K68" si="60">B22*$N$20/1000</f>
        <v>39.486226099111079</v>
      </c>
      <c r="C68" s="35">
        <f t="shared" si="60"/>
        <v>0.56537096460090863</v>
      </c>
      <c r="D68" s="35">
        <f t="shared" si="60"/>
        <v>0</v>
      </c>
      <c r="E68" s="35">
        <f t="shared" si="60"/>
        <v>6.4613824525818125E-2</v>
      </c>
      <c r="F68" s="35">
        <f t="shared" si="60"/>
        <v>1.7352401542100269</v>
      </c>
      <c r="G68" s="35">
        <f t="shared" si="60"/>
        <v>0</v>
      </c>
      <c r="H68" s="35">
        <f t="shared" si="60"/>
        <v>0</v>
      </c>
      <c r="I68" s="35">
        <f t="shared" si="60"/>
        <v>0</v>
      </c>
      <c r="J68" s="35">
        <f t="shared" si="60"/>
        <v>0</v>
      </c>
      <c r="K68" s="35">
        <f t="shared" si="60"/>
        <v>0</v>
      </c>
      <c r="L68" s="76"/>
      <c r="M68" s="76" t="s">
        <v>99</v>
      </c>
      <c r="N68" s="35">
        <f t="shared" si="47"/>
        <v>63.17796175857773</v>
      </c>
      <c r="O68" s="35">
        <f t="shared" si="48"/>
        <v>0.90459354336145381</v>
      </c>
      <c r="P68" s="35">
        <f t="shared" si="49"/>
        <v>0</v>
      </c>
      <c r="Q68" s="35">
        <f t="shared" si="50"/>
        <v>0.10338211924130901</v>
      </c>
      <c r="R68" s="35">
        <f t="shared" si="51"/>
        <v>2.7763842467360433</v>
      </c>
      <c r="S68" s="35">
        <f t="shared" si="52"/>
        <v>0</v>
      </c>
      <c r="T68" s="35">
        <f t="shared" si="53"/>
        <v>0</v>
      </c>
      <c r="U68" s="35">
        <f t="shared" si="54"/>
        <v>0</v>
      </c>
      <c r="V68" s="35">
        <f t="shared" si="55"/>
        <v>0</v>
      </c>
      <c r="W68" s="36">
        <f t="shared" si="56"/>
        <v>0</v>
      </c>
    </row>
  </sheetData>
  <mergeCells count="6">
    <mergeCell ref="H23:M23"/>
    <mergeCell ref="N23:S23"/>
    <mergeCell ref="H36:M36"/>
    <mergeCell ref="N36:S36"/>
    <mergeCell ref="H49:M49"/>
    <mergeCell ref="N49:S49"/>
  </mergeCells>
  <phoneticPr fontId="6"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337C0-D706-4FE5-99ED-403A8C7845E9}">
  <dimension ref="A3:K24"/>
  <sheetViews>
    <sheetView topLeftCell="A6" zoomScale="80" zoomScaleNormal="80" workbookViewId="0">
      <selection activeCell="J9" sqref="J9"/>
    </sheetView>
  </sheetViews>
  <sheetFormatPr defaultColWidth="11.42578125" defaultRowHeight="15" x14ac:dyDescent="0.25"/>
  <cols>
    <col min="2" max="2" width="12" bestFit="1" customWidth="1"/>
    <col min="4" max="4" width="12" bestFit="1" customWidth="1"/>
  </cols>
  <sheetData>
    <row r="3" spans="1:11" x14ac:dyDescent="0.25">
      <c r="A3" t="s">
        <v>0</v>
      </c>
      <c r="B3">
        <v>0</v>
      </c>
      <c r="C3">
        <v>1</v>
      </c>
      <c r="D3">
        <v>2</v>
      </c>
      <c r="E3">
        <v>3</v>
      </c>
      <c r="F3">
        <v>4</v>
      </c>
    </row>
    <row r="4" spans="1:11" x14ac:dyDescent="0.25">
      <c r="B4">
        <v>40</v>
      </c>
      <c r="C4">
        <v>60</v>
      </c>
      <c r="D4">
        <v>40</v>
      </c>
      <c r="E4">
        <v>130</v>
      </c>
      <c r="F4">
        <v>90</v>
      </c>
    </row>
    <row r="5" spans="1:11" x14ac:dyDescent="0.25">
      <c r="B5">
        <v>20000</v>
      </c>
      <c r="C5">
        <v>2000.0000000000284</v>
      </c>
      <c r="D5">
        <v>10000.000000000005</v>
      </c>
      <c r="E5">
        <v>7999.9999999999782</v>
      </c>
      <c r="F5">
        <v>0</v>
      </c>
    </row>
    <row r="6" spans="1:11" x14ac:dyDescent="0.25">
      <c r="A6" t="s">
        <v>1</v>
      </c>
      <c r="B6">
        <f>SUMPRODUCT(C4:F4,C5:F5)-B4*B5</f>
        <v>759999.99999999907</v>
      </c>
    </row>
    <row r="7" spans="1:11" x14ac:dyDescent="0.25">
      <c r="A7" t="s">
        <v>2</v>
      </c>
      <c r="B7">
        <v>20000</v>
      </c>
    </row>
    <row r="8" spans="1:11" x14ac:dyDescent="0.25">
      <c r="B8">
        <f>E5/1000*1+F5/1000*0.75</f>
        <v>7.9999999999999778</v>
      </c>
      <c r="C8" t="s">
        <v>3</v>
      </c>
      <c r="D8">
        <v>8</v>
      </c>
    </row>
    <row r="9" spans="1:11" x14ac:dyDescent="0.25">
      <c r="B9">
        <f>C5+E5</f>
        <v>10000.000000000007</v>
      </c>
      <c r="C9" t="s">
        <v>4</v>
      </c>
      <c r="D9">
        <f>0.5*B5</f>
        <v>10000</v>
      </c>
    </row>
    <row r="10" spans="1:11" x14ac:dyDescent="0.25">
      <c r="B10">
        <f>D5+F5</f>
        <v>10000.000000000005</v>
      </c>
      <c r="C10" t="s">
        <v>4</v>
      </c>
      <c r="D10">
        <f>0.5*B5</f>
        <v>10000</v>
      </c>
    </row>
    <row r="12" spans="1:11" x14ac:dyDescent="0.25">
      <c r="E12" t="s">
        <v>7</v>
      </c>
      <c r="H12" t="s">
        <v>8</v>
      </c>
      <c r="J12" t="s">
        <v>21</v>
      </c>
      <c r="K12" t="s">
        <v>22</v>
      </c>
    </row>
    <row r="13" spans="1:11" x14ac:dyDescent="0.25">
      <c r="A13" t="s">
        <v>5</v>
      </c>
      <c r="C13">
        <f>1640/1360</f>
        <v>1.2058823529411764</v>
      </c>
      <c r="D13" t="s">
        <v>15</v>
      </c>
      <c r="E13" t="s">
        <v>10</v>
      </c>
      <c r="F13" t="s">
        <v>9</v>
      </c>
      <c r="G13" t="s">
        <v>14</v>
      </c>
      <c r="H13" t="s">
        <v>11</v>
      </c>
      <c r="I13" t="s">
        <v>12</v>
      </c>
      <c r="J13" t="s">
        <v>14</v>
      </c>
      <c r="K13" t="s">
        <v>14</v>
      </c>
    </row>
    <row r="14" spans="1:11" x14ac:dyDescent="0.25">
      <c r="A14">
        <v>1481</v>
      </c>
      <c r="B14">
        <v>4.3019999999999996</v>
      </c>
      <c r="D14">
        <v>62</v>
      </c>
      <c r="E14" s="1">
        <f>$B$14*$A$14+F14*2.83*9.046/100</f>
        <v>19171.351999999999</v>
      </c>
      <c r="F14" s="1">
        <v>50000</v>
      </c>
      <c r="G14" s="1">
        <f>$D$14*$A$14+F14*$B$22*$B$23*$B$24</f>
        <v>249222.39999999999</v>
      </c>
      <c r="H14" s="1">
        <f>$C$15*$A$15+F14*$C$17*$A$17</f>
        <v>21712.799747920646</v>
      </c>
      <c r="I14" s="1">
        <f>$C$15*$A$15+F14*$C$18*$A$18</f>
        <v>23622.737636119404</v>
      </c>
      <c r="J14">
        <f>$D$15*$A$15+$C$20*F14</f>
        <v>249403.3693825356</v>
      </c>
      <c r="K14">
        <f>$D$15*$A$15+$C$21*F14</f>
        <v>266173.55571793934</v>
      </c>
    </row>
    <row r="15" spans="1:11" x14ac:dyDescent="0.25">
      <c r="A15">
        <f>C13*A14</f>
        <v>1785.9117647058822</v>
      </c>
      <c r="B15">
        <f>B14/A14*A15</f>
        <v>5.1877058823529403</v>
      </c>
      <c r="C15">
        <f>B15*2</f>
        <v>10.375411764705881</v>
      </c>
      <c r="D15">
        <f>D14*2</f>
        <v>124</v>
      </c>
      <c r="E15" s="1">
        <f t="shared" ref="E15:E23" si="0">$B$14*$A$14+F15*2.83*9.046/100</f>
        <v>31971.441999999999</v>
      </c>
      <c r="F15" s="1">
        <v>100000</v>
      </c>
      <c r="G15" s="1">
        <f>$D$14*$A$14+F15*$B$22*$B$23*$B$24</f>
        <v>406622.8</v>
      </c>
      <c r="H15" s="1">
        <f t="shared" ref="H15:H23" si="1">$C$15*$A$15+F15*$C$17*$A$17</f>
        <v>24896.029561585245</v>
      </c>
      <c r="I15" s="1">
        <f t="shared" ref="I15:I23" si="2">$C$15*$A$15+F15*$C$18*$A$18</f>
        <v>28715.90533798276</v>
      </c>
      <c r="J15" s="1">
        <f t="shared" ref="J15:J23" si="3">$D$15*$A$15+$C$20*F15</f>
        <v>277353.67994154181</v>
      </c>
      <c r="K15" s="1">
        <f t="shared" ref="K15:K23" si="4">$D$15*$A$15+$C$21*F15</f>
        <v>310894.05261234927</v>
      </c>
    </row>
    <row r="16" spans="1:11" x14ac:dyDescent="0.25">
      <c r="A16" t="s">
        <v>13</v>
      </c>
      <c r="B16" t="s">
        <v>6</v>
      </c>
      <c r="C16">
        <v>1.61</v>
      </c>
      <c r="E16" s="1">
        <f t="shared" si="0"/>
        <v>44771.531999999999</v>
      </c>
      <c r="F16" s="1">
        <v>150000</v>
      </c>
      <c r="G16" s="1">
        <f t="shared" ref="G16:G23" si="5">$D$14*$A$14+F16*$B$22*$B$23*$B$24</f>
        <v>564023.19999999995</v>
      </c>
      <c r="H16" s="1">
        <f t="shared" si="1"/>
        <v>28079.259375249836</v>
      </c>
      <c r="I16" s="1">
        <f t="shared" si="2"/>
        <v>33809.073039846109</v>
      </c>
      <c r="J16">
        <f t="shared" si="3"/>
        <v>305303.99050054804</v>
      </c>
      <c r="K16">
        <f t="shared" si="4"/>
        <v>355614.54950675921</v>
      </c>
    </row>
    <row r="17" spans="1:11" x14ac:dyDescent="0.25">
      <c r="A17">
        <v>0.41</v>
      </c>
      <c r="B17">
        <v>0.25</v>
      </c>
      <c r="C17">
        <f>B17/$C$16</f>
        <v>0.15527950310559005</v>
      </c>
      <c r="E17" s="1">
        <f t="shared" si="0"/>
        <v>57571.622000000003</v>
      </c>
      <c r="F17" s="1">
        <v>200000</v>
      </c>
      <c r="G17">
        <f t="shared" si="5"/>
        <v>721423.6</v>
      </c>
      <c r="H17">
        <f t="shared" si="1"/>
        <v>31262.489188914435</v>
      </c>
      <c r="I17">
        <f t="shared" si="2"/>
        <v>38902.240741709466</v>
      </c>
      <c r="J17">
        <f t="shared" si="3"/>
        <v>333254.30105955421</v>
      </c>
      <c r="K17">
        <f t="shared" si="4"/>
        <v>400335.04640116915</v>
      </c>
    </row>
    <row r="18" spans="1:11" x14ac:dyDescent="0.25">
      <c r="A18">
        <v>0.41</v>
      </c>
      <c r="B18">
        <v>0.4</v>
      </c>
      <c r="C18">
        <f>B18/$C$16</f>
        <v>0.2484472049689441</v>
      </c>
      <c r="E18">
        <f t="shared" si="0"/>
        <v>70371.712</v>
      </c>
      <c r="F18">
        <v>250000</v>
      </c>
      <c r="G18">
        <f t="shared" si="5"/>
        <v>878824</v>
      </c>
      <c r="H18">
        <f t="shared" si="1"/>
        <v>34445.719002579033</v>
      </c>
      <c r="I18">
        <f t="shared" si="2"/>
        <v>43995.408443572822</v>
      </c>
      <c r="J18">
        <f t="shared" si="3"/>
        <v>361204.61161856045</v>
      </c>
      <c r="K18">
        <f t="shared" si="4"/>
        <v>445055.54329557909</v>
      </c>
    </row>
    <row r="19" spans="1:11" x14ac:dyDescent="0.25">
      <c r="B19" t="s">
        <v>16</v>
      </c>
      <c r="E19">
        <f t="shared" si="0"/>
        <v>83171.801999999996</v>
      </c>
      <c r="F19">
        <v>300000</v>
      </c>
      <c r="G19">
        <f t="shared" si="5"/>
        <v>1036224.4</v>
      </c>
      <c r="H19">
        <f t="shared" si="1"/>
        <v>37628.948816243625</v>
      </c>
      <c r="I19">
        <f t="shared" si="2"/>
        <v>49088.576145436171</v>
      </c>
      <c r="J19">
        <f t="shared" si="3"/>
        <v>389154.92217756668</v>
      </c>
      <c r="K19">
        <f t="shared" si="4"/>
        <v>489776.04018998903</v>
      </c>
    </row>
    <row r="20" spans="1:11" x14ac:dyDescent="0.25">
      <c r="B20">
        <f>B17*3.6</f>
        <v>0.9</v>
      </c>
      <c r="C20">
        <f>B20/$C$16</f>
        <v>0.55900621118012417</v>
      </c>
      <c r="E20">
        <f t="shared" si="0"/>
        <v>95971.892000000007</v>
      </c>
      <c r="F20">
        <v>350000</v>
      </c>
      <c r="G20">
        <f t="shared" si="5"/>
        <v>1193624.8</v>
      </c>
      <c r="H20">
        <f t="shared" si="1"/>
        <v>40812.178629908223</v>
      </c>
      <c r="I20">
        <f t="shared" si="2"/>
        <v>54181.743847299527</v>
      </c>
      <c r="J20">
        <f t="shared" si="3"/>
        <v>417105.23273657286</v>
      </c>
      <c r="K20">
        <f t="shared" si="4"/>
        <v>534496.53708439902</v>
      </c>
    </row>
    <row r="21" spans="1:11" x14ac:dyDescent="0.25">
      <c r="A21" t="s">
        <v>17</v>
      </c>
      <c r="B21">
        <f>B18*3.6</f>
        <v>1.4400000000000002</v>
      </c>
      <c r="C21">
        <f>B21/$C$16</f>
        <v>0.89440993788819878</v>
      </c>
      <c r="E21">
        <f t="shared" si="0"/>
        <v>108771.982</v>
      </c>
      <c r="F21">
        <v>400000</v>
      </c>
      <c r="G21">
        <f t="shared" si="5"/>
        <v>1351025.2</v>
      </c>
      <c r="H21">
        <f t="shared" si="1"/>
        <v>43995.408443572815</v>
      </c>
      <c r="I21">
        <f t="shared" si="2"/>
        <v>59274.911549162876</v>
      </c>
      <c r="J21">
        <f t="shared" si="3"/>
        <v>445055.54329557903</v>
      </c>
      <c r="K21">
        <f t="shared" si="4"/>
        <v>579217.0339788089</v>
      </c>
    </row>
    <row r="22" spans="1:11" x14ac:dyDescent="0.25">
      <c r="A22" t="s">
        <v>20</v>
      </c>
      <c r="B22">
        <f>9.046/100</f>
        <v>9.0459999999999999E-2</v>
      </c>
      <c r="E22">
        <f t="shared" si="0"/>
        <v>121572.072</v>
      </c>
      <c r="F22">
        <v>450000</v>
      </c>
      <c r="G22">
        <f t="shared" si="5"/>
        <v>1508425.5999999999</v>
      </c>
      <c r="H22">
        <f t="shared" si="1"/>
        <v>47178.638257237413</v>
      </c>
      <c r="I22">
        <f t="shared" si="2"/>
        <v>64368.07925102624</v>
      </c>
      <c r="J22">
        <f t="shared" si="3"/>
        <v>473005.85385458526</v>
      </c>
      <c r="K22">
        <f t="shared" si="4"/>
        <v>623937.53087321878</v>
      </c>
    </row>
    <row r="23" spans="1:11" x14ac:dyDescent="0.25">
      <c r="A23" t="s">
        <v>18</v>
      </c>
      <c r="B23">
        <v>0.75</v>
      </c>
      <c r="E23">
        <f t="shared" si="0"/>
        <v>134372.16199999998</v>
      </c>
      <c r="F23">
        <v>500000</v>
      </c>
      <c r="G23">
        <f t="shared" si="5"/>
        <v>1665826</v>
      </c>
      <c r="H23">
        <f t="shared" si="1"/>
        <v>50361.868070902012</v>
      </c>
      <c r="I23">
        <f t="shared" si="2"/>
        <v>69461.246952889589</v>
      </c>
      <c r="J23">
        <f t="shared" si="3"/>
        <v>500956.1644135915</v>
      </c>
      <c r="K23">
        <f t="shared" si="4"/>
        <v>668658.02776762878</v>
      </c>
    </row>
    <row r="24" spans="1:11" x14ac:dyDescent="0.25">
      <c r="A24" t="s">
        <v>19</v>
      </c>
      <c r="B24">
        <v>46.4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Plastics CCUS_COMPARISON</vt:lpstr>
      <vt:lpstr>Plastics CCUS_RMTO</vt:lpstr>
      <vt:lpstr>Plastics CCUS_RMTP</vt:lpstr>
      <vt:lpstr>Plastics CCUS_ROCM</vt:lpstr>
      <vt:lpstr>EVs materials req (2)</vt:lpstr>
      <vt:lpstr>Texas pop</vt:lpstr>
      <vt:lpstr>Plastics</vt:lpstr>
      <vt:lpstr>EVs materials req</vt:lpstr>
      <vt:lpstr>Materials renewable energy</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Betsie Sara Monserrat Montaño Flores</dc:creator>
  <cp:lastModifiedBy>Montano Flores, Betsie Sara Monserrat</cp:lastModifiedBy>
  <dcterms:created xsi:type="dcterms:W3CDTF">2023-08-24T04:32:52Z</dcterms:created>
  <dcterms:modified xsi:type="dcterms:W3CDTF">2023-11-22T00:25:55Z</dcterms:modified>
</cp:coreProperties>
</file>