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Q:\RE-ChamberOfSecrets\DC Enrollment Study\Public Use Datasets\"/>
    </mc:Choice>
  </mc:AlternateContent>
  <bookViews>
    <workbookView xWindow="0" yWindow="20" windowWidth="16160" windowHeight="10230" activeTab="1"/>
  </bookViews>
  <sheets>
    <sheet name="Sheet1" sheetId="1" r:id="rId1"/>
    <sheet name="notes" sheetId="2" r:id="rId2"/>
  </sheets>
  <calcPr calcId="162913"/>
</workbook>
</file>

<file path=xl/calcChain.xml><?xml version="1.0" encoding="utf-8"?>
<calcChain xmlns="http://schemas.openxmlformats.org/spreadsheetml/2006/main">
  <c r="B2" i="1" l="1"/>
  <c r="C2" i="1"/>
  <c r="D2" i="1"/>
  <c r="E2" i="1"/>
  <c r="F2" i="1"/>
  <c r="G2" i="1"/>
  <c r="H2" i="1"/>
  <c r="I2" i="1"/>
  <c r="B3" i="1"/>
  <c r="C3" i="1"/>
  <c r="D3" i="1"/>
  <c r="E3" i="1"/>
  <c r="F3" i="1"/>
  <c r="G3" i="1"/>
  <c r="H3" i="1"/>
  <c r="I3" i="1"/>
  <c r="B4" i="1"/>
  <c r="C4" i="1"/>
  <c r="D4" i="1"/>
  <c r="E4" i="1"/>
  <c r="F4" i="1"/>
  <c r="G4" i="1"/>
  <c r="H4" i="1"/>
  <c r="I4" i="1"/>
  <c r="B5" i="1"/>
  <c r="C5" i="1"/>
  <c r="D5" i="1"/>
  <c r="E5" i="1"/>
  <c r="F5" i="1"/>
  <c r="G5" i="1"/>
  <c r="H5" i="1"/>
  <c r="I5" i="1"/>
  <c r="B6" i="1"/>
  <c r="C6" i="1"/>
  <c r="D6" i="1"/>
  <c r="E6" i="1"/>
  <c r="F6" i="1"/>
  <c r="G6" i="1"/>
  <c r="H6" i="1"/>
  <c r="I6" i="1"/>
  <c r="B7" i="1"/>
  <c r="C7" i="1"/>
  <c r="D7" i="1"/>
  <c r="E7" i="1"/>
  <c r="F7" i="1"/>
  <c r="G7" i="1"/>
  <c r="H7" i="1"/>
  <c r="I7" i="1"/>
  <c r="B8" i="1"/>
  <c r="C8" i="1"/>
  <c r="D8" i="1"/>
  <c r="E8" i="1"/>
  <c r="F8" i="1"/>
  <c r="G8" i="1"/>
  <c r="H8" i="1"/>
  <c r="I8" i="1"/>
  <c r="B9" i="1"/>
  <c r="C9" i="1"/>
  <c r="F9" i="1"/>
  <c r="G9" i="1"/>
  <c r="H9" i="1"/>
  <c r="I9" i="1"/>
  <c r="B10" i="1"/>
  <c r="C10" i="1"/>
  <c r="F10" i="1"/>
  <c r="G10" i="1"/>
  <c r="H10" i="1"/>
  <c r="I10" i="1"/>
  <c r="B11" i="1"/>
  <c r="C11" i="1"/>
  <c r="F11" i="1"/>
  <c r="G11" i="1"/>
  <c r="H11" i="1"/>
  <c r="I11" i="1"/>
  <c r="B12" i="1"/>
  <c r="C12" i="1"/>
  <c r="D12" i="1"/>
  <c r="E12" i="1"/>
  <c r="F12" i="1"/>
  <c r="G12" i="1"/>
  <c r="H12" i="1"/>
  <c r="I12" i="1"/>
  <c r="B13" i="1"/>
  <c r="C13" i="1"/>
  <c r="D13" i="1"/>
  <c r="E13" i="1"/>
  <c r="F13" i="1"/>
  <c r="G13" i="1"/>
  <c r="H13" i="1"/>
  <c r="I13" i="1"/>
  <c r="B14" i="1"/>
  <c r="C14" i="1"/>
  <c r="D14" i="1"/>
  <c r="E14" i="1"/>
  <c r="F14" i="1"/>
  <c r="G14" i="1"/>
  <c r="H14" i="1"/>
  <c r="I14" i="1"/>
  <c r="B15" i="1"/>
  <c r="C15" i="1"/>
  <c r="D15" i="1"/>
  <c r="E15" i="1"/>
  <c r="F15" i="1"/>
  <c r="G15" i="1"/>
  <c r="H15" i="1"/>
  <c r="I15" i="1"/>
  <c r="B16" i="1"/>
  <c r="C16" i="1"/>
  <c r="D16" i="1"/>
  <c r="E16" i="1"/>
  <c r="F16" i="1"/>
  <c r="G16" i="1"/>
  <c r="H16" i="1"/>
  <c r="I16" i="1"/>
  <c r="B17" i="1"/>
  <c r="C17" i="1"/>
  <c r="D17" i="1"/>
  <c r="E17" i="1"/>
  <c r="F17" i="1"/>
  <c r="G17" i="1"/>
  <c r="H17" i="1"/>
  <c r="I17" i="1"/>
  <c r="B18" i="1"/>
  <c r="C18" i="1"/>
  <c r="D18" i="1"/>
  <c r="E18" i="1"/>
  <c r="F18" i="1"/>
  <c r="G18" i="1"/>
  <c r="H18" i="1"/>
  <c r="I18" i="1"/>
  <c r="B19" i="1"/>
  <c r="C19" i="1"/>
  <c r="D19" i="1"/>
  <c r="E19" i="1"/>
  <c r="F19" i="1"/>
  <c r="G19" i="1"/>
  <c r="H19" i="1"/>
  <c r="I19" i="1"/>
  <c r="B20" i="1"/>
  <c r="C20" i="1"/>
  <c r="D20" i="1"/>
  <c r="E20" i="1"/>
  <c r="F20" i="1"/>
  <c r="G20" i="1"/>
  <c r="H20" i="1"/>
  <c r="I20" i="1"/>
  <c r="B21" i="1"/>
  <c r="C21" i="1"/>
  <c r="D21" i="1"/>
  <c r="E21" i="1"/>
  <c r="F21" i="1"/>
  <c r="G21" i="1"/>
  <c r="H21" i="1"/>
  <c r="I21" i="1"/>
  <c r="B22" i="1"/>
  <c r="C22" i="1"/>
  <c r="D22" i="1"/>
  <c r="E22" i="1"/>
  <c r="F22" i="1"/>
  <c r="G22" i="1"/>
  <c r="H22" i="1"/>
  <c r="I22" i="1"/>
  <c r="B23" i="1"/>
  <c r="C23" i="1"/>
  <c r="D23" i="1"/>
  <c r="E23" i="1"/>
  <c r="F23" i="1"/>
  <c r="G23" i="1"/>
  <c r="H23" i="1"/>
  <c r="I23" i="1"/>
  <c r="B24" i="1"/>
  <c r="C24" i="1"/>
  <c r="D24" i="1"/>
  <c r="E24" i="1"/>
  <c r="F24" i="1"/>
  <c r="G24" i="1"/>
  <c r="H24" i="1"/>
  <c r="I24" i="1"/>
  <c r="B25" i="1"/>
  <c r="C25" i="1"/>
  <c r="D25" i="1"/>
  <c r="E25" i="1"/>
  <c r="F25" i="1"/>
  <c r="G25" i="1"/>
  <c r="H25" i="1"/>
  <c r="I25" i="1"/>
  <c r="B26" i="1"/>
  <c r="C26" i="1"/>
  <c r="D26" i="1"/>
  <c r="E26" i="1"/>
  <c r="F26" i="1"/>
  <c r="G26" i="1"/>
  <c r="H26" i="1"/>
  <c r="I26" i="1"/>
  <c r="B27" i="1"/>
  <c r="C27" i="1"/>
  <c r="D27" i="1"/>
  <c r="E27" i="1"/>
  <c r="F27" i="1"/>
  <c r="G27" i="1"/>
  <c r="H27" i="1"/>
  <c r="I27" i="1"/>
  <c r="B28" i="1"/>
  <c r="C28" i="1"/>
  <c r="D28" i="1"/>
  <c r="E28" i="1"/>
  <c r="F28" i="1"/>
  <c r="G28" i="1"/>
  <c r="H28" i="1"/>
  <c r="I28" i="1"/>
  <c r="B29" i="1"/>
  <c r="C29" i="1"/>
  <c r="D29" i="1"/>
  <c r="E29" i="1"/>
  <c r="F29" i="1"/>
  <c r="G29" i="1"/>
  <c r="H29" i="1"/>
  <c r="I29" i="1"/>
  <c r="B30" i="1"/>
  <c r="C30" i="1"/>
  <c r="D30" i="1"/>
  <c r="E30" i="1"/>
  <c r="F30" i="1"/>
  <c r="G30" i="1"/>
  <c r="H30" i="1"/>
  <c r="I30" i="1"/>
  <c r="B31" i="1"/>
  <c r="C31" i="1"/>
  <c r="D31" i="1"/>
  <c r="E31" i="1"/>
  <c r="F31" i="1"/>
  <c r="G31" i="1"/>
  <c r="H31" i="1"/>
  <c r="I31" i="1"/>
  <c r="B32" i="1"/>
  <c r="C32" i="1"/>
  <c r="D32" i="1"/>
  <c r="E32" i="1"/>
  <c r="F32" i="1"/>
  <c r="G32" i="1"/>
  <c r="H32" i="1"/>
  <c r="I32" i="1"/>
  <c r="B33" i="1"/>
  <c r="C33" i="1"/>
  <c r="D33" i="1"/>
  <c r="E33" i="1"/>
  <c r="F33" i="1"/>
  <c r="G33" i="1"/>
  <c r="H33" i="1"/>
  <c r="I33" i="1"/>
  <c r="B34" i="1"/>
  <c r="C34" i="1"/>
  <c r="D34" i="1"/>
  <c r="E34" i="1"/>
  <c r="F34" i="1"/>
  <c r="G34" i="1"/>
  <c r="H34" i="1"/>
  <c r="I34" i="1"/>
  <c r="B35" i="1"/>
  <c r="C35" i="1"/>
  <c r="D35" i="1"/>
  <c r="E35" i="1"/>
  <c r="F35" i="1"/>
  <c r="G35" i="1"/>
  <c r="H35" i="1"/>
  <c r="I35" i="1"/>
  <c r="B36" i="1"/>
  <c r="C36" i="1"/>
  <c r="D36" i="1"/>
  <c r="E36" i="1"/>
  <c r="F36" i="1"/>
  <c r="G36" i="1"/>
  <c r="H36" i="1"/>
  <c r="I36" i="1"/>
  <c r="B37" i="1"/>
  <c r="C37" i="1"/>
  <c r="D37" i="1"/>
  <c r="E37" i="1"/>
  <c r="F37" i="1"/>
  <c r="G37" i="1"/>
  <c r="H37" i="1"/>
  <c r="I37" i="1"/>
  <c r="B38" i="1"/>
  <c r="C38" i="1"/>
  <c r="D38" i="1"/>
  <c r="E38" i="1"/>
  <c r="F38" i="1"/>
  <c r="G38" i="1"/>
  <c r="H38" i="1"/>
  <c r="I38" i="1"/>
  <c r="B39" i="1"/>
  <c r="C39" i="1"/>
  <c r="D39" i="1"/>
  <c r="E39" i="1"/>
  <c r="F39" i="1"/>
  <c r="G39" i="1"/>
  <c r="H39" i="1"/>
  <c r="I39" i="1"/>
  <c r="B40" i="1"/>
  <c r="C40" i="1"/>
  <c r="D40" i="1"/>
  <c r="E40" i="1"/>
  <c r="F40" i="1"/>
  <c r="G40" i="1"/>
  <c r="H40" i="1"/>
  <c r="I40" i="1"/>
  <c r="B41" i="1"/>
  <c r="C41" i="1"/>
  <c r="D41" i="1"/>
  <c r="E41" i="1"/>
  <c r="F41" i="1"/>
  <c r="G41" i="1"/>
  <c r="H41" i="1"/>
  <c r="I41" i="1"/>
  <c r="B42" i="1"/>
  <c r="C42" i="1"/>
  <c r="D42" i="1"/>
  <c r="E42" i="1"/>
  <c r="F42" i="1"/>
  <c r="G42" i="1"/>
  <c r="H42" i="1"/>
  <c r="I42" i="1"/>
  <c r="B43" i="1"/>
  <c r="C43" i="1"/>
  <c r="D43" i="1"/>
  <c r="E43" i="1"/>
  <c r="F43" i="1"/>
  <c r="G43" i="1"/>
  <c r="H43" i="1"/>
  <c r="I43" i="1"/>
  <c r="B44" i="1"/>
  <c r="C44" i="1"/>
  <c r="D44" i="1"/>
  <c r="E44" i="1"/>
  <c r="F44" i="1"/>
  <c r="G44" i="1"/>
  <c r="H44" i="1"/>
  <c r="I44" i="1"/>
  <c r="B45" i="1"/>
  <c r="C45" i="1"/>
  <c r="D45" i="1"/>
  <c r="E45" i="1"/>
  <c r="F45" i="1"/>
  <c r="G45" i="1"/>
  <c r="H45" i="1"/>
  <c r="I45" i="1"/>
</calcChain>
</file>

<file path=xl/sharedStrings.xml><?xml version="1.0" encoding="utf-8"?>
<sst xmlns="http://schemas.openxmlformats.org/spreadsheetml/2006/main" count="57" uniqueCount="57">
  <si>
    <t>overall</t>
  </si>
  <si>
    <t>female</t>
  </si>
  <si>
    <t>male</t>
  </si>
  <si>
    <t>race_black</t>
  </si>
  <si>
    <t>race_white</t>
  </si>
  <si>
    <t>race_latino</t>
  </si>
  <si>
    <t>grade1</t>
  </si>
  <si>
    <t>grade2</t>
  </si>
  <si>
    <t>grade3</t>
  </si>
  <si>
    <t>grade4</t>
  </si>
  <si>
    <t>grade5</t>
  </si>
  <si>
    <t>grade6</t>
  </si>
  <si>
    <t>grade7</t>
  </si>
  <si>
    <t>grade8</t>
  </si>
  <si>
    <t>grade9</t>
  </si>
  <si>
    <t>grade10</t>
  </si>
  <si>
    <t>grade11</t>
  </si>
  <si>
    <t>grade12</t>
  </si>
  <si>
    <t>Residence Ward 1</t>
  </si>
  <si>
    <t>Residence Ward 2</t>
  </si>
  <si>
    <t>Residence Ward 3</t>
  </si>
  <si>
    <t>Residence Ward 4</t>
  </si>
  <si>
    <t>Residence Ward 5</t>
  </si>
  <si>
    <t>Residence Ward 6</t>
  </si>
  <si>
    <t>Residence Ward 7</t>
  </si>
  <si>
    <t>Residence Ward 8</t>
  </si>
  <si>
    <t>School Ward 1</t>
  </si>
  <si>
    <t>School Ward 2</t>
  </si>
  <si>
    <t>School Ward 3</t>
  </si>
  <si>
    <t>School Ward 4</t>
  </si>
  <si>
    <t>School Ward 5</t>
  </si>
  <si>
    <t>School Ward 6</t>
  </si>
  <si>
    <t>School Ward 7</t>
  </si>
  <si>
    <t>School Ward 8</t>
  </si>
  <si>
    <t>Elementary</t>
  </si>
  <si>
    <t>Middle</t>
  </si>
  <si>
    <t>High</t>
  </si>
  <si>
    <t>1. Source: OSSE student-level enrollment and boundary data</t>
  </si>
  <si>
    <t>4. Students were excluded if they had missing school IDs or grade levels outside of PK-12 (e.g., adult or non-grade level sped), or attended private schools/centers and juvenile detention centers.</t>
  </si>
  <si>
    <t>5. Race was coded differently for the 2015-16 school year. As such, percentages for racial subgroups were not calculated for the 2015-16 school year.</t>
  </si>
  <si>
    <t>at-risk</t>
  </si>
  <si>
    <t>non-atrisk</t>
  </si>
  <si>
    <t>sped</t>
  </si>
  <si>
    <t>gradePK3</t>
  </si>
  <si>
    <t>gradePK4</t>
  </si>
  <si>
    <t>gradeK</t>
  </si>
  <si>
    <t>ell</t>
  </si>
  <si>
    <t xml:space="preserve">2. DCPS in-boundary capture rate and by-right capture rate by year. By-right was determined by feeder patterns and enrollment in the school in the previous year. Overall and by subgroup. </t>
  </si>
  <si>
    <t>DCPS in-boundary rate in 2014-15 (%)</t>
  </si>
  <si>
    <t>DCPS byright rate in 2014-15 (%)</t>
  </si>
  <si>
    <t>DCPS in-boundary rate in 2015-16 (%)</t>
  </si>
  <si>
    <t>DCPS byright rate in 2015-16 (%)</t>
  </si>
  <si>
    <t>DCPS in-boundary rate in 2016-17 (%)</t>
  </si>
  <si>
    <t>DCPS byright rate in 2016-17 (%)</t>
  </si>
  <si>
    <t>DCPS in-boundary rate in 2017-18 (%)</t>
  </si>
  <si>
    <t>DCPS byright rate in 2017-18 (%)</t>
  </si>
  <si>
    <t xml:space="preserve">3. Students may be doubly counted across the middle and high categories if they attended a school that was classified as a middle/high school.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</si>
</sst>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M9" sqref="M9"/>
    </sheetView>
  </sheetViews>
  <sheetFormatPr defaultRowHeight="14.5" x14ac:dyDescent="0.35"/>
  <cols>
    <col min="1" max="1" width="13.1796875" style="1" customWidth="1"/>
    <col min="2" max="9" width="8.7265625" style="1"/>
  </cols>
  <sheetData>
    <row r="1" spans="1:9" x14ac:dyDescent="0.35"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</row>
    <row r="2" spans="1:9" x14ac:dyDescent="0.35">
      <c r="A2" s="1" t="s">
        <v>0</v>
      </c>
      <c r="B2" s="3">
        <f>23990/78112*100</f>
        <v>30.712310528471935</v>
      </c>
      <c r="C2" s="3">
        <f>38971/78112*100</f>
        <v>49.891181892666943</v>
      </c>
      <c r="D2" s="3">
        <f>22888/79052*100</f>
        <v>28.953094165865505</v>
      </c>
      <c r="E2" s="3">
        <f>39125/79052*100</f>
        <v>49.492738956636138</v>
      </c>
      <c r="F2" s="3">
        <f>24592/84271*100</f>
        <v>29.182043644907502</v>
      </c>
      <c r="G2" s="3">
        <f>41089/84271*100</f>
        <v>48.758173036987813</v>
      </c>
      <c r="H2" s="3">
        <f>24068/85254*100</f>
        <v>28.230933445938021</v>
      </c>
      <c r="I2" s="3">
        <f>40379/85254*100</f>
        <v>47.363173575433407</v>
      </c>
    </row>
    <row r="3" spans="1:9" x14ac:dyDescent="0.35">
      <c r="A3" s="1" t="s">
        <v>40</v>
      </c>
      <c r="B3" s="3">
        <f>12614/38478*100</f>
        <v>32.782369146005507</v>
      </c>
      <c r="C3" s="3">
        <f>19386/38478*100</f>
        <v>50.382036488382973</v>
      </c>
      <c r="D3" s="3">
        <f>11570/38369*100</f>
        <v>30.154551851755322</v>
      </c>
      <c r="E3" s="3">
        <f>19015/38369*100</f>
        <v>49.558237118507122</v>
      </c>
      <c r="F3" s="3">
        <f>11395/38906*100</f>
        <v>29.288541613118802</v>
      </c>
      <c r="G3" s="3">
        <f>18448/38906*100</f>
        <v>47.416850871330901</v>
      </c>
      <c r="H3" s="3">
        <f>10683/39319*100</f>
        <v>27.170070449401052</v>
      </c>
      <c r="I3" s="3">
        <f>17683/39319*100</f>
        <v>44.973168188407641</v>
      </c>
    </row>
    <row r="4" spans="1:9" x14ac:dyDescent="0.35">
      <c r="A4" s="1" t="s">
        <v>41</v>
      </c>
      <c r="B4" s="3">
        <f>11376/39634*100</f>
        <v>28.702629055861127</v>
      </c>
      <c r="C4" s="3">
        <f>19585/39634*100</f>
        <v>49.414643992531666</v>
      </c>
      <c r="D4" s="3">
        <f>11318/40683*100</f>
        <v>27.819973944890986</v>
      </c>
      <c r="E4" s="3">
        <f>20110/40683*100</f>
        <v>49.43096625125974</v>
      </c>
      <c r="F4" s="3">
        <f>13197/45365*100</f>
        <v>29.090708696131379</v>
      </c>
      <c r="G4" s="3">
        <f>22641/45365*100</f>
        <v>49.908519783974434</v>
      </c>
      <c r="H4" s="3">
        <f>13385/45935*100</f>
        <v>29.139000761946228</v>
      </c>
      <c r="I4" s="3">
        <f>22696/45935*100</f>
        <v>49.408947425710245</v>
      </c>
    </row>
    <row r="5" spans="1:9" x14ac:dyDescent="0.35">
      <c r="A5" s="1" t="s">
        <v>46</v>
      </c>
      <c r="B5" s="3">
        <f>2829/6958*100</f>
        <v>40.65823512503593</v>
      </c>
      <c r="C5" s="3">
        <f>4148/6958*100</f>
        <v>59.614831848232249</v>
      </c>
      <c r="D5" s="3">
        <f>2787/7207*100</f>
        <v>38.670736783682528</v>
      </c>
      <c r="E5" s="3">
        <f>4352/7207*100</f>
        <v>60.385736089912591</v>
      </c>
      <c r="F5" s="3">
        <f>3320/7985*100</f>
        <v>41.57795867251096</v>
      </c>
      <c r="G5" s="3">
        <f>5034/7985*100</f>
        <v>63.043206011271138</v>
      </c>
      <c r="H5" s="3">
        <f>3727/9557*100</f>
        <v>38.997593387046145</v>
      </c>
      <c r="I5" s="3">
        <f>5885/9557*100</f>
        <v>61.577901014962855</v>
      </c>
    </row>
    <row r="6" spans="1:9" x14ac:dyDescent="0.35">
      <c r="A6" s="1" t="s">
        <v>42</v>
      </c>
      <c r="B6" s="3">
        <f>3110/10242*100</f>
        <v>30.365163054090999</v>
      </c>
      <c r="C6" s="3">
        <f>5349/10242*100</f>
        <v>52.226127709431744</v>
      </c>
      <c r="D6" s="3">
        <f>2790/10606*100</f>
        <v>26.305864604940599</v>
      </c>
      <c r="E6" s="3">
        <f>5230/10606*100</f>
        <v>49.311710352630591</v>
      </c>
      <c r="F6" s="3">
        <f>2895/11553*100</f>
        <v>25.058426382757727</v>
      </c>
      <c r="G6" s="3">
        <f>5389/11553*100</f>
        <v>46.645892841686141</v>
      </c>
      <c r="H6" s="3">
        <f>2768/12037*100</f>
        <v>22.995763063886351</v>
      </c>
      <c r="I6" s="3">
        <f>5299/12037*100</f>
        <v>44.022596992606132</v>
      </c>
    </row>
    <row r="7" spans="1:9" x14ac:dyDescent="0.35">
      <c r="A7" s="1" t="s">
        <v>1</v>
      </c>
      <c r="B7" s="3">
        <f>11612/38827*100</f>
        <v>29.90702346305406</v>
      </c>
      <c r="C7" s="3">
        <f>19105/38827*100</f>
        <v>49.205449815849796</v>
      </c>
      <c r="D7" s="3">
        <f>11022/39205*100</f>
        <v>28.113760999872468</v>
      </c>
      <c r="E7" s="3">
        <f>19141/39205*100</f>
        <v>48.822854227777071</v>
      </c>
      <c r="F7" s="3">
        <f>11871/41839*100</f>
        <v>28.37304906905041</v>
      </c>
      <c r="G7" s="3">
        <f>20121/41839*100</f>
        <v>48.091493582542604</v>
      </c>
      <c r="H7" s="3">
        <f>11668/42147*100</f>
        <v>27.684058177331721</v>
      </c>
      <c r="I7" s="3">
        <f>19704/42147*100</f>
        <v>46.750658409851233</v>
      </c>
    </row>
    <row r="8" spans="1:9" x14ac:dyDescent="0.35">
      <c r="A8" s="1" t="s">
        <v>2</v>
      </c>
      <c r="B8" s="3">
        <f>12378/39285*100</f>
        <v>31.508209240168</v>
      </c>
      <c r="C8" s="3">
        <f>19866/39285*100</f>
        <v>50.568919434898817</v>
      </c>
      <c r="D8" s="3">
        <f>11866/39847*100</f>
        <v>29.778904308981858</v>
      </c>
      <c r="E8" s="3">
        <f>19983/39847*100</f>
        <v>50.149321153411798</v>
      </c>
      <c r="F8" s="3">
        <f>12721/42432*100</f>
        <v>29.979732277526395</v>
      </c>
      <c r="G8" s="3">
        <f>20968/42432*100</f>
        <v>49.41553544494721</v>
      </c>
      <c r="H8" s="3">
        <f>12400/43107*100</f>
        <v>28.765629712111725</v>
      </c>
      <c r="I8" s="3">
        <f>20675/43107*100</f>
        <v>47.962047927250794</v>
      </c>
    </row>
    <row r="9" spans="1:9" x14ac:dyDescent="0.35">
      <c r="A9" s="1" t="s">
        <v>3</v>
      </c>
      <c r="B9" s="3">
        <f>15478/59374*100</f>
        <v>26.068649577256036</v>
      </c>
      <c r="C9" s="3">
        <f>26920/59374*100</f>
        <v>45.339710984606057</v>
      </c>
      <c r="D9" s="3"/>
      <c r="E9" s="3"/>
      <c r="F9" s="3">
        <f>14121/60722*100</f>
        <v>23.255162873423142</v>
      </c>
      <c r="G9" s="3">
        <f>25871/60722*100</f>
        <v>42.605645400349133</v>
      </c>
      <c r="H9" s="3">
        <f>13117/60397*100</f>
        <v>21.717966124145239</v>
      </c>
      <c r="I9" s="3">
        <f>24474/60397*100</f>
        <v>40.521880225839027</v>
      </c>
    </row>
    <row r="10" spans="1:9" x14ac:dyDescent="0.35">
      <c r="A10" s="1" t="s">
        <v>4</v>
      </c>
      <c r="B10" s="3">
        <f>7971/16784*100</f>
        <v>47.491658722592945</v>
      </c>
      <c r="C10" s="3">
        <f>11202/16784*100</f>
        <v>66.742135367016203</v>
      </c>
      <c r="D10" s="3"/>
      <c r="E10" s="3"/>
      <c r="F10" s="3">
        <f>8682/18201*100</f>
        <v>47.700675787044666</v>
      </c>
      <c r="G10" s="3">
        <f>12334/18201*100</f>
        <v>67.765507389703856</v>
      </c>
      <c r="H10" s="3">
        <f>8968/18825*100</f>
        <v>47.638778220451528</v>
      </c>
      <c r="I10" s="3">
        <f>12816/18825*100</f>
        <v>68.079681274900395</v>
      </c>
    </row>
    <row r="11" spans="1:9" x14ac:dyDescent="0.35">
      <c r="A11" s="1" t="s">
        <v>5</v>
      </c>
      <c r="B11" s="3">
        <f>4165/11501*100</f>
        <v>36.21424223980523</v>
      </c>
      <c r="C11" s="3">
        <f>6856/11501*100</f>
        <v>59.612207634118775</v>
      </c>
      <c r="D11" s="3"/>
      <c r="E11" s="3"/>
      <c r="F11" s="3">
        <f>4821/13635*100</f>
        <v>35.357535753575355</v>
      </c>
      <c r="G11" s="3">
        <f>8337/13635*100</f>
        <v>61.144114411441144</v>
      </c>
      <c r="H11" s="3">
        <f>4934/14045*100</f>
        <v>35.129939480242079</v>
      </c>
      <c r="I11" s="3">
        <f>8472/14045*100</f>
        <v>60.320398718405123</v>
      </c>
    </row>
    <row r="12" spans="1:9" x14ac:dyDescent="0.35">
      <c r="A12" s="1" t="s">
        <v>43</v>
      </c>
      <c r="B12" s="3">
        <f>1224/5277*100</f>
        <v>23.194997157475839</v>
      </c>
      <c r="C12" s="3">
        <f>1210/5277*100</f>
        <v>22.92969490240667</v>
      </c>
      <c r="D12" s="3">
        <f>1266/5059*100</f>
        <v>25.024708440403241</v>
      </c>
      <c r="E12" s="3">
        <f>1248/5059*100</f>
        <v>24.66890689859656</v>
      </c>
      <c r="F12" s="3">
        <f>1454/5571*100</f>
        <v>26.099443546939511</v>
      </c>
      <c r="G12" s="3">
        <f>1248/5571*100</f>
        <v>22.401723209477652</v>
      </c>
      <c r="H12" s="3">
        <f>1458/5610*100</f>
        <v>25.989304812834224</v>
      </c>
      <c r="I12" s="3">
        <f>1446/5610*100</f>
        <v>25.775401069518715</v>
      </c>
    </row>
    <row r="13" spans="1:9" x14ac:dyDescent="0.35">
      <c r="A13" s="1" t="s">
        <v>44</v>
      </c>
      <c r="B13" s="3">
        <f>1866/6499*100</f>
        <v>28.7121095553162</v>
      </c>
      <c r="C13" s="3">
        <f>2700/6499*100</f>
        <v>41.54485305431605</v>
      </c>
      <c r="D13" s="3">
        <f>1866/6685*100</f>
        <v>27.913238593866868</v>
      </c>
      <c r="E13" s="3">
        <f>2738/6685*100</f>
        <v>40.957367240089752</v>
      </c>
      <c r="F13" s="3">
        <f>2119/6903*100</f>
        <v>30.696798493408661</v>
      </c>
      <c r="G13" s="3">
        <f>2738/6903*100</f>
        <v>39.663914240185427</v>
      </c>
      <c r="H13" s="3">
        <f>2048/6954*100</f>
        <v>29.450675870002875</v>
      </c>
      <c r="I13" s="3">
        <f>2827/6954*100</f>
        <v>40.652861662352599</v>
      </c>
    </row>
    <row r="14" spans="1:9" x14ac:dyDescent="0.35">
      <c r="A14" s="1" t="s">
        <v>45</v>
      </c>
      <c r="B14" s="3">
        <f>2345/7091*100</f>
        <v>33.070088845014808</v>
      </c>
      <c r="C14" s="3">
        <f>3519/7091*100</f>
        <v>49.626286842476382</v>
      </c>
      <c r="D14" s="3">
        <f>2330/6955*100</f>
        <v>33.501078360891448</v>
      </c>
      <c r="E14" s="3">
        <f>3428/6955*100</f>
        <v>49.288281811646293</v>
      </c>
      <c r="F14" s="3">
        <f>2448/7526*100</f>
        <v>32.527238905128883</v>
      </c>
      <c r="G14" s="3">
        <f>3428/7526*100</f>
        <v>45.548764283816105</v>
      </c>
      <c r="H14" s="3">
        <f>2540/7371*100</f>
        <v>34.459367792701123</v>
      </c>
      <c r="I14" s="3">
        <f>3570/7371*100</f>
        <v>48.433048433048434</v>
      </c>
    </row>
    <row r="15" spans="1:9" x14ac:dyDescent="0.35">
      <c r="A15" s="1" t="s">
        <v>6</v>
      </c>
      <c r="B15" s="3">
        <f>2390/6874*100</f>
        <v>34.768693628164101</v>
      </c>
      <c r="C15" s="3">
        <f>3808/6874*100</f>
        <v>55.397148676171085</v>
      </c>
      <c r="D15" s="3">
        <f>2153/6748*100</f>
        <v>31.90574985180794</v>
      </c>
      <c r="E15" s="3">
        <f>3656/6748*100</f>
        <v>54.179016004742145</v>
      </c>
      <c r="F15" s="3">
        <f>2432/7095*100</f>
        <v>34.277660324171954</v>
      </c>
      <c r="G15" s="3">
        <f>3656/7095*100</f>
        <v>51.529245947850598</v>
      </c>
      <c r="H15" s="3">
        <f>2289/7144*100</f>
        <v>32.04087346024636</v>
      </c>
      <c r="I15" s="3">
        <f>3731/7144*100</f>
        <v>52.225643896976479</v>
      </c>
    </row>
    <row r="16" spans="1:9" x14ac:dyDescent="0.35">
      <c r="A16" s="1" t="s">
        <v>7</v>
      </c>
      <c r="B16" s="3">
        <f>2283/6508*100</f>
        <v>35.079901659496002</v>
      </c>
      <c r="C16" s="3">
        <f>3739/6508*100</f>
        <v>57.452366318377379</v>
      </c>
      <c r="D16" s="3">
        <f>2134/6540*100</f>
        <v>32.62996941896025</v>
      </c>
      <c r="E16" s="3">
        <f>3676/6540*100</f>
        <v>56.207951070336392</v>
      </c>
      <c r="F16" s="3">
        <f>2184/6773*100</f>
        <v>32.245681381957773</v>
      </c>
      <c r="G16" s="3">
        <f>3676/6773*100</f>
        <v>54.274324523844676</v>
      </c>
      <c r="H16" s="3">
        <f>2195/6756*100</f>
        <v>32.489638839550025</v>
      </c>
      <c r="I16" s="3">
        <f>3642/6756*100</f>
        <v>53.907637655417403</v>
      </c>
    </row>
    <row r="17" spans="1:9" x14ac:dyDescent="0.35">
      <c r="A17" s="1" t="s">
        <v>8</v>
      </c>
      <c r="B17" s="3">
        <f>2054/5709*100</f>
        <v>35.978279908915745</v>
      </c>
      <c r="C17" s="3">
        <f>3323/5709*100</f>
        <v>58.206340865300398</v>
      </c>
      <c r="D17" s="3">
        <f>2098/6228*100</f>
        <v>33.686576750160562</v>
      </c>
      <c r="E17" s="3">
        <f>3621/6228*100</f>
        <v>58.140655105973025</v>
      </c>
      <c r="F17" s="3">
        <f>2182/6542*100</f>
        <v>33.353714460409662</v>
      </c>
      <c r="G17" s="3">
        <f>3621/6542*100</f>
        <v>55.350045857535925</v>
      </c>
      <c r="H17" s="3">
        <f>2006/6516*100</f>
        <v>30.78575813382443</v>
      </c>
      <c r="I17" s="3">
        <f>3506/6516*100</f>
        <v>53.806015960712095</v>
      </c>
    </row>
    <row r="18" spans="1:9" x14ac:dyDescent="0.35">
      <c r="A18" s="1" t="s">
        <v>9</v>
      </c>
      <c r="B18" s="3">
        <f>1865/5096*100</f>
        <v>36.597331240188389</v>
      </c>
      <c r="C18" s="3">
        <f>3089/5096*100</f>
        <v>60.61616954474097</v>
      </c>
      <c r="D18" s="3">
        <f>1784/5438*100</f>
        <v>32.806178742184628</v>
      </c>
      <c r="E18" s="3">
        <f>3214/5438*100</f>
        <v>59.10261125413755</v>
      </c>
      <c r="F18" s="3">
        <f>2086/6252*100</f>
        <v>33.365323096609082</v>
      </c>
      <c r="G18" s="3">
        <f>3214/6252*100</f>
        <v>51.407549584133072</v>
      </c>
      <c r="H18" s="3">
        <f>2008/6265*100</f>
        <v>32.051077414205906</v>
      </c>
      <c r="I18" s="3">
        <f>3579/6265*100</f>
        <v>57.126895450917793</v>
      </c>
    </row>
    <row r="19" spans="1:9" x14ac:dyDescent="0.35">
      <c r="A19" s="1" t="s">
        <v>10</v>
      </c>
      <c r="B19" s="3">
        <f>1504/4657*100</f>
        <v>32.295469186171353</v>
      </c>
      <c r="C19" s="3">
        <f>2576/4657*100</f>
        <v>55.314580201846688</v>
      </c>
      <c r="D19" s="3">
        <f>1568/5039*100</f>
        <v>31.117285175630084</v>
      </c>
      <c r="E19" s="3">
        <f>2818/5039*100</f>
        <v>55.923794403651513</v>
      </c>
      <c r="F19" s="3">
        <f>1684/5515*100</f>
        <v>30.534904805077062</v>
      </c>
      <c r="G19" s="3">
        <f>2818/5515*100</f>
        <v>51.09700815956483</v>
      </c>
      <c r="H19" s="3">
        <f>1880/6078*100</f>
        <v>30.931227377426783</v>
      </c>
      <c r="I19" s="3">
        <f>3378/6078*100</f>
        <v>55.577492596248767</v>
      </c>
    </row>
    <row r="20" spans="1:9" x14ac:dyDescent="0.35">
      <c r="A20" s="1" t="s">
        <v>11</v>
      </c>
      <c r="B20" s="3">
        <f>1173/4469*100</f>
        <v>26.247482658312819</v>
      </c>
      <c r="C20" s="3">
        <f>1782/4469*100</f>
        <v>39.874692324904899</v>
      </c>
      <c r="D20" s="3">
        <f>1085/4474*100</f>
        <v>24.251229324988824</v>
      </c>
      <c r="E20" s="3">
        <f>1597/4474*100</f>
        <v>35.695127402771568</v>
      </c>
      <c r="F20" s="3">
        <f>1285/4961*100</f>
        <v>25.902035879862932</v>
      </c>
      <c r="G20" s="3">
        <f>1597/4961*100</f>
        <v>32.191090505946377</v>
      </c>
      <c r="H20" s="3">
        <f>1225/5187*100</f>
        <v>23.616734143049932</v>
      </c>
      <c r="I20" s="3">
        <f>1883/5187*100</f>
        <v>36.302294197031038</v>
      </c>
    </row>
    <row r="21" spans="1:9" x14ac:dyDescent="0.35">
      <c r="A21" s="1" t="s">
        <v>12</v>
      </c>
      <c r="B21" s="3">
        <f>1273/4340*100</f>
        <v>29.331797235023043</v>
      </c>
      <c r="C21" s="3">
        <f>2076/4340*100</f>
        <v>47.834101382488484</v>
      </c>
      <c r="D21" s="3">
        <f>1204/4390*100</f>
        <v>27.425968109339411</v>
      </c>
      <c r="E21" s="3">
        <f>2072/4390*100</f>
        <v>47.198177676537583</v>
      </c>
      <c r="F21" s="3">
        <f>1204/4588*100</f>
        <v>26.242371403661725</v>
      </c>
      <c r="G21" s="3">
        <f>2072/4588*100</f>
        <v>45.161290322580641</v>
      </c>
      <c r="H21" s="3">
        <f>1244/4888*100</f>
        <v>25.450081833060555</v>
      </c>
      <c r="I21" s="3">
        <f>2154/4888*100</f>
        <v>44.067103109656301</v>
      </c>
    </row>
    <row r="22" spans="1:9" x14ac:dyDescent="0.35">
      <c r="A22" s="1" t="s">
        <v>13</v>
      </c>
      <c r="B22" s="3">
        <f>1417/4446*100</f>
        <v>31.871345029239766</v>
      </c>
      <c r="C22" s="3">
        <f>2254/4446*100</f>
        <v>50.697255960413855</v>
      </c>
      <c r="D22" s="3">
        <f>1223/4238*100</f>
        <v>28.857951864086832</v>
      </c>
      <c r="E22" s="3">
        <f>2096/4238*100</f>
        <v>49.457291175082588</v>
      </c>
      <c r="F22" s="3">
        <f>1257/4473*100</f>
        <v>28.101945003353457</v>
      </c>
      <c r="G22" s="3">
        <f>2096/4473*100</f>
        <v>46.858931365973625</v>
      </c>
      <c r="H22" s="3">
        <f>1137/4464*100</f>
        <v>25.47043010752688</v>
      </c>
      <c r="I22" s="3">
        <f>1980/4464*100</f>
        <v>44.354838709677416</v>
      </c>
    </row>
    <row r="23" spans="1:9" x14ac:dyDescent="0.35">
      <c r="A23" s="1" t="s">
        <v>14</v>
      </c>
      <c r="B23" s="3">
        <f>1768/6017*100</f>
        <v>29.383413661293002</v>
      </c>
      <c r="C23" s="3">
        <f>2382/6017*100</f>
        <v>39.587834469004484</v>
      </c>
      <c r="D23" s="3">
        <f>1601/5928*100</f>
        <v>27.007422402159243</v>
      </c>
      <c r="E23" s="3">
        <f>2286/5928*100</f>
        <v>38.56275303643725</v>
      </c>
      <c r="F23" s="3">
        <f>1455/6096*100</f>
        <v>23.86811023622047</v>
      </c>
      <c r="G23" s="3">
        <f>2286/6096*100</f>
        <v>37.5</v>
      </c>
      <c r="H23" s="3">
        <f>1188/5737*100</f>
        <v>20.707686944396027</v>
      </c>
      <c r="I23" s="3">
        <f>1660/5737*100</f>
        <v>28.93498344082273</v>
      </c>
    </row>
    <row r="24" spans="1:9" x14ac:dyDescent="0.35">
      <c r="A24" s="1" t="s">
        <v>15</v>
      </c>
      <c r="B24" s="3">
        <f>1061/4093*100</f>
        <v>25.922306376740778</v>
      </c>
      <c r="C24" s="3">
        <f>2313/4093*100</f>
        <v>56.511116540434891</v>
      </c>
      <c r="D24" s="3">
        <f>961/4088*100</f>
        <v>23.507827788649706</v>
      </c>
      <c r="E24" s="3">
        <f>2347/4088*100</f>
        <v>57.411937377690805</v>
      </c>
      <c r="F24" s="3">
        <f>1067/4448*100</f>
        <v>23.988309352517987</v>
      </c>
      <c r="G24" s="3">
        <f>2347/4448*100</f>
        <v>52.765287769784173</v>
      </c>
      <c r="H24" s="3">
        <f>1040/4495*100</f>
        <v>23.136818687430477</v>
      </c>
      <c r="I24" s="3">
        <f>2380/4495*100</f>
        <v>52.947719688542826</v>
      </c>
    </row>
    <row r="25" spans="1:9" x14ac:dyDescent="0.35">
      <c r="A25" s="1" t="s">
        <v>16</v>
      </c>
      <c r="B25" s="3">
        <f>973/3752*100</f>
        <v>25.932835820895523</v>
      </c>
      <c r="C25" s="3">
        <f>2200/3752*100</f>
        <v>58.63539445628998</v>
      </c>
      <c r="D25" s="3">
        <f>823/3757*100</f>
        <v>21.905775885014638</v>
      </c>
      <c r="E25" s="3">
        <f>2230/3757*100</f>
        <v>59.355869044450358</v>
      </c>
      <c r="F25" s="3">
        <f>948/3959*100</f>
        <v>23.945440767870675</v>
      </c>
      <c r="G25" s="3">
        <f>2230/3959*100</f>
        <v>56.327355392775956</v>
      </c>
      <c r="H25" s="3">
        <f>958/4076*100</f>
        <v>23.503434739941117</v>
      </c>
      <c r="I25" s="3">
        <f>2330/4076*100</f>
        <v>57.163886162904809</v>
      </c>
    </row>
    <row r="26" spans="1:9" x14ac:dyDescent="0.35">
      <c r="A26" s="1" t="s">
        <v>17</v>
      </c>
      <c r="B26" s="3">
        <f>794/3284*100</f>
        <v>24.177831912302068</v>
      </c>
      <c r="C26" s="3">
        <f>2000/3284*100</f>
        <v>60.901339829476257</v>
      </c>
      <c r="D26" s="3">
        <f>792/3485*100</f>
        <v>22.72596843615495</v>
      </c>
      <c r="E26" s="3">
        <f>2098/3485*100</f>
        <v>60.200860832137735</v>
      </c>
      <c r="F26" s="3">
        <f>787/3569*100</f>
        <v>22.05099467637994</v>
      </c>
      <c r="G26" s="3">
        <f>2098/3569*100</f>
        <v>58.783973101709165</v>
      </c>
      <c r="H26" s="3">
        <f>852/3713*100</f>
        <v>22.946404524643146</v>
      </c>
      <c r="I26" s="3">
        <f>2313/3713*100</f>
        <v>62.294640452464314</v>
      </c>
    </row>
    <row r="27" spans="1:9" x14ac:dyDescent="0.35">
      <c r="A27" s="1" t="s">
        <v>18</v>
      </c>
      <c r="B27" s="3">
        <f>2474/6869*100</f>
        <v>36.016887465424368</v>
      </c>
      <c r="C27" s="3">
        <f>3759/6869*100</f>
        <v>54.724122870869117</v>
      </c>
      <c r="D27" s="3">
        <f>2302/6901*100</f>
        <v>33.357484422547458</v>
      </c>
      <c r="E27" s="3">
        <f>3762/6901*100</f>
        <v>54.513838574119688</v>
      </c>
      <c r="F27" s="3">
        <f>2546/7122*100</f>
        <v>35.748385285032299</v>
      </c>
      <c r="G27" s="3">
        <f>3762/7122*100</f>
        <v>52.82224094355518</v>
      </c>
      <c r="H27" s="3">
        <f>2614/7229*100</f>
        <v>36.159911467699544</v>
      </c>
      <c r="I27" s="3">
        <f>4107/7229*100</f>
        <v>56.812837183566188</v>
      </c>
    </row>
    <row r="28" spans="1:9" x14ac:dyDescent="0.35">
      <c r="A28" s="1" t="s">
        <v>19</v>
      </c>
      <c r="B28" s="3">
        <f>672/1482*100</f>
        <v>45.344129554655872</v>
      </c>
      <c r="C28" s="3">
        <f>921/1482*100</f>
        <v>62.145748987854255</v>
      </c>
      <c r="D28" s="3">
        <f>711/1509*100</f>
        <v>47.117296222664017</v>
      </c>
      <c r="E28" s="3">
        <f>1002/1509*100</f>
        <v>66.401590457256461</v>
      </c>
      <c r="F28" s="3">
        <f>774/1556*100</f>
        <v>49.742930591259636</v>
      </c>
      <c r="G28" s="3">
        <f>1002/1556*100</f>
        <v>64.395886889460158</v>
      </c>
      <c r="H28" s="3">
        <f>774/1573*100</f>
        <v>49.205340114431024</v>
      </c>
      <c r="I28" s="3">
        <f>1075/1573*100</f>
        <v>68.340750158931968</v>
      </c>
    </row>
    <row r="29" spans="1:9" x14ac:dyDescent="0.35">
      <c r="A29" s="1" t="s">
        <v>20</v>
      </c>
      <c r="B29" s="3">
        <f>3685/4345*100</f>
        <v>84.810126582278471</v>
      </c>
      <c r="C29" s="3">
        <f>3918/4345*100</f>
        <v>90.172612197928657</v>
      </c>
      <c r="D29" s="3">
        <f>3619/4498*100</f>
        <v>80.457981325033344</v>
      </c>
      <c r="E29" s="3">
        <f>4015/4498*100</f>
        <v>89.261894175188971</v>
      </c>
      <c r="F29" s="3">
        <f>3998/4907*100</f>
        <v>81.475443244344817</v>
      </c>
      <c r="G29" s="3">
        <f>4015/4907*100</f>
        <v>81.821887100061147</v>
      </c>
      <c r="H29" s="3">
        <f>4252/5118*100</f>
        <v>83.079327862446277</v>
      </c>
      <c r="I29" s="3">
        <f>4667/5118*100</f>
        <v>91.187964048456422</v>
      </c>
    </row>
    <row r="30" spans="1:9" x14ac:dyDescent="0.35">
      <c r="A30" s="1" t="s">
        <v>21</v>
      </c>
      <c r="B30" s="3">
        <f>3802/12212*100</f>
        <v>31.133311496888304</v>
      </c>
      <c r="C30" s="3">
        <f>6475/12212*100</f>
        <v>53.021618080576481</v>
      </c>
      <c r="D30" s="3">
        <f>4040/12424*100</f>
        <v>32.517707662588542</v>
      </c>
      <c r="E30" s="3">
        <f>6728/12424*100</f>
        <v>54.153251770766261</v>
      </c>
      <c r="F30" s="3">
        <f>4574/13354*100</f>
        <v>34.251909540212672</v>
      </c>
      <c r="G30" s="3">
        <f>6728/13354*100</f>
        <v>50.381908042534072</v>
      </c>
      <c r="H30" s="3">
        <f>4555/13508*100</f>
        <v>33.720758069292273</v>
      </c>
      <c r="I30" s="3">
        <f>7457/13508*100</f>
        <v>55.204323363932481</v>
      </c>
    </row>
    <row r="31" spans="1:9" x14ac:dyDescent="0.35">
      <c r="A31" s="1" t="s">
        <v>22</v>
      </c>
      <c r="B31" s="3">
        <f>2084/11106*100</f>
        <v>18.764631730596072</v>
      </c>
      <c r="C31" s="3">
        <f>4285/11106*100</f>
        <v>38.582748064109488</v>
      </c>
      <c r="D31" s="3">
        <f>1857/11110*100</f>
        <v>16.714671467146715</v>
      </c>
      <c r="E31" s="3">
        <f>4172/11110*100</f>
        <v>37.551755175517556</v>
      </c>
      <c r="F31" s="3">
        <f>1884/11792*100</f>
        <v>15.976933514246946</v>
      </c>
      <c r="G31" s="3">
        <f>4172/11792*100</f>
        <v>35.379918588873814</v>
      </c>
      <c r="H31" s="3">
        <f>1806/12036*100</f>
        <v>15.004985044865403</v>
      </c>
      <c r="I31" s="3">
        <f>4187/12036*100</f>
        <v>34.78730475240944</v>
      </c>
    </row>
    <row r="32" spans="1:9" x14ac:dyDescent="0.35">
      <c r="A32" s="1" t="s">
        <v>23</v>
      </c>
      <c r="B32" s="3">
        <f>2644/7685*100</f>
        <v>34.40468445022772</v>
      </c>
      <c r="C32" s="3">
        <f>4227/7685*100</f>
        <v>55.003253090435912</v>
      </c>
      <c r="D32" s="3">
        <f>2585/7844*100</f>
        <v>32.955124936257015</v>
      </c>
      <c r="E32" s="3">
        <f>4266/7844*100</f>
        <v>54.385517593064762</v>
      </c>
      <c r="F32" s="3">
        <f>2872/8356*100</f>
        <v>34.370512206797507</v>
      </c>
      <c r="G32" s="3">
        <f>4266/8356*100</f>
        <v>51.053135471517471</v>
      </c>
      <c r="H32" s="3">
        <f>2900/8488*100</f>
        <v>34.165881244109329</v>
      </c>
      <c r="I32" s="3">
        <f>4537/8488*100</f>
        <v>53.451932139491042</v>
      </c>
    </row>
    <row r="33" spans="1:9" x14ac:dyDescent="0.35">
      <c r="A33" s="1" t="s">
        <v>24</v>
      </c>
      <c r="B33" s="3">
        <f>3895/15615*100</f>
        <v>24.943964137047711</v>
      </c>
      <c r="C33" s="3">
        <f>6819/15615*100</f>
        <v>43.669548511047068</v>
      </c>
      <c r="D33" s="3">
        <f>3413/15770*100</f>
        <v>21.642358909321498</v>
      </c>
      <c r="E33" s="3">
        <f>6589/15770*100</f>
        <v>41.781864299302477</v>
      </c>
      <c r="F33" s="3">
        <f>3564/16725*100</f>
        <v>21.309417040358746</v>
      </c>
      <c r="G33" s="3">
        <f>6589/16725*100</f>
        <v>39.39611360239163</v>
      </c>
      <c r="H33" s="3">
        <f>3135/16736*100</f>
        <v>18.732074569789674</v>
      </c>
      <c r="I33" s="3">
        <f>6311/16736*100</f>
        <v>37.709130019120458</v>
      </c>
    </row>
    <row r="34" spans="1:9" x14ac:dyDescent="0.35">
      <c r="A34" s="1" t="s">
        <v>25</v>
      </c>
      <c r="B34" s="3">
        <f>4734/18798*100</f>
        <v>25.183530162783274</v>
      </c>
      <c r="C34" s="3">
        <f>7934/18798*100</f>
        <v>42.206617725289924</v>
      </c>
      <c r="D34" s="3">
        <f>4361/18996*100</f>
        <v>22.957464729416717</v>
      </c>
      <c r="E34" s="3">
        <f>7741/18996*100</f>
        <v>40.75068435460097</v>
      </c>
      <c r="F34" s="3">
        <f>4380/20459*100</f>
        <v>21.408671000537659</v>
      </c>
      <c r="G34" s="3">
        <f>7741/20459*100</f>
        <v>37.836648907571238</v>
      </c>
      <c r="H34" s="3">
        <f>4032/20566*100</f>
        <v>19.605173587474471</v>
      </c>
      <c r="I34" s="3">
        <f>7559/20566*100</f>
        <v>36.754838082271711</v>
      </c>
    </row>
    <row r="35" spans="1:9" x14ac:dyDescent="0.35">
      <c r="A35" s="1" t="s">
        <v>26</v>
      </c>
      <c r="B35" s="3">
        <f>2073/8520*100</f>
        <v>24.33098591549296</v>
      </c>
      <c r="C35" s="3">
        <f>4581/8520*100</f>
        <v>53.767605633802816</v>
      </c>
      <c r="D35" s="3">
        <f>1843/7985*100</f>
        <v>23.080776455854725</v>
      </c>
      <c r="E35" s="3">
        <f>4691/7985*100</f>
        <v>58.747651847213525</v>
      </c>
      <c r="F35" s="3">
        <f>1575/7344*100</f>
        <v>21.446078431372548</v>
      </c>
      <c r="G35" s="3">
        <f>4691/7344*100</f>
        <v>63.87527233115469</v>
      </c>
      <c r="H35" s="3">
        <f>1775/6846*100</f>
        <v>25.927548933683902</v>
      </c>
      <c r="I35" s="3">
        <f>3984/6846*100</f>
        <v>58.194566170026299</v>
      </c>
    </row>
    <row r="36" spans="1:9" x14ac:dyDescent="0.35">
      <c r="A36" s="1" t="s">
        <v>27</v>
      </c>
      <c r="B36" s="3">
        <f>631/2847*100</f>
        <v>22.163681067790659</v>
      </c>
      <c r="C36" s="3">
        <f>1777/2847*100</f>
        <v>62.416578854935025</v>
      </c>
      <c r="D36" s="3">
        <f>684/2913*100</f>
        <v>23.480947476828014</v>
      </c>
      <c r="E36" s="3">
        <f>1864/2913*100</f>
        <v>63.989014761414353</v>
      </c>
      <c r="F36" s="3">
        <f>769/3467*100</f>
        <v>22.180559561580619</v>
      </c>
      <c r="G36" s="3">
        <f>1864/3467*100</f>
        <v>53.764061147966544</v>
      </c>
      <c r="H36" s="3">
        <f>691/3614*100</f>
        <v>19.120088544548977</v>
      </c>
      <c r="I36" s="3">
        <f>2122/3614*100</f>
        <v>58.71610403984505</v>
      </c>
    </row>
    <row r="37" spans="1:9" x14ac:dyDescent="0.35">
      <c r="A37" s="1" t="s">
        <v>28</v>
      </c>
      <c r="B37" s="3">
        <f>4545/6819*100</f>
        <v>66.652001759788831</v>
      </c>
      <c r="C37" s="3">
        <f>6562/6819*100</f>
        <v>96.231118932394779</v>
      </c>
      <c r="D37" s="3">
        <f>4359/6871*100</f>
        <v>63.440547227477808</v>
      </c>
      <c r="E37" s="3">
        <f>6626/6871*100</f>
        <v>96.43428904089653</v>
      </c>
      <c r="F37" s="3">
        <f>4813/7181*100</f>
        <v>67.024091352179354</v>
      </c>
      <c r="G37" s="3">
        <f>6626/7181*100</f>
        <v>92.271271410667026</v>
      </c>
      <c r="H37" s="3">
        <f>5071/7299*100</f>
        <v>69.475270585011657</v>
      </c>
      <c r="I37" s="3">
        <f>7043/7299*100</f>
        <v>96.49267022879846</v>
      </c>
    </row>
    <row r="38" spans="1:9" x14ac:dyDescent="0.35">
      <c r="A38" s="1" t="s">
        <v>29</v>
      </c>
      <c r="B38" s="3">
        <f>3884/11703*100</f>
        <v>33.188071434674868</v>
      </c>
      <c r="C38" s="3">
        <f>5342/11703*100</f>
        <v>45.646415449030165</v>
      </c>
      <c r="D38" s="3">
        <f>4070/12067*100</f>
        <v>33.72835004557885</v>
      </c>
      <c r="E38" s="3">
        <f>5608/12067*100</f>
        <v>46.473854313416759</v>
      </c>
      <c r="F38" s="3">
        <f>5065/13829*100</f>
        <v>36.625931014534672</v>
      </c>
      <c r="G38" s="3">
        <f>5608/13829*100</f>
        <v>40.552462217080048</v>
      </c>
      <c r="H38" s="3">
        <f>4955/14439*100</f>
        <v>34.316780940508345</v>
      </c>
      <c r="I38" s="3">
        <f>7277/14439*100</f>
        <v>50.398227024032138</v>
      </c>
    </row>
    <row r="39" spans="1:9" x14ac:dyDescent="0.35">
      <c r="A39" s="1" t="s">
        <v>30</v>
      </c>
      <c r="B39" s="3">
        <f>1885/11734*100</f>
        <v>16.064428157491051</v>
      </c>
      <c r="C39" s="3">
        <f>3404/11734*100</f>
        <v>29.009715357081983</v>
      </c>
      <c r="D39" s="3">
        <f>1676/12718*100</f>
        <v>13.178172668658593</v>
      </c>
      <c r="E39" s="3">
        <f>3251/12718*100</f>
        <v>25.562195313728576</v>
      </c>
      <c r="F39" s="3">
        <f>1673/13767*100</f>
        <v>12.15224812958524</v>
      </c>
      <c r="G39" s="3">
        <f>3251/13767*100</f>
        <v>23.614440328321347</v>
      </c>
      <c r="H39" s="3">
        <f>1595/14359*100</f>
        <v>11.108015878543075</v>
      </c>
      <c r="I39" s="3">
        <f>3163/14359*100</f>
        <v>22.027996378577896</v>
      </c>
    </row>
    <row r="40" spans="1:9" x14ac:dyDescent="0.35">
      <c r="A40" s="1" t="s">
        <v>31</v>
      </c>
      <c r="B40" s="3">
        <f>2724/10731*100</f>
        <v>25.384400335476659</v>
      </c>
      <c r="C40" s="3">
        <f>5849/10731*100</f>
        <v>54.505637871586984</v>
      </c>
      <c r="D40" s="3">
        <f>2536/10849*100</f>
        <v>23.375426306572034</v>
      </c>
      <c r="E40" s="3">
        <f>5954/10849*100</f>
        <v>54.8806341598304</v>
      </c>
      <c r="F40" s="3">
        <f>2817/11381*100</f>
        <v>24.751779281258237</v>
      </c>
      <c r="G40" s="3">
        <f>5954/11381*100</f>
        <v>52.315262279237331</v>
      </c>
      <c r="H40" s="3">
        <f>2980/11545*100</f>
        <v>25.812039844088353</v>
      </c>
      <c r="I40" s="3">
        <f>6419/11545*100</f>
        <v>55.59982676483326</v>
      </c>
    </row>
    <row r="41" spans="1:9" x14ac:dyDescent="0.35">
      <c r="A41" s="1" t="s">
        <v>32</v>
      </c>
      <c r="B41" s="3">
        <f>3345/10862*100</f>
        <v>30.795433621800772</v>
      </c>
      <c r="C41" s="3">
        <f>4824/10862*100</f>
        <v>44.411710550543177</v>
      </c>
      <c r="D41" s="3">
        <f>3188/11196*100</f>
        <v>28.474455162558055</v>
      </c>
      <c r="E41" s="3">
        <f>4611/11196*100</f>
        <v>41.184351554126472</v>
      </c>
      <c r="F41" s="3">
        <f>3342/11713*100</f>
        <v>28.53239989754973</v>
      </c>
      <c r="G41" s="3">
        <f>4611/11713*100</f>
        <v>39.366515837104075</v>
      </c>
      <c r="H41" s="3">
        <f>2844/11486*100</f>
        <v>24.760578095072262</v>
      </c>
      <c r="I41" s="3">
        <f>4291/11486*100</f>
        <v>37.358523419815427</v>
      </c>
    </row>
    <row r="42" spans="1:9" x14ac:dyDescent="0.35">
      <c r="A42" s="1" t="s">
        <v>33</v>
      </c>
      <c r="B42" s="3">
        <f>4903/14256*100</f>
        <v>34.392536475869811</v>
      </c>
      <c r="C42" s="3">
        <f>6632/14256*100</f>
        <v>46.52076318742985</v>
      </c>
      <c r="D42" s="3">
        <f>4532/14453*100</f>
        <v>31.356811734587975</v>
      </c>
      <c r="E42" s="3">
        <f>6520/14453*100</f>
        <v>45.111741506953571</v>
      </c>
      <c r="F42" s="3">
        <f>4538/15589*100</f>
        <v>29.110270062223364</v>
      </c>
      <c r="G42" s="3">
        <f>6520/15589*100</f>
        <v>41.824363333119507</v>
      </c>
      <c r="H42" s="3">
        <f>4157/15666*100</f>
        <v>26.535171709434447</v>
      </c>
      <c r="I42" s="3">
        <f>6080/15666*100</f>
        <v>38.810162134558915</v>
      </c>
    </row>
    <row r="43" spans="1:9" x14ac:dyDescent="0.35">
      <c r="A43" s="1" t="s">
        <v>34</v>
      </c>
      <c r="B43" s="3">
        <f>16508/48547*100</f>
        <v>34.004160916225516</v>
      </c>
      <c r="C43" s="3">
        <f>25476/48547*100</f>
        <v>52.476981069891039</v>
      </c>
      <c r="D43" s="3">
        <f>15960/50278*100</f>
        <v>31.743506106050361</v>
      </c>
      <c r="E43" s="3">
        <f>25721/50278*100</f>
        <v>51.157563944468755</v>
      </c>
      <c r="F43" s="3">
        <f>17416/53918*100</f>
        <v>32.30090136874513</v>
      </c>
      <c r="G43" s="3">
        <f>27617/53918*100</f>
        <v>51.220371675507245</v>
      </c>
      <c r="H43" s="3">
        <f>17231/54173*100</f>
        <v>31.807357908921418</v>
      </c>
      <c r="I43" s="3">
        <f>27099/54173*100</f>
        <v>50.02307422516752</v>
      </c>
    </row>
    <row r="44" spans="1:9" x14ac:dyDescent="0.35">
      <c r="A44" s="1" t="s">
        <v>35</v>
      </c>
      <c r="B44" s="3">
        <f>3568/13554*100</f>
        <v>26.324332300427915</v>
      </c>
      <c r="C44" s="3">
        <f>5801/13554*100</f>
        <v>42.799173675667703</v>
      </c>
      <c r="D44" s="3">
        <f>3280/13766*100</f>
        <v>23.826819700711898</v>
      </c>
      <c r="E44" s="3">
        <f>5766/13766*100</f>
        <v>41.885805608019758</v>
      </c>
      <c r="F44" s="3">
        <f>3454/14510*100</f>
        <v>23.804272915230875</v>
      </c>
      <c r="G44" s="3">
        <f>5891/14510*100</f>
        <v>40.59958649207443</v>
      </c>
      <c r="H44" s="3">
        <f>3308/15358*100</f>
        <v>21.539262924860008</v>
      </c>
      <c r="I44" s="3">
        <f>5817/15358*100</f>
        <v>37.876025524156795</v>
      </c>
    </row>
    <row r="45" spans="1:9" x14ac:dyDescent="0.35">
      <c r="A45" s="1" t="s">
        <v>36</v>
      </c>
      <c r="B45" s="3">
        <f>4806/17345*100</f>
        <v>27.708273277601613</v>
      </c>
      <c r="C45" s="3">
        <f>8967/17345*100</f>
        <v>51.697895647160564</v>
      </c>
      <c r="D45" s="3">
        <f>4349/17519*100</f>
        <v>24.82447628289286</v>
      </c>
      <c r="E45" s="3">
        <f>9042/17519*100</f>
        <v>51.612534962041209</v>
      </c>
      <c r="F45" s="3">
        <f>4465/18062*100</f>
        <v>24.720407485328312</v>
      </c>
      <c r="G45" s="3">
        <f>8995/18062*100</f>
        <v>49.80068652419444</v>
      </c>
      <c r="H45" s="3">
        <f>4248/19857*100</f>
        <v>21.392959661580299</v>
      </c>
      <c r="I45" s="3">
        <f>9002/19857*100</f>
        <v>45.33413909452586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tabSelected="1" workbookViewId="0">
      <selection activeCell="A3" sqref="A3"/>
    </sheetView>
  </sheetViews>
  <sheetFormatPr defaultRowHeight="12.5" x14ac:dyDescent="0.25"/>
  <sheetData>
    <row r="1" spans="1:1" ht="14.5" x14ac:dyDescent="0.35">
      <c r="A1" s="1" t="s">
        <v>37</v>
      </c>
    </row>
    <row r="2" spans="1:1" ht="14.5" x14ac:dyDescent="0.35">
      <c r="A2" s="1" t="s">
        <v>47</v>
      </c>
    </row>
    <row r="3" spans="1:1" ht="14.5" x14ac:dyDescent="0.35">
      <c r="A3" s="1" t="s">
        <v>56</v>
      </c>
    </row>
    <row r="4" spans="1:1" ht="14.5" x14ac:dyDescent="0.25">
      <c r="A4" s="2" t="s">
        <v>38</v>
      </c>
    </row>
    <row r="5" spans="1:1" ht="14.5" x14ac:dyDescent="0.35">
      <c r="A5" s="1" t="s">
        <v>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Betsy Wolf</dc:creator>
  <cp:lastModifiedBy>Betsy Wolf</cp:lastModifiedBy>
  <dcterms:created xsi:type="dcterms:W3CDTF">2019-09-10T20:37:51Z</dcterms:created>
  <dcterms:modified xsi:type="dcterms:W3CDTF">2019-09-12T19:21:37Z</dcterms:modified>
</cp:coreProperties>
</file>