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lvency\"/>
    </mc:Choice>
  </mc:AlternateContent>
  <xr:revisionPtr revIDLastSave="0" documentId="8_{DAC185C2-1817-4380-ADD1-16E5981E595C}" xr6:coauthVersionLast="47" xr6:coauthVersionMax="47" xr10:uidLastSave="{00000000-0000-0000-0000-000000000000}"/>
  <bookViews>
    <workbookView xWindow="-110" yWindow="-110" windowWidth="19420" windowHeight="10420" firstSheet="3" activeTab="5" xr2:uid="{654DEB64-D8D5-4B40-AAA4-922180DDC7DB}"/>
  </bookViews>
  <sheets>
    <sheet name="V@R exercise" sheetId="1" r:id="rId1"/>
    <sheet name="Choosing Portfolio" sheetId="2" r:id="rId2"/>
    <sheet name="VAR FROM MOCKUP" sheetId="6" r:id="rId3"/>
    <sheet name="Above surplus LOSSES" sheetId="3" r:id="rId4"/>
    <sheet name="Above surplus CLAIMS" sheetId="10" r:id="rId5"/>
    <sheet name="Bellow surplus CLAIMS" sheetId="11" r:id="rId6"/>
    <sheet name="SurplusExercise" sheetId="5" r:id="rId7"/>
    <sheet name="QUOTA SHARE" sheetId="7" r:id="rId8"/>
    <sheet name="ExercResseguro1" sheetId="8" r:id="rId9"/>
  </sheets>
  <externalReferences>
    <externalReference r:id="rId1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tornos1diaFundo1">[1]Dados!$L$6:$L$261</definedName>
    <definedName name="retornos7diasFundo1">[1]Dados!$M$6:$M$255</definedName>
    <definedName name="solver_adj" localSheetId="0" hidden="1">'V@R exercise'!$E$8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'V@R exercise'!$N$16</definedName>
    <definedName name="solver_lhs2" localSheetId="0" hidden="1">'V@R exercise'!$O$16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'V@R exercise'!$M$16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18122100.25</definedName>
    <definedName name="solver_rhs2" localSheetId="0" hidden="1">17760722.86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18432904.75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0" l="1"/>
  <c r="K29" i="5" l="1"/>
  <c r="K44" i="5"/>
  <c r="E28" i="11"/>
  <c r="E42" i="11" s="1"/>
  <c r="D28" i="11"/>
  <c r="F28" i="11" s="1"/>
  <c r="E27" i="11"/>
  <c r="E41" i="11" s="1"/>
  <c r="D27" i="11"/>
  <c r="E26" i="11"/>
  <c r="E40" i="11" s="1"/>
  <c r="D26" i="11"/>
  <c r="E25" i="11"/>
  <c r="E39" i="11" s="1"/>
  <c r="D25" i="11"/>
  <c r="F25" i="11" s="1"/>
  <c r="G25" i="11" s="1"/>
  <c r="H25" i="11" s="1"/>
  <c r="I25" i="11" s="1"/>
  <c r="E24" i="11"/>
  <c r="E38" i="11" s="1"/>
  <c r="F38" i="11" s="1"/>
  <c r="D24" i="11"/>
  <c r="E8" i="11"/>
  <c r="D8" i="11"/>
  <c r="L3" i="11"/>
  <c r="L4" i="11" s="1"/>
  <c r="E28" i="10"/>
  <c r="D28" i="10"/>
  <c r="E27" i="10"/>
  <c r="D27" i="10"/>
  <c r="F27" i="10" s="1"/>
  <c r="G27" i="10" s="1"/>
  <c r="H27" i="10" s="1"/>
  <c r="I27" i="10" s="1"/>
  <c r="D41" i="10" s="1"/>
  <c r="E41" i="10" s="1"/>
  <c r="E26" i="10"/>
  <c r="D26" i="10"/>
  <c r="F26" i="10" s="1"/>
  <c r="G26" i="10" s="1"/>
  <c r="E25" i="10"/>
  <c r="D25" i="10"/>
  <c r="F25" i="10" s="1"/>
  <c r="G25" i="10" s="1"/>
  <c r="E24" i="10"/>
  <c r="D24" i="10"/>
  <c r="E8" i="10"/>
  <c r="D8" i="10"/>
  <c r="L3" i="10"/>
  <c r="L4" i="10" s="1"/>
  <c r="D56" i="10" s="1"/>
  <c r="D56" i="11" l="1"/>
  <c r="D53" i="11"/>
  <c r="F53" i="11" s="1"/>
  <c r="D55" i="10"/>
  <c r="D54" i="10"/>
  <c r="D39" i="11"/>
  <c r="H39" i="11" s="1"/>
  <c r="F39" i="11"/>
  <c r="F40" i="11"/>
  <c r="G40" i="11" s="1"/>
  <c r="F41" i="11"/>
  <c r="G41" i="11" s="1"/>
  <c r="G28" i="11"/>
  <c r="H28" i="11" s="1"/>
  <c r="I28" i="11" s="1"/>
  <c r="D42" i="11"/>
  <c r="H42" i="11" s="1"/>
  <c r="F42" i="11"/>
  <c r="G42" i="11" s="1"/>
  <c r="G38" i="11"/>
  <c r="D29" i="11"/>
  <c r="E29" i="11"/>
  <c r="F27" i="11"/>
  <c r="D55" i="11" s="1"/>
  <c r="F26" i="11"/>
  <c r="D54" i="11" s="1"/>
  <c r="F24" i="11"/>
  <c r="H26" i="10"/>
  <c r="I26" i="10" s="1"/>
  <c r="D40" i="10" s="1"/>
  <c r="H25" i="10"/>
  <c r="I25" i="10" s="1"/>
  <c r="D39" i="10" s="1"/>
  <c r="E29" i="10"/>
  <c r="D29" i="10"/>
  <c r="F24" i="10"/>
  <c r="I41" i="10"/>
  <c r="F41" i="10"/>
  <c r="G41" i="10" s="1"/>
  <c r="F28" i="10"/>
  <c r="G28" i="10" s="1"/>
  <c r="H28" i="10" s="1"/>
  <c r="I28" i="10" s="1"/>
  <c r="D42" i="10" s="1"/>
  <c r="E42" i="10" s="1"/>
  <c r="G55" i="10" l="1"/>
  <c r="I39" i="10"/>
  <c r="E39" i="10"/>
  <c r="G53" i="10" s="1"/>
  <c r="F40" i="10"/>
  <c r="G40" i="10" s="1"/>
  <c r="E40" i="10"/>
  <c r="D53" i="10"/>
  <c r="G24" i="10"/>
  <c r="H24" i="10" s="1"/>
  <c r="D52" i="10" s="1"/>
  <c r="I39" i="11"/>
  <c r="E53" i="11"/>
  <c r="F56" i="11"/>
  <c r="F43" i="11"/>
  <c r="K53" i="11"/>
  <c r="G53" i="11"/>
  <c r="D38" i="11"/>
  <c r="H38" i="11" s="1"/>
  <c r="G26" i="11"/>
  <c r="H26" i="11" s="1"/>
  <c r="I26" i="11" s="1"/>
  <c r="D40" i="11"/>
  <c r="H40" i="11" s="1"/>
  <c r="G27" i="11"/>
  <c r="H27" i="11" s="1"/>
  <c r="I27" i="11" s="1"/>
  <c r="D41" i="11"/>
  <c r="H41" i="11" s="1"/>
  <c r="I42" i="11"/>
  <c r="G39" i="11"/>
  <c r="F29" i="11"/>
  <c r="L23" i="11" s="1"/>
  <c r="G24" i="11"/>
  <c r="E56" i="11"/>
  <c r="F39" i="10"/>
  <c r="G39" i="10" s="1"/>
  <c r="I40" i="10"/>
  <c r="I42" i="10"/>
  <c r="F42" i="10"/>
  <c r="G42" i="10" s="1"/>
  <c r="E55" i="10"/>
  <c r="E56" i="10"/>
  <c r="F56" i="10" s="1"/>
  <c r="E54" i="10"/>
  <c r="H41" i="10"/>
  <c r="F29" i="10"/>
  <c r="L23" i="10" s="1"/>
  <c r="G56" i="10" l="1"/>
  <c r="G56" i="11"/>
  <c r="F54" i="11"/>
  <c r="K54" i="11" s="1"/>
  <c r="K56" i="11"/>
  <c r="H40" i="10"/>
  <c r="G54" i="10"/>
  <c r="G29" i="10"/>
  <c r="L24" i="10" s="1"/>
  <c r="D57" i="10"/>
  <c r="P50" i="10" s="1"/>
  <c r="E52" i="10"/>
  <c r="F52" i="10" s="1"/>
  <c r="E53" i="10"/>
  <c r="F53" i="10" s="1"/>
  <c r="I41" i="11"/>
  <c r="I40" i="11"/>
  <c r="H43" i="11"/>
  <c r="G29" i="11"/>
  <c r="L24" i="11" s="1"/>
  <c r="H24" i="11"/>
  <c r="D52" i="11" s="1"/>
  <c r="H39" i="10"/>
  <c r="F54" i="10"/>
  <c r="F55" i="10"/>
  <c r="H29" i="10"/>
  <c r="I24" i="10"/>
  <c r="H42" i="10"/>
  <c r="E54" i="11" l="1"/>
  <c r="G54" i="11"/>
  <c r="E57" i="10"/>
  <c r="Q50" i="10" s="1"/>
  <c r="P51" i="10" s="1"/>
  <c r="H52" i="10"/>
  <c r="J52" i="10" s="1"/>
  <c r="F52" i="11"/>
  <c r="E52" i="11"/>
  <c r="D57" i="11"/>
  <c r="F55" i="11"/>
  <c r="E55" i="11"/>
  <c r="I24" i="11"/>
  <c r="H29" i="11"/>
  <c r="F57" i="10"/>
  <c r="P52" i="10" s="1"/>
  <c r="L25" i="10"/>
  <c r="D38" i="10"/>
  <c r="E38" i="10" s="1"/>
  <c r="I29" i="10"/>
  <c r="L26" i="10" s="1"/>
  <c r="H62" i="10" l="1"/>
  <c r="G52" i="10"/>
  <c r="H53" i="10"/>
  <c r="P50" i="11"/>
  <c r="E57" i="11"/>
  <c r="Q50" i="11" s="1"/>
  <c r="H52" i="11"/>
  <c r="H53" i="11" s="1"/>
  <c r="H54" i="11" s="1"/>
  <c r="H55" i="11" s="1"/>
  <c r="H56" i="11" s="1"/>
  <c r="H57" i="11" s="1"/>
  <c r="J52" i="11"/>
  <c r="G52" i="11"/>
  <c r="I52" i="11" s="1"/>
  <c r="I53" i="11" s="1"/>
  <c r="I54" i="11" s="1"/>
  <c r="K52" i="11"/>
  <c r="F57" i="11"/>
  <c r="P52" i="11" s="1"/>
  <c r="K55" i="11"/>
  <c r="G55" i="11"/>
  <c r="M53" i="11"/>
  <c r="M54" i="11"/>
  <c r="L25" i="11"/>
  <c r="I29" i="11"/>
  <c r="L26" i="11" s="1"/>
  <c r="D43" i="10"/>
  <c r="F38" i="10"/>
  <c r="G38" i="10" s="1"/>
  <c r="I38" i="10"/>
  <c r="I43" i="10" s="1"/>
  <c r="L41" i="10" s="1"/>
  <c r="J54" i="10"/>
  <c r="J55" i="10" s="1"/>
  <c r="J56" i="10" s="1"/>
  <c r="L52" i="11" l="1"/>
  <c r="J53" i="11"/>
  <c r="I55" i="11"/>
  <c r="I56" i="11" s="1"/>
  <c r="I57" i="11" s="1"/>
  <c r="H54" i="10"/>
  <c r="H55" i="10" s="1"/>
  <c r="H56" i="10" s="1"/>
  <c r="H57" i="10" s="1"/>
  <c r="P51" i="11"/>
  <c r="M55" i="11"/>
  <c r="I38" i="11"/>
  <c r="I43" i="11" s="1"/>
  <c r="L41" i="11" s="1"/>
  <c r="D43" i="11"/>
  <c r="F43" i="10"/>
  <c r="L38" i="10" s="1"/>
  <c r="G43" i="10"/>
  <c r="E43" i="10"/>
  <c r="I52" i="10"/>
  <c r="I53" i="10" s="1"/>
  <c r="I54" i="10" s="1"/>
  <c r="I55" i="10" s="1"/>
  <c r="I56" i="10" s="1"/>
  <c r="I57" i="10" s="1"/>
  <c r="F5" i="8"/>
  <c r="E41" i="8"/>
  <c r="D41" i="8"/>
  <c r="G40" i="8"/>
  <c r="F40" i="8" s="1"/>
  <c r="H40" i="8" s="1"/>
  <c r="G39" i="8"/>
  <c r="I39" i="8" s="1"/>
  <c r="G38" i="8"/>
  <c r="F38" i="8" s="1"/>
  <c r="H38" i="8" s="1"/>
  <c r="G37" i="8"/>
  <c r="I37" i="8" s="1"/>
  <c r="G36" i="8"/>
  <c r="F36" i="8" s="1"/>
  <c r="H36" i="8" s="1"/>
  <c r="G35" i="8"/>
  <c r="I35" i="8" s="1"/>
  <c r="G34" i="8"/>
  <c r="F34" i="8" s="1"/>
  <c r="H34" i="8" s="1"/>
  <c r="G33" i="8"/>
  <c r="I33" i="8" s="1"/>
  <c r="G32" i="8"/>
  <c r="F32" i="8" s="1"/>
  <c r="H32" i="8" s="1"/>
  <c r="G31" i="8"/>
  <c r="I31" i="8" s="1"/>
  <c r="G30" i="8"/>
  <c r="F30" i="8" s="1"/>
  <c r="H30" i="8" s="1"/>
  <c r="G29" i="8"/>
  <c r="I29" i="8" s="1"/>
  <c r="G28" i="8"/>
  <c r="F28" i="8" s="1"/>
  <c r="H28" i="8" s="1"/>
  <c r="G27" i="8"/>
  <c r="I27" i="8" s="1"/>
  <c r="E19" i="8"/>
  <c r="D19" i="8"/>
  <c r="F18" i="8"/>
  <c r="H18" i="8" s="1"/>
  <c r="F17" i="8"/>
  <c r="H17" i="8" s="1"/>
  <c r="F16" i="8"/>
  <c r="H16" i="8" s="1"/>
  <c r="F15" i="8"/>
  <c r="H15" i="8" s="1"/>
  <c r="F14" i="8"/>
  <c r="H14" i="8" s="1"/>
  <c r="F13" i="8"/>
  <c r="H13" i="8" s="1"/>
  <c r="F12" i="8"/>
  <c r="H12" i="8" s="1"/>
  <c r="F11" i="8"/>
  <c r="H11" i="8" s="1"/>
  <c r="F10" i="8"/>
  <c r="H10" i="8" s="1"/>
  <c r="F9" i="8"/>
  <c r="H9" i="8" s="1"/>
  <c r="F8" i="8"/>
  <c r="H8" i="8" s="1"/>
  <c r="F7" i="8"/>
  <c r="H7" i="8" s="1"/>
  <c r="F6" i="8"/>
  <c r="H6" i="8" s="1"/>
  <c r="F19" i="8"/>
  <c r="G19" i="8" s="1"/>
  <c r="B12" i="7"/>
  <c r="B11" i="7"/>
  <c r="B10" i="7"/>
  <c r="B9" i="7"/>
  <c r="B7" i="7"/>
  <c r="B8" i="7" s="1"/>
  <c r="B6" i="7"/>
  <c r="B5" i="7"/>
  <c r="B3" i="7"/>
  <c r="F3" i="7"/>
  <c r="J54" i="11" l="1"/>
  <c r="L53" i="11"/>
  <c r="L38" i="11"/>
  <c r="G43" i="11"/>
  <c r="E43" i="11"/>
  <c r="H38" i="10"/>
  <c r="H43" i="10" s="1"/>
  <c r="L40" i="10" s="1"/>
  <c r="G57" i="10"/>
  <c r="Q52" i="10" s="1"/>
  <c r="P53" i="10" s="1"/>
  <c r="G6" i="8"/>
  <c r="I6" i="8" s="1"/>
  <c r="G8" i="8"/>
  <c r="I8" i="8" s="1"/>
  <c r="G10" i="8"/>
  <c r="I10" i="8" s="1"/>
  <c r="G12" i="8"/>
  <c r="I12" i="8" s="1"/>
  <c r="G14" i="8"/>
  <c r="I14" i="8" s="1"/>
  <c r="G16" i="8"/>
  <c r="I16" i="8" s="1"/>
  <c r="G18" i="8"/>
  <c r="I18" i="8" s="1"/>
  <c r="I28" i="8"/>
  <c r="I30" i="8"/>
  <c r="I32" i="8"/>
  <c r="I34" i="8"/>
  <c r="I36" i="8"/>
  <c r="I38" i="8"/>
  <c r="I40" i="8"/>
  <c r="F27" i="8"/>
  <c r="F29" i="8"/>
  <c r="H29" i="8" s="1"/>
  <c r="F31" i="8"/>
  <c r="H31" i="8" s="1"/>
  <c r="F33" i="8"/>
  <c r="H33" i="8" s="1"/>
  <c r="F35" i="8"/>
  <c r="H35" i="8" s="1"/>
  <c r="F37" i="8"/>
  <c r="H37" i="8" s="1"/>
  <c r="F39" i="8"/>
  <c r="H39" i="8" s="1"/>
  <c r="G5" i="8"/>
  <c r="I5" i="8" s="1"/>
  <c r="G7" i="8"/>
  <c r="I7" i="8" s="1"/>
  <c r="G9" i="8"/>
  <c r="I9" i="8" s="1"/>
  <c r="G11" i="8"/>
  <c r="I11" i="8" s="1"/>
  <c r="G13" i="8"/>
  <c r="I13" i="8" s="1"/>
  <c r="G15" i="8"/>
  <c r="I15" i="8" s="1"/>
  <c r="G17" i="8"/>
  <c r="I17" i="8" s="1"/>
  <c r="H5" i="8"/>
  <c r="H19" i="8" s="1"/>
  <c r="I19" i="8" s="1"/>
  <c r="F4" i="7"/>
  <c r="F5" i="7"/>
  <c r="J55" i="11" l="1"/>
  <c r="L54" i="11"/>
  <c r="M56" i="11"/>
  <c r="K57" i="11"/>
  <c r="G57" i="11"/>
  <c r="Q52" i="11" s="1"/>
  <c r="P53" i="11" s="1"/>
  <c r="M52" i="11"/>
  <c r="L39" i="10"/>
  <c r="F41" i="8"/>
  <c r="G41" i="8" s="1"/>
  <c r="H27" i="8"/>
  <c r="H41" i="8" s="1"/>
  <c r="I41" i="8" s="1"/>
  <c r="F8" i="7"/>
  <c r="F9" i="7" s="1"/>
  <c r="F6" i="7"/>
  <c r="J56" i="11" l="1"/>
  <c r="L56" i="11" s="1"/>
  <c r="L55" i="11"/>
  <c r="M57" i="11"/>
  <c r="Q54" i="11" s="1"/>
  <c r="L39" i="11"/>
  <c r="L40" i="11"/>
  <c r="F10" i="7"/>
  <c r="F11" i="7" s="1"/>
  <c r="J57" i="11" l="1"/>
  <c r="L57" i="11"/>
  <c r="P54" i="11" s="1"/>
  <c r="P56" i="11" s="1"/>
  <c r="Q56" i="11"/>
  <c r="G4" i="6"/>
  <c r="K8" i="2"/>
  <c r="K9" i="2"/>
  <c r="H14" i="1"/>
  <c r="G36" i="1"/>
  <c r="P14" i="1"/>
  <c r="P55" i="11" l="1"/>
  <c r="H16" i="1"/>
  <c r="P12" i="1"/>
  <c r="O14" i="1"/>
  <c r="L8" i="1"/>
  <c r="L7" i="1" s="1"/>
  <c r="D30" i="1"/>
  <c r="E30" i="1"/>
  <c r="E5" i="1"/>
  <c r="M12" i="1"/>
  <c r="N12" i="1"/>
  <c r="O12" i="1"/>
  <c r="L12" i="1"/>
  <c r="F23" i="1"/>
  <c r="F24" i="1"/>
  <c r="P18" i="1" l="1"/>
  <c r="M15" i="1"/>
  <c r="F30" i="1"/>
  <c r="O15" i="1"/>
  <c r="P15" i="1"/>
  <c r="P16" i="1" s="1"/>
  <c r="P19" i="1" s="1"/>
  <c r="P17" i="1"/>
  <c r="G23" i="1"/>
  <c r="I23" i="5" l="1"/>
  <c r="I38" i="5" s="1"/>
  <c r="I19" i="5"/>
  <c r="I34" i="5" s="1"/>
  <c r="I20" i="5"/>
  <c r="I35" i="5" s="1"/>
  <c r="I21" i="5"/>
  <c r="I36" i="5" s="1"/>
  <c r="I22" i="5"/>
  <c r="I37" i="5" s="1"/>
  <c r="I24" i="5"/>
  <c r="I39" i="5" s="1"/>
  <c r="I25" i="5"/>
  <c r="I40" i="5" s="1"/>
  <c r="I26" i="5"/>
  <c r="I41" i="5" s="1"/>
  <c r="I27" i="5"/>
  <c r="I42" i="5" s="1"/>
  <c r="I18" i="5"/>
  <c r="I33" i="5" s="1"/>
  <c r="G19" i="5"/>
  <c r="G34" i="5" s="1"/>
  <c r="G20" i="5"/>
  <c r="G35" i="5" s="1"/>
  <c r="G21" i="5"/>
  <c r="G36" i="5" s="1"/>
  <c r="G22" i="5"/>
  <c r="J22" i="5" s="1"/>
  <c r="G23" i="5"/>
  <c r="J23" i="5" s="1"/>
  <c r="G24" i="5"/>
  <c r="G39" i="5" s="1"/>
  <c r="G25" i="5"/>
  <c r="G40" i="5" s="1"/>
  <c r="G26" i="5"/>
  <c r="G41" i="5" s="1"/>
  <c r="G27" i="5"/>
  <c r="G42" i="5" s="1"/>
  <c r="G18" i="5"/>
  <c r="G33" i="5" s="1"/>
  <c r="C8" i="5"/>
  <c r="C9" i="5" s="1"/>
  <c r="H13" i="5"/>
  <c r="J21" i="5" l="1"/>
  <c r="L21" i="5" s="1"/>
  <c r="J20" i="5"/>
  <c r="L20" i="5" s="1"/>
  <c r="G38" i="5"/>
  <c r="G37" i="5"/>
  <c r="G43" i="5" s="1"/>
  <c r="J18" i="5"/>
  <c r="L18" i="5" s="1"/>
  <c r="H27" i="5"/>
  <c r="H42" i="5" s="1"/>
  <c r="H19" i="5"/>
  <c r="H34" i="5" s="1"/>
  <c r="H26" i="5"/>
  <c r="H41" i="5" s="1"/>
  <c r="H18" i="5"/>
  <c r="H33" i="5" s="1"/>
  <c r="H20" i="5"/>
  <c r="H35" i="5" s="1"/>
  <c r="H22" i="5"/>
  <c r="K22" i="5" s="1"/>
  <c r="M22" i="5" s="1"/>
  <c r="H21" i="5"/>
  <c r="K21" i="5" s="1"/>
  <c r="M21" i="5" s="1"/>
  <c r="L23" i="5"/>
  <c r="H25" i="5"/>
  <c r="J27" i="5"/>
  <c r="J19" i="5"/>
  <c r="H24" i="5"/>
  <c r="J26" i="5"/>
  <c r="H23" i="5"/>
  <c r="J25" i="5"/>
  <c r="L22" i="5"/>
  <c r="J24" i="5"/>
  <c r="I28" i="5"/>
  <c r="I43" i="5"/>
  <c r="G28" i="5"/>
  <c r="G13" i="5"/>
  <c r="K20" i="5" l="1"/>
  <c r="M20" i="5" s="1"/>
  <c r="H36" i="5"/>
  <c r="J36" i="5" s="1"/>
  <c r="J35" i="5"/>
  <c r="K35" i="5" s="1"/>
  <c r="M35" i="5" s="1"/>
  <c r="J33" i="5"/>
  <c r="K33" i="5" s="1"/>
  <c r="M33" i="5" s="1"/>
  <c r="K19" i="5"/>
  <c r="M19" i="5" s="1"/>
  <c r="K27" i="5"/>
  <c r="M27" i="5" s="1"/>
  <c r="H37" i="5"/>
  <c r="J37" i="5" s="1"/>
  <c r="L37" i="5" s="1"/>
  <c r="P37" i="5" s="1"/>
  <c r="K18" i="5"/>
  <c r="M18" i="5" s="1"/>
  <c r="L25" i="5"/>
  <c r="H38" i="5"/>
  <c r="J38" i="5" s="1"/>
  <c r="K23" i="5"/>
  <c r="M23" i="5" s="1"/>
  <c r="K26" i="5"/>
  <c r="M26" i="5" s="1"/>
  <c r="L26" i="5"/>
  <c r="J41" i="5"/>
  <c r="L36" i="5"/>
  <c r="P36" i="5" s="1"/>
  <c r="K36" i="5"/>
  <c r="M36" i="5" s="1"/>
  <c r="Q36" i="5" s="1"/>
  <c r="H28" i="5"/>
  <c r="L24" i="5"/>
  <c r="L19" i="5"/>
  <c r="J34" i="5"/>
  <c r="K25" i="5"/>
  <c r="M25" i="5" s="1"/>
  <c r="H40" i="5"/>
  <c r="J40" i="5" s="1"/>
  <c r="J28" i="5"/>
  <c r="J43" i="5" s="1"/>
  <c r="H39" i="5"/>
  <c r="J39" i="5" s="1"/>
  <c r="K24" i="5"/>
  <c r="M24" i="5" s="1"/>
  <c r="L27" i="5"/>
  <c r="J42" i="5"/>
  <c r="Q35" i="5" l="1"/>
  <c r="L35" i="5"/>
  <c r="P35" i="5" s="1"/>
  <c r="Q33" i="5"/>
  <c r="K37" i="5"/>
  <c r="M37" i="5" s="1"/>
  <c r="Q37" i="5" s="1"/>
  <c r="L33" i="5"/>
  <c r="P33" i="5" s="1"/>
  <c r="K39" i="5"/>
  <c r="M39" i="5" s="1"/>
  <c r="Q39" i="5" s="1"/>
  <c r="L39" i="5"/>
  <c r="P39" i="5" s="1"/>
  <c r="K28" i="5"/>
  <c r="K43" i="5" s="1"/>
  <c r="K34" i="5"/>
  <c r="M34" i="5" s="1"/>
  <c r="L34" i="5"/>
  <c r="P34" i="5" s="1"/>
  <c r="K41" i="5"/>
  <c r="M41" i="5" s="1"/>
  <c r="Q41" i="5" s="1"/>
  <c r="L41" i="5"/>
  <c r="P41" i="5" s="1"/>
  <c r="H43" i="5"/>
  <c r="K40" i="5"/>
  <c r="M40" i="5" s="1"/>
  <c r="Q40" i="5" s="1"/>
  <c r="L40" i="5"/>
  <c r="P40" i="5" s="1"/>
  <c r="L42" i="5"/>
  <c r="P42" i="5" s="1"/>
  <c r="K42" i="5"/>
  <c r="M42" i="5" s="1"/>
  <c r="Q42" i="5" s="1"/>
  <c r="M28" i="5"/>
  <c r="L38" i="5"/>
  <c r="P38" i="5" s="1"/>
  <c r="K38" i="5"/>
  <c r="M38" i="5" s="1"/>
  <c r="Q38" i="5" s="1"/>
  <c r="L28" i="5"/>
  <c r="P43" i="5" l="1"/>
  <c r="L43" i="5"/>
  <c r="M43" i="5"/>
  <c r="Q34" i="5"/>
  <c r="Q43" i="5" s="1"/>
  <c r="E25" i="3" l="1"/>
  <c r="E26" i="3"/>
  <c r="E27" i="3"/>
  <c r="E28" i="3"/>
  <c r="E24" i="3"/>
  <c r="D25" i="3"/>
  <c r="F25" i="3" s="1"/>
  <c r="G25" i="3" s="1"/>
  <c r="H25" i="3" s="1"/>
  <c r="D26" i="3"/>
  <c r="F26" i="3" s="1"/>
  <c r="G26" i="3" s="1"/>
  <c r="H26" i="3" s="1"/>
  <c r="D27" i="3"/>
  <c r="F27" i="3" s="1"/>
  <c r="G27" i="3" s="1"/>
  <c r="H27" i="3" s="1"/>
  <c r="D28" i="3"/>
  <c r="F28" i="3" s="1"/>
  <c r="G28" i="3" s="1"/>
  <c r="H28" i="3" s="1"/>
  <c r="I28" i="3" s="1"/>
  <c r="D42" i="3" s="1"/>
  <c r="D24" i="3"/>
  <c r="F24" i="3" s="1"/>
  <c r="L3" i="3"/>
  <c r="L4" i="3" s="1"/>
  <c r="E8" i="3"/>
  <c r="D8" i="3"/>
  <c r="H3" i="2"/>
  <c r="G9" i="2"/>
  <c r="H9" i="2" s="1"/>
  <c r="G8" i="2"/>
  <c r="H8" i="2" s="1"/>
  <c r="F9" i="2"/>
  <c r="F8" i="2"/>
  <c r="H4" i="2"/>
  <c r="L5" i="1"/>
  <c r="L6" i="1" s="1"/>
  <c r="I8" i="2" l="1"/>
  <c r="J8" i="2" s="1"/>
  <c r="H13" i="2" s="1"/>
  <c r="I9" i="2"/>
  <c r="J9" i="2" s="1"/>
  <c r="F42" i="3"/>
  <c r="G42" i="3" s="1"/>
  <c r="D56" i="3"/>
  <c r="E56" i="3" s="1"/>
  <c r="F55" i="3"/>
  <c r="F56" i="3"/>
  <c r="E42" i="3"/>
  <c r="G56" i="3" s="1"/>
  <c r="D52" i="3"/>
  <c r="D55" i="3"/>
  <c r="E55" i="3" s="1"/>
  <c r="D54" i="3"/>
  <c r="E54" i="3" s="1"/>
  <c r="D53" i="3"/>
  <c r="E29" i="3"/>
  <c r="I42" i="3"/>
  <c r="I27" i="3"/>
  <c r="D41" i="3" s="1"/>
  <c r="I26" i="3"/>
  <c r="D40" i="3" s="1"/>
  <c r="I25" i="3"/>
  <c r="D39" i="3" s="1"/>
  <c r="G24" i="3"/>
  <c r="F29" i="3"/>
  <c r="L23" i="3" s="1"/>
  <c r="D29" i="3"/>
  <c r="J52" i="3" l="1"/>
  <c r="K52" i="3"/>
  <c r="F54" i="3"/>
  <c r="F41" i="3"/>
  <c r="G41" i="3" s="1"/>
  <c r="F40" i="3"/>
  <c r="F39" i="3"/>
  <c r="E41" i="3"/>
  <c r="G55" i="3" s="1"/>
  <c r="E53" i="3"/>
  <c r="F53" i="3" s="1"/>
  <c r="E40" i="3"/>
  <c r="E39" i="3"/>
  <c r="E52" i="3"/>
  <c r="F52" i="3" s="1"/>
  <c r="L52" i="3" s="1"/>
  <c r="D57" i="3"/>
  <c r="H42" i="3"/>
  <c r="I41" i="3"/>
  <c r="I40" i="3"/>
  <c r="I39" i="3"/>
  <c r="G29" i="3"/>
  <c r="L24" i="3" s="1"/>
  <c r="H24" i="3"/>
  <c r="J53" i="3"/>
  <c r="H52" i="3" l="1"/>
  <c r="H53" i="3" s="1"/>
  <c r="H54" i="3" s="1"/>
  <c r="H55" i="3" s="1"/>
  <c r="H56" i="3" s="1"/>
  <c r="H57" i="3" s="1"/>
  <c r="G53" i="3"/>
  <c r="G54" i="3"/>
  <c r="L53" i="3"/>
  <c r="K53" i="3"/>
  <c r="R50" i="3"/>
  <c r="G40" i="3"/>
  <c r="G39" i="3"/>
  <c r="H39" i="3" s="1"/>
  <c r="E57" i="3"/>
  <c r="S50" i="3" s="1"/>
  <c r="I24" i="3"/>
  <c r="H29" i="3"/>
  <c r="N14" i="1"/>
  <c r="M14" i="1"/>
  <c r="L14" i="1"/>
  <c r="E9" i="1"/>
  <c r="E6" i="1"/>
  <c r="E7" i="1" s="1"/>
  <c r="H15" i="1" s="1"/>
  <c r="G14" i="1"/>
  <c r="G16" i="1" s="1"/>
  <c r="E14" i="1"/>
  <c r="E16" i="1" s="1"/>
  <c r="F14" i="1"/>
  <c r="F16" i="1" s="1"/>
  <c r="D14" i="1"/>
  <c r="D16" i="1" s="1"/>
  <c r="J54" i="3"/>
  <c r="J55" i="3" l="1"/>
  <c r="J56" i="3" s="1"/>
  <c r="M53" i="3"/>
  <c r="K54" i="3"/>
  <c r="L54" i="3"/>
  <c r="R51" i="3"/>
  <c r="M18" i="1"/>
  <c r="F57" i="3"/>
  <c r="R52" i="3" s="1"/>
  <c r="H41" i="3"/>
  <c r="H40" i="3"/>
  <c r="L25" i="3"/>
  <c r="D38" i="3"/>
  <c r="I29" i="3"/>
  <c r="L26" i="3" s="1"/>
  <c r="L17" i="1"/>
  <c r="O17" i="1"/>
  <c r="N17" i="1"/>
  <c r="M17" i="1"/>
  <c r="L18" i="1"/>
  <c r="M16" i="1"/>
  <c r="M19" i="1" s="1"/>
  <c r="O18" i="1"/>
  <c r="N18" i="1"/>
  <c r="L15" i="1"/>
  <c r="L16" i="1" s="1"/>
  <c r="L19" i="1" s="1"/>
  <c r="O16" i="1"/>
  <c r="O19" i="1" s="1"/>
  <c r="N15" i="1"/>
  <c r="N16" i="1" s="1"/>
  <c r="N19" i="1" s="1"/>
  <c r="D15" i="1"/>
  <c r="G15" i="1"/>
  <c r="F15" i="1"/>
  <c r="E15" i="1"/>
  <c r="L55" i="3" l="1"/>
  <c r="K55" i="3"/>
  <c r="M55" i="3" s="1"/>
  <c r="M54" i="3"/>
  <c r="F38" i="3"/>
  <c r="E38" i="3"/>
  <c r="I38" i="3"/>
  <c r="I43" i="3" s="1"/>
  <c r="L41" i="3" s="1"/>
  <c r="D43" i="3"/>
  <c r="G52" i="3" l="1"/>
  <c r="I52" i="3" s="1"/>
  <c r="I53" i="3" s="1"/>
  <c r="I54" i="3" s="1"/>
  <c r="I55" i="3" s="1"/>
  <c r="I56" i="3" s="1"/>
  <c r="I57" i="3" s="1"/>
  <c r="G38" i="3"/>
  <c r="H38" i="3" s="1"/>
  <c r="L56" i="3"/>
  <c r="L57" i="3" s="1"/>
  <c r="K56" i="3"/>
  <c r="J57" i="3"/>
  <c r="F43" i="3"/>
  <c r="L38" i="3" s="1"/>
  <c r="E43" i="3"/>
  <c r="M52" i="3" l="1"/>
  <c r="G43" i="3"/>
  <c r="M56" i="3"/>
  <c r="K57" i="3"/>
  <c r="R54" i="3"/>
  <c r="R56" i="3" s="1"/>
  <c r="G57" i="3"/>
  <c r="S52" i="3" s="1"/>
  <c r="R53" i="3" s="1"/>
  <c r="H43" i="3"/>
  <c r="L39" i="3" l="1"/>
  <c r="L40" i="3"/>
  <c r="M57" i="3" l="1"/>
  <c r="S54" i="3" s="1"/>
  <c r="S56" i="3" s="1"/>
  <c r="R55" i="3" l="1"/>
  <c r="L52" i="10" l="1"/>
  <c r="K52" i="10"/>
  <c r="M52" i="10" l="1"/>
  <c r="L53" i="10"/>
  <c r="K53" i="10"/>
  <c r="M53" i="10" s="1"/>
  <c r="L55" i="10" l="1"/>
  <c r="K55" i="10"/>
  <c r="M55" i="10" s="1"/>
  <c r="J57" i="10"/>
  <c r="K54" i="10"/>
  <c r="L54" i="10"/>
  <c r="M54" i="10" l="1"/>
  <c r="K56" i="10"/>
  <c r="M56" i="10" s="1"/>
  <c r="L56" i="10"/>
  <c r="L57" i="10" s="1"/>
  <c r="P54" i="10" s="1"/>
  <c r="P56" i="10" l="1"/>
  <c r="M57" i="10"/>
  <c r="Q54" i="10" s="1"/>
  <c r="Q56" i="10" s="1"/>
  <c r="K57" i="10"/>
  <c r="P55" i="10" l="1"/>
</calcChain>
</file>

<file path=xl/sharedStrings.xml><?xml version="1.0" encoding="utf-8"?>
<sst xmlns="http://schemas.openxmlformats.org/spreadsheetml/2006/main" count="427" uniqueCount="158">
  <si>
    <t>Portfolio Value</t>
  </si>
  <si>
    <t>Expected value</t>
  </si>
  <si>
    <t>1 Day VaR</t>
  </si>
  <si>
    <t>Rt,a</t>
  </si>
  <si>
    <t>Expected Return %</t>
  </si>
  <si>
    <t>Expected Return €</t>
  </si>
  <si>
    <t>Quantiles</t>
  </si>
  <si>
    <t>VaR</t>
  </si>
  <si>
    <t>Dist. Expected value</t>
  </si>
  <si>
    <t>Dist. Origin</t>
  </si>
  <si>
    <t>Var (1;10%)</t>
  </si>
  <si>
    <t>Var (1;5%)</t>
  </si>
  <si>
    <t>Var (1;2,5%)</t>
  </si>
  <si>
    <t>Var (1;1%)</t>
  </si>
  <si>
    <t>Stand. Dev</t>
  </si>
  <si>
    <t>Variance</t>
  </si>
  <si>
    <t>Standart Normal Quantile</t>
  </si>
  <si>
    <t>Normal Quantile</t>
  </si>
  <si>
    <t>Number of days</t>
  </si>
  <si>
    <t>TVaR</t>
  </si>
  <si>
    <t>Portfolio</t>
  </si>
  <si>
    <t>Period</t>
  </si>
  <si>
    <t>Conf.Level</t>
  </si>
  <si>
    <t>Quantile</t>
  </si>
  <si>
    <t>GIVEN BY PROFESSOR</t>
  </si>
  <si>
    <t>CALCULATED</t>
  </si>
  <si>
    <t>Compares TO</t>
  </si>
  <si>
    <t>Decision</t>
  </si>
  <si>
    <t>Risks</t>
  </si>
  <si>
    <t>Sum Insured</t>
  </si>
  <si>
    <t>Losses</t>
  </si>
  <si>
    <t>TOTAL</t>
  </si>
  <si>
    <t>SURPLUS</t>
  </si>
  <si>
    <t>Value</t>
  </si>
  <si>
    <t>Insurer Line</t>
  </si>
  <si>
    <t>Reinsurance maximum capacity (Line)</t>
  </si>
  <si>
    <t>Cedent premium (In 000's)</t>
  </si>
  <si>
    <t>Reinsurer premium (In 000's)</t>
  </si>
  <si>
    <t>Lines in total</t>
  </si>
  <si>
    <t>Value of all lines</t>
  </si>
  <si>
    <t>TO increase capacity for risks that are above the Surplus treaty, the insurer can have a Working Excess of Loss Cover per Risk</t>
  </si>
  <si>
    <t>WXL/R</t>
  </si>
  <si>
    <t>Coverage</t>
  </si>
  <si>
    <t>XS.</t>
  </si>
  <si>
    <t>Premium paid</t>
  </si>
  <si>
    <t>Insured Cedent</t>
  </si>
  <si>
    <t>Surplus</t>
  </si>
  <si>
    <t>Insured Surplus</t>
  </si>
  <si>
    <t>Not insured surplus</t>
  </si>
  <si>
    <t xml:space="preserve">1- Total for the sum insured that is covered by surplus </t>
  </si>
  <si>
    <t xml:space="preserve">2- Total for the sum insured that is covered by WXL/R </t>
  </si>
  <si>
    <t>Conclusions</t>
  </si>
  <si>
    <t>TOTAL INSURED BY CEDENT</t>
  </si>
  <si>
    <t>BY SURPLUS</t>
  </si>
  <si>
    <t>Total Insured</t>
  </si>
  <si>
    <t>Not Insured, Capital @ Risk</t>
  </si>
  <si>
    <t>Cap @ Risk</t>
  </si>
  <si>
    <t>Insured WXL/R</t>
  </si>
  <si>
    <t>Not insured WXL/R</t>
  </si>
  <si>
    <t>BY WXL/R</t>
  </si>
  <si>
    <t>Not Insured, WXL/R</t>
  </si>
  <si>
    <t>Total Insured by both contracts</t>
  </si>
  <si>
    <t>Insurer</t>
  </si>
  <si>
    <t>Reinsurer</t>
  </si>
  <si>
    <t>CAT/XL</t>
  </si>
  <si>
    <t>Final</t>
  </si>
  <si>
    <t>To protect from major losses due to catastrophic events the insurer buys  a CatXL coverage.
The coverage means the total coverage and xs maximum paid by the insurer</t>
  </si>
  <si>
    <t>3-FINAL after using all covarages, in the case o Cat Xl alsways rule by that (( We are dividing the losses)</t>
  </si>
  <si>
    <t>Claims</t>
  </si>
  <si>
    <t>Policy</t>
  </si>
  <si>
    <t>Claim</t>
  </si>
  <si>
    <t>Insurer Retention (line)</t>
  </si>
  <si>
    <t>Maximum Capacity Reinsurer (lines):</t>
  </si>
  <si>
    <t>Cedent Premium (per mille)</t>
  </si>
  <si>
    <t>Reinsurer Premium (per mille)</t>
  </si>
  <si>
    <t>Maximum Capacity Reinsurer</t>
  </si>
  <si>
    <t>Maximum Capacity Combined</t>
  </si>
  <si>
    <t>Total</t>
  </si>
  <si>
    <t>Capital Risk</t>
  </si>
  <si>
    <t>Premium</t>
  </si>
  <si>
    <t>Excess</t>
  </si>
  <si>
    <t>Cedent</t>
  </si>
  <si>
    <t>Out Treaty</t>
  </si>
  <si>
    <t>% Capital Risk</t>
  </si>
  <si>
    <t>Result</t>
  </si>
  <si>
    <t>Before CAT/XL</t>
  </si>
  <si>
    <t>INSURER</t>
  </si>
  <si>
    <t>REINSURER</t>
  </si>
  <si>
    <t>Total Before CAT/XL</t>
  </si>
  <si>
    <t>AFTER CAT/XL</t>
  </si>
  <si>
    <t>Total AFTER CAT/XL</t>
  </si>
  <si>
    <t>Difference</t>
  </si>
  <si>
    <t>TOTAL SURPLUS</t>
  </si>
  <si>
    <t>IF VALUE BIGGER THAN CONTRACT VALUE DO NOT ACCEPT EXCESS</t>
  </si>
  <si>
    <t xml:space="preserve">QUANTILE </t>
  </si>
  <si>
    <t>DISTANCE</t>
  </si>
  <si>
    <t>VALUE IN %</t>
  </si>
  <si>
    <t>RESULT</t>
  </si>
  <si>
    <t>Dist. Expected value (VaR)</t>
  </si>
  <si>
    <t>Dist. Origin (VaR)</t>
  </si>
  <si>
    <t>Var (i;10%)</t>
  </si>
  <si>
    <t>Var (i;5%)</t>
  </si>
  <si>
    <t>Var (i;2,5%)</t>
  </si>
  <si>
    <t>Var (i;1%)</t>
  </si>
  <si>
    <t xml:space="preserve">Rt,a if given </t>
  </si>
  <si>
    <t xml:space="preserve">IF MEAN VALUE IS GIVEN USE THIS VALUE </t>
  </si>
  <si>
    <t>PO</t>
  </si>
  <si>
    <t>DESIRED QUANTILE</t>
  </si>
  <si>
    <t>Var (i;0,01%)</t>
  </si>
  <si>
    <t>Var (1;0,01%)</t>
  </si>
  <si>
    <t xml:space="preserve">PARAMETRIC </t>
  </si>
  <si>
    <t>T</t>
  </si>
  <si>
    <t>ALPHA</t>
  </si>
  <si>
    <t>Rt,a DAILY</t>
  </si>
  <si>
    <t>CHECK THE ONE REQUIRED REGARDING CONFIDENCE INTERVAL</t>
  </si>
  <si>
    <t>SIZE x</t>
  </si>
  <si>
    <t>TIMES</t>
  </si>
  <si>
    <t>BIGGER USE X</t>
  </si>
  <si>
    <t>IF NONE OF THE PORTFOLIOS IS N TIMES BIGGER, THIS VALUE SHOULD BE ALWAYS 0</t>
  </si>
  <si>
    <t>VaR (X)</t>
  </si>
  <si>
    <t>b</t>
  </si>
  <si>
    <t>a</t>
  </si>
  <si>
    <t>VaR (Y)</t>
  </si>
  <si>
    <t>The primary insurer retains:</t>
  </si>
  <si>
    <t>Commission Paid to Insurer</t>
  </si>
  <si>
    <t>The reinsurer accepts:</t>
  </si>
  <si>
    <t>Share Premium 10%</t>
  </si>
  <si>
    <t>Sum insured:</t>
  </si>
  <si>
    <t>Result for Insurer</t>
  </si>
  <si>
    <t>Primary insurer retains:</t>
  </si>
  <si>
    <t>Result for Reinsurer</t>
  </si>
  <si>
    <t>Reinsurer accepts:</t>
  </si>
  <si>
    <t>Total Result</t>
  </si>
  <si>
    <t>Premium is 2‰ of the sum:</t>
  </si>
  <si>
    <t>Share Reinsurer Results 90%</t>
  </si>
  <si>
    <t>Losses:</t>
  </si>
  <si>
    <t>Admin Costs</t>
  </si>
  <si>
    <t>PER MILLE</t>
  </si>
  <si>
    <t>PERCENT</t>
  </si>
  <si>
    <t>Line</t>
  </si>
  <si>
    <t>Average sum</t>
  </si>
  <si>
    <t>Number</t>
  </si>
  <si>
    <t>Gross</t>
  </si>
  <si>
    <t>of</t>
  </si>
  <si>
    <t>Insured per Risk</t>
  </si>
  <si>
    <t>policies</t>
  </si>
  <si>
    <t>Retained Premium</t>
  </si>
  <si>
    <t>Ceded Premium</t>
  </si>
  <si>
    <t>Business</t>
  </si>
  <si>
    <t>in millions</t>
  </si>
  <si>
    <t>%</t>
  </si>
  <si>
    <t>To protect from major Claims due to catastrophic events the insurer buys  a CatXL coverage.
The coverage means the total coverage and xs maximum paid by the insurer</t>
  </si>
  <si>
    <t>3-FINAL after using all covarages, in the case o Cat Xl alsways rule by that (( We are dividing the Claims)</t>
  </si>
  <si>
    <t>BE AWARE TO ALL CHANGES IN THIS VALUE, NO MATTER IF VALUE BIGGER THAN LIMIT, THAT WILL BE SHOWNED ON THE FINAL RESULT</t>
  </si>
  <si>
    <t>AGGREGATED CLAIM AMOUNT</t>
  </si>
  <si>
    <t>AGGREGATED CLAIMS</t>
  </si>
  <si>
    <t xml:space="preserve">SUM ALL VALUES, IF VALUE BIGGER THAN ALLOWED JUST CHANGE IT TO MAXIMUM ALLOWED </t>
  </si>
  <si>
    <t>ASK MARTA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</si>
</sst>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  <numFmt numFmtId="166" formatCode="_-* #,##0.00000000_-;\-* #,##0.00000000_-;_-* &quot;-&quot;??_-;_-@_-"/>
    <numFmt numFmtId="167" formatCode="_-* #,##0_-;\-* #,##0_-;_-* &quot;-&quot;??_-;_-@_-"/>
    <numFmt numFmtId="168" formatCode="0.00000"/>
    <numFmt numFmtId="169" formatCode="_-* #,##0.000000000\ _€_-;\-* #,##0.000000000\ _€_-;_-* &quot;-&quot;????????\ _€_-;_-@_-"/>
    <numFmt numFmtId="170" formatCode="0.0000"/>
    <numFmt numFmtId="171" formatCode="_-* #,##0\ &quot;€&quot;_-;\-* #,##0\ &quot;€&quot;_-;_-* &quot;-&quot;??\ &quot;€&quot;_-;_-@_-"/>
    <numFmt numFmtId="172" formatCode="0.000"/>
    <numFmt numFmtId="173" formatCode="0.000000%"/>
    <numFmt numFmtId="174" formatCode="0.000%"/>
    <numFmt numFmtId="175" formatCode="_-* #,##0.00000\ &quot;€&quot;_-;\-* #,##0.00000\ &quot;€&quot;_-;_-* &quot;-&quot;??\ &quot;€&quot;_-;_-@_-"/>
    <numFmt numFmtId="176" formatCode="0.0000%"/>
    <numFmt numFmtId="177" formatCode="_-* #,##0.00\ _€_-;\-* #,##0.00\ _€_-;_-* &quot;-&quot;??\ _€_-;_-@_-"/>
    <numFmt numFmtId="178" formatCode="_-* #,##0\ _€_-;\-* #,##0\ _€_-;_-* &quot;-&quot;??\ _€_-;_-@_-"/>
    <numFmt numFmtId="179" formatCode="0.0%"/>
    <numFmt numFmtId="180" formatCode="_-* #,##0.0000000_-;\-* #,##0.0000000_-;_-* &quot;-&quot;??_-;_-@_-"/>
    <numFmt numFmtId="181" formatCode="_-* #,##0.000000\ &quot;€&quot;_-;\-* #,##0.000000\ &quot;€&quot;_-;_-* &quot;-&quot;??\ &quot;€&quot;_-;_-@_-"/>
    <numFmt numFmtId="182" formatCode="_-* #,##0.0000000\ &quot;€&quot;_-;\-* #,##0.0000000\ &quot;€&quot;_-;_-* &quot;-&quot;??\ &quot;€&quot;_-;_-@_-"/>
    <numFmt numFmtId="183" formatCode="_-* #,##0.00000000\ &quot;€&quot;_-;\-* #,##0.00000000\ &quot;€&quot;_-;_-* &quot;-&quot;??\ &quot;€&quot;_-;_-@_-"/>
    <numFmt numFmtId="184" formatCode="0.0000000000"/>
    <numFmt numFmtId="185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 val="singleAccounting"/>
      <sz val="11"/>
      <color rgb="FF9C57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Garamond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2"/>
      <color theme="1"/>
      <name val="Trebuchet MS"/>
      <family val="2"/>
    </font>
    <font>
      <sz val="11"/>
      <color rgb="FF9C0006"/>
      <name val="Trebuchet MS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sz val="12"/>
      <color theme="1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4" borderId="1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3" fillId="0" borderId="30" applyNumberFormat="0" applyFill="0" applyAlignment="0" applyProtection="0"/>
    <xf numFmtId="177" fontId="1" fillId="0" borderId="0" applyFont="0" applyFill="0" applyBorder="0" applyAlignment="0" applyProtection="0"/>
  </cellStyleXfs>
  <cellXfs count="192">
    <xf numFmtId="0" fontId="0" fillId="0" borderId="0" xfId="0"/>
    <xf numFmtId="44" fontId="0" fillId="0" borderId="0" xfId="2" applyFont="1"/>
    <xf numFmtId="0" fontId="6" fillId="8" borderId="2" xfId="8" applyBorder="1"/>
    <xf numFmtId="0" fontId="4" fillId="4" borderId="2" xfId="4" applyBorder="1"/>
    <xf numFmtId="44" fontId="0" fillId="0" borderId="0" xfId="0" applyNumberFormat="1"/>
    <xf numFmtId="43" fontId="3" fillId="3" borderId="2" xfId="1" applyFont="1" applyFill="1" applyBorder="1"/>
    <xf numFmtId="164" fontId="3" fillId="3" borderId="2" xfId="1" applyNumberFormat="1" applyFont="1" applyFill="1" applyBorder="1"/>
    <xf numFmtId="165" fontId="3" fillId="3" borderId="2" xfId="1" applyNumberFormat="1" applyFont="1" applyFill="1" applyBorder="1"/>
    <xf numFmtId="0" fontId="4" fillId="4" borderId="2" xfId="4" applyBorder="1" applyAlignment="1">
      <alignment horizontal="center"/>
    </xf>
    <xf numFmtId="164" fontId="0" fillId="0" borderId="0" xfId="0" applyNumberFormat="1"/>
    <xf numFmtId="44" fontId="0" fillId="0" borderId="9" xfId="0" applyNumberFormat="1" applyBorder="1"/>
    <xf numFmtId="44" fontId="0" fillId="0" borderId="12" xfId="0" applyNumberFormat="1" applyBorder="1"/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4" fontId="0" fillId="0" borderId="18" xfId="0" applyNumberFormat="1" applyBorder="1"/>
    <xf numFmtId="44" fontId="0" fillId="0" borderId="19" xfId="0" applyNumberFormat="1" applyBorder="1"/>
    <xf numFmtId="44" fontId="5" fillId="0" borderId="12" xfId="0" applyNumberFormat="1" applyFont="1" applyBorder="1"/>
    <xf numFmtId="44" fontId="3" fillId="3" borderId="2" xfId="2" applyFont="1" applyFill="1" applyBorder="1"/>
    <xf numFmtId="166" fontId="3" fillId="3" borderId="2" xfId="1" applyNumberFormat="1" applyFont="1" applyFill="1" applyBorder="1"/>
    <xf numFmtId="167" fontId="3" fillId="3" borderId="2" xfId="1" applyNumberFormat="1" applyFont="1" applyFill="1" applyBorder="1"/>
    <xf numFmtId="168" fontId="0" fillId="0" borderId="14" xfId="0" applyNumberFormat="1" applyBorder="1" applyAlignment="1">
      <alignment horizontal="center" vertical="center"/>
    </xf>
    <xf numFmtId="169" fontId="0" fillId="0" borderId="14" xfId="0" applyNumberFormat="1" applyBorder="1" applyAlignment="1">
      <alignment horizontal="center" vertical="center"/>
    </xf>
    <xf numFmtId="167" fontId="8" fillId="3" borderId="2" xfId="1" applyNumberFormat="1" applyFont="1" applyFill="1" applyBorder="1"/>
    <xf numFmtId="0" fontId="0" fillId="0" borderId="2" xfId="0" applyBorder="1"/>
    <xf numFmtId="0" fontId="6" fillId="8" borderId="2" xfId="8" applyBorder="1" applyAlignment="1">
      <alignment horizontal="center"/>
    </xf>
    <xf numFmtId="168" fontId="4" fillId="4" borderId="2" xfId="4" applyNumberFormat="1" applyBorder="1" applyAlignment="1">
      <alignment horizontal="center"/>
    </xf>
    <xf numFmtId="170" fontId="4" fillId="4" borderId="2" xfId="4" applyNumberFormat="1" applyBorder="1" applyAlignment="1">
      <alignment horizontal="center"/>
    </xf>
    <xf numFmtId="44" fontId="4" fillId="4" borderId="2" xfId="2" applyFont="1" applyFill="1" applyBorder="1" applyAlignment="1">
      <alignment horizontal="center"/>
    </xf>
    <xf numFmtId="0" fontId="4" fillId="4" borderId="10" xfId="4" applyBorder="1" applyAlignment="1">
      <alignment horizontal="center"/>
    </xf>
    <xf numFmtId="0" fontId="6" fillId="8" borderId="11" xfId="8" applyBorder="1" applyAlignment="1">
      <alignment horizontal="center"/>
    </xf>
    <xf numFmtId="44" fontId="0" fillId="0" borderId="20" xfId="0" applyNumberFormat="1" applyBorder="1"/>
    <xf numFmtId="44" fontId="0" fillId="0" borderId="2" xfId="0" applyNumberFormat="1" applyBorder="1"/>
    <xf numFmtId="44" fontId="10" fillId="10" borderId="2" xfId="2" applyFont="1" applyFill="1" applyBorder="1"/>
    <xf numFmtId="44" fontId="6" fillId="5" borderId="2" xfId="5" applyNumberFormat="1" applyBorder="1"/>
    <xf numFmtId="44" fontId="6" fillId="5" borderId="20" xfId="5" applyNumberFormat="1" applyBorder="1"/>
    <xf numFmtId="0" fontId="15" fillId="0" borderId="0" xfId="11" applyFont="1"/>
    <xf numFmtId="0" fontId="17" fillId="0" borderId="9" xfId="11" applyFont="1" applyBorder="1" applyAlignment="1">
      <alignment horizontal="justify" vertical="top" wrapText="1"/>
    </xf>
    <xf numFmtId="172" fontId="15" fillId="0" borderId="0" xfId="11" applyNumberFormat="1" applyFont="1"/>
    <xf numFmtId="0" fontId="16" fillId="0" borderId="0" xfId="11" applyFont="1"/>
    <xf numFmtId="171" fontId="16" fillId="0" borderId="0" xfId="12" applyNumberFormat="1" applyFont="1" applyBorder="1"/>
    <xf numFmtId="171" fontId="15" fillId="0" borderId="0" xfId="12" applyNumberFormat="1" applyFont="1" applyBorder="1"/>
    <xf numFmtId="44" fontId="15" fillId="0" borderId="0" xfId="11" applyNumberFormat="1" applyFont="1"/>
    <xf numFmtId="171" fontId="16" fillId="0" borderId="0" xfId="11" applyNumberFormat="1" applyFont="1"/>
    <xf numFmtId="44" fontId="16" fillId="0" borderId="0" xfId="11" applyNumberFormat="1" applyFont="1"/>
    <xf numFmtId="171" fontId="18" fillId="2" borderId="0" xfId="3" applyNumberFormat="1" applyFont="1"/>
    <xf numFmtId="173" fontId="18" fillId="2" borderId="0" xfId="9" applyNumberFormat="1" applyFont="1" applyFill="1"/>
    <xf numFmtId="173" fontId="15" fillId="0" borderId="0" xfId="11" applyNumberFormat="1" applyFont="1"/>
    <xf numFmtId="0" fontId="13" fillId="8" borderId="2" xfId="8" applyFont="1" applyBorder="1" applyAlignment="1">
      <alignment horizontal="center" vertical="center"/>
    </xf>
    <xf numFmtId="0" fontId="13" fillId="8" borderId="11" xfId="8" applyFont="1" applyBorder="1" applyAlignment="1">
      <alignment horizontal="center" vertical="center"/>
    </xf>
    <xf numFmtId="44" fontId="0" fillId="0" borderId="24" xfId="2" applyFont="1" applyBorder="1"/>
    <xf numFmtId="44" fontId="0" fillId="0" borderId="25" xfId="2" applyFont="1" applyBorder="1"/>
    <xf numFmtId="44" fontId="0" fillId="0" borderId="26" xfId="2" applyFont="1" applyBorder="1"/>
    <xf numFmtId="0" fontId="15" fillId="0" borderId="7" xfId="11" applyFont="1" applyBorder="1"/>
    <xf numFmtId="171" fontId="15" fillId="0" borderId="8" xfId="12" applyNumberFormat="1" applyFont="1" applyBorder="1"/>
    <xf numFmtId="0" fontId="15" fillId="0" borderId="10" xfId="11" applyFont="1" applyBorder="1"/>
    <xf numFmtId="171" fontId="15" fillId="0" borderId="22" xfId="12" applyNumberFormat="1" applyFont="1" applyBorder="1"/>
    <xf numFmtId="9" fontId="0" fillId="0" borderId="25" xfId="9" applyFont="1" applyBorder="1"/>
    <xf numFmtId="10" fontId="16" fillId="0" borderId="0" xfId="9" applyNumberFormat="1" applyFont="1"/>
    <xf numFmtId="9" fontId="0" fillId="0" borderId="25" xfId="2" applyNumberFormat="1" applyFont="1" applyBorder="1"/>
    <xf numFmtId="0" fontId="4" fillId="4" borderId="10" xfId="4" applyFont="1" applyBorder="1" applyAlignment="1">
      <alignment horizontal="center"/>
    </xf>
    <xf numFmtId="44" fontId="1" fillId="12" borderId="2" xfId="10" applyNumberFormat="1" applyFill="1" applyBorder="1"/>
    <xf numFmtId="44" fontId="6" fillId="13" borderId="2" xfId="5" applyNumberFormat="1" applyFont="1" applyFill="1" applyBorder="1"/>
    <xf numFmtId="43" fontId="10" fillId="10" borderId="2" xfId="1" applyFont="1" applyFill="1" applyBorder="1"/>
    <xf numFmtId="167" fontId="0" fillId="0" borderId="2" xfId="0" applyNumberFormat="1" applyBorder="1"/>
    <xf numFmtId="44" fontId="0" fillId="0" borderId="2" xfId="2" applyNumberFormat="1" applyFont="1" applyBorder="1"/>
    <xf numFmtId="165" fontId="0" fillId="0" borderId="2" xfId="1" applyNumberFormat="1" applyFont="1" applyBorder="1"/>
    <xf numFmtId="174" fontId="0" fillId="0" borderId="2" xfId="9" applyNumberFormat="1" applyFont="1" applyBorder="1"/>
    <xf numFmtId="165" fontId="3" fillId="3" borderId="3" xfId="1" applyNumberFormat="1" applyFont="1" applyFill="1" applyBorder="1" applyAlignment="1"/>
    <xf numFmtId="0" fontId="6" fillId="8" borderId="2" xfId="8" applyBorder="1" applyAlignment="1">
      <alignment horizontal="center" vertical="center"/>
    </xf>
    <xf numFmtId="0" fontId="11" fillId="8" borderId="2" xfId="8" applyFont="1" applyBorder="1" applyAlignment="1">
      <alignment horizontal="center" vertical="center"/>
    </xf>
    <xf numFmtId="165" fontId="3" fillId="13" borderId="3" xfId="1" applyNumberFormat="1" applyFont="1" applyFill="1" applyBorder="1" applyAlignment="1"/>
    <xf numFmtId="170" fontId="4" fillId="4" borderId="2" xfId="4" applyNumberFormat="1" applyBorder="1"/>
    <xf numFmtId="0" fontId="20" fillId="0" borderId="0" xfId="14"/>
    <xf numFmtId="0" fontId="20" fillId="0" borderId="0" xfId="1" applyNumberFormat="1" applyFont="1"/>
    <xf numFmtId="44" fontId="4" fillId="4" borderId="2" xfId="2" applyFont="1" applyFill="1" applyBorder="1"/>
    <xf numFmtId="0" fontId="11" fillId="6" borderId="10" xfId="6" applyFont="1" applyBorder="1" applyAlignment="1">
      <alignment horizontal="center" vertical="center"/>
    </xf>
    <xf numFmtId="0" fontId="11" fillId="6" borderId="22" xfId="6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65" fontId="3" fillId="3" borderId="10" xfId="1" applyNumberFormat="1" applyFont="1" applyFill="1" applyBorder="1" applyAlignment="1"/>
    <xf numFmtId="175" fontId="0" fillId="0" borderId="0" xfId="0" applyNumberFormat="1"/>
    <xf numFmtId="44" fontId="9" fillId="0" borderId="12" xfId="0" applyNumberFormat="1" applyFont="1" applyBorder="1"/>
    <xf numFmtId="44" fontId="5" fillId="14" borderId="12" xfId="0" applyNumberFormat="1" applyFont="1" applyFill="1" applyBorder="1"/>
    <xf numFmtId="44" fontId="5" fillId="15" borderId="12" xfId="0" applyNumberFormat="1" applyFont="1" applyFill="1" applyBorder="1"/>
    <xf numFmtId="44" fontId="24" fillId="3" borderId="2" xfId="2" applyFont="1" applyFill="1" applyBorder="1"/>
    <xf numFmtId="0" fontId="23" fillId="0" borderId="30" xfId="16"/>
    <xf numFmtId="176" fontId="0" fillId="0" borderId="2" xfId="9" applyNumberFormat="1" applyFont="1" applyBorder="1"/>
    <xf numFmtId="43" fontId="3" fillId="3" borderId="2" xfId="1" applyNumberFormat="1" applyFont="1" applyFill="1" applyBorder="1"/>
    <xf numFmtId="177" fontId="0" fillId="0" borderId="2" xfId="0" applyNumberFormat="1" applyBorder="1"/>
    <xf numFmtId="9" fontId="0" fillId="0" borderId="0" xfId="9" applyFont="1"/>
    <xf numFmtId="9" fontId="5" fillId="0" borderId="0" xfId="9" applyFont="1"/>
    <xf numFmtId="44" fontId="5" fillId="0" borderId="0" xfId="2" applyFont="1"/>
    <xf numFmtId="44" fontId="3" fillId="3" borderId="2" xfId="15" applyNumberFormat="1" applyBorder="1"/>
    <xf numFmtId="0" fontId="4" fillId="4" borderId="2" xfId="4" applyBorder="1" applyAlignment="1">
      <alignment horizontal="left"/>
    </xf>
    <xf numFmtId="9" fontId="3" fillId="3" borderId="2" xfId="9" applyFont="1" applyFill="1" applyBorder="1"/>
    <xf numFmtId="9" fontId="0" fillId="0" borderId="2" xfId="9" applyFont="1" applyBorder="1"/>
    <xf numFmtId="44" fontId="0" fillId="0" borderId="2" xfId="2" applyFont="1" applyBorder="1"/>
    <xf numFmtId="44" fontId="19" fillId="0" borderId="2" xfId="2" applyFont="1" applyBorder="1"/>
    <xf numFmtId="44" fontId="26" fillId="3" borderId="2" xfId="15" applyNumberFormat="1" applyFont="1" applyBorder="1"/>
    <xf numFmtId="9" fontId="3" fillId="3" borderId="2" xfId="15" applyNumberFormat="1" applyBorder="1"/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27" fillId="0" borderId="9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justify" vertical="top" wrapText="1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5" fillId="0" borderId="34" xfId="0" applyFont="1" applyBorder="1"/>
    <xf numFmtId="177" fontId="0" fillId="0" borderId="35" xfId="17" applyFont="1" applyBorder="1" applyAlignment="1">
      <alignment horizontal="center"/>
    </xf>
    <xf numFmtId="178" fontId="0" fillId="0" borderId="35" xfId="17" applyNumberFormat="1" applyFon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77" fontId="0" fillId="0" borderId="35" xfId="0" applyNumberFormat="1" applyBorder="1" applyAlignment="1">
      <alignment horizontal="center"/>
    </xf>
    <xf numFmtId="179" fontId="0" fillId="0" borderId="36" xfId="9" applyNumberFormat="1" applyFont="1" applyBorder="1" applyAlignment="1">
      <alignment horizontal="center"/>
    </xf>
    <xf numFmtId="177" fontId="0" fillId="0" borderId="34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40" xfId="0" applyFont="1" applyBorder="1"/>
    <xf numFmtId="177" fontId="0" fillId="0" borderId="13" xfId="17" applyFont="1" applyBorder="1" applyAlignment="1">
      <alignment horizontal="center"/>
    </xf>
    <xf numFmtId="178" fontId="0" fillId="0" borderId="13" xfId="17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77" fontId="0" fillId="0" borderId="13" xfId="0" applyNumberFormat="1" applyBorder="1" applyAlignment="1">
      <alignment horizontal="center"/>
    </xf>
    <xf numFmtId="179" fontId="0" fillId="0" borderId="14" xfId="9" applyNumberFormat="1" applyFont="1" applyBorder="1" applyAlignment="1">
      <alignment horizontal="center"/>
    </xf>
    <xf numFmtId="177" fontId="0" fillId="0" borderId="40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180" fontId="3" fillId="3" borderId="2" xfId="1" applyNumberFormat="1" applyFont="1" applyFill="1" applyBorder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44" fontId="11" fillId="5" borderId="20" xfId="5" applyNumberFormat="1" applyFont="1" applyBorder="1"/>
    <xf numFmtId="0" fontId="21" fillId="13" borderId="5" xfId="0" applyFont="1" applyFill="1" applyBorder="1" applyAlignment="1">
      <alignment horizontal="center" vertical="center" wrapText="1"/>
    </xf>
    <xf numFmtId="0" fontId="21" fillId="13" borderId="0" xfId="0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6" fillId="8" borderId="15" xfId="8" applyBorder="1" applyAlignment="1">
      <alignment horizontal="center"/>
    </xf>
    <xf numFmtId="0" fontId="25" fillId="16" borderId="0" xfId="0" applyFont="1" applyFill="1" applyAlignment="1">
      <alignment horizontal="center" wrapText="1"/>
    </xf>
    <xf numFmtId="44" fontId="6" fillId="5" borderId="10" xfId="5" applyNumberFormat="1" applyBorder="1" applyAlignment="1">
      <alignment horizontal="center"/>
    </xf>
    <xf numFmtId="44" fontId="6" fillId="5" borderId="22" xfId="5" applyNumberFormat="1" applyBorder="1" applyAlignment="1">
      <alignment horizontal="center"/>
    </xf>
    <xf numFmtId="44" fontId="6" fillId="13" borderId="10" xfId="5" applyNumberFormat="1" applyFont="1" applyFill="1" applyBorder="1" applyAlignment="1">
      <alignment horizontal="center"/>
    </xf>
    <xf numFmtId="44" fontId="6" fillId="13" borderId="22" xfId="5" applyNumberFormat="1" applyFont="1" applyFill="1" applyBorder="1" applyAlignment="1">
      <alignment horizontal="center"/>
    </xf>
    <xf numFmtId="44" fontId="1" fillId="12" borderId="10" xfId="10" applyNumberFormat="1" applyFill="1" applyBorder="1" applyAlignment="1">
      <alignment horizontal="center"/>
    </xf>
    <xf numFmtId="44" fontId="1" fillId="12" borderId="22" xfId="10" applyNumberFormat="1" applyFill="1" applyBorder="1" applyAlignment="1">
      <alignment horizontal="center"/>
    </xf>
    <xf numFmtId="0" fontId="9" fillId="9" borderId="0" xfId="0" applyFont="1" applyFill="1" applyAlignment="1">
      <alignment horizontal="center" wrapText="1"/>
    </xf>
    <xf numFmtId="0" fontId="9" fillId="9" borderId="0" xfId="0" applyFont="1" applyFill="1" applyAlignment="1">
      <alignment horizontal="center" vertical="center" wrapText="1"/>
    </xf>
    <xf numFmtId="0" fontId="11" fillId="6" borderId="10" xfId="6" applyFont="1" applyBorder="1" applyAlignment="1">
      <alignment horizontal="center" vertical="center"/>
    </xf>
    <xf numFmtId="0" fontId="11" fillId="6" borderId="22" xfId="6" applyFont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44" fontId="6" fillId="5" borderId="16" xfId="5" applyNumberFormat="1" applyBorder="1" applyAlignment="1">
      <alignment horizontal="center" vertical="center"/>
    </xf>
    <xf numFmtId="44" fontId="6" fillId="5" borderId="21" xfId="5" applyNumberFormat="1" applyBorder="1" applyAlignment="1">
      <alignment horizontal="center" vertical="center"/>
    </xf>
    <xf numFmtId="44" fontId="6" fillId="5" borderId="15" xfId="5" applyNumberFormat="1" applyBorder="1" applyAlignment="1">
      <alignment horizontal="center" vertical="center"/>
    </xf>
    <xf numFmtId="44" fontId="6" fillId="5" borderId="8" xfId="5" applyNumberFormat="1" applyBorder="1" applyAlignment="1">
      <alignment horizontal="center" vertical="center"/>
    </xf>
    <xf numFmtId="0" fontId="11" fillId="5" borderId="10" xfId="5" applyFont="1" applyBorder="1" applyAlignment="1">
      <alignment horizontal="center" vertical="center"/>
    </xf>
    <xf numFmtId="0" fontId="11" fillId="5" borderId="22" xfId="5" applyFont="1" applyBorder="1" applyAlignment="1">
      <alignment horizontal="center" vertical="center"/>
    </xf>
    <xf numFmtId="0" fontId="11" fillId="7" borderId="10" xfId="7" applyFont="1" applyBorder="1" applyAlignment="1">
      <alignment horizontal="center" vertical="center"/>
    </xf>
    <xf numFmtId="0" fontId="11" fillId="7" borderId="22" xfId="7" applyFont="1" applyBorder="1" applyAlignment="1">
      <alignment horizontal="center" vertical="center"/>
    </xf>
    <xf numFmtId="0" fontId="12" fillId="2" borderId="10" xfId="3" applyFont="1" applyBorder="1" applyAlignment="1">
      <alignment horizontal="center" vertical="center"/>
    </xf>
    <xf numFmtId="0" fontId="12" fillId="2" borderId="22" xfId="3" applyFont="1" applyBorder="1" applyAlignment="1">
      <alignment horizontal="center" vertical="center"/>
    </xf>
    <xf numFmtId="0" fontId="7" fillId="9" borderId="0" xfId="0" applyFont="1" applyFill="1" applyAlignment="1">
      <alignment horizontal="center" wrapText="1"/>
    </xf>
    <xf numFmtId="0" fontId="25" fillId="16" borderId="5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2" fillId="16" borderId="0" xfId="0" applyFont="1" applyFill="1" applyAlignment="1">
      <alignment horizontal="center" vertical="center" wrapText="1"/>
    </xf>
    <xf numFmtId="0" fontId="22" fillId="16" borderId="0" xfId="0" applyFont="1" applyFill="1" applyAlignment="1">
      <alignment horizontal="center"/>
    </xf>
    <xf numFmtId="0" fontId="25" fillId="16" borderId="0" xfId="0" applyFont="1" applyFill="1" applyAlignment="1">
      <alignment horizontal="center"/>
    </xf>
    <xf numFmtId="0" fontId="15" fillId="0" borderId="23" xfId="11" applyFont="1" applyBorder="1" applyAlignment="1">
      <alignment horizontal="center"/>
    </xf>
    <xf numFmtId="0" fontId="15" fillId="0" borderId="12" xfId="11" applyFont="1" applyBorder="1" applyAlignment="1">
      <alignment horizontal="center"/>
    </xf>
    <xf numFmtId="0" fontId="15" fillId="0" borderId="27" xfId="11" applyFont="1" applyBorder="1" applyAlignment="1">
      <alignment horizontal="center"/>
    </xf>
    <xf numFmtId="0" fontId="15" fillId="0" borderId="19" xfId="1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</cellXfs>
  <cellStyles count="18">
    <cellStyle name="40% - Cor4" xfId="10" builtinId="43"/>
    <cellStyle name="Célula Ligada" xfId="16" builtinId="24"/>
    <cellStyle name="Comma 2" xfId="17" xr:uid="{A3AA7222-E58E-414F-B90B-E5B72ABBD7DA}"/>
    <cellStyle name="Cor2" xfId="5" builtinId="33"/>
    <cellStyle name="Cor4" xfId="6" builtinId="41"/>
    <cellStyle name="Cor5" xfId="7" builtinId="45"/>
    <cellStyle name="Cor6" xfId="8" builtinId="49"/>
    <cellStyle name="Currency 2" xfId="12" xr:uid="{AAC185B5-9FBE-44CB-AC89-C462FF843C0C}"/>
    <cellStyle name="Hiperligação" xfId="14" builtinId="8"/>
    <cellStyle name="Incorreto" xfId="3" builtinId="27"/>
    <cellStyle name="Moeda" xfId="2" builtinId="4"/>
    <cellStyle name="Neutro" xfId="15" builtinId="28"/>
    <cellStyle name="Normal" xfId="0" builtinId="0"/>
    <cellStyle name="Normal 2" xfId="11" xr:uid="{8910D632-EF57-453D-8492-4AFD137B2861}"/>
    <cellStyle name="Percent 2" xfId="13" xr:uid="{61CA48C6-C0F3-436C-BADE-FCBA2D1B7EFD}"/>
    <cellStyle name="Percentagem" xfId="9" builtinId="5"/>
    <cellStyle name="Saída" xfId="4" builtinId="21"/>
    <cellStyle name="Vírgula" xfId="1" builtinId="3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98778</xdr:colOff>
      <xdr:row>21</xdr:row>
      <xdr:rowOff>21167</xdr:rowOff>
    </xdr:from>
    <xdr:to>
      <xdr:col>7</xdr:col>
      <xdr:colOff>1051278</xdr:colOff>
      <xdr:row>25</xdr:row>
      <xdr:rowOff>35278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A21B30E-1983-47D4-B532-EA9BF6BB0C22}"/>
            </a:ext>
          </a:extLst>
        </xdr:cNvPr>
        <xdr:cNvSpPr/>
      </xdr:nvSpPr>
      <xdr:spPr>
        <a:xfrm>
          <a:off x="7845778" y="4148667"/>
          <a:ext cx="952500" cy="776111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rgbClr val="FF0000"/>
              </a:solidFill>
            </a:rPr>
            <a:t>INSERT</a:t>
          </a:r>
          <a:r>
            <a:rPr lang="pt-PT" sz="1100" b="1" baseline="0">
              <a:solidFill>
                <a:srgbClr val="FF0000"/>
              </a:solidFill>
            </a:rPr>
            <a:t> ON THE GIVEN QUANTILE</a:t>
          </a:r>
          <a:endParaRPr lang="pt-PT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317499</xdr:colOff>
      <xdr:row>27</xdr:row>
      <xdr:rowOff>112888</xdr:rowOff>
    </xdr:from>
    <xdr:to>
      <xdr:col>7</xdr:col>
      <xdr:colOff>769056</xdr:colOff>
      <xdr:row>31</xdr:row>
      <xdr:rowOff>42334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8432C4-746E-4FD6-8346-24AFBA955988}"/>
            </a:ext>
          </a:extLst>
        </xdr:cNvPr>
        <xdr:cNvSpPr/>
      </xdr:nvSpPr>
      <xdr:spPr>
        <a:xfrm>
          <a:off x="7500055" y="5369277"/>
          <a:ext cx="1629834" cy="684390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rgbClr val="FF0000"/>
              </a:solidFill>
            </a:rPr>
            <a:t>USE</a:t>
          </a:r>
          <a:r>
            <a:rPr lang="pt-PT" sz="1100" b="1" baseline="0">
              <a:solidFill>
                <a:srgbClr val="FF0000"/>
              </a:solidFill>
            </a:rPr>
            <a:t> THIS VALUE TO CALCULATE THE REQUESTED ONE</a:t>
          </a:r>
        </a:p>
        <a:p>
          <a:pPr algn="l"/>
          <a:endParaRPr lang="pt-PT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134055</xdr:colOff>
      <xdr:row>33</xdr:row>
      <xdr:rowOff>21165</xdr:rowOff>
    </xdr:from>
    <xdr:to>
      <xdr:col>9</xdr:col>
      <xdr:colOff>396875</xdr:colOff>
      <xdr:row>39</xdr:row>
      <xdr:rowOff>14110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7712D54-A2DF-428C-8A88-9C05393CFB64}"/>
            </a:ext>
          </a:extLst>
        </xdr:cNvPr>
        <xdr:cNvSpPr/>
      </xdr:nvSpPr>
      <xdr:spPr>
        <a:xfrm>
          <a:off x="8508118" y="6387040"/>
          <a:ext cx="2961570" cy="1112133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rgbClr val="FF0000"/>
              </a:solidFill>
            </a:rPr>
            <a:t>USE</a:t>
          </a:r>
          <a:r>
            <a:rPr lang="pt-PT" sz="1100" b="1" baseline="0">
              <a:solidFill>
                <a:srgbClr val="FF0000"/>
              </a:solidFill>
            </a:rPr>
            <a:t> THIS VALUE TO CALCULATE THE REQUESTED PARAMETRIC AND THEN PUT UNDER BLACK BOX</a:t>
          </a:r>
        </a:p>
        <a:p>
          <a:pPr algn="l"/>
          <a:endParaRPr lang="pt-PT" sz="1100" b="1" baseline="0">
            <a:solidFill>
              <a:srgbClr val="FF0000"/>
            </a:solidFill>
          </a:endParaRPr>
        </a:p>
        <a:p>
          <a:pPr algn="l"/>
          <a:r>
            <a:rPr lang="pt-PT" sz="1100" b="1" baseline="0">
              <a:solidFill>
                <a:srgbClr val="FF0000"/>
              </a:solidFill>
            </a:rPr>
            <a:t>!!!!!!! NEEDS TO BE INSERTED BY HAND !!!!!</a:t>
          </a:r>
        </a:p>
        <a:p>
          <a:pPr algn="l"/>
          <a:endParaRPr lang="pt-PT" sz="1100" b="1" baseline="0">
            <a:solidFill>
              <a:srgbClr val="FF0000"/>
            </a:solidFill>
          </a:endParaRPr>
        </a:p>
        <a:p>
          <a:pPr algn="l"/>
          <a:endParaRPr lang="pt-PT" sz="1100" b="1" baseline="0">
            <a:solidFill>
              <a:srgbClr val="FF0000"/>
            </a:solidFill>
          </a:endParaRPr>
        </a:p>
        <a:p>
          <a:pPr algn="l"/>
          <a:endParaRPr lang="pt-PT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58772</xdr:rowOff>
    </xdr:from>
    <xdr:to>
      <xdr:col>8</xdr:col>
      <xdr:colOff>947373</xdr:colOff>
      <xdr:row>33</xdr:row>
      <xdr:rowOff>15875</xdr:rowOff>
    </xdr:to>
    <xdr:sp macro="" textlink="">
      <xdr:nvSpPr>
        <xdr:cNvPr id="9" name="Forma livre: Forma 8">
          <a:extLst>
            <a:ext uri="{FF2B5EF4-FFF2-40B4-BE49-F238E27FC236}">
              <a16:creationId xmlns:a16="http://schemas.microsoft.com/office/drawing/2014/main" id="{1882F474-B166-4286-9778-1DB860073C21}"/>
            </a:ext>
          </a:extLst>
        </xdr:cNvPr>
        <xdr:cNvSpPr/>
      </xdr:nvSpPr>
      <xdr:spPr>
        <a:xfrm>
          <a:off x="8350250" y="931897"/>
          <a:ext cx="2296748" cy="5497478"/>
        </a:xfrm>
        <a:custGeom>
          <a:avLst/>
          <a:gdLst>
            <a:gd name="connsiteX0" fmla="*/ 1698625 w 2296748"/>
            <a:gd name="connsiteY0" fmla="*/ 5497478 h 5497478"/>
            <a:gd name="connsiteX1" fmla="*/ 2143125 w 2296748"/>
            <a:gd name="connsiteY1" fmla="*/ 290478 h 5497478"/>
            <a:gd name="connsiteX2" fmla="*/ 2111375 w 2296748"/>
            <a:gd name="connsiteY2" fmla="*/ 607978 h 5497478"/>
            <a:gd name="connsiteX3" fmla="*/ 0 w 2296748"/>
            <a:gd name="connsiteY3" fmla="*/ 115853 h 54974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296748" h="5497478">
              <a:moveTo>
                <a:pt x="1698625" y="5497478"/>
              </a:moveTo>
              <a:cubicBezTo>
                <a:pt x="1886479" y="3301436"/>
                <a:pt x="2074333" y="1105394"/>
                <a:pt x="2143125" y="290478"/>
              </a:cubicBezTo>
              <a:cubicBezTo>
                <a:pt x="2211917" y="-524438"/>
                <a:pt x="2468563" y="637082"/>
                <a:pt x="2111375" y="607978"/>
              </a:cubicBezTo>
              <a:cubicBezTo>
                <a:pt x="1754187" y="578874"/>
                <a:pt x="357187" y="195228"/>
                <a:pt x="0" y="11585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4</xdr:row>
      <xdr:rowOff>63500</xdr:rowOff>
    </xdr:from>
    <xdr:to>
      <xdr:col>12</xdr:col>
      <xdr:colOff>558800</xdr:colOff>
      <xdr:row>9</xdr:row>
      <xdr:rowOff>171450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BFE3FF94-DC54-45C8-84C7-3F96C4400BBE}"/>
            </a:ext>
          </a:extLst>
        </xdr:cNvPr>
        <xdr:cNvCxnSpPr/>
      </xdr:nvCxnSpPr>
      <xdr:spPr>
        <a:xfrm flipH="1" flipV="1">
          <a:off x="9455150" y="825500"/>
          <a:ext cx="38100" cy="105410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817562</xdr:colOff>
      <xdr:row>57</xdr:row>
      <xdr:rowOff>15874</xdr:rowOff>
    </xdr:from>
    <xdr:to>
      <xdr:col>8</xdr:col>
      <xdr:colOff>817562</xdr:colOff>
      <xdr:row>63</xdr:row>
      <xdr:rowOff>144499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F77758FF-434E-4073-8677-FA2830438C04}"/>
            </a:ext>
          </a:extLst>
        </xdr:cNvPr>
        <xdr:cNvCxnSpPr/>
      </xdr:nvCxnSpPr>
      <xdr:spPr>
        <a:xfrm flipH="1" flipV="1">
          <a:off x="9985375" y="10890249"/>
          <a:ext cx="0" cy="1224000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754062</xdr:colOff>
      <xdr:row>57</xdr:row>
      <xdr:rowOff>15874</xdr:rowOff>
    </xdr:from>
    <xdr:to>
      <xdr:col>9</xdr:col>
      <xdr:colOff>754062</xdr:colOff>
      <xdr:row>63</xdr:row>
      <xdr:rowOff>144499</xdr:rowOff>
    </xdr:to>
    <xdr:cxnSp macro="">
      <xdr:nvCxnSpPr>
        <xdr:cNvPr id="2" name="Conexão reta unidirecional 1">
          <a:extLst>
            <a:ext uri="{FF2B5EF4-FFF2-40B4-BE49-F238E27FC236}">
              <a16:creationId xmlns:a16="http://schemas.microsoft.com/office/drawing/2014/main" id="{C794DA90-429D-48F7-A9F5-D1FFB59730E7}"/>
            </a:ext>
          </a:extLst>
        </xdr:cNvPr>
        <xdr:cNvCxnSpPr/>
      </xdr:nvCxnSpPr>
      <xdr:spPr>
        <a:xfrm flipH="1" flipV="1">
          <a:off x="11255375" y="10890249"/>
          <a:ext cx="0" cy="1224000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1119188</xdr:colOff>
      <xdr:row>57</xdr:row>
      <xdr:rowOff>31751</xdr:rowOff>
    </xdr:from>
    <xdr:to>
      <xdr:col>10</xdr:col>
      <xdr:colOff>1135063</xdr:colOff>
      <xdr:row>63</xdr:row>
      <xdr:rowOff>128626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1D87168C-D03D-44E9-8EB5-3D7653468EFC}"/>
            </a:ext>
          </a:extLst>
        </xdr:cNvPr>
        <xdr:cNvCxnSpPr/>
      </xdr:nvCxnSpPr>
      <xdr:spPr>
        <a:xfrm flipH="1" flipV="1">
          <a:off x="12787313" y="10906126"/>
          <a:ext cx="15875" cy="1192250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777875</xdr:colOff>
      <xdr:row>57</xdr:row>
      <xdr:rowOff>79374</xdr:rowOff>
    </xdr:from>
    <xdr:to>
      <xdr:col>9</xdr:col>
      <xdr:colOff>817562</xdr:colOff>
      <xdr:row>64</xdr:row>
      <xdr:rowOff>15875</xdr:rowOff>
    </xdr:to>
    <xdr:cxnSp macro="">
      <xdr:nvCxnSpPr>
        <xdr:cNvPr id="2" name="Conexão reta unidirecional 1">
          <a:extLst>
            <a:ext uri="{FF2B5EF4-FFF2-40B4-BE49-F238E27FC236}">
              <a16:creationId xmlns:a16="http://schemas.microsoft.com/office/drawing/2014/main" id="{D518AD32-4E60-494D-BB1D-94D5F3CFB684}"/>
            </a:ext>
          </a:extLst>
        </xdr:cNvPr>
        <xdr:cNvCxnSpPr/>
      </xdr:nvCxnSpPr>
      <xdr:spPr>
        <a:xfrm flipH="1" flipV="1">
          <a:off x="11279188" y="10953749"/>
          <a:ext cx="39687" cy="1214439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1301750</xdr:colOff>
      <xdr:row>57</xdr:row>
      <xdr:rowOff>7938</xdr:rowOff>
    </xdr:from>
    <xdr:to>
      <xdr:col>10</xdr:col>
      <xdr:colOff>1373189</xdr:colOff>
      <xdr:row>64</xdr:row>
      <xdr:rowOff>103187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9BA71DA5-9220-42BD-9329-1B9DFF4D82EF}"/>
            </a:ext>
          </a:extLst>
        </xdr:cNvPr>
        <xdr:cNvCxnSpPr/>
      </xdr:nvCxnSpPr>
      <xdr:spPr>
        <a:xfrm flipV="1">
          <a:off x="12969875" y="10882313"/>
          <a:ext cx="71439" cy="1373187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169333</xdr:rowOff>
    </xdr:from>
    <xdr:to>
      <xdr:col>11</xdr:col>
      <xdr:colOff>452967</xdr:colOff>
      <xdr:row>11</xdr:row>
      <xdr:rowOff>169334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4265D2-2129-4C6D-9539-865648634E06}"/>
            </a:ext>
          </a:extLst>
        </xdr:cNvPr>
        <xdr:cNvSpPr/>
      </xdr:nvSpPr>
      <xdr:spPr>
        <a:xfrm>
          <a:off x="8845550" y="169333"/>
          <a:ext cx="3526367" cy="2101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Leave excesses</a:t>
          </a:r>
          <a:r>
            <a:rPr lang="pt-PT" sz="1100" baseline="0"/>
            <a:t> out of the treaty </a:t>
          </a:r>
          <a:endParaRPr lang="pt-P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22</xdr:col>
      <xdr:colOff>484188</xdr:colOff>
      <xdr:row>46</xdr:row>
      <xdr:rowOff>70757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5F6D-0C83-4971-8AC3-EB9388CB6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1362075"/>
          <a:ext cx="10040938" cy="7265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dro%20CR\FCT\Mestrado\An&#225;liseEGest&#227;oDeRisco\Ano13_14\ModelosSolv&#234;ncia\Exames\ModelosSolv&#234;ncia&#201;pocaNormal13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TabelaQuantis1Dia"/>
      <sheetName val="TabelaQuantis7Dias"/>
      <sheetName val="Normal"/>
      <sheetName val="Normal7Dias"/>
      <sheetName val="Normal9Dias"/>
      <sheetName val="Normal_IC"/>
      <sheetName val="TabelaQuantis_IC"/>
      <sheetName val="TabelaQuantis7Dias_IC"/>
      <sheetName val="Resseguro1"/>
      <sheetName val="RelaçãoVar"/>
      <sheetName val="Resseguro"/>
      <sheetName val="ResseguroPrint"/>
    </sheetNames>
    <sheetDataSet>
      <sheetData sheetId="0">
        <row r="6">
          <cell r="L6">
            <v>-2.5993918872037058E-2</v>
          </cell>
          <cell r="M6">
            <v>-2.4800218962299447E-2</v>
          </cell>
        </row>
        <row r="7">
          <cell r="L7">
            <v>-8.2762017953053046E-3</v>
          </cell>
          <cell r="M7">
            <v>1.9828227032377077E-2</v>
          </cell>
        </row>
        <row r="8">
          <cell r="L8">
            <v>1.9749580439688996E-2</v>
          </cell>
          <cell r="M8">
            <v>1.8952754740529043E-2</v>
          </cell>
        </row>
        <row r="9">
          <cell r="L9">
            <v>-4.935304259047546E-2</v>
          </cell>
          <cell r="M9">
            <v>4.131008354807042E-2</v>
          </cell>
        </row>
        <row r="10">
          <cell r="L10">
            <v>1.7643514675863115E-2</v>
          </cell>
          <cell r="M10">
            <v>6.1464806715514797E-2</v>
          </cell>
        </row>
        <row r="11">
          <cell r="L11">
            <v>4.5435514825891588E-2</v>
          </cell>
          <cell r="M11">
            <v>4.7233749950856163E-2</v>
          </cell>
        </row>
        <row r="12">
          <cell r="L12">
            <v>-2.1106431738755482E-2</v>
          </cell>
          <cell r="M12">
            <v>3.4218051695708684E-2</v>
          </cell>
        </row>
        <row r="13">
          <cell r="L13">
            <v>1.8579899370468667E-2</v>
          </cell>
          <cell r="M13">
            <v>4.5209191302985507E-2</v>
          </cell>
        </row>
        <row r="14">
          <cell r="L14">
            <v>-9.1275478195480542E-3</v>
          </cell>
          <cell r="M14">
            <v>4.1739591260674835E-2</v>
          </cell>
        </row>
        <row r="15">
          <cell r="L15">
            <v>4.2124392780275022E-2</v>
          </cell>
          <cell r="M15">
            <v>6.2831110418523295E-2</v>
          </cell>
        </row>
        <row r="16">
          <cell r="L16">
            <v>-3.095311872603157E-2</v>
          </cell>
          <cell r="M16">
            <v>1.3102829319986409E-2</v>
          </cell>
        </row>
        <row r="17">
          <cell r="L17">
            <v>3.9999698951831419E-3</v>
          </cell>
          <cell r="M17">
            <v>4.9729116472448931E-2</v>
          </cell>
        </row>
        <row r="18">
          <cell r="L18">
            <v>3.2442166199735167E-2</v>
          </cell>
          <cell r="M18">
            <v>2.6437758387150678E-2</v>
          </cell>
        </row>
        <row r="19">
          <cell r="L19">
            <v>-1.0703252397818774E-2</v>
          </cell>
          <cell r="M19">
            <v>-2.9962493033898197E-2</v>
          </cell>
        </row>
        <row r="20">
          <cell r="L20">
            <v>1.5198695979454779E-2</v>
          </cell>
          <cell r="M20">
            <v>-5.5585616566529161E-3</v>
          </cell>
        </row>
        <row r="21">
          <cell r="L21">
            <v>1.0934092808756235E-2</v>
          </cell>
          <cell r="M21">
            <v>4.6886785758815108E-5</v>
          </cell>
        </row>
        <row r="22">
          <cell r="L22">
            <v>-6.6350519102484906E-3</v>
          </cell>
          <cell r="M22">
            <v>-5.249995474208824E-2</v>
          </cell>
        </row>
        <row r="23">
          <cell r="L23">
            <v>4.0804319763803054E-3</v>
          </cell>
          <cell r="M23">
            <v>-6.1807733301996515E-2</v>
          </cell>
        </row>
        <row r="24">
          <cell r="L24">
            <v>-1.8276751260308699E-2</v>
          </cell>
          <cell r="M24">
            <v>-3.3516644188868572E-2</v>
          </cell>
        </row>
        <row r="25">
          <cell r="L25">
            <v>-2.428801278632875E-2</v>
          </cell>
          <cell r="M25">
            <v>-4.6611607483995066E-3</v>
          </cell>
        </row>
        <row r="26">
          <cell r="L26">
            <v>1.4185197550600881E-2</v>
          </cell>
          <cell r="M26">
            <v>1.9760190466648009E-2</v>
          </cell>
        </row>
        <row r="27">
          <cell r="L27">
            <v>2.0921148533922462E-2</v>
          </cell>
          <cell r="M27">
            <v>5.2908922688148508E-3</v>
          </cell>
        </row>
        <row r="28">
          <cell r="L28">
            <v>-4.2184810186538746E-2</v>
          </cell>
          <cell r="M28">
            <v>-7.5111545381434386E-3</v>
          </cell>
        </row>
        <row r="29">
          <cell r="L29">
            <v>-1.6393384917480658E-2</v>
          </cell>
          <cell r="M29">
            <v>2.0888977741527537E-2</v>
          </cell>
        </row>
        <row r="30">
          <cell r="L30">
            <v>3.4358371782652108E-2</v>
          </cell>
          <cell r="M30">
            <v>7.7152895159214419E-2</v>
          </cell>
        </row>
        <row r="31">
          <cell r="L31">
            <v>1.1033736889129786E-2</v>
          </cell>
          <cell r="M31">
            <v>1.440564876045447E-2</v>
          </cell>
        </row>
        <row r="32">
          <cell r="L32">
            <v>-3.4822044144888764E-4</v>
          </cell>
          <cell r="M32">
            <v>1.4681045159393502E-2</v>
          </cell>
        </row>
        <row r="33">
          <cell r="L33">
            <v>-2.0499750542790629E-4</v>
          </cell>
          <cell r="M33">
            <v>2.6431581724775333E-2</v>
          </cell>
        </row>
        <row r="34">
          <cell r="L34">
            <v>7.9200555863401245E-3</v>
          </cell>
          <cell r="M34">
            <v>4.7608024397487014E-2</v>
          </cell>
        </row>
        <row r="35">
          <cell r="L35">
            <v>-1.477686679799417E-2</v>
          </cell>
          <cell r="M35">
            <v>3.6832348400718917E-2</v>
          </cell>
        </row>
        <row r="36">
          <cell r="L36">
            <v>3.7815801947209904E-2</v>
          </cell>
          <cell r="M36">
            <v>4.7084387829278151E-2</v>
          </cell>
        </row>
        <row r="37">
          <cell r="L37">
            <v>-2.5895970855746464E-2</v>
          </cell>
          <cell r="M37">
            <v>-2.8009757488477449E-3</v>
          </cell>
        </row>
        <row r="38">
          <cell r="L38">
            <v>1.1308217862974201E-2</v>
          </cell>
          <cell r="M38">
            <v>3.8811899390341686E-2</v>
          </cell>
        </row>
        <row r="39">
          <cell r="L39">
            <v>1.1228269377089761E-2</v>
          </cell>
          <cell r="M39">
            <v>1.406675007677749E-2</v>
          </cell>
        </row>
        <row r="40">
          <cell r="L40">
            <v>2.0421902457269159E-2</v>
          </cell>
          <cell r="M40">
            <v>-2.2732867527581746E-3</v>
          </cell>
        </row>
        <row r="41">
          <cell r="L41">
            <v>-2.4473907263105055E-3</v>
          </cell>
          <cell r="M41">
            <v>-2.1713049011008456E-2</v>
          </cell>
        </row>
        <row r="42">
          <cell r="L42">
            <v>-5.0351313833001399E-3</v>
          </cell>
          <cell r="M42">
            <v>-7.3394651507756592E-3</v>
          </cell>
        </row>
        <row r="43">
          <cell r="L43">
            <v>-1.1627986164834736E-2</v>
          </cell>
          <cell r="M43">
            <v>-2.8061760988752349E-2</v>
          </cell>
        </row>
        <row r="44">
          <cell r="L44">
            <v>1.4753155699307241E-2</v>
          </cell>
          <cell r="M44">
            <v>-2.1640946540701922E-4</v>
          </cell>
        </row>
        <row r="45">
          <cell r="L45">
            <v>-1.2781776550586543E-2</v>
          </cell>
          <cell r="M45">
            <v>-2.1873502117635168E-2</v>
          </cell>
        </row>
        <row r="46">
          <cell r="L46">
            <v>-5.0660299512711449E-3</v>
          </cell>
          <cell r="M46">
            <v>-2.1272261662954373E-2</v>
          </cell>
        </row>
        <row r="47">
          <cell r="L47">
            <v>5.3994588188666093E-4</v>
          </cell>
          <cell r="M47">
            <v>2.6691717249218927E-2</v>
          </cell>
        </row>
        <row r="48">
          <cell r="L48">
            <v>1.2209255843383726E-2</v>
          </cell>
          <cell r="M48">
            <v>4.6928709170761085E-2</v>
          </cell>
        </row>
        <row r="49">
          <cell r="L49">
            <v>-2.5805531366009826E-2</v>
          </cell>
          <cell r="M49">
            <v>1.8869279872444356E-2</v>
          </cell>
        </row>
        <row r="50">
          <cell r="L50">
            <v>1.668818152610263E-2</v>
          </cell>
          <cell r="M50">
            <v>4.2817239224176129E-2</v>
          </cell>
        </row>
        <row r="51">
          <cell r="L51">
            <v>-7.2282043871987334E-3</v>
          </cell>
          <cell r="M51">
            <v>4.9346713526004393E-2</v>
          </cell>
        </row>
        <row r="52">
          <cell r="L52">
            <v>-1.2174947541433889E-2</v>
          </cell>
          <cell r="M52">
            <v>3.2826623296684732E-2</v>
          </cell>
        </row>
        <row r="53">
          <cell r="L53">
            <v>4.3692158959880656E-2</v>
          </cell>
          <cell r="M53">
            <v>5.4434798076609558E-2</v>
          </cell>
        </row>
        <row r="54">
          <cell r="L54">
            <v>2.0261463511581423E-2</v>
          </cell>
          <cell r="M54">
            <v>-1.0926296046672279E-2</v>
          </cell>
        </row>
        <row r="55">
          <cell r="L55">
            <v>-1.4919634405442861E-2</v>
          </cell>
          <cell r="M55">
            <v>1.4512958040848511E-2</v>
          </cell>
        </row>
        <row r="56">
          <cell r="L56">
            <v>-2.9076287631857323E-3</v>
          </cell>
          <cell r="M56">
            <v>5.6382806748511483E-2</v>
          </cell>
        </row>
        <row r="57">
          <cell r="L57">
            <v>2.3054051886268523E-2</v>
          </cell>
          <cell r="M57">
            <v>7.0842536627232278E-2</v>
          </cell>
        </row>
        <row r="58">
          <cell r="L58">
            <v>-2.2857623557472562E-2</v>
          </cell>
          <cell r="M58">
            <v>5.8541476700456174E-2</v>
          </cell>
        </row>
        <row r="59">
          <cell r="L59">
            <v>8.491731554600257E-3</v>
          </cell>
          <cell r="M59">
            <v>7.9306184630120846E-2</v>
          </cell>
        </row>
        <row r="60">
          <cell r="L60">
            <v>-2.1003032778804553E-2</v>
          </cell>
          <cell r="M60">
            <v>6.7694154456903854E-2</v>
          </cell>
        </row>
        <row r="61">
          <cell r="L61">
            <v>4.6502875554218948E-2</v>
          </cell>
          <cell r="M61">
            <v>3.9484902302375335E-2</v>
          </cell>
        </row>
        <row r="62">
          <cell r="L62">
            <v>2.5735505132629566E-2</v>
          </cell>
          <cell r="M62">
            <v>2.5057884912225159E-2</v>
          </cell>
        </row>
        <row r="63">
          <cell r="L63">
            <v>1.0740535765915604E-2</v>
          </cell>
          <cell r="M63">
            <v>-3.3873056724796902E-3</v>
          </cell>
        </row>
        <row r="64">
          <cell r="L64">
            <v>1.1301951301787572E-2</v>
          </cell>
          <cell r="M64">
            <v>-1.8160252364149421E-2</v>
          </cell>
        </row>
        <row r="65">
          <cell r="L65">
            <v>-3.6896679325566506E-3</v>
          </cell>
          <cell r="M65">
            <v>-1.6980162854375536E-2</v>
          </cell>
        </row>
        <row r="66">
          <cell r="L66">
            <v>-2.3584206848822342E-3</v>
          </cell>
          <cell r="M66">
            <v>-3.0837093830182738E-3</v>
          </cell>
        </row>
        <row r="67">
          <cell r="L67">
            <v>-4.6868841064426348E-2</v>
          </cell>
          <cell r="M67">
            <v>-6.9887928072314254E-2</v>
          </cell>
        </row>
        <row r="68">
          <cell r="L68">
            <v>3.1978455669887662E-2</v>
          </cell>
          <cell r="M68">
            <v>-2.3406576268551471E-2</v>
          </cell>
        </row>
        <row r="69">
          <cell r="L69">
            <v>-2.7284893036404467E-3</v>
          </cell>
          <cell r="M69">
            <v>-4.6290844646345697E-2</v>
          </cell>
        </row>
        <row r="70">
          <cell r="L70">
            <v>-4.2418301410878101E-3</v>
          </cell>
          <cell r="M70">
            <v>-6.4106560233955667E-2</v>
          </cell>
        </row>
        <row r="71">
          <cell r="L71">
            <v>1.2517451923776735E-2</v>
          </cell>
          <cell r="M71">
            <v>-6.5366945891262795E-2</v>
          </cell>
        </row>
        <row r="72">
          <cell r="L72">
            <v>1.0394666532971275E-2</v>
          </cell>
          <cell r="M72">
            <v>-5.4340779012833185E-2</v>
          </cell>
        </row>
        <row r="73">
          <cell r="L73">
            <v>-6.9211241594102968E-2</v>
          </cell>
          <cell r="M73">
            <v>-9.6005018691609711E-2</v>
          </cell>
        </row>
        <row r="74">
          <cell r="L74">
            <v>7.6286488880739078E-4</v>
          </cell>
          <cell r="M74">
            <v>-2.5709881733619544E-2</v>
          </cell>
        </row>
        <row r="75">
          <cell r="L75">
            <v>7.7963637514133488E-3</v>
          </cell>
          <cell r="M75">
            <v>-4.7986990779781968E-2</v>
          </cell>
        </row>
        <row r="76">
          <cell r="L76">
            <v>-2.1357969264545362E-2</v>
          </cell>
          <cell r="M76">
            <v>-5.1678563884332118E-2</v>
          </cell>
        </row>
        <row r="77">
          <cell r="L77">
            <v>-5.5828367793546718E-3</v>
          </cell>
          <cell r="M77">
            <v>1.4917626716539178E-2</v>
          </cell>
        </row>
        <row r="78">
          <cell r="L78">
            <v>2.4462446104279056E-2</v>
          </cell>
          <cell r="M78">
            <v>9.254494475108066E-3</v>
          </cell>
        </row>
        <row r="79">
          <cell r="L79">
            <v>-3.4121713810300935E-2</v>
          </cell>
          <cell r="M79">
            <v>3.0790420528621354E-3</v>
          </cell>
        </row>
        <row r="80">
          <cell r="L80">
            <v>3.167393911594818E-3</v>
          </cell>
          <cell r="M80">
            <v>2.9127613481791714E-2</v>
          </cell>
        </row>
        <row r="81">
          <cell r="L81">
            <v>-2.2119542571248929E-2</v>
          </cell>
          <cell r="M81">
            <v>5.2759457621240902E-2</v>
          </cell>
        </row>
        <row r="82">
          <cell r="L82">
            <v>3.8884823304068394E-3</v>
          </cell>
          <cell r="M82">
            <v>0.11055439564346847</v>
          </cell>
        </row>
        <row r="83">
          <cell r="L83">
            <v>4.7367495252881087E-2</v>
          </cell>
          <cell r="M83">
            <v>0.10933985810965141</v>
          </cell>
        </row>
        <row r="84">
          <cell r="L84">
            <v>-1.1131578618321702E-2</v>
          </cell>
          <cell r="M84">
            <v>5.2248142759769856E-2</v>
          </cell>
        </row>
        <row r="85">
          <cell r="L85">
            <v>1.8193938875500359E-2</v>
          </cell>
          <cell r="M85">
            <v>6.7386654549793645E-2</v>
          </cell>
        </row>
        <row r="86">
          <cell r="L86">
            <v>-9.0391944128530577E-3</v>
          </cell>
          <cell r="M86">
            <v>7.5906016414629907E-2</v>
          </cell>
        </row>
        <row r="87">
          <cell r="L87">
            <v>2.6203113863264127E-2</v>
          </cell>
          <cell r="M87">
            <v>0.12580370577542554</v>
          </cell>
        </row>
        <row r="88">
          <cell r="L88">
            <v>3.156464902741285E-2</v>
          </cell>
          <cell r="M88">
            <v>7.8779687328967452E-2</v>
          </cell>
        </row>
        <row r="89">
          <cell r="L89">
            <v>2.7905980247484585E-3</v>
          </cell>
          <cell r="M89">
            <v>2.3431041400050701E-2</v>
          </cell>
        </row>
        <row r="90">
          <cell r="L90">
            <v>-6.5348381651121334E-3</v>
          </cell>
          <cell r="M90">
            <v>4.0434640999697846E-2</v>
          </cell>
        </row>
        <row r="91">
          <cell r="L91">
            <v>3.0951000970298459E-3</v>
          </cell>
          <cell r="M91">
            <v>7.4943891536684459E-2</v>
          </cell>
        </row>
        <row r="92">
          <cell r="L92">
            <v>2.6320668375900524E-2</v>
          </cell>
          <cell r="M92">
            <v>4.8833670460255441E-2</v>
          </cell>
        </row>
        <row r="93">
          <cell r="L93">
            <v>3.6918959637338489E-2</v>
          </cell>
          <cell r="M93">
            <v>2.9902492305391437E-3</v>
          </cell>
        </row>
        <row r="94">
          <cell r="L94">
            <v>-1.6660658842903464E-2</v>
          </cell>
          <cell r="M94">
            <v>-3.0580845784694999E-2</v>
          </cell>
        </row>
        <row r="95">
          <cell r="L95">
            <v>-2.136154821418812E-2</v>
          </cell>
          <cell r="M95">
            <v>7.1770365782437562E-3</v>
          </cell>
        </row>
        <row r="96">
          <cell r="L96">
            <v>1.9451270919502273E-2</v>
          </cell>
          <cell r="M96">
            <v>2.0566756603672687E-2</v>
          </cell>
        </row>
        <row r="97">
          <cell r="L97">
            <v>2.6416523524062985E-2</v>
          </cell>
          <cell r="M97">
            <v>1.1275943835490354E-2</v>
          </cell>
        </row>
        <row r="98">
          <cell r="L98">
            <v>-2.1269924933974171E-2</v>
          </cell>
          <cell r="M98">
            <v>2.0329966480455486E-2</v>
          </cell>
        </row>
        <row r="99">
          <cell r="L99">
            <v>-1.8538733111919337E-2</v>
          </cell>
          <cell r="M99">
            <v>4.583726606530325E-2</v>
          </cell>
        </row>
        <row r="100">
          <cell r="L100">
            <v>2.2122364724939114E-3</v>
          </cell>
          <cell r="M100">
            <v>0.10126552596067695</v>
          </cell>
        </row>
        <row r="101">
          <cell r="L101">
            <v>2.1639400532664776E-2</v>
          </cell>
          <cell r="M101">
            <v>0.14479755775780778</v>
          </cell>
        </row>
        <row r="102">
          <cell r="L102">
            <v>-8.3512288764385767E-3</v>
          </cell>
          <cell r="M102">
            <v>0.15013524569332071</v>
          </cell>
        </row>
        <row r="103">
          <cell r="L103">
            <v>1.0170613066292633E-2</v>
          </cell>
          <cell r="M103">
            <v>0.15648404754644152</v>
          </cell>
        </row>
        <row r="104">
          <cell r="L104">
            <v>3.5606100813825092E-2</v>
          </cell>
          <cell r="M104">
            <v>8.6747770180250816E-2</v>
          </cell>
        </row>
        <row r="105">
          <cell r="L105">
            <v>3.1974160807404228E-3</v>
          </cell>
          <cell r="M105">
            <v>4.7074486341930122E-2</v>
          </cell>
        </row>
        <row r="106">
          <cell r="L106">
            <v>3.3477667473024386E-2</v>
          </cell>
          <cell r="M106">
            <v>6.182637937344726E-2</v>
          </cell>
        </row>
        <row r="107">
          <cell r="L107">
            <v>4.1828781181396435E-2</v>
          </cell>
          <cell r="M107">
            <v>1.09418256078464E-2</v>
          </cell>
        </row>
        <row r="108">
          <cell r="L108">
            <v>2.6402856102353933E-2</v>
          </cell>
          <cell r="M108">
            <v>1.4281665740778715E-2</v>
          </cell>
        </row>
        <row r="109">
          <cell r="L109">
            <v>-2.877279982750891E-3</v>
          </cell>
          <cell r="M109">
            <v>-1.7006780140346067E-2</v>
          </cell>
        </row>
        <row r="110">
          <cell r="L110">
            <v>-5.0742927599850329E-2</v>
          </cell>
          <cell r="M110">
            <v>-3.405055417070324E-2</v>
          </cell>
        </row>
        <row r="111">
          <cell r="L111">
            <v>-2.2001831369292679E-3</v>
          </cell>
          <cell r="M111">
            <v>6.7232614299523874E-3</v>
          </cell>
        </row>
        <row r="112">
          <cell r="L112">
            <v>1.7331139291989484E-2</v>
          </cell>
          <cell r="M112">
            <v>-5.6718921634807407E-3</v>
          </cell>
        </row>
        <row r="113">
          <cell r="L113">
            <v>-1.6048367062969637E-2</v>
          </cell>
          <cell r="M113">
            <v>-5.182264087042121E-2</v>
          </cell>
        </row>
        <row r="114">
          <cell r="L114">
            <v>4.5270662293537933E-2</v>
          </cell>
          <cell r="M114">
            <v>-4.1634191095278883E-2</v>
          </cell>
        </row>
        <row r="115">
          <cell r="L115">
            <v>-5.2595028854086623E-3</v>
          </cell>
          <cell r="M115">
            <v>-8.0756592467051802E-2</v>
          </cell>
        </row>
        <row r="116">
          <cell r="L116">
            <v>-2.0166040451450207E-2</v>
          </cell>
          <cell r="M116">
            <v>-8.7270981263140035E-2</v>
          </cell>
        </row>
        <row r="117">
          <cell r="L117">
            <v>-1.0673715908929293E-2</v>
          </cell>
          <cell r="M117">
            <v>-8.0629571588639037E-2</v>
          </cell>
        </row>
        <row r="118">
          <cell r="L118">
            <v>-1.4485467940967611E-2</v>
          </cell>
          <cell r="M118">
            <v>-5.984937055838091E-2</v>
          </cell>
        </row>
        <row r="119">
          <cell r="L119">
            <v>-2.9887272207375748E-2</v>
          </cell>
          <cell r="M119">
            <v>-4.4223312394288783E-2</v>
          </cell>
        </row>
        <row r="120">
          <cell r="L120">
            <v>-5.4755119986481526E-3</v>
          </cell>
          <cell r="M120">
            <v>-2.2674671245634048E-2</v>
          </cell>
        </row>
        <row r="121">
          <cell r="L121">
            <v>2.6006316930908824E-3</v>
          </cell>
          <cell r="M121">
            <v>-1.3089714702989363E-2</v>
          </cell>
        </row>
        <row r="122">
          <cell r="L122">
            <v>-1.2308915800764542E-2</v>
          </cell>
          <cell r="M122">
            <v>-3.1872942584997843E-2</v>
          </cell>
        </row>
        <row r="123">
          <cell r="L123">
            <v>-1.3036346309199587E-2</v>
          </cell>
          <cell r="M123">
            <v>-2.6005555208535647E-2</v>
          </cell>
        </row>
        <row r="124">
          <cell r="L124">
            <v>1.1687672311328168E-2</v>
          </cell>
          <cell r="M124">
            <v>-4.3656201623284763E-2</v>
          </cell>
        </row>
        <row r="125">
          <cell r="L125">
            <v>1.8945747003469293E-3</v>
          </cell>
          <cell r="M125">
            <v>-2.7016539367989756E-2</v>
          </cell>
        </row>
        <row r="126">
          <cell r="L126">
            <v>-8.0154151972268162E-3</v>
          </cell>
          <cell r="M126">
            <v>-3.1027426938480485E-2</v>
          </cell>
        </row>
        <row r="127">
          <cell r="L127">
            <v>4.2781224541070806E-3</v>
          </cell>
          <cell r="M127">
            <v>-3.9312382492937559E-3</v>
          </cell>
        </row>
        <row r="128">
          <cell r="L128">
            <v>-1.6481220447166711E-2</v>
          </cell>
          <cell r="M128">
            <v>-2.4559265859550927E-2</v>
          </cell>
        </row>
        <row r="129">
          <cell r="L129">
            <v>-6.3229595619743728E-3</v>
          </cell>
          <cell r="M129">
            <v>-2.6408851122118326E-2</v>
          </cell>
        </row>
        <row r="130">
          <cell r="L130">
            <v>-3.0922019650216459E-2</v>
          </cell>
          <cell r="M130">
            <v>-4.9079042983241616E-2</v>
          </cell>
        </row>
        <row r="131">
          <cell r="L131">
            <v>2.9290276315955044E-2</v>
          </cell>
          <cell r="M131">
            <v>-2.9126726038447348E-2</v>
          </cell>
        </row>
        <row r="132">
          <cell r="L132">
            <v>-2.2354919032493425E-3</v>
          </cell>
          <cell r="M132">
            <v>-9.0347678752795146E-2</v>
          </cell>
        </row>
        <row r="133">
          <cell r="L133">
            <v>1.9724277580304372E-2</v>
          </cell>
          <cell r="M133">
            <v>-9.6601053803071935E-2</v>
          </cell>
        </row>
        <row r="134">
          <cell r="L134">
            <v>-1.6519916430225878E-2</v>
          </cell>
          <cell r="M134">
            <v>-0.12023777984437301</v>
          </cell>
        </row>
        <row r="135">
          <cell r="L135">
            <v>-1.834612292299187E-2</v>
          </cell>
          <cell r="M135">
            <v>-8.8285920249525751E-2</v>
          </cell>
        </row>
        <row r="136">
          <cell r="L136">
            <v>-2.9460853924188513E-2</v>
          </cell>
          <cell r="M136">
            <v>-7.2701498168591616E-2</v>
          </cell>
        </row>
        <row r="137">
          <cell r="L137">
            <v>-1.0588730257984458E-2</v>
          </cell>
          <cell r="M137">
            <v>-4.1541476915374131E-2</v>
          </cell>
        </row>
        <row r="138">
          <cell r="L138">
            <v>-3.5614313217706917E-2</v>
          </cell>
          <cell r="M138">
            <v>-3.5417183715300893E-2</v>
          </cell>
        </row>
        <row r="139">
          <cell r="L139">
            <v>-9.0945912923754424E-3</v>
          </cell>
          <cell r="M139">
            <v>1.2144785787496115E-2</v>
          </cell>
        </row>
        <row r="140">
          <cell r="L140">
            <v>-6.9560096707449448E-3</v>
          </cell>
          <cell r="M140">
            <v>-3.9702768473856009E-3</v>
          </cell>
        </row>
        <row r="141">
          <cell r="L141">
            <v>1.9198845781444485E-2</v>
          </cell>
          <cell r="M141">
            <v>-2.3556891255936963E-3</v>
          </cell>
        </row>
        <row r="142">
          <cell r="L142">
            <v>-1.5661820429074824E-3</v>
          </cell>
          <cell r="M142">
            <v>-2.3324292081260745E-2</v>
          </cell>
        </row>
        <row r="143">
          <cell r="L143">
            <v>3.152183149713883E-3</v>
          </cell>
          <cell r="M143">
            <v>-1.6468632470353128E-2</v>
          </cell>
        </row>
        <row r="144">
          <cell r="L144">
            <v>-4.266657298733656E-3</v>
          </cell>
          <cell r="M144">
            <v>-2.8694611746420295E-2</v>
          </cell>
        </row>
        <row r="145">
          <cell r="L145">
            <v>1.1937936158188389E-2</v>
          </cell>
          <cell r="M145">
            <v>-2.4610534973863785E-2</v>
          </cell>
        </row>
        <row r="146">
          <cell r="L146">
            <v>-2.4871487000179049E-2</v>
          </cell>
          <cell r="M146">
            <v>-3.6312203782966623E-3</v>
          </cell>
        </row>
        <row r="147">
          <cell r="L147">
            <v>-5.3462618924257077E-3</v>
          </cell>
          <cell r="M147">
            <v>6.0104806919716314E-3</v>
          </cell>
        </row>
        <row r="148">
          <cell r="L148">
            <v>-2.2227928698439481E-3</v>
          </cell>
          <cell r="M148">
            <v>-9.7805095042112766E-3</v>
          </cell>
        </row>
        <row r="149">
          <cell r="L149">
            <v>5.4422060478733769E-3</v>
          </cell>
          <cell r="M149">
            <v>-3.8141708254161633E-2</v>
          </cell>
        </row>
        <row r="150">
          <cell r="L150">
            <v>-9.3176965174033288E-3</v>
          </cell>
          <cell r="M150">
            <v>-6.8785704053928254E-2</v>
          </cell>
        </row>
        <row r="151">
          <cell r="L151">
            <v>-7.9867576607051127E-5</v>
          </cell>
          <cell r="M151">
            <v>-0.11861630473813778</v>
          </cell>
        </row>
        <row r="152">
          <cell r="L152">
            <v>3.3703359176451952E-2</v>
          </cell>
          <cell r="M152">
            <v>-0.12347322106990899</v>
          </cell>
        </row>
        <row r="153">
          <cell r="L153">
            <v>-1.5435324587493748E-2</v>
          </cell>
          <cell r="M153">
            <v>-0.13069736813644839</v>
          </cell>
        </row>
        <row r="154">
          <cell r="L154">
            <v>-2.0958989322710342E-2</v>
          </cell>
          <cell r="M154">
            <v>-0.15137150929087517</v>
          </cell>
        </row>
        <row r="155">
          <cell r="L155">
            <v>-3.0800454642003428E-2</v>
          </cell>
          <cell r="M155">
            <v>-0.11366402981517165</v>
          </cell>
        </row>
        <row r="156">
          <cell r="L156">
            <v>-2.6590336586983399E-2</v>
          </cell>
          <cell r="M156">
            <v>-0.10918181565970742</v>
          </cell>
        </row>
        <row r="157">
          <cell r="L157">
            <v>-6.2330514817835692E-2</v>
          </cell>
          <cell r="M157">
            <v>-0.11564163936470162</v>
          </cell>
        </row>
        <row r="158">
          <cell r="L158">
            <v>-5.5899858687217252E-3</v>
          </cell>
          <cell r="M158">
            <v>-7.020877307278961E-2</v>
          </cell>
        </row>
        <row r="159">
          <cell r="L159">
            <v>2.5183796204306885E-2</v>
          </cell>
          <cell r="M159">
            <v>-7.3953267013011081E-2</v>
          </cell>
        </row>
        <row r="160">
          <cell r="L160">
            <v>-3.8850678837031416E-2</v>
          </cell>
          <cell r="M160">
            <v>-0.10411752932552865</v>
          </cell>
        </row>
        <row r="161">
          <cell r="L161">
            <v>2.2543166473564469E-2</v>
          </cell>
          <cell r="M161">
            <v>-8.6795997030589267E-2</v>
          </cell>
        </row>
        <row r="162">
          <cell r="L162">
            <v>-2.589919815709818E-2</v>
          </cell>
          <cell r="M162">
            <v>-0.11055308259238816</v>
          </cell>
        </row>
        <row r="163">
          <cell r="L163">
            <v>-3.3649077561206497E-2</v>
          </cell>
          <cell r="M163">
            <v>-8.5469878232516283E-2</v>
          </cell>
        </row>
        <row r="164">
          <cell r="L164">
            <v>-1.4158852466293337E-2</v>
          </cell>
          <cell r="M164">
            <v>-6.1559875509634043E-2</v>
          </cell>
        </row>
        <row r="165">
          <cell r="L165">
            <v>-9.5947152791248103E-3</v>
          </cell>
          <cell r="M165">
            <v>-5.0800745661231272E-2</v>
          </cell>
        </row>
        <row r="166">
          <cell r="L166">
            <v>-8.2096728785150397E-3</v>
          </cell>
          <cell r="M166">
            <v>-2.2555768854235492E-2</v>
          </cell>
        </row>
        <row r="167">
          <cell r="L167">
            <v>-2.0267237870439603E-2</v>
          </cell>
          <cell r="M167">
            <v>1.5080101007480362E-2</v>
          </cell>
        </row>
        <row r="168">
          <cell r="L168">
            <v>-4.0583874153304889E-3</v>
          </cell>
          <cell r="M168">
            <v>2.6991039354175239E-2</v>
          </cell>
        </row>
        <row r="169">
          <cell r="L169">
            <v>1.5713220072246514E-3</v>
          </cell>
          <cell r="M169">
            <v>2.8917406221617759E-2</v>
          </cell>
        </row>
        <row r="170">
          <cell r="L170">
            <v>-8.3842419512911714E-3</v>
          </cell>
          <cell r="M170">
            <v>4.703758117625223E-2</v>
          </cell>
        </row>
        <row r="171">
          <cell r="L171">
            <v>-2.8562742416315956E-3</v>
          </cell>
          <cell r="M171">
            <v>7.2834566666089229E-2</v>
          </cell>
        </row>
        <row r="172">
          <cell r="L172">
            <v>1.9876414379478291E-2</v>
          </cell>
          <cell r="M172">
            <v>6.9242169873202197E-2</v>
          </cell>
        </row>
        <row r="173">
          <cell r="L173">
            <v>2.9978584305117684E-2</v>
          </cell>
          <cell r="M173">
            <v>6.7492700704923747E-2</v>
          </cell>
        </row>
        <row r="174">
          <cell r="L174">
            <v>-8.7710647956446008E-3</v>
          </cell>
          <cell r="M174">
            <v>9.1022195211973189E-2</v>
          </cell>
        </row>
        <row r="175">
          <cell r="L175">
            <v>-2.1902611602107047E-3</v>
          </cell>
          <cell r="M175">
            <v>0.13882165090216136</v>
          </cell>
        </row>
        <row r="176">
          <cell r="L176">
            <v>1.9209907451085195E-2</v>
          </cell>
          <cell r="M176">
            <v>9.9512974651617458E-2</v>
          </cell>
        </row>
        <row r="177">
          <cell r="L177">
            <v>1.6047256766394513E-2</v>
          </cell>
          <cell r="M177">
            <v>0.11516335441298153</v>
          </cell>
        </row>
        <row r="178">
          <cell r="L178">
            <v>-6.1952195308327962E-3</v>
          </cell>
          <cell r="M178">
            <v>7.705957324779189E-2</v>
          </cell>
        </row>
        <row r="179">
          <cell r="L179">
            <v>1.8207716312114597E-2</v>
          </cell>
          <cell r="M179">
            <v>7.8963331164680239E-2</v>
          </cell>
        </row>
        <row r="180">
          <cell r="L180">
            <v>5.2681198970100596E-2</v>
          </cell>
          <cell r="M180">
            <v>6.2793545468601275E-2</v>
          </cell>
        </row>
        <row r="181">
          <cell r="L181">
            <v>3.4656285972345602E-2</v>
          </cell>
          <cell r="M181">
            <v>4.6988440798245046E-2</v>
          </cell>
        </row>
        <row r="182">
          <cell r="L182">
            <v>-3.6631633040189904E-2</v>
          </cell>
          <cell r="M182">
            <v>2.5897396189753508E-2</v>
          </cell>
        </row>
        <row r="183">
          <cell r="L183">
            <v>3.3717259775152497E-2</v>
          </cell>
          <cell r="M183">
            <v>3.2415335607900664E-2</v>
          </cell>
        </row>
        <row r="184">
          <cell r="L184">
            <v>-1.8669847388895322E-2</v>
          </cell>
          <cell r="M184">
            <v>-7.3497406828980649E-3</v>
          </cell>
        </row>
        <row r="185">
          <cell r="L185">
            <v>-4.4386187209494166E-3</v>
          </cell>
          <cell r="M185">
            <v>8.1500896734814088E-3</v>
          </cell>
        </row>
        <row r="186">
          <cell r="L186">
            <v>2.9484391047152059E-3</v>
          </cell>
          <cell r="M186">
            <v>6.6655457662145867E-3</v>
          </cell>
        </row>
        <row r="187">
          <cell r="L187">
            <v>3.7026477876642483E-2</v>
          </cell>
          <cell r="M187">
            <v>3.5711354127917705E-2</v>
          </cell>
        </row>
        <row r="188">
          <cell r="L188">
            <v>1.3813666291405013E-2</v>
          </cell>
          <cell r="M188">
            <v>-5.1445502387727715E-2</v>
          </cell>
        </row>
        <row r="189">
          <cell r="L189">
            <v>-3.0510965733181905E-2</v>
          </cell>
          <cell r="M189">
            <v>-3.5513611914712029E-2</v>
          </cell>
        </row>
        <row r="190">
          <cell r="L190">
            <v>-6.0979621421688446E-3</v>
          </cell>
          <cell r="M190">
            <v>1.8885412573709015E-2</v>
          </cell>
        </row>
        <row r="191">
          <cell r="L191">
            <v>-3.3467758978987794E-3</v>
          </cell>
          <cell r="M191">
            <v>4.3358739824611359E-2</v>
          </cell>
        </row>
        <row r="192">
          <cell r="L192">
            <v>-5.90462521941304E-3</v>
          </cell>
          <cell r="M192">
            <v>4.6519104646231879E-2</v>
          </cell>
        </row>
        <row r="193">
          <cell r="L193">
            <v>3.1886995988304356E-2</v>
          </cell>
          <cell r="M193">
            <v>5.3207364498370824E-2</v>
          </cell>
        </row>
        <row r="194">
          <cell r="L194">
            <v>-5.0241048519574449E-2</v>
          </cell>
          <cell r="M194">
            <v>-2.0555716708738903E-3</v>
          </cell>
        </row>
        <row r="195">
          <cell r="L195">
            <v>3.084164763782149E-2</v>
          </cell>
          <cell r="M195">
            <v>2.6106340902087632E-2</v>
          </cell>
        </row>
        <row r="196">
          <cell r="L196">
            <v>2.4170218333122051E-2</v>
          </cell>
          <cell r="M196">
            <v>2.9736989166877503E-2</v>
          </cell>
        </row>
        <row r="197">
          <cell r="L197">
            <v>1.7775271812953353E-2</v>
          </cell>
          <cell r="M197">
            <v>3.3169676422375449E-3</v>
          </cell>
        </row>
        <row r="198">
          <cell r="L198">
            <v>-3.2788347999801459E-4</v>
          </cell>
          <cell r="M198">
            <v>6.2164654925811469E-3</v>
          </cell>
        </row>
        <row r="199">
          <cell r="L199">
            <v>4.4859676652442282E-4</v>
          </cell>
          <cell r="M199">
            <v>3.5570464190049167E-2</v>
          </cell>
        </row>
        <row r="200">
          <cell r="L200">
            <v>-2.2257237251401163E-2</v>
          </cell>
          <cell r="M200">
            <v>2.7301159923363016E-2</v>
          </cell>
        </row>
        <row r="201">
          <cell r="L201">
            <v>-2.3438926279398919E-2</v>
          </cell>
          <cell r="M201">
            <v>-1.8873903246894308E-3</v>
          </cell>
        </row>
        <row r="202">
          <cell r="L202">
            <v>3.448905072859576E-2</v>
          </cell>
          <cell r="M202">
            <v>-5.3729569357888751E-3</v>
          </cell>
        </row>
        <row r="203">
          <cell r="L203">
            <v>-2.1069762300727213E-3</v>
          </cell>
          <cell r="M203">
            <v>-3.8481316143172184E-2</v>
          </cell>
        </row>
        <row r="204">
          <cell r="L204">
            <v>2.0716552891543394E-2</v>
          </cell>
          <cell r="M204">
            <v>-3.3061816058373217E-2</v>
          </cell>
        </row>
        <row r="205">
          <cell r="L205">
            <v>2.8835199228907982E-2</v>
          </cell>
          <cell r="M205">
            <v>-0.10330416711663915</v>
          </cell>
        </row>
        <row r="206">
          <cell r="L206">
            <v>-7.5402500922088223E-3</v>
          </cell>
          <cell r="M206">
            <v>-0.12563815454598093</v>
          </cell>
        </row>
        <row r="207">
          <cell r="L207">
            <v>-5.0037692363791075E-2</v>
          </cell>
          <cell r="M207">
            <v>-6.7391694297931348E-2</v>
          </cell>
        </row>
        <row r="208">
          <cell r="L208">
            <v>-2.6849231528790818E-2</v>
          </cell>
          <cell r="M208">
            <v>-2.1495365657151044E-2</v>
          </cell>
        </row>
        <row r="209">
          <cell r="L209">
            <v>5.379650294101701E-5</v>
          </cell>
          <cell r="M209">
            <v>2.6116842849575272E-2</v>
          </cell>
        </row>
        <row r="210">
          <cell r="L210">
            <v>3.5175440395165403E-3</v>
          </cell>
          <cell r="M210">
            <v>3.4759416970336243E-2</v>
          </cell>
        </row>
        <row r="211">
          <cell r="L211">
            <v>-5.3432479207823125E-2</v>
          </cell>
          <cell r="M211">
            <v>2.9648357307821671E-2</v>
          </cell>
        </row>
        <row r="212">
          <cell r="L212">
            <v>3.2100189126840206E-3</v>
          </cell>
          <cell r="M212">
            <v>7.7589297625728859E-2</v>
          </cell>
        </row>
        <row r="213">
          <cell r="L213">
            <v>5.8573416316435312E-2</v>
          </cell>
          <cell r="M213">
            <v>6.3829984903795545E-2</v>
          </cell>
        </row>
        <row r="214">
          <cell r="L214">
            <v>-3.2873235315046268E-3</v>
          </cell>
          <cell r="M214">
            <v>3.4953062693889869E-3</v>
          </cell>
        </row>
        <row r="215">
          <cell r="L215">
            <v>2.0502467861012841E-2</v>
          </cell>
          <cell r="M215">
            <v>3.0168961810264516E-2</v>
          </cell>
        </row>
        <row r="216">
          <cell r="L216">
            <v>8.4768519485789451E-3</v>
          </cell>
          <cell r="M216">
            <v>3.7629546855852958E-3</v>
          </cell>
        </row>
        <row r="217">
          <cell r="L217">
            <v>-1.4392004518584134E-3</v>
          </cell>
          <cell r="M217">
            <v>3.6835566089845617E-3</v>
          </cell>
        </row>
        <row r="218">
          <cell r="L218">
            <v>-9.3598240153081047E-3</v>
          </cell>
          <cell r="M218">
            <v>-1.559086822562572E-2</v>
          </cell>
        </row>
        <row r="219">
          <cell r="L219">
            <v>-9.5995741358082531E-3</v>
          </cell>
          <cell r="M219">
            <v>3.8558902586247612E-3</v>
          </cell>
        </row>
        <row r="220">
          <cell r="L220">
            <v>-1.4631381995138248E-3</v>
          </cell>
          <cell r="M220">
            <v>2.6991016527535772E-2</v>
          </cell>
        </row>
        <row r="221">
          <cell r="L221">
            <v>2.3206044637980261E-2</v>
          </cell>
          <cell r="M221">
            <v>3.1955018574723493E-2</v>
          </cell>
        </row>
        <row r="222">
          <cell r="L222">
            <v>-5.6557609694670719E-3</v>
          </cell>
          <cell r="M222">
            <v>-2.1016204900554669E-3</v>
          </cell>
        </row>
        <row r="223">
          <cell r="L223">
            <v>8.3970810007001351E-3</v>
          </cell>
          <cell r="M223">
            <v>-4.8520134327350029E-3</v>
          </cell>
        </row>
        <row r="224">
          <cell r="L224">
            <v>-2.0615249463466601E-2</v>
          </cell>
          <cell r="M224">
            <v>-2.0333151245080505E-2</v>
          </cell>
        </row>
        <row r="225">
          <cell r="L225">
            <v>1.0210027203407801E-2</v>
          </cell>
          <cell r="M225">
            <v>1.3350445090606788E-2</v>
          </cell>
        </row>
        <row r="226">
          <cell r="L226">
            <v>1.3225453969817558E-2</v>
          </cell>
          <cell r="M226">
            <v>1.2886829327724669E-2</v>
          </cell>
        </row>
        <row r="227">
          <cell r="L227">
            <v>3.3633295557056186E-3</v>
          </cell>
          <cell r="M227">
            <v>-5.6019745487190131E-2</v>
          </cell>
        </row>
        <row r="228">
          <cell r="L228">
            <v>-1.0561860284139857E-2</v>
          </cell>
          <cell r="M228">
            <v>-6.751752262887134E-2</v>
          </cell>
        </row>
        <row r="229">
          <cell r="L229">
            <v>-8.396358042053409E-3</v>
          </cell>
          <cell r="M229">
            <v>-2.4510368192077636E-2</v>
          </cell>
        </row>
        <row r="230">
          <cell r="L230">
            <v>-7.2901679223359439E-3</v>
          </cell>
          <cell r="M230">
            <v>-1.1602313511376194E-2</v>
          </cell>
        </row>
        <row r="231">
          <cell r="L231">
            <v>1.3058647572374849E-2</v>
          </cell>
          <cell r="M231">
            <v>-1.7579978061810331E-2</v>
          </cell>
        </row>
        <row r="232">
          <cell r="L232">
            <v>9.7478482062975935E-3</v>
          </cell>
          <cell r="M232">
            <v>-8.8570775467977647E-4</v>
          </cell>
        </row>
        <row r="233">
          <cell r="L233">
            <v>-5.5704157440656377E-2</v>
          </cell>
          <cell r="M233">
            <v>1.2127102831522407E-2</v>
          </cell>
        </row>
        <row r="234">
          <cell r="L234">
            <v>-8.857739582356694E-3</v>
          </cell>
          <cell r="M234">
            <v>7.0329943455974542E-2</v>
          </cell>
        </row>
        <row r="235">
          <cell r="L235">
            <v>3.5072154201987393E-2</v>
          </cell>
          <cell r="M235">
            <v>7.9679030317654664E-2</v>
          </cell>
        </row>
        <row r="236">
          <cell r="L236">
            <v>4.7249234299533427E-3</v>
          </cell>
          <cell r="M236">
            <v>2.6129714715846131E-2</v>
          </cell>
        </row>
        <row r="237">
          <cell r="L237">
            <v>-1.3293911610931075E-2</v>
          </cell>
          <cell r="M237">
            <v>7.2056717171412599E-2</v>
          </cell>
        </row>
        <row r="238">
          <cell r="L238">
            <v>3.0273560259296284E-2</v>
          </cell>
          <cell r="M238">
            <v>8.3594033705880921E-2</v>
          </cell>
        </row>
        <row r="239">
          <cell r="L239">
            <v>2.2899153908275682E-2</v>
          </cell>
          <cell r="M239">
            <v>5.6791825574180832E-2</v>
          </cell>
        </row>
        <row r="240">
          <cell r="L240">
            <v>-1.401985042489895E-3</v>
          </cell>
          <cell r="M240">
            <v>2.2063218276106911E-2</v>
          </cell>
        </row>
        <row r="241">
          <cell r="L241">
            <v>-2.0033899146332246E-4</v>
          </cell>
          <cell r="M241">
            <v>2.0552671965827773E-3</v>
          </cell>
        </row>
        <row r="242">
          <cell r="L242">
            <v>-1.6264774551457806E-2</v>
          </cell>
          <cell r="M242">
            <v>-3.9078885237254113E-2</v>
          </cell>
        </row>
        <row r="243">
          <cell r="L243">
            <v>4.9693900903054145E-2</v>
          </cell>
          <cell r="M243">
            <v>-4.3727137044778486E-2</v>
          </cell>
        </row>
        <row r="244">
          <cell r="L244">
            <v>-2.6751259759060231E-3</v>
          </cell>
          <cell r="M244">
            <v>-6.7323371528087539E-2</v>
          </cell>
        </row>
        <row r="245">
          <cell r="L245">
            <v>4.7902099124701447E-3</v>
          </cell>
          <cell r="M245">
            <v>-8.8193890203524972E-2</v>
          </cell>
        </row>
        <row r="246">
          <cell r="L246">
            <v>-1.0715662332672737E-2</v>
          </cell>
          <cell r="M246">
            <v>-0.12461329115398745</v>
          </cell>
        </row>
        <row r="247">
          <cell r="L247">
            <v>-2.0950580348638836E-2</v>
          </cell>
          <cell r="M247">
            <v>-0.14458356958476448</v>
          </cell>
        </row>
        <row r="248">
          <cell r="L248">
            <v>-4.1241899278133265E-2</v>
          </cell>
          <cell r="M248">
            <v>-0.11261500047880091</v>
          </cell>
        </row>
        <row r="249">
          <cell r="L249">
            <v>-2.1023384774051856E-2</v>
          </cell>
          <cell r="M249">
            <v>-6.3609163745380171E-2</v>
          </cell>
        </row>
        <row r="250">
          <cell r="L250">
            <v>2.3792482614487964E-2</v>
          </cell>
          <cell r="M250">
            <v>-3.0445730404958016E-2</v>
          </cell>
        </row>
        <row r="251">
          <cell r="L251">
            <v>-2.499227939584403E-2</v>
          </cell>
          <cell r="M251">
            <v>-5.1479620863456255E-2</v>
          </cell>
        </row>
        <row r="252">
          <cell r="L252">
            <v>-3.5343166177836727E-2</v>
          </cell>
          <cell r="M252">
            <v>-2.7256403610833813E-2</v>
          </cell>
        </row>
        <row r="253">
          <cell r="L253">
            <v>-3.328429796625143E-2</v>
          </cell>
          <cell r="M253">
            <v>4.057017569664656E-2</v>
          </cell>
        </row>
        <row r="254">
          <cell r="L254">
            <v>1.5638393065263267E-2</v>
          </cell>
          <cell r="M254">
            <v>6.7189602041293206E-2</v>
          </cell>
        </row>
        <row r="255">
          <cell r="L255">
            <v>1.1705516979941377E-2</v>
          </cell>
          <cell r="M255">
            <v>6.5150802943064301E-2</v>
          </cell>
        </row>
        <row r="256">
          <cell r="L256">
            <v>1.364827631432064E-2</v>
          </cell>
        </row>
        <row r="257">
          <cell r="L257">
            <v>1.581927097527247E-3</v>
          </cell>
        </row>
        <row r="258">
          <cell r="L258">
            <v>-9.2631102911799879E-5</v>
          </cell>
        </row>
        <row r="259">
          <cell r="L259">
            <v>3.1919546716513203E-2</v>
          </cell>
        </row>
        <row r="260">
          <cell r="L260">
            <v>-8.5541855456522375E-3</v>
          </cell>
        </row>
        <row r="261">
          <cell r="L261">
            <v>1.3698079332869817E-2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7FD6-2239-404F-B33C-5FC0E0F0BA65}">
  <dimension ref="C1:P44"/>
  <sheetViews>
    <sheetView zoomScale="80" zoomScaleNormal="80" workbookViewId="0">
      <selection activeCell="D12" sqref="D12"/>
    </sheetView>
  </sheetViews>
  <sheetFormatPr defaultRowHeight="14.5" x14ac:dyDescent="0.35"/>
  <cols>
    <col min="3" max="3" width="25.08984375" customWidth="1"/>
    <col min="4" max="4" width="26.54296875" customWidth="1"/>
    <col min="5" max="5" width="18.54296875" customWidth="1"/>
    <col min="6" max="6" width="15.26953125" customWidth="1"/>
    <col min="7" max="7" width="16.90625" customWidth="1"/>
    <col min="8" max="9" width="19.36328125" customWidth="1"/>
    <col min="11" max="11" width="26.36328125" customWidth="1"/>
    <col min="12" max="12" width="24.26953125" customWidth="1"/>
    <col min="13" max="13" width="17.1796875" customWidth="1"/>
    <col min="14" max="14" width="17.7265625" customWidth="1"/>
    <col min="15" max="16" width="17" customWidth="1"/>
  </cols>
  <sheetData>
    <row r="1" spans="3:16" ht="15" thickBot="1" x14ac:dyDescent="0.4"/>
    <row r="2" spans="3:16" ht="15" thickBot="1" x14ac:dyDescent="0.4">
      <c r="D2" s="24" t="s">
        <v>104</v>
      </c>
      <c r="E2" s="7"/>
      <c r="F2" s="139" t="s">
        <v>105</v>
      </c>
      <c r="G2" s="140"/>
      <c r="H2" s="140"/>
    </row>
    <row r="3" spans="3:16" ht="15" thickBot="1" x14ac:dyDescent="0.4">
      <c r="D3" s="24" t="s">
        <v>2</v>
      </c>
      <c r="E3" s="18"/>
      <c r="F3" s="139"/>
      <c r="G3" s="140"/>
      <c r="H3" s="140"/>
    </row>
    <row r="4" spans="3:16" ht="24" customHeight="1" thickBot="1" x14ac:dyDescent="0.4">
      <c r="D4" s="24" t="s">
        <v>0</v>
      </c>
      <c r="E4" s="18"/>
      <c r="F4" s="139"/>
      <c r="G4" s="140"/>
      <c r="H4" s="140"/>
      <c r="K4" s="1"/>
    </row>
    <row r="5" spans="3:16" ht="15" thickBot="1" x14ac:dyDescent="0.4">
      <c r="D5" s="24" t="s">
        <v>4</v>
      </c>
      <c r="E5" s="86" t="e">
        <f>IF(G5=0,(E3/E4+E2),G5)</f>
        <v>#DIV/0!</v>
      </c>
      <c r="G5" s="132"/>
      <c r="K5" s="24" t="s">
        <v>5</v>
      </c>
      <c r="L5" s="64" t="e">
        <f>E5*L11*E4</f>
        <v>#DIV/0!</v>
      </c>
      <c r="N5" s="9"/>
    </row>
    <row r="6" spans="3:16" ht="15" thickBot="1" x14ac:dyDescent="0.4">
      <c r="D6" s="24" t="s">
        <v>5</v>
      </c>
      <c r="E6" s="66" t="e">
        <f>E4*E5</f>
        <v>#DIV/0!</v>
      </c>
      <c r="K6" s="24" t="s">
        <v>1</v>
      </c>
      <c r="L6" s="32" t="e">
        <f>E4+L5</f>
        <v>#DIV/0!</v>
      </c>
    </row>
    <row r="7" spans="3:16" ht="15" thickBot="1" x14ac:dyDescent="0.4">
      <c r="D7" s="24" t="s">
        <v>1</v>
      </c>
      <c r="E7" s="65" t="e">
        <f>E4+E6</f>
        <v>#DIV/0!</v>
      </c>
      <c r="K7" s="24" t="s">
        <v>14</v>
      </c>
      <c r="L7" s="32">
        <f>SQRT(L8)</f>
        <v>0</v>
      </c>
      <c r="M7" s="1"/>
    </row>
    <row r="8" spans="3:16" ht="15" thickBot="1" x14ac:dyDescent="0.4">
      <c r="D8" s="24" t="s">
        <v>15</v>
      </c>
      <c r="E8" s="19"/>
      <c r="K8" s="24" t="s">
        <v>15</v>
      </c>
      <c r="L8" s="32">
        <f>E4^2*E8*L11</f>
        <v>0</v>
      </c>
    </row>
    <row r="9" spans="3:16" ht="15" thickBot="1" x14ac:dyDescent="0.4">
      <c r="D9" s="24" t="s">
        <v>14</v>
      </c>
      <c r="E9" s="24">
        <f>SQRT(E8)</f>
        <v>0</v>
      </c>
      <c r="G9" s="141" t="s">
        <v>114</v>
      </c>
      <c r="H9" s="141"/>
    </row>
    <row r="10" spans="3:16" ht="15" thickBot="1" x14ac:dyDescent="0.4">
      <c r="E10" s="1"/>
      <c r="G10" s="141"/>
      <c r="H10" s="141"/>
    </row>
    <row r="11" spans="3:16" ht="16.5" thickBot="1" x14ac:dyDescent="0.55000000000000004">
      <c r="E11" s="1"/>
      <c r="K11" s="3" t="s">
        <v>18</v>
      </c>
      <c r="L11" s="23"/>
    </row>
    <row r="12" spans="3:16" ht="15" thickBot="1" x14ac:dyDescent="0.4">
      <c r="C12" s="25" t="s">
        <v>6</v>
      </c>
      <c r="D12" s="68"/>
      <c r="E12" s="7"/>
      <c r="F12" s="68"/>
      <c r="G12" s="7"/>
      <c r="H12" s="7"/>
      <c r="K12" s="2" t="s">
        <v>6</v>
      </c>
      <c r="L12" s="3">
        <f>D12</f>
        <v>0</v>
      </c>
      <c r="M12" s="3">
        <f>E12</f>
        <v>0</v>
      </c>
      <c r="N12" s="3">
        <f>F12</f>
        <v>0</v>
      </c>
      <c r="O12" s="3">
        <f>G12</f>
        <v>0</v>
      </c>
      <c r="P12" s="3">
        <f>H12</f>
        <v>0</v>
      </c>
    </row>
    <row r="13" spans="3:16" ht="15" thickBot="1" x14ac:dyDescent="0.4">
      <c r="C13" s="3" t="s">
        <v>7</v>
      </c>
      <c r="D13" s="12" t="s">
        <v>10</v>
      </c>
      <c r="E13" s="13" t="s">
        <v>11</v>
      </c>
      <c r="F13" s="13" t="s">
        <v>12</v>
      </c>
      <c r="G13" s="14" t="s">
        <v>13</v>
      </c>
      <c r="H13" s="14" t="s">
        <v>109</v>
      </c>
      <c r="K13" s="3" t="s">
        <v>7</v>
      </c>
      <c r="L13" s="12" t="s">
        <v>100</v>
      </c>
      <c r="M13" s="13" t="s">
        <v>101</v>
      </c>
      <c r="N13" s="13" t="s">
        <v>102</v>
      </c>
      <c r="O13" s="14" t="s">
        <v>103</v>
      </c>
      <c r="P13" s="14" t="s">
        <v>108</v>
      </c>
    </row>
    <row r="14" spans="3:16" ht="15" thickBot="1" x14ac:dyDescent="0.4">
      <c r="C14" s="3" t="s">
        <v>0</v>
      </c>
      <c r="D14" s="11">
        <f>$E$4+$E$4*D12</f>
        <v>0</v>
      </c>
      <c r="E14" s="10">
        <f>$E$4+$E$4*E12</f>
        <v>0</v>
      </c>
      <c r="F14" s="10">
        <f>$E$4+$E$4*F12</f>
        <v>0</v>
      </c>
      <c r="G14" s="15">
        <f>$E$4+$E$4*G12</f>
        <v>0</v>
      </c>
      <c r="H14" s="15">
        <f>$E$4+$E$4*H12</f>
        <v>0</v>
      </c>
      <c r="K14" s="3" t="s">
        <v>16</v>
      </c>
      <c r="L14" s="21">
        <f>_xlfn.NORM.INV(0.1,0,1)</f>
        <v>-1.2815515655446006</v>
      </c>
      <c r="M14" s="21">
        <f>_xlfn.NORM.INV(0.05,0,1)</f>
        <v>-1.6448536269514726</v>
      </c>
      <c r="N14" s="21">
        <f>_xlfn.NORM.INV(0.025,0,1)</f>
        <v>-1.9599639845400538</v>
      </c>
      <c r="O14" s="21">
        <f>_xlfn.NORM.INV(0.01,0,1)</f>
        <v>-2.3263478740408408</v>
      </c>
      <c r="P14" s="21" t="e">
        <f>_xlfn.NORM.INV(E25/100,0,1)</f>
        <v>#NUM!</v>
      </c>
    </row>
    <row r="15" spans="3:16" ht="15" thickBot="1" x14ac:dyDescent="0.4">
      <c r="C15" s="3" t="s">
        <v>98</v>
      </c>
      <c r="D15" s="11" t="e">
        <f>$E$7-D14</f>
        <v>#DIV/0!</v>
      </c>
      <c r="E15" s="11" t="e">
        <f>$E$7-E14</f>
        <v>#DIV/0!</v>
      </c>
      <c r="F15" s="11" t="e">
        <f>$E$7-F14</f>
        <v>#DIV/0!</v>
      </c>
      <c r="G15" s="11" t="e">
        <f>$E$7-G14</f>
        <v>#DIV/0!</v>
      </c>
      <c r="H15" s="11" t="e">
        <f>$E$7-H14</f>
        <v>#DIV/0!</v>
      </c>
      <c r="I15" s="74"/>
      <c r="K15" s="3" t="s">
        <v>17</v>
      </c>
      <c r="L15" s="22" t="e">
        <f>$E$5*$L$11+L14*($L$11*$E$8)^0.5</f>
        <v>#DIV/0!</v>
      </c>
      <c r="M15" s="22" t="e">
        <f>$E$5*$L$11+M14*($L$11*$E$8)^0.5</f>
        <v>#DIV/0!</v>
      </c>
      <c r="N15" s="22" t="e">
        <f>$E$5*$L$11+N14*($L$11*$E$8)^0.5</f>
        <v>#DIV/0!</v>
      </c>
      <c r="O15" s="22" t="e">
        <f>$E$5*$L$11+O14*($L$11*$E$8)^0.5</f>
        <v>#DIV/0!</v>
      </c>
      <c r="P15" s="22" t="e">
        <f>$E$5*$L$11+P14*($L$11*$E$8)^0.5</f>
        <v>#DIV/0!</v>
      </c>
    </row>
    <row r="16" spans="3:16" ht="15" thickBot="1" x14ac:dyDescent="0.4">
      <c r="C16" s="3" t="s">
        <v>99</v>
      </c>
      <c r="D16" s="16">
        <f>$E$4-D14</f>
        <v>0</v>
      </c>
      <c r="E16" s="16">
        <f>$E$4-E14</f>
        <v>0</v>
      </c>
      <c r="F16" s="16">
        <f>$E$4-F14</f>
        <v>0</v>
      </c>
      <c r="G16" s="16">
        <f>$E$4-G14</f>
        <v>0</v>
      </c>
      <c r="H16" s="16">
        <f>$E$4-H14</f>
        <v>0</v>
      </c>
      <c r="I16" s="73"/>
      <c r="K16" s="3" t="s">
        <v>0</v>
      </c>
      <c r="L16" s="81" t="e">
        <f>(1+L15)*$E$4</f>
        <v>#DIV/0!</v>
      </c>
      <c r="M16" s="81" t="e">
        <f>(1+M15)*$E$4</f>
        <v>#DIV/0!</v>
      </c>
      <c r="N16" s="81" t="e">
        <f>(1+N15)*$E$4</f>
        <v>#DIV/0!</v>
      </c>
      <c r="O16" s="81" t="e">
        <f>(1+O15)*$E$4</f>
        <v>#DIV/0!</v>
      </c>
      <c r="P16" s="81" t="e">
        <f>(1+P15)*$E$4</f>
        <v>#DIV/0!</v>
      </c>
    </row>
    <row r="17" spans="3:16" ht="15" thickBot="1" x14ac:dyDescent="0.4">
      <c r="K17" s="3" t="s">
        <v>8</v>
      </c>
      <c r="L17" s="82" t="e">
        <f>-$E$4*($L$11*$E$5*0+L$14*($L$11*$E$8)^0.5)</f>
        <v>#DIV/0!</v>
      </c>
      <c r="M17" s="82" t="e">
        <f>-$E$4*($L$11*$E$5*0+M$14*($L$11*$E$8)^0.5)</f>
        <v>#DIV/0!</v>
      </c>
      <c r="N17" s="82" t="e">
        <f>-$E$4*($L$11*$E$5*0+N$14*($L$11*$E$8)^0.5)</f>
        <v>#DIV/0!</v>
      </c>
      <c r="O17" s="82" t="e">
        <f>-$E$4*($L$11*$E$5*0+O$14*($L$11*$E$8)^0.5)</f>
        <v>#DIV/0!</v>
      </c>
      <c r="P17" s="82" t="e">
        <f>-$E$4*($L$11*$E$5*0+P$14*($L$11*$E$8)^0.5)</f>
        <v>#DIV/0!</v>
      </c>
    </row>
    <row r="18" spans="3:16" ht="15" thickBot="1" x14ac:dyDescent="0.4">
      <c r="K18" s="3" t="s">
        <v>9</v>
      </c>
      <c r="L18" s="83" t="e">
        <f>-$E$4*($L$11*$E$5+L$14*($L$11*$E$8)^0.5)</f>
        <v>#DIV/0!</v>
      </c>
      <c r="M18" s="83" t="e">
        <f>-$E$4*($L$11*$E$5+M$14*($L$11*$E$8)^0.5)</f>
        <v>#DIV/0!</v>
      </c>
      <c r="N18" s="83" t="e">
        <f>-$E$4*($L$11*$E$5+N$14*($L$11*$E$8)^0.5)</f>
        <v>#DIV/0!</v>
      </c>
      <c r="O18" s="83" t="e">
        <f>-$E$4*($L$11*$E$5+O$14*($L$11*$E$8)^0.5)</f>
        <v>#DIV/0!</v>
      </c>
      <c r="P18" s="83" t="e">
        <f>-$E$4*($L$11*$E$5+P$14*($L$11*$E$8)^0.5)</f>
        <v>#DIV/0!</v>
      </c>
    </row>
    <row r="19" spans="3:16" ht="15" thickBot="1" x14ac:dyDescent="0.4">
      <c r="K19" s="3" t="s">
        <v>19</v>
      </c>
      <c r="L19" s="17" t="e">
        <f>$E$4-$L$8*_xlfn.NORM.DIST(L16,$E$4,$L$7,FALSE)/_xlfn.NORM.DIST(L16,$E$4,$L$7,TRUE)</f>
        <v>#DIV/0!</v>
      </c>
      <c r="M19" s="17" t="e">
        <f>$E$4-$L$8*_xlfn.NORM.DIST(M16,$E$4,$L$7,FALSE)/_xlfn.NORM.DIST(M16,$E$4,$L$7,TRUE)</f>
        <v>#DIV/0!</v>
      </c>
      <c r="N19" s="17" t="e">
        <f>$E$4-$L$8*_xlfn.NORM.DIST(N16,$E$4,$L$7,FALSE)/_xlfn.NORM.DIST(N16,$E$4,$L$7,TRUE)</f>
        <v>#DIV/0!</v>
      </c>
      <c r="O19" s="17" t="e">
        <f>$E$4-$L$8*_xlfn.NORM.DIST(O16,$E$4,$L$7,FALSE)/_xlfn.NORM.DIST(O16,$E$4,$L$7,TRUE)</f>
        <v>#DIV/0!</v>
      </c>
      <c r="P19" s="17" t="e">
        <f>$E$4-$L$8*_xlfn.NORM.DIST(P16,$E$4,$L$7,FALSE)/_xlfn.NORM.DIST(P16,$E$4,$L$7,TRUE)</f>
        <v>#DIV/0!</v>
      </c>
    </row>
    <row r="21" spans="3:16" ht="15" thickBot="1" x14ac:dyDescent="0.4"/>
    <row r="22" spans="3:16" ht="15" thickBot="1" x14ac:dyDescent="0.4">
      <c r="D22" s="69" t="s">
        <v>94</v>
      </c>
      <c r="E22" s="69" t="s">
        <v>96</v>
      </c>
      <c r="F22" s="69" t="s">
        <v>95</v>
      </c>
      <c r="G22" s="70" t="s">
        <v>97</v>
      </c>
    </row>
    <row r="23" spans="3:16" ht="15" thickBot="1" x14ac:dyDescent="0.4">
      <c r="D23" s="68"/>
      <c r="E23" s="68"/>
      <c r="F23" s="72" t="e">
        <f>1-ABS(E23-$E$25)/ABS($E$23-$E$24)</f>
        <v>#DIV/0!</v>
      </c>
      <c r="G23" s="142" t="e">
        <f>F24*D24+F23*D23</f>
        <v>#DIV/0!</v>
      </c>
    </row>
    <row r="24" spans="3:16" ht="15" thickBot="1" x14ac:dyDescent="0.4">
      <c r="D24" s="68"/>
      <c r="E24" s="68"/>
      <c r="F24" s="72" t="e">
        <f>1-ABS(E24-$E$25)/ABS($E$23-$E$24)</f>
        <v>#DIV/0!</v>
      </c>
      <c r="G24" s="143"/>
    </row>
    <row r="25" spans="3:16" ht="15" thickBot="1" x14ac:dyDescent="0.4">
      <c r="D25" s="69" t="s">
        <v>107</v>
      </c>
      <c r="E25" s="68"/>
      <c r="F25" s="71"/>
      <c r="G25" s="144"/>
    </row>
    <row r="28" spans="3:16" ht="15" thickBot="1" x14ac:dyDescent="0.4"/>
    <row r="29" spans="3:16" ht="15" thickBot="1" x14ac:dyDescent="0.4">
      <c r="C29" s="69" t="s">
        <v>96</v>
      </c>
      <c r="D29" s="69" t="s">
        <v>7</v>
      </c>
      <c r="E29" s="69" t="s">
        <v>106</v>
      </c>
      <c r="F29" s="48" t="s">
        <v>3</v>
      </c>
    </row>
    <row r="30" spans="3:16" ht="15" thickBot="1" x14ac:dyDescent="0.4">
      <c r="C30" s="68"/>
      <c r="D30" s="75">
        <f>E3</f>
        <v>0</v>
      </c>
      <c r="E30" s="75">
        <f>E4</f>
        <v>0</v>
      </c>
      <c r="F30" s="67" t="e">
        <f>-D30/E30</f>
        <v>#DIV/0!</v>
      </c>
    </row>
    <row r="34" spans="4:8" ht="15" thickBot="1" x14ac:dyDescent="0.4"/>
    <row r="35" spans="4:8" ht="15" thickBot="1" x14ac:dyDescent="0.4">
      <c r="D35" s="69" t="s">
        <v>110</v>
      </c>
      <c r="E35" s="69" t="s">
        <v>111</v>
      </c>
      <c r="F35" s="69" t="s">
        <v>112</v>
      </c>
      <c r="G35" s="70" t="s">
        <v>113</v>
      </c>
    </row>
    <row r="36" spans="4:8" ht="15" thickBot="1" x14ac:dyDescent="0.4">
      <c r="D36" s="79"/>
      <c r="E36" s="79"/>
      <c r="F36" s="79"/>
      <c r="G36" s="78" t="e">
        <f>(1/2)*(-E3/E4-_xlfn.NORM.INV(F36,0,1)*SQRT(E36*0.01))</f>
        <v>#DIV/0!</v>
      </c>
    </row>
    <row r="39" spans="4:8" x14ac:dyDescent="0.35">
      <c r="H39" s="4"/>
    </row>
    <row r="43" spans="4:8" x14ac:dyDescent="0.35">
      <c r="H43" s="4"/>
    </row>
    <row r="44" spans="4:8" x14ac:dyDescent="0.35">
      <c r="H44" s="80"/>
    </row>
  </sheetData>
  <mergeCells count="3">
    <mergeCell ref="F2:H4"/>
    <mergeCell ref="G9:H10"/>
    <mergeCell ref="G23:G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27DA-E666-4E6B-A898-B7BD27616161}">
  <dimension ref="C1:O13"/>
  <sheetViews>
    <sheetView workbookViewId="0">
      <selection activeCell="I3" sqref="I3:J4"/>
    </sheetView>
  </sheetViews>
  <sheetFormatPr defaultRowHeight="14.5" x14ac:dyDescent="0.35"/>
  <cols>
    <col min="2" max="2" width="7.7265625" customWidth="1"/>
    <col min="4" max="4" width="10.90625" customWidth="1"/>
    <col min="6" max="6" width="9.54296875" bestFit="1" customWidth="1"/>
    <col min="7" max="7" width="11.7265625" customWidth="1"/>
    <col min="8" max="8" width="10.6328125" customWidth="1"/>
    <col min="9" max="9" width="14.08984375" customWidth="1"/>
    <col min="10" max="10" width="14" customWidth="1"/>
    <col min="11" max="11" width="14.36328125" customWidth="1"/>
    <col min="15" max="15" width="15" customWidth="1"/>
  </cols>
  <sheetData>
    <row r="1" spans="3:15" ht="15" thickBot="1" x14ac:dyDescent="0.4"/>
    <row r="2" spans="3:15" ht="15" thickBot="1" x14ac:dyDescent="0.4">
      <c r="C2" s="145" t="s">
        <v>24</v>
      </c>
      <c r="D2" s="146"/>
      <c r="E2" s="25" t="s">
        <v>20</v>
      </c>
      <c r="F2" s="25" t="s">
        <v>21</v>
      </c>
      <c r="G2" s="25" t="s">
        <v>22</v>
      </c>
      <c r="H2" s="25" t="s">
        <v>23</v>
      </c>
      <c r="I2" s="25" t="s">
        <v>7</v>
      </c>
      <c r="J2" s="25" t="s">
        <v>115</v>
      </c>
      <c r="L2" s="157" t="s">
        <v>117</v>
      </c>
      <c r="M2" s="157"/>
      <c r="N2" s="157"/>
    </row>
    <row r="3" spans="3:15" ht="15" thickBot="1" x14ac:dyDescent="0.4">
      <c r="C3" s="147"/>
      <c r="D3" s="148"/>
      <c r="E3" s="8">
        <v>0</v>
      </c>
      <c r="F3" s="20"/>
      <c r="G3" s="6"/>
      <c r="H3" s="26" t="e">
        <f>_xlfn.NORM.INV(G3,0,1)</f>
        <v>#NUM!</v>
      </c>
      <c r="I3" s="18"/>
      <c r="J3" s="5"/>
      <c r="L3" s="27">
        <v>0</v>
      </c>
      <c r="M3" s="27" t="s">
        <v>116</v>
      </c>
      <c r="N3" s="27">
        <v>1</v>
      </c>
    </row>
    <row r="4" spans="3:15" ht="15" thickBot="1" x14ac:dyDescent="0.4">
      <c r="C4" s="149"/>
      <c r="D4" s="150"/>
      <c r="E4" s="8">
        <v>1</v>
      </c>
      <c r="F4" s="20"/>
      <c r="G4" s="6"/>
      <c r="H4" s="27" t="e">
        <f>_xlfn.NORM.INV(G4,0,1)</f>
        <v>#NUM!</v>
      </c>
      <c r="I4" s="18"/>
      <c r="J4" s="5"/>
      <c r="L4" s="84"/>
      <c r="M4" s="85">
        <v>0</v>
      </c>
      <c r="N4" s="84"/>
    </row>
    <row r="6" spans="3:15" ht="15" thickBot="1" x14ac:dyDescent="0.4"/>
    <row r="7" spans="3:15" ht="15" thickBot="1" x14ac:dyDescent="0.4">
      <c r="C7" s="151" t="s">
        <v>25</v>
      </c>
      <c r="D7" s="152"/>
      <c r="E7" s="25" t="s">
        <v>20</v>
      </c>
      <c r="F7" s="25" t="s">
        <v>21</v>
      </c>
      <c r="G7" s="25" t="s">
        <v>22</v>
      </c>
      <c r="H7" s="25" t="s">
        <v>23</v>
      </c>
      <c r="I7" s="25" t="s">
        <v>7</v>
      </c>
      <c r="J7" s="25" t="s">
        <v>27</v>
      </c>
      <c r="K7" s="25" t="s">
        <v>26</v>
      </c>
    </row>
    <row r="8" spans="3:15" ht="15" thickBot="1" x14ac:dyDescent="0.4">
      <c r="C8" s="153"/>
      <c r="D8" s="154"/>
      <c r="E8" s="8">
        <v>0</v>
      </c>
      <c r="F8" s="8">
        <f>F4</f>
        <v>0</v>
      </c>
      <c r="G8" s="8">
        <f>G4</f>
        <v>0</v>
      </c>
      <c r="H8" s="8" t="e">
        <f>_xlfn.NORM.INV(G8,0,1)</f>
        <v>#NUM!</v>
      </c>
      <c r="I8" s="28" t="e">
        <f>I3*(H8*SQRT(F8))/(H9*SQRT(F9))</f>
        <v>#NUM!</v>
      </c>
      <c r="J8" s="28" t="e">
        <f>IF(I8&gt;K8,TRUE, FALSE)</f>
        <v>#NUM!</v>
      </c>
      <c r="K8" s="28">
        <f>I4*J3</f>
        <v>0</v>
      </c>
    </row>
    <row r="9" spans="3:15" ht="15" thickBot="1" x14ac:dyDescent="0.4">
      <c r="C9" s="155"/>
      <c r="D9" s="156"/>
      <c r="E9" s="8">
        <v>1</v>
      </c>
      <c r="F9" s="8">
        <f>F3</f>
        <v>0</v>
      </c>
      <c r="G9" s="8">
        <f>G3</f>
        <v>0</v>
      </c>
      <c r="H9" s="8" t="e">
        <f>_xlfn.NORM.INV(G9,0,1)</f>
        <v>#NUM!</v>
      </c>
      <c r="I9" s="28" t="e">
        <f>I4*((H9*SQRT(F9))/(H8*SQRT(F8)))</f>
        <v>#NUM!</v>
      </c>
      <c r="J9" s="28" t="e">
        <f>IF(I9&gt;K9,TRUE, FALSE)</f>
        <v>#NUM!</v>
      </c>
      <c r="K9" s="28">
        <f>I3*J4</f>
        <v>0</v>
      </c>
    </row>
    <row r="11" spans="3:15" x14ac:dyDescent="0.35">
      <c r="M11" s="158" t="s">
        <v>118</v>
      </c>
      <c r="N11" s="158"/>
      <c r="O11" s="158"/>
    </row>
    <row r="12" spans="3:15" ht="15" thickBot="1" x14ac:dyDescent="0.4">
      <c r="M12" s="158"/>
      <c r="N12" s="158"/>
      <c r="O12" s="158"/>
    </row>
    <row r="13" spans="3:15" ht="15" thickBot="1" x14ac:dyDescent="0.4">
      <c r="G13" s="25" t="s">
        <v>27</v>
      </c>
      <c r="H13" s="8" t="e">
        <f>IF(J8=TRUE,1,0)</f>
        <v>#NUM!</v>
      </c>
      <c r="M13" s="158"/>
      <c r="N13" s="158"/>
      <c r="O13" s="158"/>
    </row>
  </sheetData>
  <mergeCells count="4">
    <mergeCell ref="C2:D4"/>
    <mergeCell ref="C7:D9"/>
    <mergeCell ref="L2:N2"/>
    <mergeCell ref="M11:O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516C-820B-4A66-9C5A-B9B77DF2827C}">
  <dimension ref="D2:G4"/>
  <sheetViews>
    <sheetView workbookViewId="0">
      <selection activeCell="D4" sqref="D4:F4"/>
    </sheetView>
  </sheetViews>
  <sheetFormatPr defaultRowHeight="14.5" x14ac:dyDescent="0.35"/>
  <cols>
    <col min="4" max="4" width="14.54296875" bestFit="1" customWidth="1"/>
    <col min="5" max="5" width="13.26953125" customWidth="1"/>
    <col min="6" max="6" width="11.7265625" customWidth="1"/>
    <col min="7" max="7" width="16" bestFit="1" customWidth="1"/>
  </cols>
  <sheetData>
    <row r="2" spans="4:7" ht="15" thickBot="1" x14ac:dyDescent="0.4"/>
    <row r="3" spans="4:7" ht="15" thickBot="1" x14ac:dyDescent="0.4">
      <c r="D3" s="25" t="s">
        <v>119</v>
      </c>
      <c r="E3" s="25" t="s">
        <v>120</v>
      </c>
      <c r="F3" s="25" t="s">
        <v>121</v>
      </c>
      <c r="G3" s="25" t="s">
        <v>122</v>
      </c>
    </row>
    <row r="4" spans="4:7" ht="15" thickBot="1" x14ac:dyDescent="0.4">
      <c r="D4" s="87"/>
      <c r="E4" s="87"/>
      <c r="F4" s="87"/>
      <c r="G4" s="88">
        <f>E4+F4*D4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C29E-0FA1-4BD8-B307-2DD056697F30}">
  <dimension ref="A1:S65"/>
  <sheetViews>
    <sheetView zoomScale="80" zoomScaleNormal="80" workbookViewId="0">
      <selection activeCell="R59" sqref="R59"/>
    </sheetView>
  </sheetViews>
  <sheetFormatPr defaultRowHeight="14.5" x14ac:dyDescent="0.35"/>
  <cols>
    <col min="4" max="4" width="20.08984375" customWidth="1"/>
    <col min="5" max="5" width="17.90625" customWidth="1"/>
    <col min="6" max="6" width="17.1796875" customWidth="1"/>
    <col min="7" max="7" width="16.54296875" customWidth="1"/>
    <col min="8" max="8" width="33.1796875" customWidth="1"/>
    <col min="9" max="9" width="19.08984375" customWidth="1"/>
    <col min="10" max="10" width="16.7265625" customWidth="1"/>
    <col min="11" max="11" width="32.36328125" customWidth="1"/>
    <col min="12" max="12" width="17.54296875" customWidth="1"/>
    <col min="13" max="13" width="17.81640625" customWidth="1"/>
    <col min="15" max="15" width="20.90625" customWidth="1"/>
    <col min="16" max="16" width="10" customWidth="1"/>
    <col min="17" max="17" width="21.08984375" customWidth="1"/>
    <col min="18" max="18" width="21" customWidth="1"/>
    <col min="19" max="19" width="20.1796875" customWidth="1"/>
  </cols>
  <sheetData>
    <row r="1" spans="3:13" ht="15" thickBot="1" x14ac:dyDescent="0.4"/>
    <row r="2" spans="3:13" ht="15" thickBot="1" x14ac:dyDescent="0.4">
      <c r="C2" s="25" t="s">
        <v>28</v>
      </c>
      <c r="D2" s="30" t="s">
        <v>29</v>
      </c>
      <c r="E2" s="30" t="s">
        <v>30</v>
      </c>
      <c r="H2" s="25" t="s">
        <v>32</v>
      </c>
      <c r="I2" s="30" t="s">
        <v>33</v>
      </c>
    </row>
    <row r="3" spans="3:13" ht="15" thickBot="1" x14ac:dyDescent="0.4">
      <c r="C3" s="29">
        <v>1</v>
      </c>
      <c r="D3" s="18">
        <v>22000000</v>
      </c>
      <c r="E3" s="18">
        <v>19800000</v>
      </c>
      <c r="H3" s="29" t="s">
        <v>34</v>
      </c>
      <c r="I3" s="18">
        <v>2000000</v>
      </c>
      <c r="K3" s="25" t="s">
        <v>38</v>
      </c>
      <c r="L3" s="8">
        <f>1+I4</f>
        <v>10</v>
      </c>
    </row>
    <row r="4" spans="3:13" ht="15" thickBot="1" x14ac:dyDescent="0.4">
      <c r="C4" s="29">
        <v>2</v>
      </c>
      <c r="D4" s="18">
        <v>30000000</v>
      </c>
      <c r="E4" s="18">
        <v>30000000</v>
      </c>
      <c r="H4" s="29" t="s">
        <v>35</v>
      </c>
      <c r="I4" s="5">
        <v>9</v>
      </c>
      <c r="K4" s="25" t="s">
        <v>39</v>
      </c>
      <c r="L4" s="28">
        <f>L3*I3</f>
        <v>20000000</v>
      </c>
    </row>
    <row r="5" spans="3:13" ht="15" thickBot="1" x14ac:dyDescent="0.4">
      <c r="C5" s="29">
        <v>3</v>
      </c>
      <c r="D5" s="18">
        <v>1000000</v>
      </c>
      <c r="E5" s="18">
        <v>850000</v>
      </c>
      <c r="H5" s="29" t="s">
        <v>36</v>
      </c>
      <c r="I5" s="5"/>
    </row>
    <row r="6" spans="3:13" ht="15" thickBot="1" x14ac:dyDescent="0.4">
      <c r="C6" s="29">
        <v>4</v>
      </c>
      <c r="D6" s="18"/>
      <c r="E6" s="18"/>
      <c r="H6" s="29" t="s">
        <v>37</v>
      </c>
      <c r="I6" s="5"/>
    </row>
    <row r="7" spans="3:13" ht="15" thickBot="1" x14ac:dyDescent="0.4">
      <c r="C7" s="29">
        <v>5</v>
      </c>
      <c r="D7" s="18"/>
      <c r="E7" s="18"/>
    </row>
    <row r="8" spans="3:13" ht="15" thickBot="1" x14ac:dyDescent="0.4">
      <c r="C8" s="29" t="s">
        <v>31</v>
      </c>
      <c r="D8" s="32">
        <f>SUM(D3:D7)</f>
        <v>53000000</v>
      </c>
      <c r="E8" s="31">
        <f>SUM(E3:E7)</f>
        <v>50650000</v>
      </c>
    </row>
    <row r="9" spans="3:13" ht="9" customHeight="1" x14ac:dyDescent="0.35"/>
    <row r="10" spans="3:13" x14ac:dyDescent="0.35">
      <c r="H10" s="165" t="s">
        <v>40</v>
      </c>
      <c r="I10" s="165"/>
      <c r="K10" s="166" t="s">
        <v>66</v>
      </c>
      <c r="L10" s="166"/>
      <c r="M10" s="166"/>
    </row>
    <row r="11" spans="3:13" x14ac:dyDescent="0.35">
      <c r="H11" s="165"/>
      <c r="I11" s="165"/>
      <c r="K11" s="166"/>
      <c r="L11" s="166"/>
      <c r="M11" s="166"/>
    </row>
    <row r="12" spans="3:13" ht="31.5" customHeight="1" x14ac:dyDescent="0.35">
      <c r="H12" s="165"/>
      <c r="I12" s="165"/>
      <c r="K12" s="166"/>
      <c r="L12" s="166"/>
      <c r="M12" s="166"/>
    </row>
    <row r="13" spans="3:13" ht="15" thickBot="1" x14ac:dyDescent="0.4"/>
    <row r="14" spans="3:13" ht="15" thickBot="1" x14ac:dyDescent="0.4">
      <c r="H14" s="25" t="s">
        <v>41</v>
      </c>
      <c r="I14" s="30" t="s">
        <v>33</v>
      </c>
      <c r="K14" s="25" t="s">
        <v>41</v>
      </c>
      <c r="L14" s="30" t="s">
        <v>33</v>
      </c>
    </row>
    <row r="15" spans="3:13" ht="15" thickBot="1" x14ac:dyDescent="0.4">
      <c r="H15" s="29" t="s">
        <v>34</v>
      </c>
      <c r="I15" s="18">
        <v>5000000</v>
      </c>
      <c r="K15" s="29" t="s">
        <v>42</v>
      </c>
      <c r="L15" s="18">
        <v>9000000</v>
      </c>
    </row>
    <row r="16" spans="3:13" ht="15" thickBot="1" x14ac:dyDescent="0.4">
      <c r="H16" s="29" t="s">
        <v>35</v>
      </c>
      <c r="I16" s="18">
        <v>15000000</v>
      </c>
      <c r="K16" s="29" t="s">
        <v>43</v>
      </c>
      <c r="L16" s="18">
        <v>3000000</v>
      </c>
    </row>
    <row r="17" spans="1:12" ht="15" thickBot="1" x14ac:dyDescent="0.4">
      <c r="H17" s="29" t="s">
        <v>36</v>
      </c>
      <c r="I17" s="5"/>
      <c r="K17" s="29" t="s">
        <v>44</v>
      </c>
      <c r="L17" s="18">
        <v>250000</v>
      </c>
    </row>
    <row r="18" spans="1:12" ht="15" thickBot="1" x14ac:dyDescent="0.4">
      <c r="H18" s="29" t="s">
        <v>37</v>
      </c>
      <c r="I18" s="5"/>
    </row>
    <row r="20" spans="1:12" x14ac:dyDescent="0.35">
      <c r="A20" s="169" t="s">
        <v>49</v>
      </c>
      <c r="B20" s="169"/>
      <c r="C20" s="169"/>
      <c r="D20" s="169"/>
      <c r="E20" s="169"/>
    </row>
    <row r="21" spans="1:12" ht="15" thickBot="1" x14ac:dyDescent="0.4">
      <c r="F21" s="170" t="s">
        <v>32</v>
      </c>
      <c r="G21" s="170"/>
      <c r="H21" s="171"/>
    </row>
    <row r="22" spans="1:12" ht="15" thickBot="1" x14ac:dyDescent="0.4">
      <c r="F22" s="172"/>
      <c r="G22" s="172"/>
      <c r="H22" s="173"/>
      <c r="K22" s="30" t="s">
        <v>51</v>
      </c>
    </row>
    <row r="23" spans="1:12" ht="15" thickBot="1" x14ac:dyDescent="0.4">
      <c r="C23" s="25" t="s">
        <v>28</v>
      </c>
      <c r="D23" s="30" t="s">
        <v>29</v>
      </c>
      <c r="E23" s="30" t="s">
        <v>30</v>
      </c>
      <c r="F23" s="30" t="s">
        <v>45</v>
      </c>
      <c r="G23" s="30" t="s">
        <v>46</v>
      </c>
      <c r="H23" s="30" t="s">
        <v>47</v>
      </c>
      <c r="I23" s="30" t="s">
        <v>48</v>
      </c>
      <c r="K23" s="8" t="s">
        <v>52</v>
      </c>
      <c r="L23" s="34">
        <f>F29</f>
        <v>5000000</v>
      </c>
    </row>
    <row r="24" spans="1:12" ht="15" thickBot="1" x14ac:dyDescent="0.4">
      <c r="C24" s="29">
        <v>1</v>
      </c>
      <c r="D24" s="33">
        <f>D3</f>
        <v>22000000</v>
      </c>
      <c r="E24" s="33">
        <f>E3</f>
        <v>19800000</v>
      </c>
      <c r="F24" s="33">
        <f>IF(D24&gt;$I$3,$I$3,D24)</f>
        <v>2000000</v>
      </c>
      <c r="G24" s="33">
        <f>IF(F24=D24,0,IF(D24-F24&gt;$I$3*$I$4,$I$3*$I$4,D24-F24))</f>
        <v>18000000</v>
      </c>
      <c r="H24" s="33">
        <f>G24+F24</f>
        <v>20000000</v>
      </c>
      <c r="I24" s="33">
        <f>D24-H24</f>
        <v>2000000</v>
      </c>
      <c r="K24" s="8" t="s">
        <v>53</v>
      </c>
      <c r="L24" s="34">
        <f>G29</f>
        <v>36000000</v>
      </c>
    </row>
    <row r="25" spans="1:12" ht="15" thickBot="1" x14ac:dyDescent="0.4">
      <c r="C25" s="29">
        <v>2</v>
      </c>
      <c r="D25" s="33">
        <f t="shared" ref="D25:E28" si="0">D4</f>
        <v>30000000</v>
      </c>
      <c r="E25" s="33">
        <f t="shared" si="0"/>
        <v>30000000</v>
      </c>
      <c r="F25" s="33">
        <f>IF(D25&gt;$I$3,$I$3,D25)</f>
        <v>2000000</v>
      </c>
      <c r="G25" s="33">
        <f>IF(F25=D25,0,IF(D25-F25&gt;$I$3*$I$4,$I$3*$I$4,D25-F25))</f>
        <v>18000000</v>
      </c>
      <c r="H25" s="33">
        <f>G25+F25</f>
        <v>20000000</v>
      </c>
      <c r="I25" s="33">
        <f>D25-H25</f>
        <v>10000000</v>
      </c>
      <c r="K25" s="8" t="s">
        <v>54</v>
      </c>
      <c r="L25" s="34">
        <f>H29</f>
        <v>41000000</v>
      </c>
    </row>
    <row r="26" spans="1:12" ht="15" thickBot="1" x14ac:dyDescent="0.4">
      <c r="C26" s="29">
        <v>3</v>
      </c>
      <c r="D26" s="33">
        <f t="shared" si="0"/>
        <v>1000000</v>
      </c>
      <c r="E26" s="33">
        <f t="shared" si="0"/>
        <v>850000</v>
      </c>
      <c r="F26" s="33">
        <f>IF(D26&gt;$I$3,$I$3,D26)</f>
        <v>1000000</v>
      </c>
      <c r="G26" s="33">
        <f>IF(F26=D26,0,IF(D26-F26&gt;$I$3*$I$4,$I$3*$I$4,D26-F26))</f>
        <v>0</v>
      </c>
      <c r="H26" s="33">
        <f>G26+F26</f>
        <v>1000000</v>
      </c>
      <c r="I26" s="33">
        <f>D26-H26</f>
        <v>0</v>
      </c>
      <c r="K26" s="8" t="s">
        <v>55</v>
      </c>
      <c r="L26" s="34">
        <f>I29</f>
        <v>12000000</v>
      </c>
    </row>
    <row r="27" spans="1:12" ht="15" thickBot="1" x14ac:dyDescent="0.4">
      <c r="C27" s="29">
        <v>4</v>
      </c>
      <c r="D27" s="33">
        <f t="shared" si="0"/>
        <v>0</v>
      </c>
      <c r="E27" s="33">
        <f t="shared" si="0"/>
        <v>0</v>
      </c>
      <c r="F27" s="33">
        <f>IF(D27&gt;$I$3,$I$3,D27)</f>
        <v>0</v>
      </c>
      <c r="G27" s="33">
        <f>IF(F27=D27,0,IF(D27-F27&gt;$I$3*$I$4,$I$3*$I$4,D27-F27))</f>
        <v>0</v>
      </c>
      <c r="H27" s="33">
        <f>G27+F27</f>
        <v>0</v>
      </c>
      <c r="I27" s="33">
        <f>D27-H27</f>
        <v>0</v>
      </c>
    </row>
    <row r="28" spans="1:12" ht="15" thickBot="1" x14ac:dyDescent="0.4">
      <c r="C28" s="29">
        <v>5</v>
      </c>
      <c r="D28" s="33">
        <f t="shared" si="0"/>
        <v>0</v>
      </c>
      <c r="E28" s="33">
        <f t="shared" si="0"/>
        <v>0</v>
      </c>
      <c r="F28" s="33">
        <f>IF(D28&gt;$I$3,$I$3,D28)</f>
        <v>0</v>
      </c>
      <c r="G28" s="33">
        <f>IF(F28=D28,0,IF(D28-F28&gt;$I$3*$I$4,$I$3*$I$4,D28-F28))</f>
        <v>0</v>
      </c>
      <c r="H28" s="33">
        <f>G28+F28</f>
        <v>0</v>
      </c>
      <c r="I28" s="33">
        <f>D28-H28</f>
        <v>0</v>
      </c>
    </row>
    <row r="29" spans="1:12" ht="15" thickBot="1" x14ac:dyDescent="0.4">
      <c r="C29" s="29" t="s">
        <v>31</v>
      </c>
      <c r="D29" s="34">
        <f t="shared" ref="D29:I29" si="1">SUM(D24:D28)</f>
        <v>53000000</v>
      </c>
      <c r="E29" s="35">
        <f t="shared" si="1"/>
        <v>50650000</v>
      </c>
      <c r="F29" s="35">
        <f t="shared" si="1"/>
        <v>5000000</v>
      </c>
      <c r="G29" s="35">
        <f t="shared" si="1"/>
        <v>36000000</v>
      </c>
      <c r="H29" s="35">
        <f t="shared" si="1"/>
        <v>41000000</v>
      </c>
      <c r="I29" s="35">
        <f t="shared" si="1"/>
        <v>12000000</v>
      </c>
    </row>
    <row r="33" spans="1:12" x14ac:dyDescent="0.35">
      <c r="F33" s="4"/>
      <c r="G33" s="4"/>
    </row>
    <row r="34" spans="1:12" x14ac:dyDescent="0.35">
      <c r="A34" s="169" t="s">
        <v>50</v>
      </c>
      <c r="B34" s="169"/>
      <c r="C34" s="169"/>
      <c r="D34" s="169"/>
      <c r="E34" s="169"/>
    </row>
    <row r="36" spans="1:12" ht="15" thickBot="1" x14ac:dyDescent="0.4"/>
    <row r="37" spans="1:12" ht="15" thickBot="1" x14ac:dyDescent="0.4">
      <c r="C37" s="25" t="s">
        <v>28</v>
      </c>
      <c r="D37" s="30" t="s">
        <v>56</v>
      </c>
      <c r="E37" s="30" t="s">
        <v>30</v>
      </c>
      <c r="F37" s="30" t="s">
        <v>45</v>
      </c>
      <c r="G37" s="30" t="s">
        <v>41</v>
      </c>
      <c r="H37" s="30" t="s">
        <v>57</v>
      </c>
      <c r="I37" s="30" t="s">
        <v>58</v>
      </c>
      <c r="K37" s="30" t="s">
        <v>51</v>
      </c>
    </row>
    <row r="38" spans="1:12" ht="15" thickBot="1" x14ac:dyDescent="0.4">
      <c r="C38" s="29">
        <v>1</v>
      </c>
      <c r="D38" s="33">
        <f>I24</f>
        <v>2000000</v>
      </c>
      <c r="E38" s="33">
        <f>IF(D38&gt;$I$15,E3-H24,0)</f>
        <v>0</v>
      </c>
      <c r="F38" s="33">
        <f>IF(D38&gt;0,IF(D38&gt;$I$15,$I$15,D38),0)</f>
        <v>2000000</v>
      </c>
      <c r="G38" s="33">
        <f>IF(F38=0,0,IF(D38&gt;$I$16,$I$16,D38-F38))</f>
        <v>0</v>
      </c>
      <c r="H38" s="33">
        <f>F38+G38</f>
        <v>2000000</v>
      </c>
      <c r="I38" s="33">
        <f>IF(D38&gt;$I$16+$I$15,D38-$I$16-$I$15,0)</f>
        <v>0</v>
      </c>
      <c r="K38" s="8" t="s">
        <v>52</v>
      </c>
      <c r="L38" s="34">
        <f>F43+F29</f>
        <v>12000000</v>
      </c>
    </row>
    <row r="39" spans="1:12" ht="15" thickBot="1" x14ac:dyDescent="0.4">
      <c r="C39" s="29">
        <v>2</v>
      </c>
      <c r="D39" s="33">
        <f>I25</f>
        <v>10000000</v>
      </c>
      <c r="E39" s="33">
        <f>IF(D39&gt;$I$15,E4-H25,0)</f>
        <v>10000000</v>
      </c>
      <c r="F39" s="33">
        <f>IF(D39&gt;0,IF(D39&gt;$I$15,$I$15,D39),0)</f>
        <v>5000000</v>
      </c>
      <c r="G39" s="33">
        <f>IF(F39=0,0,IF(D39&gt;$I$16,$I$16,D39-F39))</f>
        <v>5000000</v>
      </c>
      <c r="H39" s="33">
        <f>F39+G39</f>
        <v>10000000</v>
      </c>
      <c r="I39" s="33">
        <f>IF(D39&gt;$I$16+$I$15,D39-$I$16-$I$15,0)</f>
        <v>0</v>
      </c>
      <c r="K39" s="8" t="s">
        <v>59</v>
      </c>
      <c r="L39" s="34">
        <f>H43</f>
        <v>12000000</v>
      </c>
    </row>
    <row r="40" spans="1:12" ht="15" thickBot="1" x14ac:dyDescent="0.4">
      <c r="C40" s="29">
        <v>3</v>
      </c>
      <c r="D40" s="33">
        <f>I26</f>
        <v>0</v>
      </c>
      <c r="E40" s="33">
        <f>IF(D40&gt;$I$15,E5-H26,0)</f>
        <v>0</v>
      </c>
      <c r="F40" s="33">
        <f>IF(D40&gt;0,IF(D40&gt;$I$15,$I$15,D40),0)</f>
        <v>0</v>
      </c>
      <c r="G40" s="33">
        <f>IF(F40=0,0,IF(D40&gt;$I$16,$I$16,D40-F40))</f>
        <v>0</v>
      </c>
      <c r="H40" s="33">
        <f>F40+G40</f>
        <v>0</v>
      </c>
      <c r="I40" s="33">
        <f>IF(D40&gt;$I$16+$I$15,D40-$I$16-$I$15,0)</f>
        <v>0</v>
      </c>
      <c r="K40" s="8" t="s">
        <v>61</v>
      </c>
      <c r="L40" s="34">
        <f>H29+H43</f>
        <v>53000000</v>
      </c>
    </row>
    <row r="41" spans="1:12" ht="15" thickBot="1" x14ac:dyDescent="0.4">
      <c r="C41" s="29">
        <v>4</v>
      </c>
      <c r="D41" s="33">
        <f>I27</f>
        <v>0</v>
      </c>
      <c r="E41" s="33">
        <f>IF(D41&gt;$I$15,E6-H27,0)</f>
        <v>0</v>
      </c>
      <c r="F41" s="33">
        <f>IF(D41&gt;0,IF(D41&gt;$I$15,$I$15,D41),0)</f>
        <v>0</v>
      </c>
      <c r="G41" s="33">
        <f>IF(F41=0,0,IF(D41&gt;$I$16,$I$16,D41-F41))</f>
        <v>0</v>
      </c>
      <c r="H41" s="33">
        <f>F41+G41</f>
        <v>0</v>
      </c>
      <c r="I41" s="33">
        <f>IF(D41&gt;$I$16+$I$15,D41-$I$16-$I$15,0)</f>
        <v>0</v>
      </c>
      <c r="K41" s="8" t="s">
        <v>60</v>
      </c>
      <c r="L41" s="34">
        <f>I43</f>
        <v>0</v>
      </c>
    </row>
    <row r="42" spans="1:12" ht="15" thickBot="1" x14ac:dyDescent="0.4">
      <c r="C42" s="29">
        <v>5</v>
      </c>
      <c r="D42" s="33">
        <f>I28</f>
        <v>0</v>
      </c>
      <c r="E42" s="33">
        <f>IF(D42&gt;$I$15,E7-H28,0)</f>
        <v>0</v>
      </c>
      <c r="F42" s="33">
        <f>IF(D42&gt;0,IF(D42&gt;$I$15,$I$15,D42),0)</f>
        <v>0</v>
      </c>
      <c r="G42" s="33">
        <f>IF(F42=0,0,IF(D42&gt;$I$16,$I$16,D42-F42))</f>
        <v>0</v>
      </c>
      <c r="H42" s="33">
        <f>F42+G42</f>
        <v>0</v>
      </c>
      <c r="I42" s="33">
        <f>IF(D42&gt;$I$16+$I$15,D42-$I$16-$I$15,0)</f>
        <v>0</v>
      </c>
    </row>
    <row r="43" spans="1:12" ht="15" thickBot="1" x14ac:dyDescent="0.4">
      <c r="C43" s="29" t="s">
        <v>31</v>
      </c>
      <c r="D43" s="34">
        <f t="shared" ref="D43:I43" si="2">SUM(D38:D42)</f>
        <v>12000000</v>
      </c>
      <c r="E43" s="35">
        <f t="shared" si="2"/>
        <v>10000000</v>
      </c>
      <c r="F43" s="35">
        <f t="shared" si="2"/>
        <v>7000000</v>
      </c>
      <c r="G43" s="35">
        <f t="shared" si="2"/>
        <v>5000000</v>
      </c>
      <c r="H43" s="35">
        <f t="shared" si="2"/>
        <v>12000000</v>
      </c>
      <c r="I43" s="35">
        <f t="shared" si="2"/>
        <v>0</v>
      </c>
    </row>
    <row r="47" spans="1:12" x14ac:dyDescent="0.35">
      <c r="A47" s="180" t="s">
        <v>67</v>
      </c>
      <c r="B47" s="180"/>
      <c r="C47" s="180"/>
      <c r="D47" s="180"/>
      <c r="E47" s="180"/>
    </row>
    <row r="48" spans="1:12" ht="15" thickBot="1" x14ac:dyDescent="0.4">
      <c r="A48" s="180"/>
      <c r="B48" s="180"/>
      <c r="C48" s="180"/>
      <c r="D48" s="180"/>
      <c r="E48" s="180"/>
    </row>
    <row r="49" spans="3:19" ht="15" thickBot="1" x14ac:dyDescent="0.4">
      <c r="Q49" s="30" t="s">
        <v>51</v>
      </c>
      <c r="R49" s="30" t="s">
        <v>86</v>
      </c>
      <c r="S49" s="30" t="s">
        <v>87</v>
      </c>
    </row>
    <row r="50" spans="3:19" ht="15" thickBot="1" x14ac:dyDescent="0.4">
      <c r="D50" s="174" t="s">
        <v>46</v>
      </c>
      <c r="E50" s="175"/>
      <c r="F50" s="176" t="s">
        <v>41</v>
      </c>
      <c r="G50" s="177"/>
      <c r="H50" s="181" t="s">
        <v>155</v>
      </c>
      <c r="I50" s="182"/>
      <c r="J50" s="178" t="s">
        <v>64</v>
      </c>
      <c r="K50" s="179"/>
      <c r="L50" s="167" t="s">
        <v>65</v>
      </c>
      <c r="M50" s="168"/>
      <c r="Q50" s="8" t="s">
        <v>32</v>
      </c>
      <c r="R50" s="61">
        <f>D57</f>
        <v>4830000</v>
      </c>
      <c r="S50" s="61">
        <f>E57</f>
        <v>35820000</v>
      </c>
    </row>
    <row r="51" spans="3:19" ht="15" thickBot="1" x14ac:dyDescent="0.4">
      <c r="C51" s="25" t="s">
        <v>28</v>
      </c>
      <c r="D51" s="30" t="s">
        <v>62</v>
      </c>
      <c r="E51" s="30" t="s">
        <v>63</v>
      </c>
      <c r="F51" s="30" t="s">
        <v>62</v>
      </c>
      <c r="G51" s="30" t="s">
        <v>63</v>
      </c>
      <c r="H51" s="30" t="s">
        <v>62</v>
      </c>
      <c r="I51" s="30" t="s">
        <v>63</v>
      </c>
      <c r="J51" s="30" t="s">
        <v>62</v>
      </c>
      <c r="K51" s="30" t="s">
        <v>63</v>
      </c>
      <c r="L51" s="30" t="s">
        <v>62</v>
      </c>
      <c r="M51" s="30" t="s">
        <v>63</v>
      </c>
      <c r="Q51" s="8" t="s">
        <v>92</v>
      </c>
      <c r="R51" s="163">
        <f>R50+S50</f>
        <v>40650000</v>
      </c>
      <c r="S51" s="164"/>
    </row>
    <row r="52" spans="3:19" ht="15" thickBot="1" x14ac:dyDescent="0.4">
      <c r="C52" s="29">
        <v>1</v>
      </c>
      <c r="D52" s="33">
        <f>IF(E3&lt;$L$4,IF(E3&gt;$I$3,1/$L$3*E3,E3),$I$3)</f>
        <v>1980000</v>
      </c>
      <c r="E52" s="33">
        <f>IF(E3-D52&lt;$L$4,E3-D52,$L$4-$I$3)</f>
        <v>17820000</v>
      </c>
      <c r="F52" s="33">
        <f>IF(E3&gt;$L$4,IF(E3-D52-E52&gt;$I$15,$I$15,E3-D52-E52),0)</f>
        <v>0</v>
      </c>
      <c r="G52" s="33">
        <f>IF(E38=0,0,E38-F38)</f>
        <v>0</v>
      </c>
      <c r="H52" s="33">
        <f>D52+F52</f>
        <v>1980000</v>
      </c>
      <c r="I52" s="33">
        <f>E52+G52</f>
        <v>17820000</v>
      </c>
      <c r="J52" s="33">
        <f>IF(D52&lt;$L$16,D52,$L$16)</f>
        <v>1980000</v>
      </c>
      <c r="K52" s="63">
        <f>IF($L$15=0,0,IF(J52=D52,0,D52+F52-J52))</f>
        <v>0</v>
      </c>
      <c r="L52" s="33">
        <f>IF($L$15=0,D52+F52,J52)</f>
        <v>1980000</v>
      </c>
      <c r="M52" s="33">
        <f>IF($L$15=0,E52+G52,E52+G52+K52)</f>
        <v>17820000</v>
      </c>
      <c r="Q52" s="8" t="s">
        <v>85</v>
      </c>
      <c r="R52" s="34">
        <f>D57+F57</f>
        <v>9830000</v>
      </c>
      <c r="S52" s="34">
        <f>E57+G57</f>
        <v>40820000</v>
      </c>
    </row>
    <row r="53" spans="3:19" ht="15" thickBot="1" x14ac:dyDescent="0.4">
      <c r="C53" s="29">
        <v>2</v>
      </c>
      <c r="D53" s="33">
        <f>IF(E4&lt;$L$4,IF(E4&gt;$I$3,1/$L$3*E4,E4),$I$3)</f>
        <v>2000000</v>
      </c>
      <c r="E53" s="33">
        <f>IF(E4-D53&lt;$L$4,E4-D53,$L$4-$I$3)</f>
        <v>18000000</v>
      </c>
      <c r="F53" s="33">
        <f>IF(E4&gt;$L$4,IF(E4-D53-E53&gt;$I$15,$I$15,E4-D53-E53),0)</f>
        <v>5000000</v>
      </c>
      <c r="G53" s="33">
        <f>IF(E39=0,0,E39-F39)</f>
        <v>5000000</v>
      </c>
      <c r="H53" s="33">
        <f>H52+D53+F53</f>
        <v>8980000</v>
      </c>
      <c r="I53" s="33">
        <f>I52+E53+G53</f>
        <v>40820000</v>
      </c>
      <c r="J53" s="33">
        <f ca="1">IF(J52=0,0,IF($L$16&gt;H53,H53-H52,$L$16-SUM($J$52:INDIRECT(ADDRESS(ROW(J53)-1,COLUMN(J53))))))</f>
        <v>1020000</v>
      </c>
      <c r="K53" s="63">
        <f ca="1">IF($L$15=0,0,IF(J53=D53,0,D53+F53-J53))</f>
        <v>5980000</v>
      </c>
      <c r="L53" s="33">
        <f ca="1">IF($L$15=0,D53+F53,J53)</f>
        <v>1020000</v>
      </c>
      <c r="M53" s="33">
        <f ca="1">IF($L$15=0,E53+G53,E53+G53+K53)</f>
        <v>28980000</v>
      </c>
      <c r="Q53" s="8" t="s">
        <v>88</v>
      </c>
      <c r="R53" s="159">
        <f>R52+S52</f>
        <v>50650000</v>
      </c>
      <c r="S53" s="160"/>
    </row>
    <row r="54" spans="3:19" ht="15" thickBot="1" x14ac:dyDescent="0.4">
      <c r="C54" s="29">
        <v>3</v>
      </c>
      <c r="D54" s="33">
        <f>IF(E5&lt;$L$4,IF(E5&gt;$I$3,1/$L$3*E5,E5),$I$3)</f>
        <v>850000</v>
      </c>
      <c r="E54" s="33">
        <f>IF(E5-D54&lt;$L$4,E5-D54,$L$4-$I$3)</f>
        <v>0</v>
      </c>
      <c r="F54" s="33">
        <f>IF(E5&gt;$L$4,IF(E5-D54-E54&gt;$I$15,$I$15,E5-D54-E54),0)</f>
        <v>0</v>
      </c>
      <c r="G54" s="33">
        <f>IF(E40=0,0,E40-F40)</f>
        <v>0</v>
      </c>
      <c r="H54" s="33">
        <f t="shared" ref="H54:I56" si="3">H53+D54+F54</f>
        <v>9830000</v>
      </c>
      <c r="I54" s="33">
        <f t="shared" si="3"/>
        <v>40820000</v>
      </c>
      <c r="J54" s="33">
        <f ca="1">IF(J53=0,0,IF($L$16&gt;H54,H54-H53,$L$16-SUM($J$52:INDIRECT(ADDRESS(ROW(J54)-1,COLUMN(J54))))))</f>
        <v>0</v>
      </c>
      <c r="K54" s="63">
        <f ca="1">IF($L$15=0,0,IF(J54=D54,0,D54+F54-J54))</f>
        <v>850000</v>
      </c>
      <c r="L54" s="33">
        <f ca="1">IF($L$15=0,D54+F54,J54)</f>
        <v>0</v>
      </c>
      <c r="M54" s="33">
        <f ca="1">IF($L$15=0,E54+G54,E54+G54+K54)</f>
        <v>850000</v>
      </c>
      <c r="Q54" s="8" t="s">
        <v>89</v>
      </c>
      <c r="R54" s="62">
        <f ca="1">L57</f>
        <v>3000000</v>
      </c>
      <c r="S54" s="62">
        <f ca="1">M57</f>
        <v>47650000</v>
      </c>
    </row>
    <row r="55" spans="3:19" ht="15" thickBot="1" x14ac:dyDescent="0.4">
      <c r="C55" s="29">
        <v>4</v>
      </c>
      <c r="D55" s="33">
        <f>IF(E6&lt;$L$4,IF(E6&gt;$I$3,1/$L$3*E6,E6),$I$3)</f>
        <v>0</v>
      </c>
      <c r="E55" s="33">
        <f>IF(E6-D55&lt;$L$4,E6-D55,$L$4-$I$3)</f>
        <v>0</v>
      </c>
      <c r="F55" s="33">
        <f>IF(E6&gt;$L$4,IF(E6-D55-E55&gt;$I$15,$I$15,E6-D55-E55),0)</f>
        <v>0</v>
      </c>
      <c r="G55" s="33">
        <f>IF(E41=0,0,E41-F41)</f>
        <v>0</v>
      </c>
      <c r="H55" s="33">
        <f t="shared" si="3"/>
        <v>9830000</v>
      </c>
      <c r="I55" s="33">
        <f t="shared" si="3"/>
        <v>40820000</v>
      </c>
      <c r="J55" s="33">
        <f ca="1">IF(J54=0,0,IF($L$16&gt;H55,H55-H54,$L$16-SUM($J$52:INDIRECT(ADDRESS(ROW(J55)-1,COLUMN(J55))))))</f>
        <v>0</v>
      </c>
      <c r="K55" s="63">
        <f ca="1">IF($L$15=0,0,IF(J55=D55,0,D55+F55-J55))</f>
        <v>0</v>
      </c>
      <c r="L55" s="33">
        <f ca="1">IF($L$15=0,D55+F55,J55)</f>
        <v>0</v>
      </c>
      <c r="M55" s="33">
        <f ca="1">IF($L$15=0,E55+G55,E55+G55+K55)</f>
        <v>0</v>
      </c>
      <c r="Q55" s="8" t="s">
        <v>90</v>
      </c>
      <c r="R55" s="161">
        <f ca="1">R54+S54</f>
        <v>50650000</v>
      </c>
      <c r="S55" s="162"/>
    </row>
    <row r="56" spans="3:19" ht="15" thickBot="1" x14ac:dyDescent="0.4">
      <c r="C56" s="29">
        <v>5</v>
      </c>
      <c r="D56" s="33">
        <f>IF(E7&lt;$L$4,IF(E7&gt;$I$3,1/$L$3*E7,E7),$I$3)</f>
        <v>0</v>
      </c>
      <c r="E56" s="33">
        <f>IF(E7-D56&lt;$L$4,E7-D56,$L$4-$I$3)</f>
        <v>0</v>
      </c>
      <c r="F56" s="33">
        <f>IF(E7&gt;$L$4,IF(E7-D56-E56&gt;$I$15,$I$15,E7-D56-E56),0)</f>
        <v>0</v>
      </c>
      <c r="G56" s="33">
        <f>IF(E42=0,0,E42-F42)</f>
        <v>0</v>
      </c>
      <c r="H56" s="33">
        <f t="shared" si="3"/>
        <v>9830000</v>
      </c>
      <c r="I56" s="33">
        <f t="shared" si="3"/>
        <v>40820000</v>
      </c>
      <c r="J56" s="33">
        <f ca="1">IF(J55=0,0,IF($L$16&gt;H56,H56-H55,$L$16-SUM($J$52:INDIRECT(ADDRESS(ROW(J56)-1,COLUMN(J56))))))</f>
        <v>0</v>
      </c>
      <c r="K56" s="63">
        <f ca="1">IF($L$15=0,0,IF(J56=D56,0,D56+F56-J56))</f>
        <v>0</v>
      </c>
      <c r="L56" s="33">
        <f ca="1">IF($L$15=0,D56+F56,J56)</f>
        <v>0</v>
      </c>
      <c r="M56" s="33">
        <f ca="1">IF($L$15=0,E56+G56,E56+G56+K56)</f>
        <v>0</v>
      </c>
      <c r="Q56" s="8" t="s">
        <v>91</v>
      </c>
      <c r="R56" s="34">
        <f ca="1">R54-R52</f>
        <v>-6830000</v>
      </c>
      <c r="S56" s="34">
        <f ca="1">S54-S52</f>
        <v>6830000</v>
      </c>
    </row>
    <row r="57" spans="3:19" ht="15" thickBot="1" x14ac:dyDescent="0.4">
      <c r="C57" s="29" t="s">
        <v>31</v>
      </c>
      <c r="D57" s="34">
        <f t="shared" ref="D57:M57" si="4">SUM(D52:D56)</f>
        <v>4830000</v>
      </c>
      <c r="E57" s="35">
        <f t="shared" si="4"/>
        <v>35820000</v>
      </c>
      <c r="F57" s="35">
        <f t="shared" si="4"/>
        <v>5000000</v>
      </c>
      <c r="G57" s="35">
        <f t="shared" si="4"/>
        <v>5000000</v>
      </c>
      <c r="H57" s="138">
        <f>H56</f>
        <v>9830000</v>
      </c>
      <c r="I57" s="138">
        <f>I56</f>
        <v>40820000</v>
      </c>
      <c r="J57" s="35">
        <f t="shared" ca="1" si="4"/>
        <v>3000000</v>
      </c>
      <c r="K57" s="35">
        <f t="shared" ca="1" si="4"/>
        <v>6830000</v>
      </c>
      <c r="L57" s="35">
        <f t="shared" ca="1" si="4"/>
        <v>3000000</v>
      </c>
      <c r="M57" s="35">
        <f t="shared" ca="1" si="4"/>
        <v>47650000</v>
      </c>
    </row>
    <row r="58" spans="3:19" x14ac:dyDescent="0.35">
      <c r="I58" s="4"/>
    </row>
    <row r="65" spans="8:8" x14ac:dyDescent="0.35">
      <c r="H65" t="s">
        <v>93</v>
      </c>
    </row>
  </sheetData>
  <mergeCells count="14">
    <mergeCell ref="J50:K50"/>
    <mergeCell ref="F50:G50"/>
    <mergeCell ref="D50:E50"/>
    <mergeCell ref="H50:I50"/>
    <mergeCell ref="A20:E20"/>
    <mergeCell ref="F21:H22"/>
    <mergeCell ref="A34:E34"/>
    <mergeCell ref="A47:E48"/>
    <mergeCell ref="R53:S53"/>
    <mergeCell ref="R55:S55"/>
    <mergeCell ref="R51:S51"/>
    <mergeCell ref="H10:I12"/>
    <mergeCell ref="K10:M12"/>
    <mergeCell ref="L50:M50"/>
  </mergeCells>
  <conditionalFormatting sqref="R56:S56">
    <cfRule type="cellIs" dxfId="16" priority="6" operator="lessThan">
      <formula>0</formula>
    </cfRule>
  </conditionalFormatting>
  <conditionalFormatting sqref="S56">
    <cfRule type="cellIs" dxfId="15" priority="5" operator="greaterThan">
      <formula>0</formula>
    </cfRule>
  </conditionalFormatting>
  <conditionalFormatting sqref="H57">
    <cfRule type="cellIs" dxfId="14" priority="1" operator="equal">
      <formula>$D$57+$F$57</formula>
    </cfRule>
    <cfRule type="cellIs" dxfId="13" priority="3" operator="equal">
      <formula>$F$57</formula>
    </cfRule>
    <cfRule type="cellIs" dxfId="12" priority="4" operator="equal">
      <formula>$E$57+$G$57</formula>
    </cfRule>
  </conditionalFormatting>
  <conditionalFormatting sqref="I57">
    <cfRule type="cellIs" dxfId="11" priority="2" operator="equal">
      <formula>$E$57+$G$57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2D81-F5F1-4C1E-BA35-6517F4B82C20}">
  <dimension ref="A1:Q68"/>
  <sheetViews>
    <sheetView topLeftCell="A43" zoomScale="80" zoomScaleNormal="80" workbookViewId="0">
      <selection activeCell="J54" sqref="J54"/>
    </sheetView>
  </sheetViews>
  <sheetFormatPr defaultRowHeight="14.5" x14ac:dyDescent="0.35"/>
  <cols>
    <col min="4" max="4" width="20.08984375" customWidth="1"/>
    <col min="5" max="5" width="17.90625" customWidth="1"/>
    <col min="6" max="6" width="17.1796875" customWidth="1"/>
    <col min="7" max="7" width="16.54296875" customWidth="1"/>
    <col min="8" max="8" width="33.1796875" customWidth="1"/>
    <col min="9" max="9" width="19.08984375" customWidth="1"/>
    <col min="10" max="10" width="16.7265625" customWidth="1"/>
    <col min="11" max="11" width="32.36328125" customWidth="1"/>
    <col min="12" max="12" width="17.54296875" customWidth="1"/>
    <col min="13" max="13" width="16.90625" customWidth="1"/>
    <col min="15" max="15" width="20.90625" customWidth="1"/>
    <col min="16" max="16" width="16.1796875" customWidth="1"/>
    <col min="17" max="17" width="16.6328125" customWidth="1"/>
  </cols>
  <sheetData>
    <row r="1" spans="3:13" ht="15" thickBot="1" x14ac:dyDescent="0.4"/>
    <row r="2" spans="3:13" ht="15" thickBot="1" x14ac:dyDescent="0.4">
      <c r="C2" s="25" t="s">
        <v>28</v>
      </c>
      <c r="D2" s="30" t="s">
        <v>29</v>
      </c>
      <c r="E2" s="30" t="s">
        <v>68</v>
      </c>
      <c r="F2" s="136"/>
      <c r="H2" s="25" t="s">
        <v>32</v>
      </c>
      <c r="I2" s="30" t="s">
        <v>33</v>
      </c>
    </row>
    <row r="3" spans="3:13" ht="15" thickBot="1" x14ac:dyDescent="0.4">
      <c r="C3" s="29">
        <v>7</v>
      </c>
      <c r="D3" s="18"/>
      <c r="E3" s="18"/>
      <c r="F3" s="135"/>
      <c r="H3" s="29" t="s">
        <v>34</v>
      </c>
      <c r="I3" s="18"/>
      <c r="K3" s="25" t="s">
        <v>38</v>
      </c>
      <c r="L3" s="8">
        <f>1+I4</f>
        <v>1</v>
      </c>
    </row>
    <row r="4" spans="3:13" ht="15" thickBot="1" x14ac:dyDescent="0.4">
      <c r="C4" s="29">
        <v>2</v>
      </c>
      <c r="D4" s="18"/>
      <c r="E4" s="18"/>
      <c r="F4" s="134"/>
      <c r="H4" s="29" t="s">
        <v>35</v>
      </c>
      <c r="I4" s="5"/>
      <c r="K4" s="25" t="s">
        <v>39</v>
      </c>
      <c r="L4" s="28">
        <f>L3*I3</f>
        <v>0</v>
      </c>
    </row>
    <row r="5" spans="3:13" ht="15" thickBot="1" x14ac:dyDescent="0.4">
      <c r="C5" s="29">
        <v>3</v>
      </c>
      <c r="D5" s="18"/>
      <c r="E5" s="18"/>
      <c r="H5" s="29" t="s">
        <v>36</v>
      </c>
      <c r="I5" s="5"/>
    </row>
    <row r="6" spans="3:13" ht="15" thickBot="1" x14ac:dyDescent="0.4">
      <c r="C6" s="29">
        <v>4</v>
      </c>
      <c r="D6" s="18"/>
      <c r="E6" s="18"/>
      <c r="F6" s="137"/>
      <c r="H6" s="29" t="s">
        <v>37</v>
      </c>
      <c r="I6" s="5"/>
    </row>
    <row r="7" spans="3:13" ht="15" thickBot="1" x14ac:dyDescent="0.4">
      <c r="C7" s="29">
        <v>5</v>
      </c>
      <c r="D7" s="18"/>
      <c r="E7" s="18"/>
    </row>
    <row r="8" spans="3:13" ht="15" thickBot="1" x14ac:dyDescent="0.4">
      <c r="C8" s="29" t="s">
        <v>31</v>
      </c>
      <c r="D8" s="32">
        <f>SUM(D3:D7)</f>
        <v>0</v>
      </c>
      <c r="E8" s="31">
        <f>SUM(E3:E7)</f>
        <v>0</v>
      </c>
    </row>
    <row r="9" spans="3:13" ht="9" customHeight="1" x14ac:dyDescent="0.35"/>
    <row r="10" spans="3:13" x14ac:dyDescent="0.35">
      <c r="H10" s="165" t="s">
        <v>40</v>
      </c>
      <c r="I10" s="165"/>
      <c r="K10" s="166" t="s">
        <v>151</v>
      </c>
      <c r="L10" s="166"/>
      <c r="M10" s="166"/>
    </row>
    <row r="11" spans="3:13" x14ac:dyDescent="0.35">
      <c r="H11" s="165"/>
      <c r="I11" s="165"/>
      <c r="K11" s="166"/>
      <c r="L11" s="166"/>
      <c r="M11" s="166"/>
    </row>
    <row r="12" spans="3:13" ht="31.5" customHeight="1" x14ac:dyDescent="0.35">
      <c r="D12" s="4"/>
      <c r="E12" s="4"/>
      <c r="H12" s="165"/>
      <c r="I12" s="165"/>
      <c r="K12" s="166"/>
      <c r="L12" s="166"/>
      <c r="M12" s="166"/>
    </row>
    <row r="13" spans="3:13" ht="15" thickBot="1" x14ac:dyDescent="0.4">
      <c r="E13" s="4"/>
    </row>
    <row r="14" spans="3:13" ht="15" thickBot="1" x14ac:dyDescent="0.4">
      <c r="H14" s="25" t="s">
        <v>41</v>
      </c>
      <c r="I14" s="30" t="s">
        <v>33</v>
      </c>
      <c r="K14" s="25" t="s">
        <v>41</v>
      </c>
      <c r="L14" s="30" t="s">
        <v>33</v>
      </c>
    </row>
    <row r="15" spans="3:13" ht="15" thickBot="1" x14ac:dyDescent="0.4">
      <c r="H15" s="29" t="s">
        <v>34</v>
      </c>
      <c r="I15" s="18"/>
      <c r="K15" s="29" t="s">
        <v>42</v>
      </c>
      <c r="L15" s="18"/>
    </row>
    <row r="16" spans="3:13" ht="15" thickBot="1" x14ac:dyDescent="0.4">
      <c r="H16" s="29" t="s">
        <v>35</v>
      </c>
      <c r="I16" s="18"/>
      <c r="K16" s="29" t="s">
        <v>43</v>
      </c>
      <c r="L16" s="18"/>
    </row>
    <row r="17" spans="1:12" ht="15" thickBot="1" x14ac:dyDescent="0.4">
      <c r="H17" s="29" t="s">
        <v>36</v>
      </c>
      <c r="I17" s="5"/>
      <c r="K17" s="29" t="s">
        <v>44</v>
      </c>
      <c r="L17" s="18"/>
    </row>
    <row r="18" spans="1:12" ht="15" thickBot="1" x14ac:dyDescent="0.4">
      <c r="H18" s="29" t="s">
        <v>37</v>
      </c>
      <c r="I18" s="5"/>
    </row>
    <row r="20" spans="1:12" x14ac:dyDescent="0.35">
      <c r="A20" s="169" t="s">
        <v>49</v>
      </c>
      <c r="B20" s="169"/>
      <c r="C20" s="169"/>
      <c r="D20" s="169"/>
      <c r="E20" s="169"/>
    </row>
    <row r="21" spans="1:12" ht="15" thickBot="1" x14ac:dyDescent="0.4">
      <c r="F21" s="170" t="s">
        <v>32</v>
      </c>
      <c r="G21" s="170"/>
      <c r="H21" s="171"/>
    </row>
    <row r="22" spans="1:12" ht="15" thickBot="1" x14ac:dyDescent="0.4">
      <c r="F22" s="172"/>
      <c r="G22" s="172"/>
      <c r="H22" s="173"/>
      <c r="K22" s="30" t="s">
        <v>51</v>
      </c>
    </row>
    <row r="23" spans="1:12" ht="15" thickBot="1" x14ac:dyDescent="0.4">
      <c r="C23" s="25" t="s">
        <v>28</v>
      </c>
      <c r="D23" s="30" t="s">
        <v>29</v>
      </c>
      <c r="E23" s="30" t="s">
        <v>68</v>
      </c>
      <c r="F23" s="30" t="s">
        <v>45</v>
      </c>
      <c r="G23" s="30" t="s">
        <v>46</v>
      </c>
      <c r="H23" s="30" t="s">
        <v>47</v>
      </c>
      <c r="I23" s="30" t="s">
        <v>48</v>
      </c>
      <c r="K23" s="8" t="s">
        <v>52</v>
      </c>
      <c r="L23" s="34">
        <f>F29</f>
        <v>0</v>
      </c>
    </row>
    <row r="24" spans="1:12" ht="15" thickBot="1" x14ac:dyDescent="0.4">
      <c r="C24" s="29">
        <v>1</v>
      </c>
      <c r="D24" s="33">
        <f>D3</f>
        <v>0</v>
      </c>
      <c r="E24" s="33">
        <f>E3</f>
        <v>0</v>
      </c>
      <c r="F24" s="33">
        <f>IF(D24&gt;$I$3,$I$3,D24)</f>
        <v>0</v>
      </c>
      <c r="G24" s="33">
        <f t="shared" ref="G24:G26" si="0">IF(F24=D24,0,IF(D24-F24&gt;$I$3*$I$4,$I$3*$I$4,D24-F24))</f>
        <v>0</v>
      </c>
      <c r="H24" s="33">
        <f>G24+F24</f>
        <v>0</v>
      </c>
      <c r="I24" s="33">
        <f>D24-H24</f>
        <v>0</v>
      </c>
      <c r="K24" s="8" t="s">
        <v>53</v>
      </c>
      <c r="L24" s="34">
        <f>G29</f>
        <v>0</v>
      </c>
    </row>
    <row r="25" spans="1:12" ht="15" thickBot="1" x14ac:dyDescent="0.4">
      <c r="C25" s="29">
        <v>2</v>
      </c>
      <c r="D25" s="33">
        <f t="shared" ref="D25:E28" si="1">D4</f>
        <v>0</v>
      </c>
      <c r="E25" s="33">
        <f t="shared" si="1"/>
        <v>0</v>
      </c>
      <c r="F25" s="33">
        <f>IF(D25&gt;$I$3,$I$3,D25)</f>
        <v>0</v>
      </c>
      <c r="G25" s="33">
        <f t="shared" si="0"/>
        <v>0</v>
      </c>
      <c r="H25" s="33">
        <f>G25+F25</f>
        <v>0</v>
      </c>
      <c r="I25" s="33">
        <f>D25-H25</f>
        <v>0</v>
      </c>
      <c r="K25" s="8" t="s">
        <v>54</v>
      </c>
      <c r="L25" s="34">
        <f>H29</f>
        <v>0</v>
      </c>
    </row>
    <row r="26" spans="1:12" ht="15" thickBot="1" x14ac:dyDescent="0.4">
      <c r="C26" s="29">
        <v>3</v>
      </c>
      <c r="D26" s="33">
        <f t="shared" si="1"/>
        <v>0</v>
      </c>
      <c r="E26" s="33">
        <f t="shared" si="1"/>
        <v>0</v>
      </c>
      <c r="F26" s="33">
        <f>IF(D26&gt;$I$3,$I$3,D26)</f>
        <v>0</v>
      </c>
      <c r="G26" s="33">
        <f t="shared" si="0"/>
        <v>0</v>
      </c>
      <c r="H26" s="33">
        <f>G26+F26</f>
        <v>0</v>
      </c>
      <c r="I26" s="33">
        <f>D26-H26</f>
        <v>0</v>
      </c>
      <c r="K26" s="8" t="s">
        <v>55</v>
      </c>
      <c r="L26" s="34">
        <f>I29</f>
        <v>0</v>
      </c>
    </row>
    <row r="27" spans="1:12" ht="15" thickBot="1" x14ac:dyDescent="0.4">
      <c r="C27" s="29">
        <v>4</v>
      </c>
      <c r="D27" s="33">
        <f t="shared" si="1"/>
        <v>0</v>
      </c>
      <c r="E27" s="33">
        <f t="shared" si="1"/>
        <v>0</v>
      </c>
      <c r="F27" s="33">
        <f>IF(D27&gt;$I$3,$I$3,D27)</f>
        <v>0</v>
      </c>
      <c r="G27" s="33">
        <f>IF(F27=D27,0,IF(D27-F27&gt;$I$3*$I$4,$I$3*$I$4,D27-F27))</f>
        <v>0</v>
      </c>
      <c r="H27" s="33">
        <f>G27+F27</f>
        <v>0</v>
      </c>
      <c r="I27" s="33">
        <f>D27-H27</f>
        <v>0</v>
      </c>
    </row>
    <row r="28" spans="1:12" ht="15" thickBot="1" x14ac:dyDescent="0.4">
      <c r="C28" s="29">
        <v>5</v>
      </c>
      <c r="D28" s="33">
        <f t="shared" si="1"/>
        <v>0</v>
      </c>
      <c r="E28" s="33">
        <f t="shared" si="1"/>
        <v>0</v>
      </c>
      <c r="F28" s="33">
        <f>IF(D28&gt;$I$3,$I$3,D28)</f>
        <v>0</v>
      </c>
      <c r="G28" s="33">
        <f>IF(F28=D28,0,IF(D28-F28&gt;$I$3*$I$4,$I$3*$I$4,D28-F28))</f>
        <v>0</v>
      </c>
      <c r="H28" s="33">
        <f>G28+F28</f>
        <v>0</v>
      </c>
      <c r="I28" s="33">
        <f>D28-H28</f>
        <v>0</v>
      </c>
    </row>
    <row r="29" spans="1:12" ht="15" thickBot="1" x14ac:dyDescent="0.4">
      <c r="C29" s="29" t="s">
        <v>31</v>
      </c>
      <c r="D29" s="34">
        <f t="shared" ref="D29:I29" si="2">SUM(D24:D28)</f>
        <v>0</v>
      </c>
      <c r="E29" s="35">
        <f t="shared" si="2"/>
        <v>0</v>
      </c>
      <c r="F29" s="35">
        <f t="shared" si="2"/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</row>
    <row r="32" spans="1:12" x14ac:dyDescent="0.35">
      <c r="H32" s="1"/>
    </row>
    <row r="33" spans="1:12" x14ac:dyDescent="0.35">
      <c r="F33" s="4"/>
      <c r="G33" s="4"/>
    </row>
    <row r="34" spans="1:12" x14ac:dyDescent="0.35">
      <c r="A34" s="169" t="s">
        <v>50</v>
      </c>
      <c r="B34" s="169"/>
      <c r="C34" s="169"/>
      <c r="D34" s="169"/>
      <c r="E34" s="169"/>
    </row>
    <row r="36" spans="1:12" ht="15" thickBot="1" x14ac:dyDescent="0.4"/>
    <row r="37" spans="1:12" ht="15" thickBot="1" x14ac:dyDescent="0.4">
      <c r="C37" s="25" t="s">
        <v>28</v>
      </c>
      <c r="D37" s="30" t="s">
        <v>56</v>
      </c>
      <c r="E37" s="30" t="s">
        <v>68</v>
      </c>
      <c r="F37" s="30" t="s">
        <v>45</v>
      </c>
      <c r="G37" s="30" t="s">
        <v>41</v>
      </c>
      <c r="H37" s="30" t="s">
        <v>57</v>
      </c>
      <c r="I37" s="30" t="s">
        <v>58</v>
      </c>
      <c r="K37" s="30" t="s">
        <v>51</v>
      </c>
    </row>
    <row r="38" spans="1:12" ht="15" thickBot="1" x14ac:dyDescent="0.4">
      <c r="C38" s="29">
        <v>1</v>
      </c>
      <c r="D38" s="33">
        <f>I24</f>
        <v>0</v>
      </c>
      <c r="E38" s="33">
        <f>IF(IF(D38&gt;$I$15,E3-H24,0)&lt;0,0,IF(D38&gt;$I$15,E3-H24,0))</f>
        <v>0</v>
      </c>
      <c r="F38" s="33">
        <f>IF(D38&gt;0,IF(D38&gt;$I$15,$I$15,D38),0)</f>
        <v>0</v>
      </c>
      <c r="G38" s="33">
        <f>IF(D38-F38&gt;$I$16,$I$16,IF(D38=0,0,D38-F38))</f>
        <v>0</v>
      </c>
      <c r="H38" s="33">
        <f>F38+G38</f>
        <v>0</v>
      </c>
      <c r="I38" s="33">
        <f>IF(D38&gt;$I$16+$I$15,D38-$I$16-$I$15,0)</f>
        <v>0</v>
      </c>
      <c r="K38" s="8" t="s">
        <v>52</v>
      </c>
      <c r="L38" s="34">
        <f>F43+F29</f>
        <v>0</v>
      </c>
    </row>
    <row r="39" spans="1:12" ht="15" thickBot="1" x14ac:dyDescent="0.4">
      <c r="C39" s="29">
        <v>2</v>
      </c>
      <c r="D39" s="33">
        <f>I25</f>
        <v>0</v>
      </c>
      <c r="E39" s="33">
        <f>IF(IF(D39&gt;$I$15,E4-H25,0)&lt;0,0,IF(D39&gt;$I$15,E4-H25,0))</f>
        <v>0</v>
      </c>
      <c r="F39" s="33">
        <f>IF(D39&gt;0,IF(D39&gt;$I$15,$I$15,D39),0)</f>
        <v>0</v>
      </c>
      <c r="G39" s="33">
        <f t="shared" ref="G39:G42" si="3">IF(D39-F39&gt;$I$16,$I$16,IF(D39=0,0,D39-F39))</f>
        <v>0</v>
      </c>
      <c r="H39" s="33">
        <f>F39+G39</f>
        <v>0</v>
      </c>
      <c r="I39" s="33">
        <f>IF(D39&gt;$I$16+$I$15,D39-$I$16-$I$15,0)</f>
        <v>0</v>
      </c>
      <c r="K39" s="8" t="s">
        <v>59</v>
      </c>
      <c r="L39" s="34">
        <f>H43</f>
        <v>0</v>
      </c>
    </row>
    <row r="40" spans="1:12" ht="15" thickBot="1" x14ac:dyDescent="0.4">
      <c r="C40" s="29">
        <v>3</v>
      </c>
      <c r="D40" s="33">
        <f>I26</f>
        <v>0</v>
      </c>
      <c r="E40" s="33">
        <f t="shared" ref="E40:E42" si="4">IF(IF(D40&gt;$I$15,E5-H26,0)&lt;0,0,IF(D40&gt;$I$15,E5-H26,0))</f>
        <v>0</v>
      </c>
      <c r="F40" s="33">
        <f>IF(D40&gt;0,IF(D40&gt;$I$15,$I$15,D40),0)</f>
        <v>0</v>
      </c>
      <c r="G40" s="33">
        <f t="shared" si="3"/>
        <v>0</v>
      </c>
      <c r="H40" s="33">
        <f>F40+G40</f>
        <v>0</v>
      </c>
      <c r="I40" s="33">
        <f>IF(D40&gt;$I$16+$I$15,D40-$I$16-$I$15,0)</f>
        <v>0</v>
      </c>
      <c r="K40" s="8" t="s">
        <v>61</v>
      </c>
      <c r="L40" s="34">
        <f>H29+H43</f>
        <v>0</v>
      </c>
    </row>
    <row r="41" spans="1:12" ht="15" thickBot="1" x14ac:dyDescent="0.4">
      <c r="C41" s="29">
        <v>4</v>
      </c>
      <c r="D41" s="33">
        <f>I27</f>
        <v>0</v>
      </c>
      <c r="E41" s="33">
        <f t="shared" si="4"/>
        <v>0</v>
      </c>
      <c r="F41" s="33">
        <f>IF(D41&gt;0,IF(D41&gt;$I$15,$I$15,D41),0)</f>
        <v>0</v>
      </c>
      <c r="G41" s="33">
        <f>IF(D41-F41&gt;$I$16,$I$16,IF(D41=0,0,D41-F41))</f>
        <v>0</v>
      </c>
      <c r="H41" s="33">
        <f>F41+G41</f>
        <v>0</v>
      </c>
      <c r="I41" s="33">
        <f>IF(D41&gt;$I$16+$I$15,D41-$I$16-$I$15,0)</f>
        <v>0</v>
      </c>
      <c r="K41" s="8" t="s">
        <v>60</v>
      </c>
      <c r="L41" s="34">
        <f>I43</f>
        <v>0</v>
      </c>
    </row>
    <row r="42" spans="1:12" ht="15" thickBot="1" x14ac:dyDescent="0.4">
      <c r="C42" s="29">
        <v>5</v>
      </c>
      <c r="D42" s="33">
        <f>I28</f>
        <v>0</v>
      </c>
      <c r="E42" s="33">
        <f t="shared" si="4"/>
        <v>0</v>
      </c>
      <c r="F42" s="33">
        <f>IF(D42&gt;0,IF(D42&gt;$I$15,$I$15,D42),0)</f>
        <v>0</v>
      </c>
      <c r="G42" s="33">
        <f t="shared" si="3"/>
        <v>0</v>
      </c>
      <c r="H42" s="33">
        <f>F42+G42</f>
        <v>0</v>
      </c>
      <c r="I42" s="33">
        <f>IF(D42&gt;$I$16+$I$15,D42-$I$16-$I$15,0)</f>
        <v>0</v>
      </c>
    </row>
    <row r="43" spans="1:12" ht="15" thickBot="1" x14ac:dyDescent="0.4">
      <c r="C43" s="29" t="s">
        <v>31</v>
      </c>
      <c r="D43" s="34">
        <f t="shared" ref="D43:I43" si="5">SUM(D38:D42)</f>
        <v>0</v>
      </c>
      <c r="E43" s="35">
        <f t="shared" si="5"/>
        <v>0</v>
      </c>
      <c r="F43" s="35">
        <f t="shared" si="5"/>
        <v>0</v>
      </c>
      <c r="G43" s="35">
        <f t="shared" si="5"/>
        <v>0</v>
      </c>
      <c r="H43" s="35">
        <f t="shared" si="5"/>
        <v>0</v>
      </c>
      <c r="I43" s="35">
        <f t="shared" si="5"/>
        <v>0</v>
      </c>
    </row>
    <row r="47" spans="1:12" x14ac:dyDescent="0.35">
      <c r="A47" s="180" t="s">
        <v>152</v>
      </c>
      <c r="B47" s="180"/>
      <c r="C47" s="180"/>
      <c r="D47" s="180"/>
      <c r="E47" s="180"/>
    </row>
    <row r="48" spans="1:12" ht="15" thickBot="1" x14ac:dyDescent="0.4">
      <c r="A48" s="180"/>
      <c r="B48" s="180"/>
      <c r="C48" s="180"/>
      <c r="D48" s="180"/>
      <c r="E48" s="180"/>
    </row>
    <row r="49" spans="3:17" ht="15" thickBot="1" x14ac:dyDescent="0.4">
      <c r="O49" s="30" t="s">
        <v>51</v>
      </c>
      <c r="P49" s="30" t="s">
        <v>86</v>
      </c>
      <c r="Q49" s="30" t="s">
        <v>87</v>
      </c>
    </row>
    <row r="50" spans="3:17" ht="15" thickBot="1" x14ac:dyDescent="0.4">
      <c r="D50" s="174" t="s">
        <v>46</v>
      </c>
      <c r="E50" s="175"/>
      <c r="F50" s="176" t="s">
        <v>41</v>
      </c>
      <c r="G50" s="177"/>
      <c r="H50" s="181" t="s">
        <v>155</v>
      </c>
      <c r="I50" s="182"/>
      <c r="J50" s="178" t="s">
        <v>64</v>
      </c>
      <c r="K50" s="179"/>
      <c r="L50" s="76" t="s">
        <v>65</v>
      </c>
      <c r="M50" s="77"/>
      <c r="O50" s="8" t="s">
        <v>32</v>
      </c>
      <c r="P50" s="61">
        <f>D57</f>
        <v>0</v>
      </c>
      <c r="Q50" s="61">
        <f>E57</f>
        <v>0</v>
      </c>
    </row>
    <row r="51" spans="3:17" ht="15" thickBot="1" x14ac:dyDescent="0.4">
      <c r="C51" s="25" t="s">
        <v>28</v>
      </c>
      <c r="D51" s="30" t="s">
        <v>62</v>
      </c>
      <c r="E51" s="30" t="s">
        <v>63</v>
      </c>
      <c r="F51" s="30" t="s">
        <v>62</v>
      </c>
      <c r="G51" s="30" t="s">
        <v>63</v>
      </c>
      <c r="H51" s="30" t="s">
        <v>62</v>
      </c>
      <c r="I51" s="30" t="s">
        <v>63</v>
      </c>
      <c r="J51" s="30" t="s">
        <v>62</v>
      </c>
      <c r="K51" s="30" t="s">
        <v>63</v>
      </c>
      <c r="L51" s="30" t="s">
        <v>62</v>
      </c>
      <c r="M51" s="30" t="s">
        <v>63</v>
      </c>
      <c r="O51" s="8" t="s">
        <v>92</v>
      </c>
      <c r="P51" s="163">
        <f>P50+Q50</f>
        <v>0</v>
      </c>
      <c r="Q51" s="164"/>
    </row>
    <row r="52" spans="3:17" ht="15" thickBot="1" x14ac:dyDescent="0.4">
      <c r="C52" s="29">
        <v>1</v>
      </c>
      <c r="D52" s="33">
        <f>IF(E3&lt;$L$4,IF(E3&gt;$I$3,F24/H24*E24,E3),$I$3)</f>
        <v>0</v>
      </c>
      <c r="E52" s="33">
        <f>IF(E3-D52&lt;$L$4,E3-D52,$L$4-$I$3)</f>
        <v>0</v>
      </c>
      <c r="F52" s="33">
        <f>IF(E3&gt;$L$4,IF(E3-D52-E52&gt;$I$15,$I$15,E3-D52-E52),0)</f>
        <v>0</v>
      </c>
      <c r="G52" s="33">
        <f>IF(E38=0,0,IF(E38-F38&gt;$I$16,$I$16,E38-F38))</f>
        <v>0</v>
      </c>
      <c r="H52" s="33">
        <f>D52+F52</f>
        <v>0</v>
      </c>
      <c r="I52" s="33">
        <f>E52+G52</f>
        <v>0</v>
      </c>
      <c r="J52" s="33">
        <f>IF(H52&lt;L16,H52,L16-H52)</f>
        <v>0</v>
      </c>
      <c r="K52" s="63">
        <f>IF($L$15=0,0,IF(J52=D52,0,D52+F52-J52))</f>
        <v>0</v>
      </c>
      <c r="L52" s="33">
        <f>IF($L$15=0,D52+F52,J52)</f>
        <v>0</v>
      </c>
      <c r="M52" s="33">
        <f>IF($L$15=0,E52+G52,E52+G52+K52)</f>
        <v>0</v>
      </c>
      <c r="O52" s="8" t="s">
        <v>85</v>
      </c>
      <c r="P52" s="34">
        <f>D57+F57</f>
        <v>0</v>
      </c>
      <c r="Q52" s="34">
        <f>E57+G57</f>
        <v>0</v>
      </c>
    </row>
    <row r="53" spans="3:17" ht="15" thickBot="1" x14ac:dyDescent="0.4">
      <c r="C53" s="29">
        <v>2</v>
      </c>
      <c r="D53" s="33">
        <f t="shared" ref="D53:D56" si="6">IF(E4&lt;$L$4,IF(E4&gt;$I$3,F25/H25*E25,E4),$I$3)</f>
        <v>0</v>
      </c>
      <c r="E53" s="33">
        <f>IF(E4-D53&lt;$L$4,E4-D53,$L$4-$I$3)</f>
        <v>0</v>
      </c>
      <c r="F53" s="33">
        <f>IF(E4&gt;$L$4,IF(E4-D53-E53&gt;$I$15,$I$15,E4-D53-E53),0)</f>
        <v>0</v>
      </c>
      <c r="G53" s="33">
        <f t="shared" ref="G53:G56" si="7">IF(E39=0,0,IF(E39-F39&gt;$I$16,$I$16,E39-F39))</f>
        <v>0</v>
      </c>
      <c r="H53" s="33">
        <f>H52+D53+F53</f>
        <v>0</v>
      </c>
      <c r="I53" s="33">
        <f>I52+E53+G53</f>
        <v>0</v>
      </c>
      <c r="J53" s="33">
        <f ca="1">IF(J52=0,0,IF($L$16&gt;H53,H53-H52,$L$16-SUM($J$52:INDIRECT(ADDRESS(ROW(J53)-1,COLUMN(J53))))))</f>
        <v>0</v>
      </c>
      <c r="K53" s="63">
        <f>IF($L$15=0,0,IF(J53=D53,0,D53+F53-J53))</f>
        <v>0</v>
      </c>
      <c r="L53" s="33">
        <f>IF($L$15=0,D53+F53,J53)</f>
        <v>0</v>
      </c>
      <c r="M53" s="33">
        <f>IF($L$15=0,E53+G53,E53+G53+K53)</f>
        <v>0</v>
      </c>
      <c r="O53" s="8" t="s">
        <v>88</v>
      </c>
      <c r="P53" s="159">
        <f>P52+Q52</f>
        <v>0</v>
      </c>
      <c r="Q53" s="160"/>
    </row>
    <row r="54" spans="3:17" ht="15" thickBot="1" x14ac:dyDescent="0.4">
      <c r="C54" s="29">
        <v>3</v>
      </c>
      <c r="D54" s="33">
        <f t="shared" si="6"/>
        <v>0</v>
      </c>
      <c r="E54" s="33">
        <f>IF(E5-D54&lt;$L$4,E5-D54,$L$4-$I$3)</f>
        <v>0</v>
      </c>
      <c r="F54" s="33">
        <f>IF(E5&gt;$L$4,IF(E5-D54-E54&gt;$I$15,$I$15,E5-D54-E54),0)</f>
        <v>0</v>
      </c>
      <c r="G54" s="33">
        <f t="shared" si="7"/>
        <v>0</v>
      </c>
      <c r="H54" s="33">
        <f t="shared" ref="H54:H56" si="8">H53+D54+F54</f>
        <v>0</v>
      </c>
      <c r="I54" s="33">
        <f t="shared" ref="I54:I56" si="9">I53+E54+G54</f>
        <v>0</v>
      </c>
      <c r="J54" s="33">
        <f ca="1">IF(J53=0,0,IF($L$16&gt;H54,H54-H53,$L$16-SUM($J$52:INDIRECT(ADDRESS(ROW(J54)-1,COLUMN(J54))))))</f>
        <v>0</v>
      </c>
      <c r="K54" s="63">
        <f>IF($L$15=0,0,IF(J54=D54,0,D54+F54-J54))</f>
        <v>0</v>
      </c>
      <c r="L54" s="33">
        <f>IF($L$15=0,D54+F54,J54)</f>
        <v>0</v>
      </c>
      <c r="M54" s="33">
        <f>IF($L$15=0,E54+G54,E54+G54+K54)</f>
        <v>0</v>
      </c>
      <c r="O54" s="8" t="s">
        <v>89</v>
      </c>
      <c r="P54" s="62">
        <f>L57</f>
        <v>0</v>
      </c>
      <c r="Q54" s="62">
        <f>M57</f>
        <v>0</v>
      </c>
    </row>
    <row r="55" spans="3:17" ht="15" thickBot="1" x14ac:dyDescent="0.4">
      <c r="C55" s="29">
        <v>4</v>
      </c>
      <c r="D55" s="33">
        <f t="shared" si="6"/>
        <v>0</v>
      </c>
      <c r="E55" s="33">
        <f>IF(E6-D55&lt;$L$4,E6-D55,$L$4-$I$3)</f>
        <v>0</v>
      </c>
      <c r="F55" s="33">
        <f>IF(E6&gt;$L$4,IF(E6-D55-E55&gt;$I$15,$I$15,E6-D55-E55),0)</f>
        <v>0</v>
      </c>
      <c r="G55" s="33">
        <f t="shared" si="7"/>
        <v>0</v>
      </c>
      <c r="H55" s="33">
        <f t="shared" si="8"/>
        <v>0</v>
      </c>
      <c r="I55" s="33">
        <f t="shared" si="9"/>
        <v>0</v>
      </c>
      <c r="J55" s="33">
        <f ca="1">IF(J54=0,0,IF($L$16&gt;H55,H55-H54,$L$16-SUM($J$52:INDIRECT(ADDRESS(ROW(J55)-1,COLUMN(J55))))))</f>
        <v>0</v>
      </c>
      <c r="K55" s="63">
        <f>IF($L$15=0,0,IF(J55=D55,0,D55+F55-J55))</f>
        <v>0</v>
      </c>
      <c r="L55" s="33">
        <f>IF($L$15=0,D55+F55,J55)</f>
        <v>0</v>
      </c>
      <c r="M55" s="33">
        <f>IF($L$15=0,E55+G55,E55+G55+K55)</f>
        <v>0</v>
      </c>
      <c r="O55" s="8" t="s">
        <v>90</v>
      </c>
      <c r="P55" s="161">
        <f>P54+Q54</f>
        <v>0</v>
      </c>
      <c r="Q55" s="162"/>
    </row>
    <row r="56" spans="3:17" ht="15" thickBot="1" x14ac:dyDescent="0.4">
      <c r="C56" s="29">
        <v>5</v>
      </c>
      <c r="D56" s="33">
        <f t="shared" si="6"/>
        <v>0</v>
      </c>
      <c r="E56" s="33">
        <f>IF(E7-D56&lt;$L$4,E7-D56,$L$4-$I$3)</f>
        <v>0</v>
      </c>
      <c r="F56" s="33">
        <f>IF(E7&gt;$L$4,IF(E7-D56-E56&gt;$I$15,$I$15,E7-D56-E56),0)</f>
        <v>0</v>
      </c>
      <c r="G56" s="33">
        <f t="shared" si="7"/>
        <v>0</v>
      </c>
      <c r="H56" s="33">
        <f t="shared" si="8"/>
        <v>0</v>
      </c>
      <c r="I56" s="33">
        <f t="shared" si="9"/>
        <v>0</v>
      </c>
      <c r="J56" s="33">
        <f ca="1">IF(J55=0,0,IF($L$16&gt;H56,H56-H55,$L$16-SUM($J$52:INDIRECT(ADDRESS(ROW(J56)-1,COLUMN(J56))))))</f>
        <v>0</v>
      </c>
      <c r="K56" s="63">
        <f>IF($L$15=0,0,IF(J56=D56,0,D56+F56-J56))</f>
        <v>0</v>
      </c>
      <c r="L56" s="33">
        <f>IF($L$15=0,D56+F56,J56)</f>
        <v>0</v>
      </c>
      <c r="M56" s="33">
        <f>IF($L$15=0,E56+G56,E56+G56+K56)</f>
        <v>0</v>
      </c>
      <c r="O56" s="8" t="s">
        <v>91</v>
      </c>
      <c r="P56" s="34">
        <f>P54-P52</f>
        <v>0</v>
      </c>
      <c r="Q56" s="34">
        <f>Q54-Q52</f>
        <v>0</v>
      </c>
    </row>
    <row r="57" spans="3:17" ht="15" thickBot="1" x14ac:dyDescent="0.4">
      <c r="C57" s="29" t="s">
        <v>31</v>
      </c>
      <c r="D57" s="34">
        <f t="shared" ref="D57:G57" si="10">SUM(D52:D56)</f>
        <v>0</v>
      </c>
      <c r="E57" s="35">
        <f t="shared" si="10"/>
        <v>0</v>
      </c>
      <c r="F57" s="35">
        <f t="shared" si="10"/>
        <v>0</v>
      </c>
      <c r="G57" s="35">
        <f t="shared" si="10"/>
        <v>0</v>
      </c>
      <c r="H57" s="138">
        <f>H56</f>
        <v>0</v>
      </c>
      <c r="I57" s="138">
        <f>I56</f>
        <v>0</v>
      </c>
      <c r="J57" s="35">
        <f ca="1">SUM(J52:J56)</f>
        <v>0</v>
      </c>
      <c r="K57" s="35">
        <f>SUM(K52:K56)</f>
        <v>0</v>
      </c>
      <c r="L57" s="35">
        <f>SUM(L52:L56)</f>
        <v>0</v>
      </c>
      <c r="M57" s="35">
        <f>SUM(M52:M56)</f>
        <v>0</v>
      </c>
    </row>
    <row r="58" spans="3:17" x14ac:dyDescent="0.35">
      <c r="I58" s="4"/>
    </row>
    <row r="60" spans="3:17" x14ac:dyDescent="0.35">
      <c r="I60" s="184" t="s">
        <v>157</v>
      </c>
      <c r="J60" s="185"/>
      <c r="K60" s="4"/>
    </row>
    <row r="62" spans="3:17" x14ac:dyDescent="0.35">
      <c r="H62">
        <f ca="1">IF(J53=0,0,IF($L$16&gt;H54,H54-H53,0))</f>
        <v>0</v>
      </c>
    </row>
    <row r="63" spans="3:17" x14ac:dyDescent="0.35">
      <c r="F63" s="4"/>
    </row>
    <row r="64" spans="3:17" x14ac:dyDescent="0.35">
      <c r="F64" s="4"/>
    </row>
    <row r="65" spans="6:11" ht="14.5" customHeight="1" x14ac:dyDescent="0.35">
      <c r="F65" s="4"/>
      <c r="I65" s="183" t="s">
        <v>156</v>
      </c>
      <c r="J65" s="183"/>
      <c r="K65" s="183"/>
    </row>
    <row r="66" spans="6:11" x14ac:dyDescent="0.35">
      <c r="F66" s="4"/>
      <c r="I66" s="183"/>
      <c r="J66" s="183"/>
      <c r="K66" s="183"/>
    </row>
    <row r="67" spans="6:11" x14ac:dyDescent="0.35">
      <c r="I67" s="183"/>
      <c r="J67" s="183"/>
      <c r="K67" s="183"/>
    </row>
    <row r="68" spans="6:11" x14ac:dyDescent="0.35">
      <c r="I68" s="183"/>
      <c r="J68" s="183"/>
      <c r="K68" s="183"/>
    </row>
  </sheetData>
  <mergeCells count="15">
    <mergeCell ref="A47:E48"/>
    <mergeCell ref="H10:I12"/>
    <mergeCell ref="K10:M12"/>
    <mergeCell ref="A20:E20"/>
    <mergeCell ref="F21:H22"/>
    <mergeCell ref="A34:E34"/>
    <mergeCell ref="P55:Q55"/>
    <mergeCell ref="H50:I50"/>
    <mergeCell ref="I65:K68"/>
    <mergeCell ref="I60:J60"/>
    <mergeCell ref="D50:E50"/>
    <mergeCell ref="F50:G50"/>
    <mergeCell ref="J50:K50"/>
    <mergeCell ref="P51:Q51"/>
    <mergeCell ref="P53:Q53"/>
  </mergeCells>
  <conditionalFormatting sqref="P56:Q56">
    <cfRule type="cellIs" dxfId="10" priority="6" operator="lessThan">
      <formula>0</formula>
    </cfRule>
  </conditionalFormatting>
  <conditionalFormatting sqref="Q56">
    <cfRule type="cellIs" dxfId="9" priority="5" operator="greaterThan">
      <formula>0</formula>
    </cfRule>
  </conditionalFormatting>
  <conditionalFormatting sqref="H57">
    <cfRule type="cellIs" dxfId="8" priority="1" operator="equal">
      <formula>$D$57+$F$57</formula>
    </cfRule>
    <cfRule type="cellIs" dxfId="7" priority="3" operator="equal">
      <formula>$F$57</formula>
    </cfRule>
    <cfRule type="cellIs" dxfId="6" priority="4" operator="equal">
      <formula>$E$57+$G$57</formula>
    </cfRule>
  </conditionalFormatting>
  <conditionalFormatting sqref="I57">
    <cfRule type="cellIs" dxfId="5" priority="2" operator="equal">
      <formula>$E$57+$G$57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1897-44D9-4231-8722-393F7801A966}">
  <dimension ref="A1:Q68"/>
  <sheetViews>
    <sheetView tabSelected="1" zoomScale="80" zoomScaleNormal="80" workbookViewId="0">
      <selection activeCell="K47" sqref="K47"/>
    </sheetView>
  </sheetViews>
  <sheetFormatPr defaultRowHeight="14.5" x14ac:dyDescent="0.35"/>
  <cols>
    <col min="4" max="4" width="20.08984375" customWidth="1"/>
    <col min="5" max="5" width="17.90625" customWidth="1"/>
    <col min="6" max="6" width="17.1796875" customWidth="1"/>
    <col min="7" max="7" width="16.54296875" customWidth="1"/>
    <col min="8" max="8" width="33.1796875" customWidth="1"/>
    <col min="9" max="9" width="19.08984375" customWidth="1"/>
    <col min="10" max="10" width="16.7265625" customWidth="1"/>
    <col min="11" max="11" width="32.36328125" customWidth="1"/>
    <col min="12" max="12" width="17.54296875" customWidth="1"/>
    <col min="13" max="13" width="17.08984375" customWidth="1"/>
    <col min="15" max="15" width="20.90625" customWidth="1"/>
    <col min="16" max="16" width="16.1796875" customWidth="1"/>
    <col min="17" max="17" width="16.6328125" customWidth="1"/>
  </cols>
  <sheetData>
    <row r="1" spans="3:13" ht="15" thickBot="1" x14ac:dyDescent="0.4"/>
    <row r="2" spans="3:13" ht="15" thickBot="1" x14ac:dyDescent="0.4">
      <c r="C2" s="25" t="s">
        <v>28</v>
      </c>
      <c r="D2" s="30" t="s">
        <v>29</v>
      </c>
      <c r="E2" s="30" t="s">
        <v>68</v>
      </c>
      <c r="F2" s="136"/>
      <c r="H2" s="25" t="s">
        <v>32</v>
      </c>
      <c r="I2" s="30" t="s">
        <v>33</v>
      </c>
    </row>
    <row r="3" spans="3:13" ht="15" thickBot="1" x14ac:dyDescent="0.4">
      <c r="C3" s="29">
        <v>1</v>
      </c>
      <c r="D3" s="18">
        <v>5420000</v>
      </c>
      <c r="E3" s="18">
        <v>50000</v>
      </c>
      <c r="F3" s="135"/>
      <c r="H3" s="29" t="s">
        <v>34</v>
      </c>
      <c r="I3" s="18">
        <v>500000</v>
      </c>
      <c r="K3" s="25" t="s">
        <v>38</v>
      </c>
      <c r="L3" s="8">
        <f>1+I4</f>
        <v>15</v>
      </c>
    </row>
    <row r="4" spans="3:13" ht="15" thickBot="1" x14ac:dyDescent="0.4">
      <c r="C4" s="29">
        <v>2</v>
      </c>
      <c r="D4" s="18">
        <v>5607000</v>
      </c>
      <c r="E4" s="18">
        <v>150000</v>
      </c>
      <c r="F4" s="134"/>
      <c r="H4" s="29" t="s">
        <v>35</v>
      </c>
      <c r="I4" s="5">
        <v>14</v>
      </c>
      <c r="K4" s="25" t="s">
        <v>39</v>
      </c>
      <c r="L4" s="28">
        <f>L3*I3</f>
        <v>7500000</v>
      </c>
    </row>
    <row r="5" spans="3:13" ht="15" thickBot="1" x14ac:dyDescent="0.4">
      <c r="C5" s="29">
        <v>3</v>
      </c>
      <c r="D5" s="18">
        <v>8017000</v>
      </c>
      <c r="E5" s="18">
        <v>300000</v>
      </c>
      <c r="H5" s="29" t="s">
        <v>36</v>
      </c>
      <c r="I5" s="5"/>
    </row>
    <row r="6" spans="3:13" ht="15" thickBot="1" x14ac:dyDescent="0.4">
      <c r="C6" s="29">
        <v>4</v>
      </c>
      <c r="D6" s="18">
        <v>3954000</v>
      </c>
      <c r="E6" s="18">
        <v>3281820</v>
      </c>
      <c r="F6" s="137"/>
      <c r="H6" s="29" t="s">
        <v>37</v>
      </c>
      <c r="I6" s="5"/>
    </row>
    <row r="7" spans="3:13" ht="15" thickBot="1" x14ac:dyDescent="0.4">
      <c r="C7" s="29">
        <v>5</v>
      </c>
      <c r="D7" s="18">
        <v>9576000</v>
      </c>
      <c r="E7" s="18">
        <v>6798960</v>
      </c>
    </row>
    <row r="8" spans="3:13" ht="15" thickBot="1" x14ac:dyDescent="0.4">
      <c r="C8" s="29" t="s">
        <v>31</v>
      </c>
      <c r="D8" s="32">
        <f>SUM(D3:D7)</f>
        <v>32574000</v>
      </c>
      <c r="E8" s="31">
        <f>SUM(E3:E7)</f>
        <v>10580780</v>
      </c>
    </row>
    <row r="9" spans="3:13" ht="9" customHeight="1" x14ac:dyDescent="0.35"/>
    <row r="10" spans="3:13" x14ac:dyDescent="0.35">
      <c r="H10" s="165" t="s">
        <v>40</v>
      </c>
      <c r="I10" s="165"/>
      <c r="K10" s="166" t="s">
        <v>151</v>
      </c>
      <c r="L10" s="166"/>
      <c r="M10" s="166"/>
    </row>
    <row r="11" spans="3:13" x14ac:dyDescent="0.35">
      <c r="H11" s="165"/>
      <c r="I11" s="165"/>
      <c r="K11" s="166"/>
      <c r="L11" s="166"/>
      <c r="M11" s="166"/>
    </row>
    <row r="12" spans="3:13" ht="31.5" customHeight="1" x14ac:dyDescent="0.35">
      <c r="D12" s="4"/>
      <c r="E12" s="4"/>
      <c r="H12" s="165"/>
      <c r="I12" s="165"/>
      <c r="K12" s="166"/>
      <c r="L12" s="166"/>
      <c r="M12" s="166"/>
    </row>
    <row r="13" spans="3:13" ht="15" thickBot="1" x14ac:dyDescent="0.4">
      <c r="E13" s="4"/>
    </row>
    <row r="14" spans="3:13" ht="15" thickBot="1" x14ac:dyDescent="0.4">
      <c r="H14" s="25" t="s">
        <v>41</v>
      </c>
      <c r="I14" s="30" t="s">
        <v>33</v>
      </c>
      <c r="K14" s="25" t="s">
        <v>41</v>
      </c>
      <c r="L14" s="30" t="s">
        <v>33</v>
      </c>
    </row>
    <row r="15" spans="3:13" ht="15" thickBot="1" x14ac:dyDescent="0.4">
      <c r="H15" s="29" t="s">
        <v>34</v>
      </c>
      <c r="I15" s="18">
        <v>100000</v>
      </c>
      <c r="K15" s="29" t="s">
        <v>42</v>
      </c>
      <c r="L15" s="18">
        <v>5000000</v>
      </c>
    </row>
    <row r="16" spans="3:13" ht="15" thickBot="1" x14ac:dyDescent="0.4">
      <c r="H16" s="29" t="s">
        <v>35</v>
      </c>
      <c r="I16" s="18">
        <v>400000</v>
      </c>
      <c r="K16" s="29" t="s">
        <v>43</v>
      </c>
      <c r="L16" s="18">
        <v>500000</v>
      </c>
    </row>
    <row r="17" spans="1:12" ht="15" thickBot="1" x14ac:dyDescent="0.4">
      <c r="H17" s="29" t="s">
        <v>36</v>
      </c>
      <c r="I17" s="5"/>
      <c r="K17" s="29" t="s">
        <v>44</v>
      </c>
      <c r="L17" s="18">
        <v>250000</v>
      </c>
    </row>
    <row r="18" spans="1:12" ht="15" thickBot="1" x14ac:dyDescent="0.4">
      <c r="H18" s="29" t="s">
        <v>37</v>
      </c>
      <c r="I18" s="5"/>
    </row>
    <row r="20" spans="1:12" x14ac:dyDescent="0.35">
      <c r="A20" s="169" t="s">
        <v>49</v>
      </c>
      <c r="B20" s="169"/>
      <c r="C20" s="169"/>
      <c r="D20" s="169"/>
      <c r="E20" s="169"/>
    </row>
    <row r="21" spans="1:12" ht="15" thickBot="1" x14ac:dyDescent="0.4">
      <c r="F21" s="170" t="s">
        <v>32</v>
      </c>
      <c r="G21" s="170"/>
      <c r="H21" s="171"/>
    </row>
    <row r="22" spans="1:12" ht="15" thickBot="1" x14ac:dyDescent="0.4">
      <c r="F22" s="172"/>
      <c r="G22" s="172"/>
      <c r="H22" s="173"/>
      <c r="K22" s="30" t="s">
        <v>51</v>
      </c>
    </row>
    <row r="23" spans="1:12" ht="15" thickBot="1" x14ac:dyDescent="0.4">
      <c r="C23" s="25" t="s">
        <v>28</v>
      </c>
      <c r="D23" s="30" t="s">
        <v>29</v>
      </c>
      <c r="E23" s="30" t="s">
        <v>68</v>
      </c>
      <c r="F23" s="30" t="s">
        <v>45</v>
      </c>
      <c r="G23" s="30" t="s">
        <v>46</v>
      </c>
      <c r="H23" s="30" t="s">
        <v>47</v>
      </c>
      <c r="I23" s="30" t="s">
        <v>48</v>
      </c>
      <c r="K23" s="8" t="s">
        <v>52</v>
      </c>
      <c r="L23" s="34">
        <f>F29</f>
        <v>2500000</v>
      </c>
    </row>
    <row r="24" spans="1:12" ht="15" thickBot="1" x14ac:dyDescent="0.4">
      <c r="C24" s="29">
        <v>1</v>
      </c>
      <c r="D24" s="33">
        <f>D3</f>
        <v>5420000</v>
      </c>
      <c r="E24" s="33">
        <f>E3</f>
        <v>50000</v>
      </c>
      <c r="F24" s="33">
        <f>IF(D24&gt;$I$3,$I$3,D24)</f>
        <v>500000</v>
      </c>
      <c r="G24" s="33">
        <f t="shared" ref="G24:G26" si="0">IF(F24=D24,0,IF(D24-F24&gt;$I$3*$I$4,$I$3*$I$4,D24-F24))</f>
        <v>4920000</v>
      </c>
      <c r="H24" s="33">
        <f>G24+F24</f>
        <v>5420000</v>
      </c>
      <c r="I24" s="33">
        <f>D24-H24</f>
        <v>0</v>
      </c>
      <c r="K24" s="8" t="s">
        <v>53</v>
      </c>
      <c r="L24" s="34">
        <f>G29</f>
        <v>27481000</v>
      </c>
    </row>
    <row r="25" spans="1:12" ht="15" thickBot="1" x14ac:dyDescent="0.4">
      <c r="C25" s="29">
        <v>2</v>
      </c>
      <c r="D25" s="33">
        <f t="shared" ref="D25:E28" si="1">D4</f>
        <v>5607000</v>
      </c>
      <c r="E25" s="33">
        <f t="shared" si="1"/>
        <v>150000</v>
      </c>
      <c r="F25" s="33">
        <f>IF(D25&gt;$I$3,$I$3,D25)</f>
        <v>500000</v>
      </c>
      <c r="G25" s="33">
        <f t="shared" si="0"/>
        <v>5107000</v>
      </c>
      <c r="H25" s="33">
        <f>G25+F25</f>
        <v>5607000</v>
      </c>
      <c r="I25" s="33">
        <f>D25-H25</f>
        <v>0</v>
      </c>
      <c r="K25" s="8" t="s">
        <v>54</v>
      </c>
      <c r="L25" s="34">
        <f>H29</f>
        <v>29981000</v>
      </c>
    </row>
    <row r="26" spans="1:12" ht="15" thickBot="1" x14ac:dyDescent="0.4">
      <c r="C26" s="29">
        <v>3</v>
      </c>
      <c r="D26" s="33">
        <f t="shared" si="1"/>
        <v>8017000</v>
      </c>
      <c r="E26" s="33">
        <f t="shared" si="1"/>
        <v>300000</v>
      </c>
      <c r="F26" s="33">
        <f>IF(D26&gt;$I$3,$I$3,D26)</f>
        <v>500000</v>
      </c>
      <c r="G26" s="33">
        <f t="shared" si="0"/>
        <v>7000000</v>
      </c>
      <c r="H26" s="33">
        <f>G26+F26</f>
        <v>7500000</v>
      </c>
      <c r="I26" s="33">
        <f>D26-H26</f>
        <v>517000</v>
      </c>
      <c r="K26" s="8" t="s">
        <v>55</v>
      </c>
      <c r="L26" s="34">
        <f>I29</f>
        <v>2593000</v>
      </c>
    </row>
    <row r="27" spans="1:12" ht="15" thickBot="1" x14ac:dyDescent="0.4">
      <c r="C27" s="29">
        <v>4</v>
      </c>
      <c r="D27" s="33">
        <f t="shared" si="1"/>
        <v>3954000</v>
      </c>
      <c r="E27" s="33">
        <f t="shared" si="1"/>
        <v>3281820</v>
      </c>
      <c r="F27" s="33">
        <f>IF(D27&gt;$I$3,$I$3,D27)</f>
        <v>500000</v>
      </c>
      <c r="G27" s="33">
        <f>IF(F27=D27,0,IF(D27-F27&gt;$I$3*$I$4,$I$3*$I$4,D27-F27))</f>
        <v>3454000</v>
      </c>
      <c r="H27" s="33">
        <f>G27+F27</f>
        <v>3954000</v>
      </c>
      <c r="I27" s="33">
        <f>D27-H27</f>
        <v>0</v>
      </c>
    </row>
    <row r="28" spans="1:12" ht="15" thickBot="1" x14ac:dyDescent="0.4">
      <c r="C28" s="29">
        <v>5</v>
      </c>
      <c r="D28" s="33">
        <f t="shared" si="1"/>
        <v>9576000</v>
      </c>
      <c r="E28" s="33">
        <f t="shared" si="1"/>
        <v>6798960</v>
      </c>
      <c r="F28" s="33">
        <f>IF(D28&gt;$I$3,$I$3,D28)</f>
        <v>500000</v>
      </c>
      <c r="G28" s="33">
        <f>IF(F28=D28,0,IF(D28-F28&gt;$I$3*$I$4,$I$3*$I$4,D28-F28))</f>
        <v>7000000</v>
      </c>
      <c r="H28" s="33">
        <f>G28+F28</f>
        <v>7500000</v>
      </c>
      <c r="I28" s="33">
        <f>D28-H28</f>
        <v>2076000</v>
      </c>
    </row>
    <row r="29" spans="1:12" ht="15" thickBot="1" x14ac:dyDescent="0.4">
      <c r="C29" s="29" t="s">
        <v>31</v>
      </c>
      <c r="D29" s="34">
        <f t="shared" ref="D29:I29" si="2">SUM(D24:D28)</f>
        <v>32574000</v>
      </c>
      <c r="E29" s="35">
        <f t="shared" si="2"/>
        <v>10580780</v>
      </c>
      <c r="F29" s="35">
        <f t="shared" si="2"/>
        <v>2500000</v>
      </c>
      <c r="G29" s="35">
        <f t="shared" si="2"/>
        <v>27481000</v>
      </c>
      <c r="H29" s="35">
        <f t="shared" si="2"/>
        <v>29981000</v>
      </c>
      <c r="I29" s="35">
        <f t="shared" si="2"/>
        <v>2593000</v>
      </c>
    </row>
    <row r="31" spans="1:12" x14ac:dyDescent="0.35">
      <c r="G31" s="133"/>
    </row>
    <row r="32" spans="1:12" x14ac:dyDescent="0.35">
      <c r="H32" s="1"/>
    </row>
    <row r="33" spans="1:12" x14ac:dyDescent="0.35">
      <c r="F33" s="4"/>
      <c r="G33" s="4"/>
    </row>
    <row r="34" spans="1:12" x14ac:dyDescent="0.35">
      <c r="A34" s="169" t="s">
        <v>50</v>
      </c>
      <c r="B34" s="169"/>
      <c r="C34" s="169"/>
      <c r="D34" s="169"/>
      <c r="E34" s="169"/>
    </row>
    <row r="36" spans="1:12" ht="15" thickBot="1" x14ac:dyDescent="0.4"/>
    <row r="37" spans="1:12" ht="15" thickBot="1" x14ac:dyDescent="0.4">
      <c r="C37" s="25" t="s">
        <v>28</v>
      </c>
      <c r="D37" s="30" t="s">
        <v>56</v>
      </c>
      <c r="E37" s="30" t="s">
        <v>68</v>
      </c>
      <c r="F37" s="30" t="s">
        <v>45</v>
      </c>
      <c r="G37" s="30" t="s">
        <v>41</v>
      </c>
      <c r="H37" s="30" t="s">
        <v>57</v>
      </c>
      <c r="I37" s="30" t="s">
        <v>58</v>
      </c>
      <c r="K37" s="30" t="s">
        <v>51</v>
      </c>
    </row>
    <row r="38" spans="1:12" ht="15" thickBot="1" x14ac:dyDescent="0.4">
      <c r="C38" s="29">
        <v>1</v>
      </c>
      <c r="D38" s="33">
        <f>F24</f>
        <v>500000</v>
      </c>
      <c r="E38" s="33">
        <f>IF(E24&lt;$I$3,E24,$I$3)</f>
        <v>50000</v>
      </c>
      <c r="F38" s="33">
        <f>IF(E38&gt;0,IF(E38&gt;$I$15,$I$15,E38),0)</f>
        <v>50000</v>
      </c>
      <c r="G38" s="33">
        <f>IF(E38-F38&gt;$I$16,$I$16,IF(E38=0,0,E38-F38))</f>
        <v>0</v>
      </c>
      <c r="H38" s="33">
        <f>D38</f>
        <v>500000</v>
      </c>
      <c r="I38" s="33">
        <f>IF(D38&gt;$I$16+$I$15,D38-$I$16-$I$15,0)</f>
        <v>0</v>
      </c>
      <c r="K38" s="8" t="s">
        <v>52</v>
      </c>
      <c r="L38" s="34">
        <f>F43+F29</f>
        <v>2950000</v>
      </c>
    </row>
    <row r="39" spans="1:12" ht="15" thickBot="1" x14ac:dyDescent="0.4">
      <c r="C39" s="29">
        <v>2</v>
      </c>
      <c r="D39" s="33">
        <f t="shared" ref="D39:D42" si="3">F25</f>
        <v>500000</v>
      </c>
      <c r="E39" s="33">
        <f t="shared" ref="E39:E42" si="4">IF(E25&lt;$I$3,E25,$I$3)</f>
        <v>150000</v>
      </c>
      <c r="F39" s="33">
        <f t="shared" ref="F39:F42" si="5">IF(E39&gt;0,IF(E39&gt;$I$15,$I$15,E39),0)</f>
        <v>100000</v>
      </c>
      <c r="G39" s="33">
        <f t="shared" ref="G39:G42" si="6">IF(E39-F39&gt;$I$16,$I$16,IF(E39=0,0,E39-F39))</f>
        <v>50000</v>
      </c>
      <c r="H39" s="33">
        <f t="shared" ref="H39:H42" si="7">D39</f>
        <v>500000</v>
      </c>
      <c r="I39" s="33">
        <f>IF(D39&gt;$I$16+$I$15,D39-$I$16-$I$15,0)</f>
        <v>0</v>
      </c>
      <c r="K39" s="8" t="s">
        <v>59</v>
      </c>
      <c r="L39" s="34">
        <f>H43</f>
        <v>2500000</v>
      </c>
    </row>
    <row r="40" spans="1:12" ht="15" thickBot="1" x14ac:dyDescent="0.4">
      <c r="C40" s="29">
        <v>3</v>
      </c>
      <c r="D40" s="33">
        <f t="shared" si="3"/>
        <v>500000</v>
      </c>
      <c r="E40" s="33">
        <f t="shared" si="4"/>
        <v>300000</v>
      </c>
      <c r="F40" s="33">
        <f t="shared" si="5"/>
        <v>100000</v>
      </c>
      <c r="G40" s="33">
        <f t="shared" si="6"/>
        <v>200000</v>
      </c>
      <c r="H40" s="33">
        <f t="shared" si="7"/>
        <v>500000</v>
      </c>
      <c r="I40" s="33">
        <f>IF(D40&gt;$I$16+$I$15,D40-$I$16-$I$15,0)</f>
        <v>0</v>
      </c>
      <c r="K40" s="8" t="s">
        <v>61</v>
      </c>
      <c r="L40" s="34">
        <f>H29+H43</f>
        <v>32481000</v>
      </c>
    </row>
    <row r="41" spans="1:12" ht="15" thickBot="1" x14ac:dyDescent="0.4">
      <c r="C41" s="29">
        <v>4</v>
      </c>
      <c r="D41" s="33">
        <f t="shared" si="3"/>
        <v>500000</v>
      </c>
      <c r="E41" s="33">
        <f t="shared" si="4"/>
        <v>500000</v>
      </c>
      <c r="F41" s="33">
        <f t="shared" si="5"/>
        <v>100000</v>
      </c>
      <c r="G41" s="33">
        <f t="shared" si="6"/>
        <v>400000</v>
      </c>
      <c r="H41" s="33">
        <f t="shared" si="7"/>
        <v>500000</v>
      </c>
      <c r="I41" s="33">
        <f>IF(D41&gt;$I$16+$I$15,D41-$I$16-$I$15,0)</f>
        <v>0</v>
      </c>
      <c r="K41" s="8" t="s">
        <v>60</v>
      </c>
      <c r="L41" s="34">
        <f>I43</f>
        <v>0</v>
      </c>
    </row>
    <row r="42" spans="1:12" ht="15" thickBot="1" x14ac:dyDescent="0.4">
      <c r="C42" s="29">
        <v>5</v>
      </c>
      <c r="D42" s="33">
        <f t="shared" si="3"/>
        <v>500000</v>
      </c>
      <c r="E42" s="33">
        <f t="shared" si="4"/>
        <v>500000</v>
      </c>
      <c r="F42" s="33">
        <f t="shared" si="5"/>
        <v>100000</v>
      </c>
      <c r="G42" s="33">
        <f t="shared" si="6"/>
        <v>400000</v>
      </c>
      <c r="H42" s="33">
        <f t="shared" si="7"/>
        <v>500000</v>
      </c>
      <c r="I42" s="33">
        <f>IF(D42&gt;$I$16+$I$15,D42-$I$16-$I$15,0)</f>
        <v>0</v>
      </c>
    </row>
    <row r="43" spans="1:12" ht="15" thickBot="1" x14ac:dyDescent="0.4">
      <c r="C43" s="29" t="s">
        <v>31</v>
      </c>
      <c r="D43" s="34">
        <f t="shared" ref="D43:I43" si="8">SUM(D38:D42)</f>
        <v>2500000</v>
      </c>
      <c r="E43" s="35">
        <f t="shared" si="8"/>
        <v>1500000</v>
      </c>
      <c r="F43" s="35">
        <f t="shared" si="8"/>
        <v>450000</v>
      </c>
      <c r="G43" s="35">
        <f t="shared" si="8"/>
        <v>1050000</v>
      </c>
      <c r="H43" s="35">
        <f t="shared" si="8"/>
        <v>2500000</v>
      </c>
      <c r="I43" s="35">
        <f t="shared" si="8"/>
        <v>0</v>
      </c>
    </row>
    <row r="47" spans="1:12" x14ac:dyDescent="0.35">
      <c r="A47" s="180" t="s">
        <v>152</v>
      </c>
      <c r="B47" s="180"/>
      <c r="C47" s="180"/>
      <c r="D47" s="180"/>
      <c r="E47" s="180"/>
    </row>
    <row r="48" spans="1:12" ht="15" thickBot="1" x14ac:dyDescent="0.4">
      <c r="A48" s="180"/>
      <c r="B48" s="180"/>
      <c r="C48" s="180"/>
      <c r="D48" s="180"/>
      <c r="E48" s="180"/>
    </row>
    <row r="49" spans="3:17" ht="15" thickBot="1" x14ac:dyDescent="0.4">
      <c r="O49" s="30" t="s">
        <v>51</v>
      </c>
      <c r="P49" s="30" t="s">
        <v>86</v>
      </c>
      <c r="Q49" s="30" t="s">
        <v>87</v>
      </c>
    </row>
    <row r="50" spans="3:17" ht="15" thickBot="1" x14ac:dyDescent="0.4">
      <c r="D50" s="174" t="s">
        <v>46</v>
      </c>
      <c r="E50" s="175"/>
      <c r="F50" s="176" t="s">
        <v>41</v>
      </c>
      <c r="G50" s="177"/>
      <c r="H50" s="181" t="s">
        <v>154</v>
      </c>
      <c r="I50" s="182"/>
      <c r="J50" s="178" t="s">
        <v>64</v>
      </c>
      <c r="K50" s="179"/>
      <c r="L50" s="167" t="s">
        <v>65</v>
      </c>
      <c r="M50" s="168"/>
      <c r="O50" s="8" t="s">
        <v>32</v>
      </c>
      <c r="P50" s="61">
        <f>D57</f>
        <v>906252.68309710384</v>
      </c>
      <c r="Q50" s="61">
        <f>E57</f>
        <v>9674527.3169028964</v>
      </c>
    </row>
    <row r="51" spans="3:17" ht="15" thickBot="1" x14ac:dyDescent="0.4">
      <c r="C51" s="25" t="s">
        <v>28</v>
      </c>
      <c r="D51" s="30" t="s">
        <v>62</v>
      </c>
      <c r="E51" s="30" t="s">
        <v>63</v>
      </c>
      <c r="F51" s="30" t="s">
        <v>62</v>
      </c>
      <c r="G51" s="30" t="s">
        <v>63</v>
      </c>
      <c r="H51" s="30" t="s">
        <v>62</v>
      </c>
      <c r="I51" s="30" t="s">
        <v>63</v>
      </c>
      <c r="J51" s="30" t="s">
        <v>62</v>
      </c>
      <c r="K51" s="30" t="s">
        <v>63</v>
      </c>
      <c r="L51" s="30" t="s">
        <v>62</v>
      </c>
      <c r="M51" s="30" t="s">
        <v>63</v>
      </c>
      <c r="O51" s="8" t="s">
        <v>92</v>
      </c>
      <c r="P51" s="163">
        <f>P50+Q50</f>
        <v>10580780</v>
      </c>
      <c r="Q51" s="164"/>
    </row>
    <row r="52" spans="3:17" ht="15" thickBot="1" x14ac:dyDescent="0.4">
      <c r="C52" s="29">
        <v>1</v>
      </c>
      <c r="D52" s="33">
        <f>IF(F24&gt;0,IF(E24&gt;0,IF(H24&gt;0,F24/H24*E24,0),0),0)</f>
        <v>4612.5461254612546</v>
      </c>
      <c r="E52" s="33">
        <f>IF(E3-D52&lt;$L$4,E3-D52,$L$4-$I$3)</f>
        <v>45387.453874538747</v>
      </c>
      <c r="F52" s="33">
        <f>IF(D52&gt;$I$15,$I$15,D52)</f>
        <v>4612.5461254612546</v>
      </c>
      <c r="G52" s="33">
        <f>IF(F52=D52,0,IF(D52-F52&gt;$I$16,$I$16,D52-F52))</f>
        <v>0</v>
      </c>
      <c r="H52" s="33">
        <f>F52</f>
        <v>4612.5461254612546</v>
      </c>
      <c r="I52" s="33">
        <f>E52+G52</f>
        <v>45387.453874538747</v>
      </c>
      <c r="J52" s="33">
        <f>IF(F52&lt;$L$16,F52,$L$16)</f>
        <v>4612.5461254612546</v>
      </c>
      <c r="K52" s="63">
        <f>IF(F52&gt;$L$16,IF(F52-$L$16&gt;$L$15,$L$15,F52-$L$16),0)</f>
        <v>0</v>
      </c>
      <c r="L52" s="33">
        <f>IF($L$15=0,D52+F52,J52)</f>
        <v>4612.5461254612546</v>
      </c>
      <c r="M52" s="33">
        <f>IF($L$15=0,E52+G52,E52+G52+K52)</f>
        <v>45387.453874538747</v>
      </c>
      <c r="O52" s="8" t="s">
        <v>85</v>
      </c>
      <c r="P52" s="34">
        <f>D57+F57</f>
        <v>1144241.3661942077</v>
      </c>
      <c r="Q52" s="34">
        <f>E57+G57</f>
        <v>10342791.316902896</v>
      </c>
    </row>
    <row r="53" spans="3:17" ht="15" thickBot="1" x14ac:dyDescent="0.4">
      <c r="C53" s="29">
        <v>2</v>
      </c>
      <c r="D53" s="33">
        <f t="shared" ref="D53:D56" si="9">IF(F25&gt;0,IF(E25&gt;0,IF(H25&gt;0,F25/H25*E25,0),0),0)</f>
        <v>13376.136971642589</v>
      </c>
      <c r="E53" s="33">
        <f>IF(E4-D53&lt;$L$4,E4-D53,$L$4-$I$3)</f>
        <v>136623.86302835742</v>
      </c>
      <c r="F53" s="33">
        <f t="shared" ref="F53:F56" si="10">IF(D53&gt;$I$15,$I$15,D53)</f>
        <v>13376.136971642589</v>
      </c>
      <c r="G53" s="33">
        <f t="shared" ref="G53:G56" si="11">IF(F53=D53,0,IF(D53-F53&gt;$I$16,$I$16,D53-F53))</f>
        <v>0</v>
      </c>
      <c r="H53" s="33">
        <f>F53+H52</f>
        <v>17988.683097103843</v>
      </c>
      <c r="I53" s="33">
        <f>E53+I52+G53</f>
        <v>182011.31690289616</v>
      </c>
      <c r="J53" s="33">
        <f ca="1">IF(J52=0,0,IF($L$16&gt;H53,H53-H52,$L$16-SUM($J$52:INDIRECT(ADDRESS(ROW(J53)-1,COLUMN(J53))))))</f>
        <v>13376.136971642589</v>
      </c>
      <c r="K53" s="63">
        <f t="shared" ref="K53:K56" si="12">IF(F53&gt;$L$16,IF(F53-$L$16&gt;$L$15,$L$15,F53-$L$16),0)</f>
        <v>0</v>
      </c>
      <c r="L53" s="33">
        <f ca="1">IF($L$15=0,D53+F53,J53)</f>
        <v>13376.136971642589</v>
      </c>
      <c r="M53" s="33">
        <f>IF($L$15=0,E53+G53,E53+G53+K53)</f>
        <v>136623.86302835742</v>
      </c>
      <c r="O53" s="8" t="s">
        <v>88</v>
      </c>
      <c r="P53" s="159">
        <f>P52+Q52</f>
        <v>11487032.683097104</v>
      </c>
      <c r="Q53" s="160"/>
    </row>
    <row r="54" spans="3:17" ht="15" thickBot="1" x14ac:dyDescent="0.4">
      <c r="C54" s="29">
        <v>3</v>
      </c>
      <c r="D54" s="33">
        <f>IF(F26&gt;0,IF(E26&gt;0,IF(H26&gt;0,F26/H26*E26,0),0),0)</f>
        <v>20000</v>
      </c>
      <c r="E54" s="33">
        <f>IF(E5-D54&lt;$L$4,E5-D54,$L$4-$I$3)</f>
        <v>280000</v>
      </c>
      <c r="F54" s="33">
        <f t="shared" si="10"/>
        <v>20000</v>
      </c>
      <c r="G54" s="33">
        <f t="shared" si="11"/>
        <v>0</v>
      </c>
      <c r="H54" s="33">
        <f t="shared" ref="H54:H56" si="13">F54+H53</f>
        <v>37988.683097103843</v>
      </c>
      <c r="I54" s="33">
        <f t="shared" ref="I54:I56" si="14">E54+I53+G54</f>
        <v>462011.31690289616</v>
      </c>
      <c r="J54" s="33">
        <f ca="1">IF(J53=0,0,IF($L$16&gt;H54,H54-H53,$L$16-SUM($J$52:INDIRECT(ADDRESS(ROW(J54)-1,COLUMN(J54))))))</f>
        <v>20000</v>
      </c>
      <c r="K54" s="63">
        <f t="shared" si="12"/>
        <v>0</v>
      </c>
      <c r="L54" s="33">
        <f ca="1">IF($L$15=0,D54+F54,J54)</f>
        <v>20000</v>
      </c>
      <c r="M54" s="33">
        <f>IF($L$15=0,E54+G54,E54+G54+K54)</f>
        <v>280000</v>
      </c>
      <c r="O54" s="8" t="s">
        <v>89</v>
      </c>
      <c r="P54" s="62">
        <f ca="1">L57</f>
        <v>237988.68309710384</v>
      </c>
      <c r="Q54" s="62">
        <f>M57</f>
        <v>10342791.316902896</v>
      </c>
    </row>
    <row r="55" spans="3:17" ht="15" thickBot="1" x14ac:dyDescent="0.4">
      <c r="C55" s="29">
        <v>4</v>
      </c>
      <c r="D55" s="33">
        <f t="shared" si="9"/>
        <v>415000</v>
      </c>
      <c r="E55" s="33">
        <f>IF(E6-D55&lt;$L$4,E6-D55,$L$4-$I$3)</f>
        <v>2866820</v>
      </c>
      <c r="F55" s="33">
        <f t="shared" si="10"/>
        <v>100000</v>
      </c>
      <c r="G55" s="33">
        <f t="shared" si="11"/>
        <v>315000</v>
      </c>
      <c r="H55" s="33">
        <f t="shared" si="13"/>
        <v>137988.68309710384</v>
      </c>
      <c r="I55" s="33">
        <f t="shared" si="14"/>
        <v>3643831.3169028964</v>
      </c>
      <c r="J55" s="33">
        <f ca="1">IF(J54=0,0,IF($L$16&gt;H55,H55-H54,$L$16-SUM($J$52:INDIRECT(ADDRESS(ROW(J55)-1,COLUMN(J55))))))</f>
        <v>100000</v>
      </c>
      <c r="K55" s="63">
        <f t="shared" si="12"/>
        <v>0</v>
      </c>
      <c r="L55" s="33">
        <f ca="1">IF($L$15=0,D55+F55,J55)</f>
        <v>100000</v>
      </c>
      <c r="M55" s="33">
        <f>IF($L$15=0,E55+G55,E55+G55+K55)</f>
        <v>3181820</v>
      </c>
      <c r="O55" s="8" t="s">
        <v>90</v>
      </c>
      <c r="P55" s="161">
        <f ca="1">P54+Q54</f>
        <v>10580780</v>
      </c>
      <c r="Q55" s="162"/>
    </row>
    <row r="56" spans="3:17" ht="15" thickBot="1" x14ac:dyDescent="0.4">
      <c r="C56" s="29">
        <v>5</v>
      </c>
      <c r="D56" s="33">
        <f t="shared" si="9"/>
        <v>453264</v>
      </c>
      <c r="E56" s="33">
        <f>IF(E7-D56&lt;$L$4,E7-D56,$L$4-$I$3)</f>
        <v>6345696</v>
      </c>
      <c r="F56" s="33">
        <f t="shared" si="10"/>
        <v>100000</v>
      </c>
      <c r="G56" s="33">
        <f t="shared" si="11"/>
        <v>353264</v>
      </c>
      <c r="H56" s="33">
        <f t="shared" si="13"/>
        <v>237988.68309710384</v>
      </c>
      <c r="I56" s="33">
        <f t="shared" si="14"/>
        <v>10342791.316902896</v>
      </c>
      <c r="J56" s="33">
        <f ca="1">IF(J55=0,0,IF($L$16&gt;H56,H56-H55,$L$16-SUM($J$52:INDIRECT(ADDRESS(ROW(J56)-1,COLUMN(J56))))))</f>
        <v>100000</v>
      </c>
      <c r="K56" s="63">
        <f t="shared" si="12"/>
        <v>0</v>
      </c>
      <c r="L56" s="33">
        <f ca="1">IF($L$15=0,D56+F56,J56)</f>
        <v>100000</v>
      </c>
      <c r="M56" s="33">
        <f>IF($L$15=0,E56+G56,E56+G56+K56)</f>
        <v>6698960</v>
      </c>
      <c r="O56" s="8" t="s">
        <v>91</v>
      </c>
      <c r="P56" s="34">
        <f ca="1">P54-P52</f>
        <v>-906252.68309710384</v>
      </c>
      <c r="Q56" s="34">
        <f>Q54-Q52</f>
        <v>0</v>
      </c>
    </row>
    <row r="57" spans="3:17" ht="15" thickBot="1" x14ac:dyDescent="0.4">
      <c r="C57" s="29" t="s">
        <v>31</v>
      </c>
      <c r="D57" s="34">
        <f t="shared" ref="D57:G57" si="15">SUM(D52:D56)</f>
        <v>906252.68309710384</v>
      </c>
      <c r="E57" s="35">
        <f t="shared" si="15"/>
        <v>9674527.3169028964</v>
      </c>
      <c r="F57" s="35">
        <f t="shared" si="15"/>
        <v>237988.68309710384</v>
      </c>
      <c r="G57" s="35">
        <f t="shared" si="15"/>
        <v>668264</v>
      </c>
      <c r="H57" s="138">
        <f>H56</f>
        <v>237988.68309710384</v>
      </c>
      <c r="I57" s="138">
        <f>I56</f>
        <v>10342791.316902896</v>
      </c>
      <c r="J57" s="35">
        <f ca="1">SUM(J52:J56)</f>
        <v>237988.68309710384</v>
      </c>
      <c r="K57" s="35">
        <f>SUM(K52:K56)</f>
        <v>0</v>
      </c>
      <c r="L57" s="35">
        <f ca="1">SUM(L52:L56)</f>
        <v>237988.68309710384</v>
      </c>
      <c r="M57" s="35">
        <f>SUM(M52:M56)</f>
        <v>10342791.316902896</v>
      </c>
    </row>
    <row r="58" spans="3:17" x14ac:dyDescent="0.35">
      <c r="I58" s="4"/>
    </row>
    <row r="60" spans="3:17" x14ac:dyDescent="0.35">
      <c r="K60" s="4"/>
    </row>
    <row r="65" spans="9:11" ht="14.5" customHeight="1" x14ac:dyDescent="0.35">
      <c r="I65" s="183" t="s">
        <v>153</v>
      </c>
      <c r="J65" s="183"/>
      <c r="K65" s="183"/>
    </row>
    <row r="66" spans="9:11" x14ac:dyDescent="0.35">
      <c r="I66" s="183"/>
      <c r="J66" s="183"/>
      <c r="K66" s="183"/>
    </row>
    <row r="67" spans="9:11" x14ac:dyDescent="0.35">
      <c r="I67" s="183"/>
      <c r="J67" s="183"/>
      <c r="K67" s="183"/>
    </row>
    <row r="68" spans="9:11" x14ac:dyDescent="0.35">
      <c r="I68" s="183"/>
      <c r="J68" s="183"/>
      <c r="K68" s="183"/>
    </row>
  </sheetData>
  <mergeCells count="15">
    <mergeCell ref="A47:E48"/>
    <mergeCell ref="H10:I12"/>
    <mergeCell ref="K10:M12"/>
    <mergeCell ref="A20:E20"/>
    <mergeCell ref="F21:H22"/>
    <mergeCell ref="A34:E34"/>
    <mergeCell ref="P55:Q55"/>
    <mergeCell ref="L50:M50"/>
    <mergeCell ref="H50:I50"/>
    <mergeCell ref="I65:K68"/>
    <mergeCell ref="D50:E50"/>
    <mergeCell ref="F50:G50"/>
    <mergeCell ref="J50:K50"/>
    <mergeCell ref="P51:Q51"/>
    <mergeCell ref="P53:Q53"/>
  </mergeCells>
  <conditionalFormatting sqref="P56:Q56">
    <cfRule type="cellIs" dxfId="4" priority="5" operator="lessThan">
      <formula>0</formula>
    </cfRule>
  </conditionalFormatting>
  <conditionalFormatting sqref="Q56">
    <cfRule type="cellIs" dxfId="3" priority="4" operator="greaterThan">
      <formula>0</formula>
    </cfRule>
  </conditionalFormatting>
  <conditionalFormatting sqref="H57">
    <cfRule type="cellIs" dxfId="2" priority="2" operator="equal">
      <formula>$F$57</formula>
    </cfRule>
    <cfRule type="cellIs" dxfId="1" priority="3" operator="equal">
      <formula>$E$57+$G$57</formula>
    </cfRule>
  </conditionalFormatting>
  <conditionalFormatting sqref="I57">
    <cfRule type="cellIs" dxfId="0" priority="1" operator="equal">
      <formula>$E$57+$G$57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5079-A8E8-4625-AD04-97880E89D3A9}">
  <dimension ref="B1:S60"/>
  <sheetViews>
    <sheetView showGridLines="0" zoomScale="80" zoomScaleNormal="80" workbookViewId="0">
      <selection activeCell="B26" sqref="B26"/>
    </sheetView>
  </sheetViews>
  <sheetFormatPr defaultRowHeight="14.5" x14ac:dyDescent="0.35"/>
  <cols>
    <col min="1" max="1" width="2.6328125" style="36" customWidth="1"/>
    <col min="2" max="2" width="49.36328125" style="36" customWidth="1"/>
    <col min="3" max="3" width="14.453125" style="36" bestFit="1" customWidth="1"/>
    <col min="4" max="4" width="8.7265625" style="36"/>
    <col min="5" max="5" width="2" style="36" customWidth="1"/>
    <col min="6" max="6" width="11.08984375" style="36" customWidth="1"/>
    <col min="7" max="7" width="16.6328125" style="36" bestFit="1" customWidth="1"/>
    <col min="8" max="8" width="16.6328125" style="36" customWidth="1"/>
    <col min="9" max="9" width="17.08984375" style="36" bestFit="1" customWidth="1"/>
    <col min="10" max="11" width="15.81640625" style="36" bestFit="1" customWidth="1"/>
    <col min="12" max="13" width="19.453125" style="36" bestFit="1" customWidth="1"/>
    <col min="14" max="15" width="8.7265625" style="36"/>
    <col min="16" max="17" width="19.453125" style="36" bestFit="1" customWidth="1"/>
    <col min="18" max="19" width="14.453125" style="36" bestFit="1" customWidth="1"/>
    <col min="20" max="257" width="8.7265625" style="36"/>
    <col min="258" max="258" width="49.36328125" style="36" customWidth="1"/>
    <col min="259" max="259" width="14.453125" style="36" bestFit="1" customWidth="1"/>
    <col min="260" max="261" width="8.7265625" style="36"/>
    <col min="262" max="262" width="11.08984375" style="36" customWidth="1"/>
    <col min="263" max="263" width="14.453125" style="36" bestFit="1" customWidth="1"/>
    <col min="264" max="264" width="15.36328125" style="36" bestFit="1" customWidth="1"/>
    <col min="265" max="265" width="14.453125" style="36" bestFit="1" customWidth="1"/>
    <col min="266" max="266" width="12.54296875" style="36" bestFit="1" customWidth="1"/>
    <col min="267" max="267" width="14.6328125" style="36" bestFit="1" customWidth="1"/>
    <col min="268" max="269" width="19.453125" style="36" bestFit="1" customWidth="1"/>
    <col min="270" max="513" width="8.7265625" style="36"/>
    <col min="514" max="514" width="49.36328125" style="36" customWidth="1"/>
    <col min="515" max="515" width="14.453125" style="36" bestFit="1" customWidth="1"/>
    <col min="516" max="517" width="8.7265625" style="36"/>
    <col min="518" max="518" width="11.08984375" style="36" customWidth="1"/>
    <col min="519" max="519" width="14.453125" style="36" bestFit="1" customWidth="1"/>
    <col min="520" max="520" width="15.36328125" style="36" bestFit="1" customWidth="1"/>
    <col min="521" max="521" width="14.453125" style="36" bestFit="1" customWidth="1"/>
    <col min="522" max="522" width="12.54296875" style="36" bestFit="1" customWidth="1"/>
    <col min="523" max="523" width="14.6328125" style="36" bestFit="1" customWidth="1"/>
    <col min="524" max="525" width="19.453125" style="36" bestFit="1" customWidth="1"/>
    <col min="526" max="769" width="8.7265625" style="36"/>
    <col min="770" max="770" width="49.36328125" style="36" customWidth="1"/>
    <col min="771" max="771" width="14.453125" style="36" bestFit="1" customWidth="1"/>
    <col min="772" max="773" width="8.7265625" style="36"/>
    <col min="774" max="774" width="11.08984375" style="36" customWidth="1"/>
    <col min="775" max="775" width="14.453125" style="36" bestFit="1" customWidth="1"/>
    <col min="776" max="776" width="15.36328125" style="36" bestFit="1" customWidth="1"/>
    <col min="777" max="777" width="14.453125" style="36" bestFit="1" customWidth="1"/>
    <col min="778" max="778" width="12.54296875" style="36" bestFit="1" customWidth="1"/>
    <col min="779" max="779" width="14.6328125" style="36" bestFit="1" customWidth="1"/>
    <col min="780" max="781" width="19.453125" style="36" bestFit="1" customWidth="1"/>
    <col min="782" max="1025" width="8.7265625" style="36"/>
    <col min="1026" max="1026" width="49.36328125" style="36" customWidth="1"/>
    <col min="1027" max="1027" width="14.453125" style="36" bestFit="1" customWidth="1"/>
    <col min="1028" max="1029" width="8.7265625" style="36"/>
    <col min="1030" max="1030" width="11.08984375" style="36" customWidth="1"/>
    <col min="1031" max="1031" width="14.453125" style="36" bestFit="1" customWidth="1"/>
    <col min="1032" max="1032" width="15.36328125" style="36" bestFit="1" customWidth="1"/>
    <col min="1033" max="1033" width="14.453125" style="36" bestFit="1" customWidth="1"/>
    <col min="1034" max="1034" width="12.54296875" style="36" bestFit="1" customWidth="1"/>
    <col min="1035" max="1035" width="14.6328125" style="36" bestFit="1" customWidth="1"/>
    <col min="1036" max="1037" width="19.453125" style="36" bestFit="1" customWidth="1"/>
    <col min="1038" max="1281" width="8.7265625" style="36"/>
    <col min="1282" max="1282" width="49.36328125" style="36" customWidth="1"/>
    <col min="1283" max="1283" width="14.453125" style="36" bestFit="1" customWidth="1"/>
    <col min="1284" max="1285" width="8.7265625" style="36"/>
    <col min="1286" max="1286" width="11.08984375" style="36" customWidth="1"/>
    <col min="1287" max="1287" width="14.453125" style="36" bestFit="1" customWidth="1"/>
    <col min="1288" max="1288" width="15.36328125" style="36" bestFit="1" customWidth="1"/>
    <col min="1289" max="1289" width="14.453125" style="36" bestFit="1" customWidth="1"/>
    <col min="1290" max="1290" width="12.54296875" style="36" bestFit="1" customWidth="1"/>
    <col min="1291" max="1291" width="14.6328125" style="36" bestFit="1" customWidth="1"/>
    <col min="1292" max="1293" width="19.453125" style="36" bestFit="1" customWidth="1"/>
    <col min="1294" max="1537" width="8.7265625" style="36"/>
    <col min="1538" max="1538" width="49.36328125" style="36" customWidth="1"/>
    <col min="1539" max="1539" width="14.453125" style="36" bestFit="1" customWidth="1"/>
    <col min="1540" max="1541" width="8.7265625" style="36"/>
    <col min="1542" max="1542" width="11.08984375" style="36" customWidth="1"/>
    <col min="1543" max="1543" width="14.453125" style="36" bestFit="1" customWidth="1"/>
    <col min="1544" max="1544" width="15.36328125" style="36" bestFit="1" customWidth="1"/>
    <col min="1545" max="1545" width="14.453125" style="36" bestFit="1" customWidth="1"/>
    <col min="1546" max="1546" width="12.54296875" style="36" bestFit="1" customWidth="1"/>
    <col min="1547" max="1547" width="14.6328125" style="36" bestFit="1" customWidth="1"/>
    <col min="1548" max="1549" width="19.453125" style="36" bestFit="1" customWidth="1"/>
    <col min="1550" max="1793" width="8.7265625" style="36"/>
    <col min="1794" max="1794" width="49.36328125" style="36" customWidth="1"/>
    <col min="1795" max="1795" width="14.453125" style="36" bestFit="1" customWidth="1"/>
    <col min="1796" max="1797" width="8.7265625" style="36"/>
    <col min="1798" max="1798" width="11.08984375" style="36" customWidth="1"/>
    <col min="1799" max="1799" width="14.453125" style="36" bestFit="1" customWidth="1"/>
    <col min="1800" max="1800" width="15.36328125" style="36" bestFit="1" customWidth="1"/>
    <col min="1801" max="1801" width="14.453125" style="36" bestFit="1" customWidth="1"/>
    <col min="1802" max="1802" width="12.54296875" style="36" bestFit="1" customWidth="1"/>
    <col min="1803" max="1803" width="14.6328125" style="36" bestFit="1" customWidth="1"/>
    <col min="1804" max="1805" width="19.453125" style="36" bestFit="1" customWidth="1"/>
    <col min="1806" max="2049" width="8.7265625" style="36"/>
    <col min="2050" max="2050" width="49.36328125" style="36" customWidth="1"/>
    <col min="2051" max="2051" width="14.453125" style="36" bestFit="1" customWidth="1"/>
    <col min="2052" max="2053" width="8.7265625" style="36"/>
    <col min="2054" max="2054" width="11.08984375" style="36" customWidth="1"/>
    <col min="2055" max="2055" width="14.453125" style="36" bestFit="1" customWidth="1"/>
    <col min="2056" max="2056" width="15.36328125" style="36" bestFit="1" customWidth="1"/>
    <col min="2057" max="2057" width="14.453125" style="36" bestFit="1" customWidth="1"/>
    <col min="2058" max="2058" width="12.54296875" style="36" bestFit="1" customWidth="1"/>
    <col min="2059" max="2059" width="14.6328125" style="36" bestFit="1" customWidth="1"/>
    <col min="2060" max="2061" width="19.453125" style="36" bestFit="1" customWidth="1"/>
    <col min="2062" max="2305" width="8.7265625" style="36"/>
    <col min="2306" max="2306" width="49.36328125" style="36" customWidth="1"/>
    <col min="2307" max="2307" width="14.453125" style="36" bestFit="1" customWidth="1"/>
    <col min="2308" max="2309" width="8.7265625" style="36"/>
    <col min="2310" max="2310" width="11.08984375" style="36" customWidth="1"/>
    <col min="2311" max="2311" width="14.453125" style="36" bestFit="1" customWidth="1"/>
    <col min="2312" max="2312" width="15.36328125" style="36" bestFit="1" customWidth="1"/>
    <col min="2313" max="2313" width="14.453125" style="36" bestFit="1" customWidth="1"/>
    <col min="2314" max="2314" width="12.54296875" style="36" bestFit="1" customWidth="1"/>
    <col min="2315" max="2315" width="14.6328125" style="36" bestFit="1" customWidth="1"/>
    <col min="2316" max="2317" width="19.453125" style="36" bestFit="1" customWidth="1"/>
    <col min="2318" max="2561" width="8.7265625" style="36"/>
    <col min="2562" max="2562" width="49.36328125" style="36" customWidth="1"/>
    <col min="2563" max="2563" width="14.453125" style="36" bestFit="1" customWidth="1"/>
    <col min="2564" max="2565" width="8.7265625" style="36"/>
    <col min="2566" max="2566" width="11.08984375" style="36" customWidth="1"/>
    <col min="2567" max="2567" width="14.453125" style="36" bestFit="1" customWidth="1"/>
    <col min="2568" max="2568" width="15.36328125" style="36" bestFit="1" customWidth="1"/>
    <col min="2569" max="2569" width="14.453125" style="36" bestFit="1" customWidth="1"/>
    <col min="2570" max="2570" width="12.54296875" style="36" bestFit="1" customWidth="1"/>
    <col min="2571" max="2571" width="14.6328125" style="36" bestFit="1" customWidth="1"/>
    <col min="2572" max="2573" width="19.453125" style="36" bestFit="1" customWidth="1"/>
    <col min="2574" max="2817" width="8.7265625" style="36"/>
    <col min="2818" max="2818" width="49.36328125" style="36" customWidth="1"/>
    <col min="2819" max="2819" width="14.453125" style="36" bestFit="1" customWidth="1"/>
    <col min="2820" max="2821" width="8.7265625" style="36"/>
    <col min="2822" max="2822" width="11.08984375" style="36" customWidth="1"/>
    <col min="2823" max="2823" width="14.453125" style="36" bestFit="1" customWidth="1"/>
    <col min="2824" max="2824" width="15.36328125" style="36" bestFit="1" customWidth="1"/>
    <col min="2825" max="2825" width="14.453125" style="36" bestFit="1" customWidth="1"/>
    <col min="2826" max="2826" width="12.54296875" style="36" bestFit="1" customWidth="1"/>
    <col min="2827" max="2827" width="14.6328125" style="36" bestFit="1" customWidth="1"/>
    <col min="2828" max="2829" width="19.453125" style="36" bestFit="1" customWidth="1"/>
    <col min="2830" max="3073" width="8.7265625" style="36"/>
    <col min="3074" max="3074" width="49.36328125" style="36" customWidth="1"/>
    <col min="3075" max="3075" width="14.453125" style="36" bestFit="1" customWidth="1"/>
    <col min="3076" max="3077" width="8.7265625" style="36"/>
    <col min="3078" max="3078" width="11.08984375" style="36" customWidth="1"/>
    <col min="3079" max="3079" width="14.453125" style="36" bestFit="1" customWidth="1"/>
    <col min="3080" max="3080" width="15.36328125" style="36" bestFit="1" customWidth="1"/>
    <col min="3081" max="3081" width="14.453125" style="36" bestFit="1" customWidth="1"/>
    <col min="3082" max="3082" width="12.54296875" style="36" bestFit="1" customWidth="1"/>
    <col min="3083" max="3083" width="14.6328125" style="36" bestFit="1" customWidth="1"/>
    <col min="3084" max="3085" width="19.453125" style="36" bestFit="1" customWidth="1"/>
    <col min="3086" max="3329" width="8.7265625" style="36"/>
    <col min="3330" max="3330" width="49.36328125" style="36" customWidth="1"/>
    <col min="3331" max="3331" width="14.453125" style="36" bestFit="1" customWidth="1"/>
    <col min="3332" max="3333" width="8.7265625" style="36"/>
    <col min="3334" max="3334" width="11.08984375" style="36" customWidth="1"/>
    <col min="3335" max="3335" width="14.453125" style="36" bestFit="1" customWidth="1"/>
    <col min="3336" max="3336" width="15.36328125" style="36" bestFit="1" customWidth="1"/>
    <col min="3337" max="3337" width="14.453125" style="36" bestFit="1" customWidth="1"/>
    <col min="3338" max="3338" width="12.54296875" style="36" bestFit="1" customWidth="1"/>
    <col min="3339" max="3339" width="14.6328125" style="36" bestFit="1" customWidth="1"/>
    <col min="3340" max="3341" width="19.453125" style="36" bestFit="1" customWidth="1"/>
    <col min="3342" max="3585" width="8.7265625" style="36"/>
    <col min="3586" max="3586" width="49.36328125" style="36" customWidth="1"/>
    <col min="3587" max="3587" width="14.453125" style="36" bestFit="1" customWidth="1"/>
    <col min="3588" max="3589" width="8.7265625" style="36"/>
    <col min="3590" max="3590" width="11.08984375" style="36" customWidth="1"/>
    <col min="3591" max="3591" width="14.453125" style="36" bestFit="1" customWidth="1"/>
    <col min="3592" max="3592" width="15.36328125" style="36" bestFit="1" customWidth="1"/>
    <col min="3593" max="3593" width="14.453125" style="36" bestFit="1" customWidth="1"/>
    <col min="3594" max="3594" width="12.54296875" style="36" bestFit="1" customWidth="1"/>
    <col min="3595" max="3595" width="14.6328125" style="36" bestFit="1" customWidth="1"/>
    <col min="3596" max="3597" width="19.453125" style="36" bestFit="1" customWidth="1"/>
    <col min="3598" max="3841" width="8.7265625" style="36"/>
    <col min="3842" max="3842" width="49.36328125" style="36" customWidth="1"/>
    <col min="3843" max="3843" width="14.453125" style="36" bestFit="1" customWidth="1"/>
    <col min="3844" max="3845" width="8.7265625" style="36"/>
    <col min="3846" max="3846" width="11.08984375" style="36" customWidth="1"/>
    <col min="3847" max="3847" width="14.453125" style="36" bestFit="1" customWidth="1"/>
    <col min="3848" max="3848" width="15.36328125" style="36" bestFit="1" customWidth="1"/>
    <col min="3849" max="3849" width="14.453125" style="36" bestFit="1" customWidth="1"/>
    <col min="3850" max="3850" width="12.54296875" style="36" bestFit="1" customWidth="1"/>
    <col min="3851" max="3851" width="14.6328125" style="36" bestFit="1" customWidth="1"/>
    <col min="3852" max="3853" width="19.453125" style="36" bestFit="1" customWidth="1"/>
    <col min="3854" max="4097" width="8.7265625" style="36"/>
    <col min="4098" max="4098" width="49.36328125" style="36" customWidth="1"/>
    <col min="4099" max="4099" width="14.453125" style="36" bestFit="1" customWidth="1"/>
    <col min="4100" max="4101" width="8.7265625" style="36"/>
    <col min="4102" max="4102" width="11.08984375" style="36" customWidth="1"/>
    <col min="4103" max="4103" width="14.453125" style="36" bestFit="1" customWidth="1"/>
    <col min="4104" max="4104" width="15.36328125" style="36" bestFit="1" customWidth="1"/>
    <col min="4105" max="4105" width="14.453125" style="36" bestFit="1" customWidth="1"/>
    <col min="4106" max="4106" width="12.54296875" style="36" bestFit="1" customWidth="1"/>
    <col min="4107" max="4107" width="14.6328125" style="36" bestFit="1" customWidth="1"/>
    <col min="4108" max="4109" width="19.453125" style="36" bestFit="1" customWidth="1"/>
    <col min="4110" max="4353" width="8.7265625" style="36"/>
    <col min="4354" max="4354" width="49.36328125" style="36" customWidth="1"/>
    <col min="4355" max="4355" width="14.453125" style="36" bestFit="1" customWidth="1"/>
    <col min="4356" max="4357" width="8.7265625" style="36"/>
    <col min="4358" max="4358" width="11.08984375" style="36" customWidth="1"/>
    <col min="4359" max="4359" width="14.453125" style="36" bestFit="1" customWidth="1"/>
    <col min="4360" max="4360" width="15.36328125" style="36" bestFit="1" customWidth="1"/>
    <col min="4361" max="4361" width="14.453125" style="36" bestFit="1" customWidth="1"/>
    <col min="4362" max="4362" width="12.54296875" style="36" bestFit="1" customWidth="1"/>
    <col min="4363" max="4363" width="14.6328125" style="36" bestFit="1" customWidth="1"/>
    <col min="4364" max="4365" width="19.453125" style="36" bestFit="1" customWidth="1"/>
    <col min="4366" max="4609" width="8.7265625" style="36"/>
    <col min="4610" max="4610" width="49.36328125" style="36" customWidth="1"/>
    <col min="4611" max="4611" width="14.453125" style="36" bestFit="1" customWidth="1"/>
    <col min="4612" max="4613" width="8.7265625" style="36"/>
    <col min="4614" max="4614" width="11.08984375" style="36" customWidth="1"/>
    <col min="4615" max="4615" width="14.453125" style="36" bestFit="1" customWidth="1"/>
    <col min="4616" max="4616" width="15.36328125" style="36" bestFit="1" customWidth="1"/>
    <col min="4617" max="4617" width="14.453125" style="36" bestFit="1" customWidth="1"/>
    <col min="4618" max="4618" width="12.54296875" style="36" bestFit="1" customWidth="1"/>
    <col min="4619" max="4619" width="14.6328125" style="36" bestFit="1" customWidth="1"/>
    <col min="4620" max="4621" width="19.453125" style="36" bestFit="1" customWidth="1"/>
    <col min="4622" max="4865" width="8.7265625" style="36"/>
    <col min="4866" max="4866" width="49.36328125" style="36" customWidth="1"/>
    <col min="4867" max="4867" width="14.453125" style="36" bestFit="1" customWidth="1"/>
    <col min="4868" max="4869" width="8.7265625" style="36"/>
    <col min="4870" max="4870" width="11.08984375" style="36" customWidth="1"/>
    <col min="4871" max="4871" width="14.453125" style="36" bestFit="1" customWidth="1"/>
    <col min="4872" max="4872" width="15.36328125" style="36" bestFit="1" customWidth="1"/>
    <col min="4873" max="4873" width="14.453125" style="36" bestFit="1" customWidth="1"/>
    <col min="4874" max="4874" width="12.54296875" style="36" bestFit="1" customWidth="1"/>
    <col min="4875" max="4875" width="14.6328125" style="36" bestFit="1" customWidth="1"/>
    <col min="4876" max="4877" width="19.453125" style="36" bestFit="1" customWidth="1"/>
    <col min="4878" max="5121" width="8.7265625" style="36"/>
    <col min="5122" max="5122" width="49.36328125" style="36" customWidth="1"/>
    <col min="5123" max="5123" width="14.453125" style="36" bestFit="1" customWidth="1"/>
    <col min="5124" max="5125" width="8.7265625" style="36"/>
    <col min="5126" max="5126" width="11.08984375" style="36" customWidth="1"/>
    <col min="5127" max="5127" width="14.453125" style="36" bestFit="1" customWidth="1"/>
    <col min="5128" max="5128" width="15.36328125" style="36" bestFit="1" customWidth="1"/>
    <col min="5129" max="5129" width="14.453125" style="36" bestFit="1" customWidth="1"/>
    <col min="5130" max="5130" width="12.54296875" style="36" bestFit="1" customWidth="1"/>
    <col min="5131" max="5131" width="14.6328125" style="36" bestFit="1" customWidth="1"/>
    <col min="5132" max="5133" width="19.453125" style="36" bestFit="1" customWidth="1"/>
    <col min="5134" max="5377" width="8.7265625" style="36"/>
    <col min="5378" max="5378" width="49.36328125" style="36" customWidth="1"/>
    <col min="5379" max="5379" width="14.453125" style="36" bestFit="1" customWidth="1"/>
    <col min="5380" max="5381" width="8.7265625" style="36"/>
    <col min="5382" max="5382" width="11.08984375" style="36" customWidth="1"/>
    <col min="5383" max="5383" width="14.453125" style="36" bestFit="1" customWidth="1"/>
    <col min="5384" max="5384" width="15.36328125" style="36" bestFit="1" customWidth="1"/>
    <col min="5385" max="5385" width="14.453125" style="36" bestFit="1" customWidth="1"/>
    <col min="5386" max="5386" width="12.54296875" style="36" bestFit="1" customWidth="1"/>
    <col min="5387" max="5387" width="14.6328125" style="36" bestFit="1" customWidth="1"/>
    <col min="5388" max="5389" width="19.453125" style="36" bestFit="1" customWidth="1"/>
    <col min="5390" max="5633" width="8.7265625" style="36"/>
    <col min="5634" max="5634" width="49.36328125" style="36" customWidth="1"/>
    <col min="5635" max="5635" width="14.453125" style="36" bestFit="1" customWidth="1"/>
    <col min="5636" max="5637" width="8.7265625" style="36"/>
    <col min="5638" max="5638" width="11.08984375" style="36" customWidth="1"/>
    <col min="5639" max="5639" width="14.453125" style="36" bestFit="1" customWidth="1"/>
    <col min="5640" max="5640" width="15.36328125" style="36" bestFit="1" customWidth="1"/>
    <col min="5641" max="5641" width="14.453125" style="36" bestFit="1" customWidth="1"/>
    <col min="5642" max="5642" width="12.54296875" style="36" bestFit="1" customWidth="1"/>
    <col min="5643" max="5643" width="14.6328125" style="36" bestFit="1" customWidth="1"/>
    <col min="5644" max="5645" width="19.453125" style="36" bestFit="1" customWidth="1"/>
    <col min="5646" max="5889" width="8.7265625" style="36"/>
    <col min="5890" max="5890" width="49.36328125" style="36" customWidth="1"/>
    <col min="5891" max="5891" width="14.453125" style="36" bestFit="1" customWidth="1"/>
    <col min="5892" max="5893" width="8.7265625" style="36"/>
    <col min="5894" max="5894" width="11.08984375" style="36" customWidth="1"/>
    <col min="5895" max="5895" width="14.453125" style="36" bestFit="1" customWidth="1"/>
    <col min="5896" max="5896" width="15.36328125" style="36" bestFit="1" customWidth="1"/>
    <col min="5897" max="5897" width="14.453125" style="36" bestFit="1" customWidth="1"/>
    <col min="5898" max="5898" width="12.54296875" style="36" bestFit="1" customWidth="1"/>
    <col min="5899" max="5899" width="14.6328125" style="36" bestFit="1" customWidth="1"/>
    <col min="5900" max="5901" width="19.453125" style="36" bestFit="1" customWidth="1"/>
    <col min="5902" max="6145" width="8.7265625" style="36"/>
    <col min="6146" max="6146" width="49.36328125" style="36" customWidth="1"/>
    <col min="6147" max="6147" width="14.453125" style="36" bestFit="1" customWidth="1"/>
    <col min="6148" max="6149" width="8.7265625" style="36"/>
    <col min="6150" max="6150" width="11.08984375" style="36" customWidth="1"/>
    <col min="6151" max="6151" width="14.453125" style="36" bestFit="1" customWidth="1"/>
    <col min="6152" max="6152" width="15.36328125" style="36" bestFit="1" customWidth="1"/>
    <col min="6153" max="6153" width="14.453125" style="36" bestFit="1" customWidth="1"/>
    <col min="6154" max="6154" width="12.54296875" style="36" bestFit="1" customWidth="1"/>
    <col min="6155" max="6155" width="14.6328125" style="36" bestFit="1" customWidth="1"/>
    <col min="6156" max="6157" width="19.453125" style="36" bestFit="1" customWidth="1"/>
    <col min="6158" max="6401" width="8.7265625" style="36"/>
    <col min="6402" max="6402" width="49.36328125" style="36" customWidth="1"/>
    <col min="6403" max="6403" width="14.453125" style="36" bestFit="1" customWidth="1"/>
    <col min="6404" max="6405" width="8.7265625" style="36"/>
    <col min="6406" max="6406" width="11.08984375" style="36" customWidth="1"/>
    <col min="6407" max="6407" width="14.453125" style="36" bestFit="1" customWidth="1"/>
    <col min="6408" max="6408" width="15.36328125" style="36" bestFit="1" customWidth="1"/>
    <col min="6409" max="6409" width="14.453125" style="36" bestFit="1" customWidth="1"/>
    <col min="6410" max="6410" width="12.54296875" style="36" bestFit="1" customWidth="1"/>
    <col min="6411" max="6411" width="14.6328125" style="36" bestFit="1" customWidth="1"/>
    <col min="6412" max="6413" width="19.453125" style="36" bestFit="1" customWidth="1"/>
    <col min="6414" max="6657" width="8.7265625" style="36"/>
    <col min="6658" max="6658" width="49.36328125" style="36" customWidth="1"/>
    <col min="6659" max="6659" width="14.453125" style="36" bestFit="1" customWidth="1"/>
    <col min="6660" max="6661" width="8.7265625" style="36"/>
    <col min="6662" max="6662" width="11.08984375" style="36" customWidth="1"/>
    <col min="6663" max="6663" width="14.453125" style="36" bestFit="1" customWidth="1"/>
    <col min="6664" max="6664" width="15.36328125" style="36" bestFit="1" customWidth="1"/>
    <col min="6665" max="6665" width="14.453125" style="36" bestFit="1" customWidth="1"/>
    <col min="6666" max="6666" width="12.54296875" style="36" bestFit="1" customWidth="1"/>
    <col min="6667" max="6667" width="14.6328125" style="36" bestFit="1" customWidth="1"/>
    <col min="6668" max="6669" width="19.453125" style="36" bestFit="1" customWidth="1"/>
    <col min="6670" max="6913" width="8.7265625" style="36"/>
    <col min="6914" max="6914" width="49.36328125" style="36" customWidth="1"/>
    <col min="6915" max="6915" width="14.453125" style="36" bestFit="1" customWidth="1"/>
    <col min="6916" max="6917" width="8.7265625" style="36"/>
    <col min="6918" max="6918" width="11.08984375" style="36" customWidth="1"/>
    <col min="6919" max="6919" width="14.453125" style="36" bestFit="1" customWidth="1"/>
    <col min="6920" max="6920" width="15.36328125" style="36" bestFit="1" customWidth="1"/>
    <col min="6921" max="6921" width="14.453125" style="36" bestFit="1" customWidth="1"/>
    <col min="6922" max="6922" width="12.54296875" style="36" bestFit="1" customWidth="1"/>
    <col min="6923" max="6923" width="14.6328125" style="36" bestFit="1" customWidth="1"/>
    <col min="6924" max="6925" width="19.453125" style="36" bestFit="1" customWidth="1"/>
    <col min="6926" max="7169" width="8.7265625" style="36"/>
    <col min="7170" max="7170" width="49.36328125" style="36" customWidth="1"/>
    <col min="7171" max="7171" width="14.453125" style="36" bestFit="1" customWidth="1"/>
    <col min="7172" max="7173" width="8.7265625" style="36"/>
    <col min="7174" max="7174" width="11.08984375" style="36" customWidth="1"/>
    <col min="7175" max="7175" width="14.453125" style="36" bestFit="1" customWidth="1"/>
    <col min="7176" max="7176" width="15.36328125" style="36" bestFit="1" customWidth="1"/>
    <col min="7177" max="7177" width="14.453125" style="36" bestFit="1" customWidth="1"/>
    <col min="7178" max="7178" width="12.54296875" style="36" bestFit="1" customWidth="1"/>
    <col min="7179" max="7179" width="14.6328125" style="36" bestFit="1" customWidth="1"/>
    <col min="7180" max="7181" width="19.453125" style="36" bestFit="1" customWidth="1"/>
    <col min="7182" max="7425" width="8.7265625" style="36"/>
    <col min="7426" max="7426" width="49.36328125" style="36" customWidth="1"/>
    <col min="7427" max="7427" width="14.453125" style="36" bestFit="1" customWidth="1"/>
    <col min="7428" max="7429" width="8.7265625" style="36"/>
    <col min="7430" max="7430" width="11.08984375" style="36" customWidth="1"/>
    <col min="7431" max="7431" width="14.453125" style="36" bestFit="1" customWidth="1"/>
    <col min="7432" max="7432" width="15.36328125" style="36" bestFit="1" customWidth="1"/>
    <col min="7433" max="7433" width="14.453125" style="36" bestFit="1" customWidth="1"/>
    <col min="7434" max="7434" width="12.54296875" style="36" bestFit="1" customWidth="1"/>
    <col min="7435" max="7435" width="14.6328125" style="36" bestFit="1" customWidth="1"/>
    <col min="7436" max="7437" width="19.453125" style="36" bestFit="1" customWidth="1"/>
    <col min="7438" max="7681" width="8.7265625" style="36"/>
    <col min="7682" max="7682" width="49.36328125" style="36" customWidth="1"/>
    <col min="7683" max="7683" width="14.453125" style="36" bestFit="1" customWidth="1"/>
    <col min="7684" max="7685" width="8.7265625" style="36"/>
    <col min="7686" max="7686" width="11.08984375" style="36" customWidth="1"/>
    <col min="7687" max="7687" width="14.453125" style="36" bestFit="1" customWidth="1"/>
    <col min="7688" max="7688" width="15.36328125" style="36" bestFit="1" customWidth="1"/>
    <col min="7689" max="7689" width="14.453125" style="36" bestFit="1" customWidth="1"/>
    <col min="7690" max="7690" width="12.54296875" style="36" bestFit="1" customWidth="1"/>
    <col min="7691" max="7691" width="14.6328125" style="36" bestFit="1" customWidth="1"/>
    <col min="7692" max="7693" width="19.453125" style="36" bestFit="1" customWidth="1"/>
    <col min="7694" max="7937" width="8.7265625" style="36"/>
    <col min="7938" max="7938" width="49.36328125" style="36" customWidth="1"/>
    <col min="7939" max="7939" width="14.453125" style="36" bestFit="1" customWidth="1"/>
    <col min="7940" max="7941" width="8.7265625" style="36"/>
    <col min="7942" max="7942" width="11.08984375" style="36" customWidth="1"/>
    <col min="7943" max="7943" width="14.453125" style="36" bestFit="1" customWidth="1"/>
    <col min="7944" max="7944" width="15.36328125" style="36" bestFit="1" customWidth="1"/>
    <col min="7945" max="7945" width="14.453125" style="36" bestFit="1" customWidth="1"/>
    <col min="7946" max="7946" width="12.54296875" style="36" bestFit="1" customWidth="1"/>
    <col min="7947" max="7947" width="14.6328125" style="36" bestFit="1" customWidth="1"/>
    <col min="7948" max="7949" width="19.453125" style="36" bestFit="1" customWidth="1"/>
    <col min="7950" max="8193" width="8.7265625" style="36"/>
    <col min="8194" max="8194" width="49.36328125" style="36" customWidth="1"/>
    <col min="8195" max="8195" width="14.453125" style="36" bestFit="1" customWidth="1"/>
    <col min="8196" max="8197" width="8.7265625" style="36"/>
    <col min="8198" max="8198" width="11.08984375" style="36" customWidth="1"/>
    <col min="8199" max="8199" width="14.453125" style="36" bestFit="1" customWidth="1"/>
    <col min="8200" max="8200" width="15.36328125" style="36" bestFit="1" customWidth="1"/>
    <col min="8201" max="8201" width="14.453125" style="36" bestFit="1" customWidth="1"/>
    <col min="8202" max="8202" width="12.54296875" style="36" bestFit="1" customWidth="1"/>
    <col min="8203" max="8203" width="14.6328125" style="36" bestFit="1" customWidth="1"/>
    <col min="8204" max="8205" width="19.453125" style="36" bestFit="1" customWidth="1"/>
    <col min="8206" max="8449" width="8.7265625" style="36"/>
    <col min="8450" max="8450" width="49.36328125" style="36" customWidth="1"/>
    <col min="8451" max="8451" width="14.453125" style="36" bestFit="1" customWidth="1"/>
    <col min="8452" max="8453" width="8.7265625" style="36"/>
    <col min="8454" max="8454" width="11.08984375" style="36" customWidth="1"/>
    <col min="8455" max="8455" width="14.453125" style="36" bestFit="1" customWidth="1"/>
    <col min="8456" max="8456" width="15.36328125" style="36" bestFit="1" customWidth="1"/>
    <col min="8457" max="8457" width="14.453125" style="36" bestFit="1" customWidth="1"/>
    <col min="8458" max="8458" width="12.54296875" style="36" bestFit="1" customWidth="1"/>
    <col min="8459" max="8459" width="14.6328125" style="36" bestFit="1" customWidth="1"/>
    <col min="8460" max="8461" width="19.453125" style="36" bestFit="1" customWidth="1"/>
    <col min="8462" max="8705" width="8.7265625" style="36"/>
    <col min="8706" max="8706" width="49.36328125" style="36" customWidth="1"/>
    <col min="8707" max="8707" width="14.453125" style="36" bestFit="1" customWidth="1"/>
    <col min="8708" max="8709" width="8.7265625" style="36"/>
    <col min="8710" max="8710" width="11.08984375" style="36" customWidth="1"/>
    <col min="8711" max="8711" width="14.453125" style="36" bestFit="1" customWidth="1"/>
    <col min="8712" max="8712" width="15.36328125" style="36" bestFit="1" customWidth="1"/>
    <col min="8713" max="8713" width="14.453125" style="36" bestFit="1" customWidth="1"/>
    <col min="8714" max="8714" width="12.54296875" style="36" bestFit="1" customWidth="1"/>
    <col min="8715" max="8715" width="14.6328125" style="36" bestFit="1" customWidth="1"/>
    <col min="8716" max="8717" width="19.453125" style="36" bestFit="1" customWidth="1"/>
    <col min="8718" max="8961" width="8.7265625" style="36"/>
    <col min="8962" max="8962" width="49.36328125" style="36" customWidth="1"/>
    <col min="8963" max="8963" width="14.453125" style="36" bestFit="1" customWidth="1"/>
    <col min="8964" max="8965" width="8.7265625" style="36"/>
    <col min="8966" max="8966" width="11.08984375" style="36" customWidth="1"/>
    <col min="8967" max="8967" width="14.453125" style="36" bestFit="1" customWidth="1"/>
    <col min="8968" max="8968" width="15.36328125" style="36" bestFit="1" customWidth="1"/>
    <col min="8969" max="8969" width="14.453125" style="36" bestFit="1" customWidth="1"/>
    <col min="8970" max="8970" width="12.54296875" style="36" bestFit="1" customWidth="1"/>
    <col min="8971" max="8971" width="14.6328125" style="36" bestFit="1" customWidth="1"/>
    <col min="8972" max="8973" width="19.453125" style="36" bestFit="1" customWidth="1"/>
    <col min="8974" max="9217" width="8.7265625" style="36"/>
    <col min="9218" max="9218" width="49.36328125" style="36" customWidth="1"/>
    <col min="9219" max="9219" width="14.453125" style="36" bestFit="1" customWidth="1"/>
    <col min="9220" max="9221" width="8.7265625" style="36"/>
    <col min="9222" max="9222" width="11.08984375" style="36" customWidth="1"/>
    <col min="9223" max="9223" width="14.453125" style="36" bestFit="1" customWidth="1"/>
    <col min="9224" max="9224" width="15.36328125" style="36" bestFit="1" customWidth="1"/>
    <col min="9225" max="9225" width="14.453125" style="36" bestFit="1" customWidth="1"/>
    <col min="9226" max="9226" width="12.54296875" style="36" bestFit="1" customWidth="1"/>
    <col min="9227" max="9227" width="14.6328125" style="36" bestFit="1" customWidth="1"/>
    <col min="9228" max="9229" width="19.453125" style="36" bestFit="1" customWidth="1"/>
    <col min="9230" max="9473" width="8.7265625" style="36"/>
    <col min="9474" max="9474" width="49.36328125" style="36" customWidth="1"/>
    <col min="9475" max="9475" width="14.453125" style="36" bestFit="1" customWidth="1"/>
    <col min="9476" max="9477" width="8.7265625" style="36"/>
    <col min="9478" max="9478" width="11.08984375" style="36" customWidth="1"/>
    <col min="9479" max="9479" width="14.453125" style="36" bestFit="1" customWidth="1"/>
    <col min="9480" max="9480" width="15.36328125" style="36" bestFit="1" customWidth="1"/>
    <col min="9481" max="9481" width="14.453125" style="36" bestFit="1" customWidth="1"/>
    <col min="9482" max="9482" width="12.54296875" style="36" bestFit="1" customWidth="1"/>
    <col min="9483" max="9483" width="14.6328125" style="36" bestFit="1" customWidth="1"/>
    <col min="9484" max="9485" width="19.453125" style="36" bestFit="1" customWidth="1"/>
    <col min="9486" max="9729" width="8.7265625" style="36"/>
    <col min="9730" max="9730" width="49.36328125" style="36" customWidth="1"/>
    <col min="9731" max="9731" width="14.453125" style="36" bestFit="1" customWidth="1"/>
    <col min="9732" max="9733" width="8.7265625" style="36"/>
    <col min="9734" max="9734" width="11.08984375" style="36" customWidth="1"/>
    <col min="9735" max="9735" width="14.453125" style="36" bestFit="1" customWidth="1"/>
    <col min="9736" max="9736" width="15.36328125" style="36" bestFit="1" customWidth="1"/>
    <col min="9737" max="9737" width="14.453125" style="36" bestFit="1" customWidth="1"/>
    <col min="9738" max="9738" width="12.54296875" style="36" bestFit="1" customWidth="1"/>
    <col min="9739" max="9739" width="14.6328125" style="36" bestFit="1" customWidth="1"/>
    <col min="9740" max="9741" width="19.453125" style="36" bestFit="1" customWidth="1"/>
    <col min="9742" max="9985" width="8.7265625" style="36"/>
    <col min="9986" max="9986" width="49.36328125" style="36" customWidth="1"/>
    <col min="9987" max="9987" width="14.453125" style="36" bestFit="1" customWidth="1"/>
    <col min="9988" max="9989" width="8.7265625" style="36"/>
    <col min="9990" max="9990" width="11.08984375" style="36" customWidth="1"/>
    <col min="9991" max="9991" width="14.453125" style="36" bestFit="1" customWidth="1"/>
    <col min="9992" max="9992" width="15.36328125" style="36" bestFit="1" customWidth="1"/>
    <col min="9993" max="9993" width="14.453125" style="36" bestFit="1" customWidth="1"/>
    <col min="9994" max="9994" width="12.54296875" style="36" bestFit="1" customWidth="1"/>
    <col min="9995" max="9995" width="14.6328125" style="36" bestFit="1" customWidth="1"/>
    <col min="9996" max="9997" width="19.453125" style="36" bestFit="1" customWidth="1"/>
    <col min="9998" max="10241" width="8.7265625" style="36"/>
    <col min="10242" max="10242" width="49.36328125" style="36" customWidth="1"/>
    <col min="10243" max="10243" width="14.453125" style="36" bestFit="1" customWidth="1"/>
    <col min="10244" max="10245" width="8.7265625" style="36"/>
    <col min="10246" max="10246" width="11.08984375" style="36" customWidth="1"/>
    <col min="10247" max="10247" width="14.453125" style="36" bestFit="1" customWidth="1"/>
    <col min="10248" max="10248" width="15.36328125" style="36" bestFit="1" customWidth="1"/>
    <col min="10249" max="10249" width="14.453125" style="36" bestFit="1" customWidth="1"/>
    <col min="10250" max="10250" width="12.54296875" style="36" bestFit="1" customWidth="1"/>
    <col min="10251" max="10251" width="14.6328125" style="36" bestFit="1" customWidth="1"/>
    <col min="10252" max="10253" width="19.453125" style="36" bestFit="1" customWidth="1"/>
    <col min="10254" max="10497" width="8.7265625" style="36"/>
    <col min="10498" max="10498" width="49.36328125" style="36" customWidth="1"/>
    <col min="10499" max="10499" width="14.453125" style="36" bestFit="1" customWidth="1"/>
    <col min="10500" max="10501" width="8.7265625" style="36"/>
    <col min="10502" max="10502" width="11.08984375" style="36" customWidth="1"/>
    <col min="10503" max="10503" width="14.453125" style="36" bestFit="1" customWidth="1"/>
    <col min="10504" max="10504" width="15.36328125" style="36" bestFit="1" customWidth="1"/>
    <col min="10505" max="10505" width="14.453125" style="36" bestFit="1" customWidth="1"/>
    <col min="10506" max="10506" width="12.54296875" style="36" bestFit="1" customWidth="1"/>
    <col min="10507" max="10507" width="14.6328125" style="36" bestFit="1" customWidth="1"/>
    <col min="10508" max="10509" width="19.453125" style="36" bestFit="1" customWidth="1"/>
    <col min="10510" max="10753" width="8.7265625" style="36"/>
    <col min="10754" max="10754" width="49.36328125" style="36" customWidth="1"/>
    <col min="10755" max="10755" width="14.453125" style="36" bestFit="1" customWidth="1"/>
    <col min="10756" max="10757" width="8.7265625" style="36"/>
    <col min="10758" max="10758" width="11.08984375" style="36" customWidth="1"/>
    <col min="10759" max="10759" width="14.453125" style="36" bestFit="1" customWidth="1"/>
    <col min="10760" max="10760" width="15.36328125" style="36" bestFit="1" customWidth="1"/>
    <col min="10761" max="10761" width="14.453125" style="36" bestFit="1" customWidth="1"/>
    <col min="10762" max="10762" width="12.54296875" style="36" bestFit="1" customWidth="1"/>
    <col min="10763" max="10763" width="14.6328125" style="36" bestFit="1" customWidth="1"/>
    <col min="10764" max="10765" width="19.453125" style="36" bestFit="1" customWidth="1"/>
    <col min="10766" max="11009" width="8.7265625" style="36"/>
    <col min="11010" max="11010" width="49.36328125" style="36" customWidth="1"/>
    <col min="11011" max="11011" width="14.453125" style="36" bestFit="1" customWidth="1"/>
    <col min="11012" max="11013" width="8.7265625" style="36"/>
    <col min="11014" max="11014" width="11.08984375" style="36" customWidth="1"/>
    <col min="11015" max="11015" width="14.453125" style="36" bestFit="1" customWidth="1"/>
    <col min="11016" max="11016" width="15.36328125" style="36" bestFit="1" customWidth="1"/>
    <col min="11017" max="11017" width="14.453125" style="36" bestFit="1" customWidth="1"/>
    <col min="11018" max="11018" width="12.54296875" style="36" bestFit="1" customWidth="1"/>
    <col min="11019" max="11019" width="14.6328125" style="36" bestFit="1" customWidth="1"/>
    <col min="11020" max="11021" width="19.453125" style="36" bestFit="1" customWidth="1"/>
    <col min="11022" max="11265" width="8.7265625" style="36"/>
    <col min="11266" max="11266" width="49.36328125" style="36" customWidth="1"/>
    <col min="11267" max="11267" width="14.453125" style="36" bestFit="1" customWidth="1"/>
    <col min="11268" max="11269" width="8.7265625" style="36"/>
    <col min="11270" max="11270" width="11.08984375" style="36" customWidth="1"/>
    <col min="11271" max="11271" width="14.453125" style="36" bestFit="1" customWidth="1"/>
    <col min="11272" max="11272" width="15.36328125" style="36" bestFit="1" customWidth="1"/>
    <col min="11273" max="11273" width="14.453125" style="36" bestFit="1" customWidth="1"/>
    <col min="11274" max="11274" width="12.54296875" style="36" bestFit="1" customWidth="1"/>
    <col min="11275" max="11275" width="14.6328125" style="36" bestFit="1" customWidth="1"/>
    <col min="11276" max="11277" width="19.453125" style="36" bestFit="1" customWidth="1"/>
    <col min="11278" max="11521" width="8.7265625" style="36"/>
    <col min="11522" max="11522" width="49.36328125" style="36" customWidth="1"/>
    <col min="11523" max="11523" width="14.453125" style="36" bestFit="1" customWidth="1"/>
    <col min="11524" max="11525" width="8.7265625" style="36"/>
    <col min="11526" max="11526" width="11.08984375" style="36" customWidth="1"/>
    <col min="11527" max="11527" width="14.453125" style="36" bestFit="1" customWidth="1"/>
    <col min="11528" max="11528" width="15.36328125" style="36" bestFit="1" customWidth="1"/>
    <col min="11529" max="11529" width="14.453125" style="36" bestFit="1" customWidth="1"/>
    <col min="11530" max="11530" width="12.54296875" style="36" bestFit="1" customWidth="1"/>
    <col min="11531" max="11531" width="14.6328125" style="36" bestFit="1" customWidth="1"/>
    <col min="11532" max="11533" width="19.453125" style="36" bestFit="1" customWidth="1"/>
    <col min="11534" max="11777" width="8.7265625" style="36"/>
    <col min="11778" max="11778" width="49.36328125" style="36" customWidth="1"/>
    <col min="11779" max="11779" width="14.453125" style="36" bestFit="1" customWidth="1"/>
    <col min="11780" max="11781" width="8.7265625" style="36"/>
    <col min="11782" max="11782" width="11.08984375" style="36" customWidth="1"/>
    <col min="11783" max="11783" width="14.453125" style="36" bestFit="1" customWidth="1"/>
    <col min="11784" max="11784" width="15.36328125" style="36" bestFit="1" customWidth="1"/>
    <col min="11785" max="11785" width="14.453125" style="36" bestFit="1" customWidth="1"/>
    <col min="11786" max="11786" width="12.54296875" style="36" bestFit="1" customWidth="1"/>
    <col min="11787" max="11787" width="14.6328125" style="36" bestFit="1" customWidth="1"/>
    <col min="11788" max="11789" width="19.453125" style="36" bestFit="1" customWidth="1"/>
    <col min="11790" max="12033" width="8.7265625" style="36"/>
    <col min="12034" max="12034" width="49.36328125" style="36" customWidth="1"/>
    <col min="12035" max="12035" width="14.453125" style="36" bestFit="1" customWidth="1"/>
    <col min="12036" max="12037" width="8.7265625" style="36"/>
    <col min="12038" max="12038" width="11.08984375" style="36" customWidth="1"/>
    <col min="12039" max="12039" width="14.453125" style="36" bestFit="1" customWidth="1"/>
    <col min="12040" max="12040" width="15.36328125" style="36" bestFit="1" customWidth="1"/>
    <col min="12041" max="12041" width="14.453125" style="36" bestFit="1" customWidth="1"/>
    <col min="12042" max="12042" width="12.54296875" style="36" bestFit="1" customWidth="1"/>
    <col min="12043" max="12043" width="14.6328125" style="36" bestFit="1" customWidth="1"/>
    <col min="12044" max="12045" width="19.453125" style="36" bestFit="1" customWidth="1"/>
    <col min="12046" max="12289" width="8.7265625" style="36"/>
    <col min="12290" max="12290" width="49.36328125" style="36" customWidth="1"/>
    <col min="12291" max="12291" width="14.453125" style="36" bestFit="1" customWidth="1"/>
    <col min="12292" max="12293" width="8.7265625" style="36"/>
    <col min="12294" max="12294" width="11.08984375" style="36" customWidth="1"/>
    <col min="12295" max="12295" width="14.453125" style="36" bestFit="1" customWidth="1"/>
    <col min="12296" max="12296" width="15.36328125" style="36" bestFit="1" customWidth="1"/>
    <col min="12297" max="12297" width="14.453125" style="36" bestFit="1" customWidth="1"/>
    <col min="12298" max="12298" width="12.54296875" style="36" bestFit="1" customWidth="1"/>
    <col min="12299" max="12299" width="14.6328125" style="36" bestFit="1" customWidth="1"/>
    <col min="12300" max="12301" width="19.453125" style="36" bestFit="1" customWidth="1"/>
    <col min="12302" max="12545" width="8.7265625" style="36"/>
    <col min="12546" max="12546" width="49.36328125" style="36" customWidth="1"/>
    <col min="12547" max="12547" width="14.453125" style="36" bestFit="1" customWidth="1"/>
    <col min="12548" max="12549" width="8.7265625" style="36"/>
    <col min="12550" max="12550" width="11.08984375" style="36" customWidth="1"/>
    <col min="12551" max="12551" width="14.453125" style="36" bestFit="1" customWidth="1"/>
    <col min="12552" max="12552" width="15.36328125" style="36" bestFit="1" customWidth="1"/>
    <col min="12553" max="12553" width="14.453125" style="36" bestFit="1" customWidth="1"/>
    <col min="12554" max="12554" width="12.54296875" style="36" bestFit="1" customWidth="1"/>
    <col min="12555" max="12555" width="14.6328125" style="36" bestFit="1" customWidth="1"/>
    <col min="12556" max="12557" width="19.453125" style="36" bestFit="1" customWidth="1"/>
    <col min="12558" max="12801" width="8.7265625" style="36"/>
    <col min="12802" max="12802" width="49.36328125" style="36" customWidth="1"/>
    <col min="12803" max="12803" width="14.453125" style="36" bestFit="1" customWidth="1"/>
    <col min="12804" max="12805" width="8.7265625" style="36"/>
    <col min="12806" max="12806" width="11.08984375" style="36" customWidth="1"/>
    <col min="12807" max="12807" width="14.453125" style="36" bestFit="1" customWidth="1"/>
    <col min="12808" max="12808" width="15.36328125" style="36" bestFit="1" customWidth="1"/>
    <col min="12809" max="12809" width="14.453125" style="36" bestFit="1" customWidth="1"/>
    <col min="12810" max="12810" width="12.54296875" style="36" bestFit="1" customWidth="1"/>
    <col min="12811" max="12811" width="14.6328125" style="36" bestFit="1" customWidth="1"/>
    <col min="12812" max="12813" width="19.453125" style="36" bestFit="1" customWidth="1"/>
    <col min="12814" max="13057" width="8.7265625" style="36"/>
    <col min="13058" max="13058" width="49.36328125" style="36" customWidth="1"/>
    <col min="13059" max="13059" width="14.453125" style="36" bestFit="1" customWidth="1"/>
    <col min="13060" max="13061" width="8.7265625" style="36"/>
    <col min="13062" max="13062" width="11.08984375" style="36" customWidth="1"/>
    <col min="13063" max="13063" width="14.453125" style="36" bestFit="1" customWidth="1"/>
    <col min="13064" max="13064" width="15.36328125" style="36" bestFit="1" customWidth="1"/>
    <col min="13065" max="13065" width="14.453125" style="36" bestFit="1" customWidth="1"/>
    <col min="13066" max="13066" width="12.54296875" style="36" bestFit="1" customWidth="1"/>
    <col min="13067" max="13067" width="14.6328125" style="36" bestFit="1" customWidth="1"/>
    <col min="13068" max="13069" width="19.453125" style="36" bestFit="1" customWidth="1"/>
    <col min="13070" max="13313" width="8.7265625" style="36"/>
    <col min="13314" max="13314" width="49.36328125" style="36" customWidth="1"/>
    <col min="13315" max="13315" width="14.453125" style="36" bestFit="1" customWidth="1"/>
    <col min="13316" max="13317" width="8.7265625" style="36"/>
    <col min="13318" max="13318" width="11.08984375" style="36" customWidth="1"/>
    <col min="13319" max="13319" width="14.453125" style="36" bestFit="1" customWidth="1"/>
    <col min="13320" max="13320" width="15.36328125" style="36" bestFit="1" customWidth="1"/>
    <col min="13321" max="13321" width="14.453125" style="36" bestFit="1" customWidth="1"/>
    <col min="13322" max="13322" width="12.54296875" style="36" bestFit="1" customWidth="1"/>
    <col min="13323" max="13323" width="14.6328125" style="36" bestFit="1" customWidth="1"/>
    <col min="13324" max="13325" width="19.453125" style="36" bestFit="1" customWidth="1"/>
    <col min="13326" max="13569" width="8.7265625" style="36"/>
    <col min="13570" max="13570" width="49.36328125" style="36" customWidth="1"/>
    <col min="13571" max="13571" width="14.453125" style="36" bestFit="1" customWidth="1"/>
    <col min="13572" max="13573" width="8.7265625" style="36"/>
    <col min="13574" max="13574" width="11.08984375" style="36" customWidth="1"/>
    <col min="13575" max="13575" width="14.453125" style="36" bestFit="1" customWidth="1"/>
    <col min="13576" max="13576" width="15.36328125" style="36" bestFit="1" customWidth="1"/>
    <col min="13577" max="13577" width="14.453125" style="36" bestFit="1" customWidth="1"/>
    <col min="13578" max="13578" width="12.54296875" style="36" bestFit="1" customWidth="1"/>
    <col min="13579" max="13579" width="14.6328125" style="36" bestFit="1" customWidth="1"/>
    <col min="13580" max="13581" width="19.453125" style="36" bestFit="1" customWidth="1"/>
    <col min="13582" max="13825" width="8.7265625" style="36"/>
    <col min="13826" max="13826" width="49.36328125" style="36" customWidth="1"/>
    <col min="13827" max="13827" width="14.453125" style="36" bestFit="1" customWidth="1"/>
    <col min="13828" max="13829" width="8.7265625" style="36"/>
    <col min="13830" max="13830" width="11.08984375" style="36" customWidth="1"/>
    <col min="13831" max="13831" width="14.453125" style="36" bestFit="1" customWidth="1"/>
    <col min="13832" max="13832" width="15.36328125" style="36" bestFit="1" customWidth="1"/>
    <col min="13833" max="13833" width="14.453125" style="36" bestFit="1" customWidth="1"/>
    <col min="13834" max="13834" width="12.54296875" style="36" bestFit="1" customWidth="1"/>
    <col min="13835" max="13835" width="14.6328125" style="36" bestFit="1" customWidth="1"/>
    <col min="13836" max="13837" width="19.453125" style="36" bestFit="1" customWidth="1"/>
    <col min="13838" max="14081" width="8.7265625" style="36"/>
    <col min="14082" max="14082" width="49.36328125" style="36" customWidth="1"/>
    <col min="14083" max="14083" width="14.453125" style="36" bestFit="1" customWidth="1"/>
    <col min="14084" max="14085" width="8.7265625" style="36"/>
    <col min="14086" max="14086" width="11.08984375" style="36" customWidth="1"/>
    <col min="14087" max="14087" width="14.453125" style="36" bestFit="1" customWidth="1"/>
    <col min="14088" max="14088" width="15.36328125" style="36" bestFit="1" customWidth="1"/>
    <col min="14089" max="14089" width="14.453125" style="36" bestFit="1" customWidth="1"/>
    <col min="14090" max="14090" width="12.54296875" style="36" bestFit="1" customWidth="1"/>
    <col min="14091" max="14091" width="14.6328125" style="36" bestFit="1" customWidth="1"/>
    <col min="14092" max="14093" width="19.453125" style="36" bestFit="1" customWidth="1"/>
    <col min="14094" max="14337" width="8.7265625" style="36"/>
    <col min="14338" max="14338" width="49.36328125" style="36" customWidth="1"/>
    <col min="14339" max="14339" width="14.453125" style="36" bestFit="1" customWidth="1"/>
    <col min="14340" max="14341" width="8.7265625" style="36"/>
    <col min="14342" max="14342" width="11.08984375" style="36" customWidth="1"/>
    <col min="14343" max="14343" width="14.453125" style="36" bestFit="1" customWidth="1"/>
    <col min="14344" max="14344" width="15.36328125" style="36" bestFit="1" customWidth="1"/>
    <col min="14345" max="14345" width="14.453125" style="36" bestFit="1" customWidth="1"/>
    <col min="14346" max="14346" width="12.54296875" style="36" bestFit="1" customWidth="1"/>
    <col min="14347" max="14347" width="14.6328125" style="36" bestFit="1" customWidth="1"/>
    <col min="14348" max="14349" width="19.453125" style="36" bestFit="1" customWidth="1"/>
    <col min="14350" max="14593" width="8.7265625" style="36"/>
    <col min="14594" max="14594" width="49.36328125" style="36" customWidth="1"/>
    <col min="14595" max="14595" width="14.453125" style="36" bestFit="1" customWidth="1"/>
    <col min="14596" max="14597" width="8.7265625" style="36"/>
    <col min="14598" max="14598" width="11.08984375" style="36" customWidth="1"/>
    <col min="14599" max="14599" width="14.453125" style="36" bestFit="1" customWidth="1"/>
    <col min="14600" max="14600" width="15.36328125" style="36" bestFit="1" customWidth="1"/>
    <col min="14601" max="14601" width="14.453125" style="36" bestFit="1" customWidth="1"/>
    <col min="14602" max="14602" width="12.54296875" style="36" bestFit="1" customWidth="1"/>
    <col min="14603" max="14603" width="14.6328125" style="36" bestFit="1" customWidth="1"/>
    <col min="14604" max="14605" width="19.453125" style="36" bestFit="1" customWidth="1"/>
    <col min="14606" max="14849" width="8.7265625" style="36"/>
    <col min="14850" max="14850" width="49.36328125" style="36" customWidth="1"/>
    <col min="14851" max="14851" width="14.453125" style="36" bestFit="1" customWidth="1"/>
    <col min="14852" max="14853" width="8.7265625" style="36"/>
    <col min="14854" max="14854" width="11.08984375" style="36" customWidth="1"/>
    <col min="14855" max="14855" width="14.453125" style="36" bestFit="1" customWidth="1"/>
    <col min="14856" max="14856" width="15.36328125" style="36" bestFit="1" customWidth="1"/>
    <col min="14857" max="14857" width="14.453125" style="36" bestFit="1" customWidth="1"/>
    <col min="14858" max="14858" width="12.54296875" style="36" bestFit="1" customWidth="1"/>
    <col min="14859" max="14859" width="14.6328125" style="36" bestFit="1" customWidth="1"/>
    <col min="14860" max="14861" width="19.453125" style="36" bestFit="1" customWidth="1"/>
    <col min="14862" max="15105" width="8.7265625" style="36"/>
    <col min="15106" max="15106" width="49.36328125" style="36" customWidth="1"/>
    <col min="15107" max="15107" width="14.453125" style="36" bestFit="1" customWidth="1"/>
    <col min="15108" max="15109" width="8.7265625" style="36"/>
    <col min="15110" max="15110" width="11.08984375" style="36" customWidth="1"/>
    <col min="15111" max="15111" width="14.453125" style="36" bestFit="1" customWidth="1"/>
    <col min="15112" max="15112" width="15.36328125" style="36" bestFit="1" customWidth="1"/>
    <col min="15113" max="15113" width="14.453125" style="36" bestFit="1" customWidth="1"/>
    <col min="15114" max="15114" width="12.54296875" style="36" bestFit="1" customWidth="1"/>
    <col min="15115" max="15115" width="14.6328125" style="36" bestFit="1" customWidth="1"/>
    <col min="15116" max="15117" width="19.453125" style="36" bestFit="1" customWidth="1"/>
    <col min="15118" max="15361" width="8.7265625" style="36"/>
    <col min="15362" max="15362" width="49.36328125" style="36" customWidth="1"/>
    <col min="15363" max="15363" width="14.453125" style="36" bestFit="1" customWidth="1"/>
    <col min="15364" max="15365" width="8.7265625" style="36"/>
    <col min="15366" max="15366" width="11.08984375" style="36" customWidth="1"/>
    <col min="15367" max="15367" width="14.453125" style="36" bestFit="1" customWidth="1"/>
    <col min="15368" max="15368" width="15.36328125" style="36" bestFit="1" customWidth="1"/>
    <col min="15369" max="15369" width="14.453125" style="36" bestFit="1" customWidth="1"/>
    <col min="15370" max="15370" width="12.54296875" style="36" bestFit="1" customWidth="1"/>
    <col min="15371" max="15371" width="14.6328125" style="36" bestFit="1" customWidth="1"/>
    <col min="15372" max="15373" width="19.453125" style="36" bestFit="1" customWidth="1"/>
    <col min="15374" max="15617" width="8.7265625" style="36"/>
    <col min="15618" max="15618" width="49.36328125" style="36" customWidth="1"/>
    <col min="15619" max="15619" width="14.453125" style="36" bestFit="1" customWidth="1"/>
    <col min="15620" max="15621" width="8.7265625" style="36"/>
    <col min="15622" max="15622" width="11.08984375" style="36" customWidth="1"/>
    <col min="15623" max="15623" width="14.453125" style="36" bestFit="1" customWidth="1"/>
    <col min="15624" max="15624" width="15.36328125" style="36" bestFit="1" customWidth="1"/>
    <col min="15625" max="15625" width="14.453125" style="36" bestFit="1" customWidth="1"/>
    <col min="15626" max="15626" width="12.54296875" style="36" bestFit="1" customWidth="1"/>
    <col min="15627" max="15627" width="14.6328125" style="36" bestFit="1" customWidth="1"/>
    <col min="15628" max="15629" width="19.453125" style="36" bestFit="1" customWidth="1"/>
    <col min="15630" max="15873" width="8.7265625" style="36"/>
    <col min="15874" max="15874" width="49.36328125" style="36" customWidth="1"/>
    <col min="15875" max="15875" width="14.453125" style="36" bestFit="1" customWidth="1"/>
    <col min="15876" max="15877" width="8.7265625" style="36"/>
    <col min="15878" max="15878" width="11.08984375" style="36" customWidth="1"/>
    <col min="15879" max="15879" width="14.453125" style="36" bestFit="1" customWidth="1"/>
    <col min="15880" max="15880" width="15.36328125" style="36" bestFit="1" customWidth="1"/>
    <col min="15881" max="15881" width="14.453125" style="36" bestFit="1" customWidth="1"/>
    <col min="15882" max="15882" width="12.54296875" style="36" bestFit="1" customWidth="1"/>
    <col min="15883" max="15883" width="14.6328125" style="36" bestFit="1" customWidth="1"/>
    <col min="15884" max="15885" width="19.453125" style="36" bestFit="1" customWidth="1"/>
    <col min="15886" max="16129" width="8.7265625" style="36"/>
    <col min="16130" max="16130" width="49.36328125" style="36" customWidth="1"/>
    <col min="16131" max="16131" width="14.453125" style="36" bestFit="1" customWidth="1"/>
    <col min="16132" max="16133" width="8.7265625" style="36"/>
    <col min="16134" max="16134" width="11.08984375" style="36" customWidth="1"/>
    <col min="16135" max="16135" width="14.453125" style="36" bestFit="1" customWidth="1"/>
    <col min="16136" max="16136" width="15.36328125" style="36" bestFit="1" customWidth="1"/>
    <col min="16137" max="16137" width="14.453125" style="36" bestFit="1" customWidth="1"/>
    <col min="16138" max="16138" width="12.54296875" style="36" bestFit="1" customWidth="1"/>
    <col min="16139" max="16139" width="14.6328125" style="36" bestFit="1" customWidth="1"/>
    <col min="16140" max="16141" width="19.453125" style="36" bestFit="1" customWidth="1"/>
    <col min="16142" max="16384" width="8.7265625" style="36"/>
  </cols>
  <sheetData>
    <row r="1" spans="2:19" ht="15" thickBot="1" x14ac:dyDescent="0.4"/>
    <row r="2" spans="2:19" ht="15" thickBot="1" x14ac:dyDescent="0.4">
      <c r="F2" s="48" t="s">
        <v>69</v>
      </c>
      <c r="G2" s="48" t="s">
        <v>29</v>
      </c>
      <c r="H2" s="48" t="s">
        <v>70</v>
      </c>
    </row>
    <row r="3" spans="2:19" ht="16" thickBot="1" x14ac:dyDescent="0.4">
      <c r="B3" s="37" t="s">
        <v>71</v>
      </c>
      <c r="C3" s="18"/>
      <c r="F3" s="60">
        <v>1</v>
      </c>
      <c r="G3" s="18"/>
      <c r="H3" s="18"/>
      <c r="J3" s="38"/>
    </row>
    <row r="4" spans="2:19" ht="16" thickBot="1" x14ac:dyDescent="0.4">
      <c r="B4" s="37" t="s">
        <v>72</v>
      </c>
      <c r="C4" s="5"/>
      <c r="F4" s="60">
        <v>2</v>
      </c>
      <c r="G4" s="18"/>
      <c r="H4" s="18"/>
      <c r="J4" s="38"/>
    </row>
    <row r="5" spans="2:19" ht="16" thickBot="1" x14ac:dyDescent="0.4">
      <c r="B5" s="37" t="s">
        <v>73</v>
      </c>
      <c r="C5" s="5"/>
      <c r="F5" s="60">
        <v>3</v>
      </c>
      <c r="G5" s="18"/>
      <c r="H5" s="18"/>
      <c r="J5" s="38"/>
    </row>
    <row r="6" spans="2:19" ht="16" thickBot="1" x14ac:dyDescent="0.4">
      <c r="B6" s="37" t="s">
        <v>74</v>
      </c>
      <c r="C6" s="5"/>
      <c r="F6" s="60">
        <v>4</v>
      </c>
      <c r="G6" s="18"/>
      <c r="H6" s="18"/>
      <c r="J6" s="38"/>
    </row>
    <row r="7" spans="2:19" ht="15" thickBot="1" x14ac:dyDescent="0.4">
      <c r="F7" s="60">
        <v>5</v>
      </c>
      <c r="G7" s="18"/>
      <c r="H7" s="18"/>
      <c r="J7" s="38"/>
    </row>
    <row r="8" spans="2:19" ht="15" thickBot="1" x14ac:dyDescent="0.4">
      <c r="B8" s="55" t="s">
        <v>75</v>
      </c>
      <c r="C8" s="56">
        <f>C4*C3</f>
        <v>0</v>
      </c>
      <c r="F8" s="60">
        <v>6</v>
      </c>
      <c r="G8" s="18"/>
      <c r="H8" s="18"/>
      <c r="J8" s="38"/>
    </row>
    <row r="9" spans="2:19" ht="15" thickBot="1" x14ac:dyDescent="0.4">
      <c r="B9" s="53" t="s">
        <v>76</v>
      </c>
      <c r="C9" s="54">
        <f>C3+C8</f>
        <v>0</v>
      </c>
      <c r="F9" s="60">
        <v>7</v>
      </c>
      <c r="G9" s="18"/>
      <c r="H9" s="18"/>
      <c r="J9" s="38"/>
    </row>
    <row r="10" spans="2:19" ht="15" thickBot="1" x14ac:dyDescent="0.4">
      <c r="F10" s="60">
        <v>8</v>
      </c>
      <c r="G10" s="18"/>
      <c r="H10" s="18"/>
      <c r="J10" s="38"/>
    </row>
    <row r="11" spans="2:19" ht="15" thickBot="1" x14ac:dyDescent="0.4">
      <c r="F11" s="60">
        <v>9</v>
      </c>
      <c r="G11" s="18"/>
      <c r="H11" s="18"/>
      <c r="J11" s="38"/>
    </row>
    <row r="12" spans="2:19" ht="15" thickBot="1" x14ac:dyDescent="0.4">
      <c r="F12" s="60">
        <v>10</v>
      </c>
      <c r="G12" s="18"/>
      <c r="H12" s="18"/>
      <c r="J12" s="38"/>
    </row>
    <row r="13" spans="2:19" x14ac:dyDescent="0.35">
      <c r="F13" s="39" t="s">
        <v>77</v>
      </c>
      <c r="G13" s="40">
        <f>SUM(G3:G12)</f>
        <v>0</v>
      </c>
      <c r="H13" s="40">
        <f>SUM(H3:H12)</f>
        <v>0</v>
      </c>
      <c r="J13" s="38"/>
      <c r="Q13" s="39"/>
      <c r="R13" s="41"/>
      <c r="S13" s="41"/>
    </row>
    <row r="14" spans="2:19" x14ac:dyDescent="0.35">
      <c r="F14" s="39"/>
      <c r="G14" s="41"/>
      <c r="H14" s="41"/>
      <c r="J14" s="38"/>
      <c r="Q14" s="39"/>
      <c r="R14" s="41"/>
      <c r="S14" s="41"/>
    </row>
    <row r="16" spans="2:19" ht="15" thickBot="1" x14ac:dyDescent="0.4">
      <c r="F16" s="39"/>
      <c r="J16" s="186" t="s">
        <v>78</v>
      </c>
      <c r="K16" s="187"/>
      <c r="L16" s="186" t="s">
        <v>79</v>
      </c>
      <c r="M16" s="187"/>
    </row>
    <row r="17" spans="2:17" ht="15" thickBot="1" x14ac:dyDescent="0.4">
      <c r="F17" s="49" t="s">
        <v>69</v>
      </c>
      <c r="G17" s="49" t="s">
        <v>29</v>
      </c>
      <c r="H17" s="49" t="s">
        <v>80</v>
      </c>
      <c r="I17" s="49" t="s">
        <v>70</v>
      </c>
      <c r="J17" s="49" t="s">
        <v>81</v>
      </c>
      <c r="K17" s="49" t="s">
        <v>63</v>
      </c>
      <c r="L17" s="49" t="s">
        <v>81</v>
      </c>
      <c r="M17" s="49" t="s">
        <v>63</v>
      </c>
    </row>
    <row r="18" spans="2:17" ht="15" thickBot="1" x14ac:dyDescent="0.4">
      <c r="B18" s="42"/>
      <c r="F18" s="60">
        <v>1</v>
      </c>
      <c r="G18" s="51">
        <f>G3</f>
        <v>0</v>
      </c>
      <c r="H18" s="51">
        <f>IF(G18&gt;$C$9,G18-$C$9,0)</f>
        <v>0</v>
      </c>
      <c r="I18" s="51">
        <f>H3</f>
        <v>0</v>
      </c>
      <c r="J18" s="51">
        <f>IF(G18&gt;$C$3,$C$3,G18)</f>
        <v>0</v>
      </c>
      <c r="K18" s="51">
        <f t="shared" ref="K18:K27" si="0">IF(H18&gt;0,$C$8,IF(G18-J18&gt;0,G18-J18,0))</f>
        <v>0</v>
      </c>
      <c r="L18" s="51">
        <f>J18*$C$5/1000</f>
        <v>0</v>
      </c>
      <c r="M18" s="52">
        <f>K18*$C$6/1000</f>
        <v>0</v>
      </c>
    </row>
    <row r="19" spans="2:17" ht="15" thickBot="1" x14ac:dyDescent="0.4">
      <c r="F19" s="60">
        <v>2</v>
      </c>
      <c r="G19" s="51">
        <f t="shared" ref="G19:G27" si="1">G4</f>
        <v>0</v>
      </c>
      <c r="H19" s="51">
        <f t="shared" ref="H19:H27" si="2">IF(G19&gt;$C$9,G19-$C$9,0)</f>
        <v>0</v>
      </c>
      <c r="I19" s="51">
        <f t="shared" ref="I19:I27" si="3">H4</f>
        <v>0</v>
      </c>
      <c r="J19" s="51">
        <f t="shared" ref="J19:J27" si="4">IF(G19&gt;$C$3,$C$3,G19)</f>
        <v>0</v>
      </c>
      <c r="K19" s="51">
        <f t="shared" si="0"/>
        <v>0</v>
      </c>
      <c r="L19" s="51">
        <f t="shared" ref="L19:L27" si="5">J19*$C$5/1000</f>
        <v>0</v>
      </c>
      <c r="M19" s="52">
        <f t="shared" ref="M19:M27" si="6">K19*$C$6/1000</f>
        <v>0</v>
      </c>
    </row>
    <row r="20" spans="2:17" ht="15" thickBot="1" x14ac:dyDescent="0.4">
      <c r="C20" s="42"/>
      <c r="F20" s="60">
        <v>3</v>
      </c>
      <c r="G20" s="51">
        <f t="shared" si="1"/>
        <v>0</v>
      </c>
      <c r="H20" s="51">
        <f t="shared" si="2"/>
        <v>0</v>
      </c>
      <c r="I20" s="51">
        <f t="shared" si="3"/>
        <v>0</v>
      </c>
      <c r="J20" s="51">
        <f t="shared" si="4"/>
        <v>0</v>
      </c>
      <c r="K20" s="51">
        <f>IF(H20&gt;0,$C$8,IF(G20-J20&gt;0,G20-J20,0))</f>
        <v>0</v>
      </c>
      <c r="L20" s="51">
        <f t="shared" si="5"/>
        <v>0</v>
      </c>
      <c r="M20" s="52">
        <f t="shared" si="6"/>
        <v>0</v>
      </c>
    </row>
    <row r="21" spans="2:17" ht="15" thickBot="1" x14ac:dyDescent="0.4">
      <c r="F21" s="60">
        <v>4</v>
      </c>
      <c r="G21" s="51">
        <f t="shared" si="1"/>
        <v>0</v>
      </c>
      <c r="H21" s="51">
        <f t="shared" si="2"/>
        <v>0</v>
      </c>
      <c r="I21" s="51">
        <f t="shared" si="3"/>
        <v>0</v>
      </c>
      <c r="J21" s="51">
        <f t="shared" si="4"/>
        <v>0</v>
      </c>
      <c r="K21" s="51">
        <f t="shared" si="0"/>
        <v>0</v>
      </c>
      <c r="L21" s="51">
        <f t="shared" si="5"/>
        <v>0</v>
      </c>
      <c r="M21" s="52">
        <f t="shared" si="6"/>
        <v>0</v>
      </c>
    </row>
    <row r="22" spans="2:17" ht="15" thickBot="1" x14ac:dyDescent="0.4">
      <c r="F22" s="60">
        <v>5</v>
      </c>
      <c r="G22" s="51">
        <f t="shared" si="1"/>
        <v>0</v>
      </c>
      <c r="H22" s="51">
        <f t="shared" si="2"/>
        <v>0</v>
      </c>
      <c r="I22" s="51">
        <f t="shared" si="3"/>
        <v>0</v>
      </c>
      <c r="J22" s="51">
        <f t="shared" si="4"/>
        <v>0</v>
      </c>
      <c r="K22" s="51">
        <f t="shared" si="0"/>
        <v>0</v>
      </c>
      <c r="L22" s="51">
        <f t="shared" si="5"/>
        <v>0</v>
      </c>
      <c r="M22" s="52">
        <f t="shared" si="6"/>
        <v>0</v>
      </c>
    </row>
    <row r="23" spans="2:17" ht="15" thickBot="1" x14ac:dyDescent="0.4">
      <c r="F23" s="60">
        <v>6</v>
      </c>
      <c r="G23" s="51">
        <f t="shared" si="1"/>
        <v>0</v>
      </c>
      <c r="H23" s="51">
        <f t="shared" si="2"/>
        <v>0</v>
      </c>
      <c r="I23" s="51">
        <f>H8</f>
        <v>0</v>
      </c>
      <c r="J23" s="51">
        <f t="shared" si="4"/>
        <v>0</v>
      </c>
      <c r="K23" s="51">
        <f t="shared" si="0"/>
        <v>0</v>
      </c>
      <c r="L23" s="51">
        <f t="shared" si="5"/>
        <v>0</v>
      </c>
      <c r="M23" s="52">
        <f t="shared" si="6"/>
        <v>0</v>
      </c>
    </row>
    <row r="24" spans="2:17" ht="15" thickBot="1" x14ac:dyDescent="0.4">
      <c r="F24" s="60">
        <v>7</v>
      </c>
      <c r="G24" s="51">
        <f t="shared" si="1"/>
        <v>0</v>
      </c>
      <c r="H24" s="51">
        <f t="shared" si="2"/>
        <v>0</v>
      </c>
      <c r="I24" s="51">
        <f t="shared" si="3"/>
        <v>0</v>
      </c>
      <c r="J24" s="51">
        <f t="shared" si="4"/>
        <v>0</v>
      </c>
      <c r="K24" s="51">
        <f t="shared" si="0"/>
        <v>0</v>
      </c>
      <c r="L24" s="51">
        <f t="shared" si="5"/>
        <v>0</v>
      </c>
      <c r="M24" s="52">
        <f t="shared" si="6"/>
        <v>0</v>
      </c>
    </row>
    <row r="25" spans="2:17" ht="15" thickBot="1" x14ac:dyDescent="0.4">
      <c r="F25" s="60">
        <v>8</v>
      </c>
      <c r="G25" s="51">
        <f t="shared" si="1"/>
        <v>0</v>
      </c>
      <c r="H25" s="51">
        <f t="shared" si="2"/>
        <v>0</v>
      </c>
      <c r="I25" s="51">
        <f t="shared" si="3"/>
        <v>0</v>
      </c>
      <c r="J25" s="51">
        <f t="shared" si="4"/>
        <v>0</v>
      </c>
      <c r="K25" s="51">
        <f t="shared" si="0"/>
        <v>0</v>
      </c>
      <c r="L25" s="51">
        <f t="shared" si="5"/>
        <v>0</v>
      </c>
      <c r="M25" s="52">
        <f t="shared" si="6"/>
        <v>0</v>
      </c>
    </row>
    <row r="26" spans="2:17" ht="15" thickBot="1" x14ac:dyDescent="0.4">
      <c r="F26" s="60">
        <v>9</v>
      </c>
      <c r="G26" s="51">
        <f t="shared" si="1"/>
        <v>0</v>
      </c>
      <c r="H26" s="51">
        <f t="shared" si="2"/>
        <v>0</v>
      </c>
      <c r="I26" s="51">
        <f t="shared" si="3"/>
        <v>0</v>
      </c>
      <c r="J26" s="51">
        <f t="shared" si="4"/>
        <v>0</v>
      </c>
      <c r="K26" s="51">
        <f t="shared" si="0"/>
        <v>0</v>
      </c>
      <c r="L26" s="51">
        <f t="shared" si="5"/>
        <v>0</v>
      </c>
      <c r="M26" s="52">
        <f t="shared" si="6"/>
        <v>0</v>
      </c>
    </row>
    <row r="27" spans="2:17" ht="15" thickBot="1" x14ac:dyDescent="0.4">
      <c r="F27" s="60">
        <v>10</v>
      </c>
      <c r="G27" s="51">
        <f t="shared" si="1"/>
        <v>0</v>
      </c>
      <c r="H27" s="51">
        <f t="shared" si="2"/>
        <v>0</v>
      </c>
      <c r="I27" s="51">
        <f t="shared" si="3"/>
        <v>0</v>
      </c>
      <c r="J27" s="51">
        <f t="shared" si="4"/>
        <v>0</v>
      </c>
      <c r="K27" s="51">
        <f t="shared" si="0"/>
        <v>0</v>
      </c>
      <c r="L27" s="51">
        <f t="shared" si="5"/>
        <v>0</v>
      </c>
      <c r="M27" s="52">
        <f t="shared" si="6"/>
        <v>0</v>
      </c>
    </row>
    <row r="28" spans="2:17" x14ac:dyDescent="0.35">
      <c r="F28" s="39" t="s">
        <v>77</v>
      </c>
      <c r="G28" s="43">
        <f>SUM(G18:G27)</f>
        <v>0</v>
      </c>
      <c r="H28" s="43">
        <f t="shared" ref="H28:M28" si="7">SUM(H18:H27)</f>
        <v>0</v>
      </c>
      <c r="I28" s="43">
        <f t="shared" si="7"/>
        <v>0</v>
      </c>
      <c r="J28" s="43">
        <f t="shared" si="7"/>
        <v>0</v>
      </c>
      <c r="K28" s="43">
        <f t="shared" si="7"/>
        <v>0</v>
      </c>
      <c r="L28" s="43">
        <f t="shared" si="7"/>
        <v>0</v>
      </c>
      <c r="M28" s="43">
        <f t="shared" si="7"/>
        <v>0</v>
      </c>
    </row>
    <row r="29" spans="2:17" x14ac:dyDescent="0.35">
      <c r="J29" s="39" t="s">
        <v>82</v>
      </c>
      <c r="K29" s="45">
        <f>H28</f>
        <v>0</v>
      </c>
    </row>
    <row r="31" spans="2:17" ht="15" thickBot="1" x14ac:dyDescent="0.4">
      <c r="F31" s="39"/>
      <c r="J31" s="186" t="s">
        <v>83</v>
      </c>
      <c r="K31" s="187"/>
      <c r="L31" s="186" t="s">
        <v>70</v>
      </c>
      <c r="M31" s="187"/>
      <c r="P31" s="188" t="s">
        <v>84</v>
      </c>
      <c r="Q31" s="189"/>
    </row>
    <row r="32" spans="2:17" ht="15" thickBot="1" x14ac:dyDescent="0.4">
      <c r="F32" s="49" t="s">
        <v>69</v>
      </c>
      <c r="G32" s="49" t="s">
        <v>29</v>
      </c>
      <c r="H32" s="49" t="s">
        <v>80</v>
      </c>
      <c r="I32" s="49" t="s">
        <v>70</v>
      </c>
      <c r="J32" s="49" t="s">
        <v>81</v>
      </c>
      <c r="K32" s="49" t="s">
        <v>63</v>
      </c>
      <c r="L32" s="49" t="s">
        <v>81</v>
      </c>
      <c r="M32" s="49" t="s">
        <v>63</v>
      </c>
      <c r="O32" s="49" t="s">
        <v>69</v>
      </c>
      <c r="P32" s="49" t="s">
        <v>81</v>
      </c>
      <c r="Q32" s="49" t="s">
        <v>63</v>
      </c>
    </row>
    <row r="33" spans="6:17" ht="15" thickBot="1" x14ac:dyDescent="0.4">
      <c r="F33" s="60">
        <v>1</v>
      </c>
      <c r="G33" s="51">
        <f>G18</f>
        <v>0</v>
      </c>
      <c r="H33" s="51">
        <f>H18</f>
        <v>0</v>
      </c>
      <c r="I33" s="51">
        <f>I18</f>
        <v>0</v>
      </c>
      <c r="J33" s="57" t="e">
        <f>J18/(G33-H33)</f>
        <v>#DIV/0!</v>
      </c>
      <c r="K33" s="59" t="e">
        <f>1-J33</f>
        <v>#DIV/0!</v>
      </c>
      <c r="L33" s="51" t="e">
        <f>IF(J33*I33&lt;$C$3,J33*I33,$C$3)</f>
        <v>#DIV/0!</v>
      </c>
      <c r="M33" s="52" t="e">
        <f>IF(I33*K33&lt;$C$8,I33*K33,$C$8)</f>
        <v>#DIV/0!</v>
      </c>
      <c r="O33" s="60">
        <v>1</v>
      </c>
      <c r="P33" s="50" t="e">
        <f>L18-L33</f>
        <v>#DIV/0!</v>
      </c>
      <c r="Q33" s="52" t="e">
        <f>M18-M33</f>
        <v>#DIV/0!</v>
      </c>
    </row>
    <row r="34" spans="6:17" ht="15" thickBot="1" x14ac:dyDescent="0.4">
      <c r="F34" s="60">
        <v>2</v>
      </c>
      <c r="G34" s="51">
        <f t="shared" ref="G34:I42" si="8">G19</f>
        <v>0</v>
      </c>
      <c r="H34" s="51">
        <f t="shared" si="8"/>
        <v>0</v>
      </c>
      <c r="I34" s="51">
        <f t="shared" si="8"/>
        <v>0</v>
      </c>
      <c r="J34" s="57" t="e">
        <f t="shared" ref="J34:J41" si="9">J19/(G34-H34)</f>
        <v>#DIV/0!</v>
      </c>
      <c r="K34" s="59" t="e">
        <f t="shared" ref="K34:K42" si="10">1-J34</f>
        <v>#DIV/0!</v>
      </c>
      <c r="L34" s="51" t="e">
        <f t="shared" ref="L34:L42" si="11">IF(J34*I34&lt;$C$3,J34*I34,$C$3)</f>
        <v>#DIV/0!</v>
      </c>
      <c r="M34" s="52" t="e">
        <f t="shared" ref="M34:M42" si="12">IF(I34*K34&lt;$C$8,I34*K34,$C$8)</f>
        <v>#DIV/0!</v>
      </c>
      <c r="O34" s="60">
        <v>2</v>
      </c>
      <c r="P34" s="50" t="e">
        <f t="shared" ref="P34:P42" si="13">L19-L34</f>
        <v>#DIV/0!</v>
      </c>
      <c r="Q34" s="52" t="e">
        <f t="shared" ref="Q34:Q42" si="14">M19-M34</f>
        <v>#DIV/0!</v>
      </c>
    </row>
    <row r="35" spans="6:17" ht="15" thickBot="1" x14ac:dyDescent="0.4">
      <c r="F35" s="60">
        <v>3</v>
      </c>
      <c r="G35" s="51">
        <f t="shared" si="8"/>
        <v>0</v>
      </c>
      <c r="H35" s="51">
        <f t="shared" si="8"/>
        <v>0</v>
      </c>
      <c r="I35" s="51">
        <f t="shared" si="8"/>
        <v>0</v>
      </c>
      <c r="J35" s="57" t="e">
        <f t="shared" si="9"/>
        <v>#DIV/0!</v>
      </c>
      <c r="K35" s="59" t="e">
        <f t="shared" si="10"/>
        <v>#DIV/0!</v>
      </c>
      <c r="L35" s="51" t="e">
        <f t="shared" si="11"/>
        <v>#DIV/0!</v>
      </c>
      <c r="M35" s="52" t="e">
        <f t="shared" si="12"/>
        <v>#DIV/0!</v>
      </c>
      <c r="O35" s="60">
        <v>3</v>
      </c>
      <c r="P35" s="50" t="e">
        <f t="shared" si="13"/>
        <v>#DIV/0!</v>
      </c>
      <c r="Q35" s="52" t="e">
        <f t="shared" si="14"/>
        <v>#DIV/0!</v>
      </c>
    </row>
    <row r="36" spans="6:17" ht="15" thickBot="1" x14ac:dyDescent="0.4">
      <c r="F36" s="60">
        <v>4</v>
      </c>
      <c r="G36" s="51">
        <f t="shared" si="8"/>
        <v>0</v>
      </c>
      <c r="H36" s="51">
        <f t="shared" si="8"/>
        <v>0</v>
      </c>
      <c r="I36" s="51">
        <f t="shared" si="8"/>
        <v>0</v>
      </c>
      <c r="J36" s="57" t="e">
        <f t="shared" si="9"/>
        <v>#DIV/0!</v>
      </c>
      <c r="K36" s="59" t="e">
        <f t="shared" si="10"/>
        <v>#DIV/0!</v>
      </c>
      <c r="L36" s="51" t="e">
        <f t="shared" si="11"/>
        <v>#DIV/0!</v>
      </c>
      <c r="M36" s="52" t="e">
        <f t="shared" si="12"/>
        <v>#DIV/0!</v>
      </c>
      <c r="O36" s="60">
        <v>4</v>
      </c>
      <c r="P36" s="50" t="e">
        <f t="shared" si="13"/>
        <v>#DIV/0!</v>
      </c>
      <c r="Q36" s="52" t="e">
        <f t="shared" si="14"/>
        <v>#DIV/0!</v>
      </c>
    </row>
    <row r="37" spans="6:17" ht="15" thickBot="1" x14ac:dyDescent="0.4">
      <c r="F37" s="60">
        <v>5</v>
      </c>
      <c r="G37" s="51">
        <f t="shared" si="8"/>
        <v>0</v>
      </c>
      <c r="H37" s="51">
        <f t="shared" si="8"/>
        <v>0</v>
      </c>
      <c r="I37" s="51">
        <f t="shared" si="8"/>
        <v>0</v>
      </c>
      <c r="J37" s="57" t="e">
        <f t="shared" si="9"/>
        <v>#DIV/0!</v>
      </c>
      <c r="K37" s="59" t="e">
        <f t="shared" si="10"/>
        <v>#DIV/0!</v>
      </c>
      <c r="L37" s="51" t="e">
        <f t="shared" si="11"/>
        <v>#DIV/0!</v>
      </c>
      <c r="M37" s="52" t="e">
        <f t="shared" si="12"/>
        <v>#DIV/0!</v>
      </c>
      <c r="O37" s="60">
        <v>5</v>
      </c>
      <c r="P37" s="50" t="e">
        <f t="shared" si="13"/>
        <v>#DIV/0!</v>
      </c>
      <c r="Q37" s="52" t="e">
        <f t="shared" si="14"/>
        <v>#DIV/0!</v>
      </c>
    </row>
    <row r="38" spans="6:17" ht="15" thickBot="1" x14ac:dyDescent="0.4">
      <c r="F38" s="60">
        <v>6</v>
      </c>
      <c r="G38" s="51">
        <f t="shared" si="8"/>
        <v>0</v>
      </c>
      <c r="H38" s="51">
        <f t="shared" si="8"/>
        <v>0</v>
      </c>
      <c r="I38" s="51">
        <f t="shared" si="8"/>
        <v>0</v>
      </c>
      <c r="J38" s="57" t="e">
        <f t="shared" si="9"/>
        <v>#DIV/0!</v>
      </c>
      <c r="K38" s="59" t="e">
        <f t="shared" si="10"/>
        <v>#DIV/0!</v>
      </c>
      <c r="L38" s="51" t="e">
        <f t="shared" si="11"/>
        <v>#DIV/0!</v>
      </c>
      <c r="M38" s="52" t="e">
        <f t="shared" si="12"/>
        <v>#DIV/0!</v>
      </c>
      <c r="O38" s="60">
        <v>6</v>
      </c>
      <c r="P38" s="50" t="e">
        <f t="shared" si="13"/>
        <v>#DIV/0!</v>
      </c>
      <c r="Q38" s="52" t="e">
        <f t="shared" si="14"/>
        <v>#DIV/0!</v>
      </c>
    </row>
    <row r="39" spans="6:17" ht="15" thickBot="1" x14ac:dyDescent="0.4">
      <c r="F39" s="60">
        <v>7</v>
      </c>
      <c r="G39" s="51">
        <f t="shared" si="8"/>
        <v>0</v>
      </c>
      <c r="H39" s="51">
        <f t="shared" si="8"/>
        <v>0</v>
      </c>
      <c r="I39" s="51">
        <f t="shared" si="8"/>
        <v>0</v>
      </c>
      <c r="J39" s="57" t="e">
        <f t="shared" si="9"/>
        <v>#DIV/0!</v>
      </c>
      <c r="K39" s="59" t="e">
        <f t="shared" si="10"/>
        <v>#DIV/0!</v>
      </c>
      <c r="L39" s="51" t="e">
        <f t="shared" si="11"/>
        <v>#DIV/0!</v>
      </c>
      <c r="M39" s="52" t="e">
        <f t="shared" si="12"/>
        <v>#DIV/0!</v>
      </c>
      <c r="O39" s="60">
        <v>7</v>
      </c>
      <c r="P39" s="50" t="e">
        <f t="shared" si="13"/>
        <v>#DIV/0!</v>
      </c>
      <c r="Q39" s="52" t="e">
        <f t="shared" si="14"/>
        <v>#DIV/0!</v>
      </c>
    </row>
    <row r="40" spans="6:17" ht="15" thickBot="1" x14ac:dyDescent="0.4">
      <c r="F40" s="60">
        <v>8</v>
      </c>
      <c r="G40" s="51">
        <f t="shared" si="8"/>
        <v>0</v>
      </c>
      <c r="H40" s="51">
        <f t="shared" si="8"/>
        <v>0</v>
      </c>
      <c r="I40" s="51">
        <f t="shared" si="8"/>
        <v>0</v>
      </c>
      <c r="J40" s="57" t="e">
        <f t="shared" si="9"/>
        <v>#DIV/0!</v>
      </c>
      <c r="K40" s="59" t="e">
        <f t="shared" si="10"/>
        <v>#DIV/0!</v>
      </c>
      <c r="L40" s="51" t="e">
        <f t="shared" si="11"/>
        <v>#DIV/0!</v>
      </c>
      <c r="M40" s="52" t="e">
        <f t="shared" si="12"/>
        <v>#DIV/0!</v>
      </c>
      <c r="O40" s="60">
        <v>8</v>
      </c>
      <c r="P40" s="50" t="e">
        <f t="shared" si="13"/>
        <v>#DIV/0!</v>
      </c>
      <c r="Q40" s="52" t="e">
        <f t="shared" si="14"/>
        <v>#DIV/0!</v>
      </c>
    </row>
    <row r="41" spans="6:17" ht="15" thickBot="1" x14ac:dyDescent="0.4">
      <c r="F41" s="60">
        <v>9</v>
      </c>
      <c r="G41" s="51">
        <f t="shared" si="8"/>
        <v>0</v>
      </c>
      <c r="H41" s="51">
        <f t="shared" si="8"/>
        <v>0</v>
      </c>
      <c r="I41" s="51">
        <f t="shared" si="8"/>
        <v>0</v>
      </c>
      <c r="J41" s="57" t="e">
        <f t="shared" si="9"/>
        <v>#DIV/0!</v>
      </c>
      <c r="K41" s="59" t="e">
        <f t="shared" si="10"/>
        <v>#DIV/0!</v>
      </c>
      <c r="L41" s="51" t="e">
        <f t="shared" si="11"/>
        <v>#DIV/0!</v>
      </c>
      <c r="M41" s="52" t="e">
        <f t="shared" si="12"/>
        <v>#DIV/0!</v>
      </c>
      <c r="O41" s="60">
        <v>9</v>
      </c>
      <c r="P41" s="50" t="e">
        <f t="shared" si="13"/>
        <v>#DIV/0!</v>
      </c>
      <c r="Q41" s="52" t="e">
        <f t="shared" si="14"/>
        <v>#DIV/0!</v>
      </c>
    </row>
    <row r="42" spans="6:17" ht="15" thickBot="1" x14ac:dyDescent="0.4">
      <c r="F42" s="60">
        <v>10</v>
      </c>
      <c r="G42" s="51">
        <f t="shared" si="8"/>
        <v>0</v>
      </c>
      <c r="H42" s="51">
        <f t="shared" si="8"/>
        <v>0</v>
      </c>
      <c r="I42" s="51">
        <f t="shared" si="8"/>
        <v>0</v>
      </c>
      <c r="J42" s="57" t="e">
        <f>J27/(G42-H42)</f>
        <v>#DIV/0!</v>
      </c>
      <c r="K42" s="59" t="e">
        <f t="shared" si="10"/>
        <v>#DIV/0!</v>
      </c>
      <c r="L42" s="51" t="e">
        <f t="shared" si="11"/>
        <v>#DIV/0!</v>
      </c>
      <c r="M42" s="52" t="e">
        <f t="shared" si="12"/>
        <v>#DIV/0!</v>
      </c>
      <c r="O42" s="60">
        <v>10</v>
      </c>
      <c r="P42" s="50" t="e">
        <f t="shared" si="13"/>
        <v>#DIV/0!</v>
      </c>
      <c r="Q42" s="52" t="e">
        <f t="shared" si="14"/>
        <v>#DIV/0!</v>
      </c>
    </row>
    <row r="43" spans="6:17" x14ac:dyDescent="0.35">
      <c r="F43" s="39" t="s">
        <v>77</v>
      </c>
      <c r="G43" s="43">
        <f>SUM(G33:G42)</f>
        <v>0</v>
      </c>
      <c r="H43" s="43">
        <f t="shared" ref="H43:M43" si="15">SUM(H33:H42)</f>
        <v>0</v>
      </c>
      <c r="I43" s="43">
        <f t="shared" si="15"/>
        <v>0</v>
      </c>
      <c r="J43" s="58" t="e">
        <f>J28/(G43)</f>
        <v>#DIV/0!</v>
      </c>
      <c r="K43" s="58" t="e">
        <f>K28/G43</f>
        <v>#DIV/0!</v>
      </c>
      <c r="L43" s="44" t="e">
        <f t="shared" si="15"/>
        <v>#DIV/0!</v>
      </c>
      <c r="M43" s="44" t="e">
        <f t="shared" si="15"/>
        <v>#DIV/0!</v>
      </c>
      <c r="O43" s="39" t="s">
        <v>77</v>
      </c>
      <c r="P43" s="44" t="e">
        <f>SUM(P33:P42)</f>
        <v>#DIV/0!</v>
      </c>
      <c r="Q43" s="44" t="e">
        <f>SUM(Q33:Q42)</f>
        <v>#DIV/0!</v>
      </c>
    </row>
    <row r="44" spans="6:17" x14ac:dyDescent="0.35">
      <c r="J44" s="39" t="s">
        <v>82</v>
      </c>
      <c r="K44" s="46" t="e">
        <f>K29/G28</f>
        <v>#DIV/0!</v>
      </c>
    </row>
    <row r="45" spans="6:17" x14ac:dyDescent="0.35">
      <c r="K45" s="47"/>
    </row>
    <row r="47" spans="6:17" x14ac:dyDescent="0.35">
      <c r="L47"/>
      <c r="M47"/>
    </row>
    <row r="48" spans="6:17" x14ac:dyDescent="0.35">
      <c r="I48"/>
      <c r="L48"/>
      <c r="M48" s="4"/>
    </row>
    <row r="49" spans="9:13" x14ac:dyDescent="0.35">
      <c r="I49"/>
      <c r="L49"/>
      <c r="M49"/>
    </row>
    <row r="50" spans="9:13" x14ac:dyDescent="0.35">
      <c r="I50"/>
      <c r="L50"/>
      <c r="M50"/>
    </row>
    <row r="51" spans="9:13" x14ac:dyDescent="0.35">
      <c r="I51"/>
      <c r="L51"/>
      <c r="M51"/>
    </row>
    <row r="52" spans="9:13" x14ac:dyDescent="0.35">
      <c r="I52"/>
      <c r="L52"/>
      <c r="M52"/>
    </row>
    <row r="53" spans="9:13" x14ac:dyDescent="0.35">
      <c r="I53"/>
      <c r="L53"/>
      <c r="M53"/>
    </row>
    <row r="54" spans="9:13" x14ac:dyDescent="0.35">
      <c r="I54"/>
      <c r="L54"/>
      <c r="M54"/>
    </row>
    <row r="55" spans="9:13" x14ac:dyDescent="0.35">
      <c r="I55"/>
      <c r="L55"/>
      <c r="M55"/>
    </row>
    <row r="56" spans="9:13" x14ac:dyDescent="0.35">
      <c r="I56"/>
      <c r="L56"/>
      <c r="M56"/>
    </row>
    <row r="57" spans="9:13" x14ac:dyDescent="0.35">
      <c r="I57"/>
      <c r="L57"/>
      <c r="M57"/>
    </row>
    <row r="58" spans="9:13" x14ac:dyDescent="0.35">
      <c r="I58"/>
      <c r="L58"/>
      <c r="M58"/>
    </row>
    <row r="59" spans="9:13" x14ac:dyDescent="0.35">
      <c r="I59"/>
      <c r="J59"/>
      <c r="K59"/>
      <c r="L59"/>
      <c r="M59"/>
    </row>
    <row r="60" spans="9:13" x14ac:dyDescent="0.35">
      <c r="J60"/>
      <c r="K60"/>
    </row>
  </sheetData>
  <mergeCells count="5">
    <mergeCell ref="J16:K16"/>
    <mergeCell ref="L16:M16"/>
    <mergeCell ref="J31:K31"/>
    <mergeCell ref="L31:M31"/>
    <mergeCell ref="P31:Q3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3FD-44E2-4A0D-84C4-833C81761A46}">
  <dimension ref="A1:F13"/>
  <sheetViews>
    <sheetView workbookViewId="0">
      <selection activeCell="B13" sqref="B13"/>
    </sheetView>
  </sheetViews>
  <sheetFormatPr defaultRowHeight="14.5" x14ac:dyDescent="0.35"/>
  <cols>
    <col min="1" max="1" width="38.36328125" customWidth="1"/>
    <col min="2" max="3" width="16.90625" customWidth="1"/>
    <col min="5" max="5" width="28.26953125" customWidth="1"/>
    <col min="6" max="6" width="15.90625" customWidth="1"/>
  </cols>
  <sheetData>
    <row r="1" spans="1:6" ht="15" thickBot="1" x14ac:dyDescent="0.4"/>
    <row r="2" spans="1:6" ht="15" thickBot="1" x14ac:dyDescent="0.4">
      <c r="A2" s="93" t="s">
        <v>123</v>
      </c>
      <c r="B2" s="94">
        <v>0.7</v>
      </c>
      <c r="C2" s="89"/>
      <c r="E2" s="93" t="s">
        <v>124</v>
      </c>
    </row>
    <row r="3" spans="1:6" ht="15" thickBot="1" x14ac:dyDescent="0.4">
      <c r="A3" s="93" t="s">
        <v>125</v>
      </c>
      <c r="B3" s="95">
        <f>1-B2</f>
        <v>0.30000000000000004</v>
      </c>
      <c r="C3" s="89"/>
      <c r="E3" s="93" t="s">
        <v>126</v>
      </c>
      <c r="F3" s="1">
        <f>B9*B13</f>
        <v>600.00000000000011</v>
      </c>
    </row>
    <row r="4" spans="1:6" ht="15" thickBot="1" x14ac:dyDescent="0.4">
      <c r="A4" s="93" t="s">
        <v>127</v>
      </c>
      <c r="B4" s="98">
        <v>10000000</v>
      </c>
      <c r="C4" s="91"/>
      <c r="E4" s="93" t="s">
        <v>128</v>
      </c>
      <c r="F4" s="1">
        <f>(B7*(1-B13)-B9+F3)-B11</f>
        <v>-4187400</v>
      </c>
    </row>
    <row r="5" spans="1:6" ht="15" thickBot="1" x14ac:dyDescent="0.4">
      <c r="A5" s="93" t="s">
        <v>129</v>
      </c>
      <c r="B5" s="96">
        <f>B4*B2</f>
        <v>7000000</v>
      </c>
      <c r="C5" s="1"/>
      <c r="E5" s="93" t="s">
        <v>130</v>
      </c>
      <c r="F5" s="1">
        <f>(B9-F3)-B12</f>
        <v>-1794600.0000000002</v>
      </c>
    </row>
    <row r="6" spans="1:6" ht="15" thickBot="1" x14ac:dyDescent="0.4">
      <c r="A6" s="93" t="s">
        <v>131</v>
      </c>
      <c r="B6" s="96">
        <f>B3*B4</f>
        <v>3000000.0000000005</v>
      </c>
      <c r="C6" s="25" t="s">
        <v>137</v>
      </c>
      <c r="E6" s="93" t="s">
        <v>132</v>
      </c>
      <c r="F6" s="1">
        <f>SUM(F4:F5)</f>
        <v>-5982000</v>
      </c>
    </row>
    <row r="7" spans="1:6" ht="15" thickBot="1" x14ac:dyDescent="0.4">
      <c r="A7" s="93" t="s">
        <v>133</v>
      </c>
      <c r="B7" s="97">
        <f>B4*C7/1000</f>
        <v>20000</v>
      </c>
      <c r="C7" s="92">
        <v>2</v>
      </c>
      <c r="E7" s="93"/>
      <c r="F7" s="1"/>
    </row>
    <row r="8" spans="1:6" ht="15" thickBot="1" x14ac:dyDescent="0.4">
      <c r="A8" s="93" t="s">
        <v>129</v>
      </c>
      <c r="B8" s="96">
        <f>B2*B7</f>
        <v>14000</v>
      </c>
      <c r="C8" s="1"/>
      <c r="E8" s="93" t="s">
        <v>134</v>
      </c>
      <c r="F8" s="1">
        <f>IF(F5&gt;0,F5*(1-B13),0)</f>
        <v>0</v>
      </c>
    </row>
    <row r="9" spans="1:6" ht="15" thickBot="1" x14ac:dyDescent="0.4">
      <c r="A9" s="93" t="s">
        <v>131</v>
      </c>
      <c r="B9" s="96">
        <f>B7*B3</f>
        <v>6000.0000000000009</v>
      </c>
      <c r="C9" s="25" t="s">
        <v>138</v>
      </c>
      <c r="E9" s="93" t="s">
        <v>128</v>
      </c>
      <c r="F9" s="1">
        <f>+F4+F8</f>
        <v>-4187400</v>
      </c>
    </row>
    <row r="10" spans="1:6" ht="15" thickBot="1" x14ac:dyDescent="0.4">
      <c r="A10" s="93" t="s">
        <v>135</v>
      </c>
      <c r="B10" s="97">
        <f>B4*C10</f>
        <v>6000000</v>
      </c>
      <c r="C10" s="99">
        <v>0.6</v>
      </c>
      <c r="E10" s="93" t="s">
        <v>130</v>
      </c>
      <c r="F10" s="1">
        <f>F5-F8</f>
        <v>-1794600.0000000002</v>
      </c>
    </row>
    <row r="11" spans="1:6" ht="15" thickBot="1" x14ac:dyDescent="0.4">
      <c r="A11" s="93" t="s">
        <v>129</v>
      </c>
      <c r="B11" s="96">
        <f>B10*B2</f>
        <v>4200000</v>
      </c>
      <c r="C11" s="1"/>
      <c r="E11" s="93" t="s">
        <v>132</v>
      </c>
      <c r="F11" s="1">
        <f>SUM(F9:F10)</f>
        <v>-5982000</v>
      </c>
    </row>
    <row r="12" spans="1:6" ht="15" thickBot="1" x14ac:dyDescent="0.4">
      <c r="A12" s="93" t="s">
        <v>131</v>
      </c>
      <c r="B12" s="96">
        <f>B10*B3</f>
        <v>1800000.0000000002</v>
      </c>
      <c r="C12" s="1"/>
    </row>
    <row r="13" spans="1:6" ht="15" thickBot="1" x14ac:dyDescent="0.4">
      <c r="A13" s="93" t="s">
        <v>136</v>
      </c>
      <c r="B13" s="90">
        <v>0.1</v>
      </c>
      <c r="C13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7418-C78B-4B8E-A8B5-12EFCC6A4011}">
  <dimension ref="B2:L41"/>
  <sheetViews>
    <sheetView showGridLines="0" zoomScale="80" zoomScaleNormal="80" workbookViewId="0">
      <selection activeCell="C5" sqref="C5:D18"/>
    </sheetView>
  </sheetViews>
  <sheetFormatPr defaultRowHeight="14.5" x14ac:dyDescent="0.35"/>
  <cols>
    <col min="2" max="2" width="8.6328125" bestFit="1" customWidth="1"/>
    <col min="3" max="3" width="15.36328125" bestFit="1" customWidth="1"/>
    <col min="4" max="4" width="10.453125" bestFit="1" customWidth="1"/>
    <col min="5" max="5" width="11" bestFit="1" customWidth="1"/>
    <col min="6" max="6" width="13.08984375" bestFit="1" customWidth="1"/>
    <col min="8" max="8" width="10.36328125" bestFit="1" customWidth="1"/>
    <col min="11" max="11" width="39" bestFit="1" customWidth="1"/>
    <col min="12" max="12" width="10.54296875" bestFit="1" customWidth="1"/>
  </cols>
  <sheetData>
    <row r="2" spans="2:12" ht="15.5" x14ac:dyDescent="0.35">
      <c r="B2" s="100" t="s">
        <v>139</v>
      </c>
      <c r="C2" s="101" t="s">
        <v>140</v>
      </c>
      <c r="D2" s="101" t="s">
        <v>141</v>
      </c>
      <c r="E2" s="101" t="s">
        <v>142</v>
      </c>
      <c r="F2" s="102"/>
      <c r="G2" s="103"/>
      <c r="H2" s="102"/>
      <c r="I2" s="103"/>
      <c r="K2" s="104" t="s">
        <v>46</v>
      </c>
      <c r="L2" s="105"/>
    </row>
    <row r="3" spans="2:12" ht="15.5" x14ac:dyDescent="0.35">
      <c r="B3" s="106" t="s">
        <v>143</v>
      </c>
      <c r="C3" s="107" t="s">
        <v>144</v>
      </c>
      <c r="D3" s="107" t="s">
        <v>145</v>
      </c>
      <c r="E3" s="107" t="s">
        <v>79</v>
      </c>
      <c r="F3" s="190" t="s">
        <v>146</v>
      </c>
      <c r="G3" s="191"/>
      <c r="H3" s="190" t="s">
        <v>147</v>
      </c>
      <c r="I3" s="191"/>
      <c r="K3" s="37" t="s">
        <v>71</v>
      </c>
      <c r="L3" s="105">
        <v>20</v>
      </c>
    </row>
    <row r="4" spans="2:12" ht="16" thickBot="1" x14ac:dyDescent="0.4">
      <c r="B4" s="108" t="s">
        <v>148</v>
      </c>
      <c r="C4" s="109" t="s">
        <v>149</v>
      </c>
      <c r="D4" s="109"/>
      <c r="E4" s="109" t="s">
        <v>149</v>
      </c>
      <c r="F4" s="108" t="s">
        <v>149</v>
      </c>
      <c r="G4" s="110" t="s">
        <v>150</v>
      </c>
      <c r="H4" s="108" t="s">
        <v>149</v>
      </c>
      <c r="I4" s="110" t="s">
        <v>150</v>
      </c>
      <c r="K4" s="37" t="s">
        <v>72</v>
      </c>
      <c r="L4" s="105">
        <v>10</v>
      </c>
    </row>
    <row r="5" spans="2:12" ht="16" thickTop="1" x14ac:dyDescent="0.35">
      <c r="B5" s="111">
        <v>1</v>
      </c>
      <c r="C5" s="112">
        <v>0.7</v>
      </c>
      <c r="D5" s="113">
        <v>250000</v>
      </c>
      <c r="E5" s="114">
        <v>175</v>
      </c>
      <c r="F5" s="115">
        <f>MIN(C5,$L$3)/C5*E5</f>
        <v>175</v>
      </c>
      <c r="G5" s="116">
        <f>+F5/E5</f>
        <v>1</v>
      </c>
      <c r="H5" s="117">
        <f>+E5-F5</f>
        <v>0</v>
      </c>
      <c r="I5" s="118">
        <f>1-G5</f>
        <v>0</v>
      </c>
      <c r="K5" s="37" t="s">
        <v>73</v>
      </c>
      <c r="L5" s="105"/>
    </row>
    <row r="6" spans="2:12" ht="15.5" x14ac:dyDescent="0.35">
      <c r="B6" s="111">
        <v>2</v>
      </c>
      <c r="C6" s="112">
        <v>1.9</v>
      </c>
      <c r="D6" s="113">
        <v>150000</v>
      </c>
      <c r="E6" s="114">
        <v>285</v>
      </c>
      <c r="F6" s="115">
        <f t="shared" ref="F6:F18" si="0">MIN(C6,$L$3)/C6*E6</f>
        <v>285</v>
      </c>
      <c r="G6" s="116">
        <f t="shared" ref="G6:G18" si="1">+F6/E6</f>
        <v>1</v>
      </c>
      <c r="H6" s="117">
        <f t="shared" ref="H6:H18" si="2">+E6-F6</f>
        <v>0</v>
      </c>
      <c r="I6" s="118">
        <f t="shared" ref="I6:I18" si="3">1-G6</f>
        <v>0</v>
      </c>
      <c r="K6" s="37" t="s">
        <v>74</v>
      </c>
      <c r="L6" s="105"/>
    </row>
    <row r="7" spans="2:12" x14ac:dyDescent="0.35">
      <c r="B7" s="111">
        <v>3</v>
      </c>
      <c r="C7" s="112">
        <v>3.8</v>
      </c>
      <c r="D7" s="113">
        <v>70000</v>
      </c>
      <c r="E7" s="114">
        <v>266</v>
      </c>
      <c r="F7" s="115">
        <f t="shared" si="0"/>
        <v>266</v>
      </c>
      <c r="G7" s="116">
        <f t="shared" si="1"/>
        <v>1</v>
      </c>
      <c r="H7" s="117">
        <f t="shared" si="2"/>
        <v>0</v>
      </c>
      <c r="I7" s="118">
        <f t="shared" si="3"/>
        <v>0</v>
      </c>
    </row>
    <row r="8" spans="2:12" x14ac:dyDescent="0.35">
      <c r="B8" s="111">
        <v>4</v>
      </c>
      <c r="C8" s="112">
        <v>7</v>
      </c>
      <c r="D8" s="113">
        <v>30000</v>
      </c>
      <c r="E8" s="114">
        <v>252</v>
      </c>
      <c r="F8" s="115">
        <f t="shared" si="0"/>
        <v>252</v>
      </c>
      <c r="G8" s="116">
        <f t="shared" si="1"/>
        <v>1</v>
      </c>
      <c r="H8" s="117">
        <f t="shared" si="2"/>
        <v>0</v>
      </c>
      <c r="I8" s="118">
        <f t="shared" si="3"/>
        <v>0</v>
      </c>
    </row>
    <row r="9" spans="2:12" x14ac:dyDescent="0.35">
      <c r="B9" s="111">
        <v>5</v>
      </c>
      <c r="C9" s="112">
        <v>13</v>
      </c>
      <c r="D9" s="113">
        <v>11000</v>
      </c>
      <c r="E9" s="114">
        <v>185.9</v>
      </c>
      <c r="F9" s="115">
        <f t="shared" si="0"/>
        <v>185.9</v>
      </c>
      <c r="G9" s="116">
        <f t="shared" si="1"/>
        <v>1</v>
      </c>
      <c r="H9" s="117">
        <f t="shared" si="2"/>
        <v>0</v>
      </c>
      <c r="I9" s="118">
        <f t="shared" si="3"/>
        <v>0</v>
      </c>
    </row>
    <row r="10" spans="2:12" x14ac:dyDescent="0.35">
      <c r="B10" s="111">
        <v>6</v>
      </c>
      <c r="C10" s="112">
        <v>25</v>
      </c>
      <c r="D10" s="113">
        <v>4000</v>
      </c>
      <c r="E10" s="114">
        <v>140</v>
      </c>
      <c r="F10" s="115">
        <f t="shared" si="0"/>
        <v>112</v>
      </c>
      <c r="G10" s="116">
        <f t="shared" si="1"/>
        <v>0.8</v>
      </c>
      <c r="H10" s="117">
        <f t="shared" si="2"/>
        <v>28</v>
      </c>
      <c r="I10" s="118">
        <f t="shared" si="3"/>
        <v>0.19999999999999996</v>
      </c>
    </row>
    <row r="11" spans="2:12" x14ac:dyDescent="0.35">
      <c r="B11" s="111">
        <v>7</v>
      </c>
      <c r="C11" s="112">
        <v>47</v>
      </c>
      <c r="D11" s="113">
        <v>2400</v>
      </c>
      <c r="E11" s="114">
        <v>169.2</v>
      </c>
      <c r="F11" s="115">
        <f t="shared" si="0"/>
        <v>72</v>
      </c>
      <c r="G11" s="116">
        <f t="shared" si="1"/>
        <v>0.42553191489361702</v>
      </c>
      <c r="H11" s="117">
        <f t="shared" si="2"/>
        <v>97.199999999999989</v>
      </c>
      <c r="I11" s="118">
        <f t="shared" si="3"/>
        <v>0.57446808510638303</v>
      </c>
    </row>
    <row r="12" spans="2:12" x14ac:dyDescent="0.35">
      <c r="B12" s="111">
        <v>8</v>
      </c>
      <c r="C12" s="112">
        <v>75</v>
      </c>
      <c r="D12" s="113">
        <v>1200</v>
      </c>
      <c r="E12" s="114">
        <v>144</v>
      </c>
      <c r="F12" s="115">
        <f t="shared" si="0"/>
        <v>38.4</v>
      </c>
      <c r="G12" s="116">
        <f t="shared" si="1"/>
        <v>0.26666666666666666</v>
      </c>
      <c r="H12" s="117">
        <f t="shared" si="2"/>
        <v>105.6</v>
      </c>
      <c r="I12" s="118">
        <f t="shared" si="3"/>
        <v>0.73333333333333339</v>
      </c>
    </row>
    <row r="13" spans="2:12" x14ac:dyDescent="0.35">
      <c r="B13" s="111">
        <v>9</v>
      </c>
      <c r="C13" s="112">
        <v>120</v>
      </c>
      <c r="D13" s="113">
        <v>510</v>
      </c>
      <c r="E13" s="119">
        <v>104.04</v>
      </c>
      <c r="F13" s="115">
        <f t="shared" si="0"/>
        <v>17.34</v>
      </c>
      <c r="G13" s="116">
        <f t="shared" si="1"/>
        <v>0.16666666666666666</v>
      </c>
      <c r="H13" s="117">
        <f t="shared" si="2"/>
        <v>86.7</v>
      </c>
      <c r="I13" s="118">
        <f t="shared" si="3"/>
        <v>0.83333333333333337</v>
      </c>
    </row>
    <row r="14" spans="2:12" x14ac:dyDescent="0.35">
      <c r="B14" s="111">
        <v>10</v>
      </c>
      <c r="C14" s="112">
        <v>170</v>
      </c>
      <c r="D14" s="113">
        <v>260</v>
      </c>
      <c r="E14" s="119">
        <v>79.56</v>
      </c>
      <c r="F14" s="115">
        <f t="shared" si="0"/>
        <v>9.36</v>
      </c>
      <c r="G14" s="116">
        <f t="shared" si="1"/>
        <v>0.1176470588235294</v>
      </c>
      <c r="H14" s="117">
        <f t="shared" si="2"/>
        <v>70.2</v>
      </c>
      <c r="I14" s="118">
        <f t="shared" si="3"/>
        <v>0.88235294117647056</v>
      </c>
    </row>
    <row r="15" spans="2:12" x14ac:dyDescent="0.35">
      <c r="B15" s="111">
        <v>11</v>
      </c>
      <c r="C15" s="112">
        <v>240</v>
      </c>
      <c r="D15" s="113">
        <v>120</v>
      </c>
      <c r="E15" s="119">
        <v>54.72</v>
      </c>
      <c r="F15" s="115">
        <f t="shared" si="0"/>
        <v>4.5599999999999996</v>
      </c>
      <c r="G15" s="116">
        <f t="shared" si="1"/>
        <v>8.3333333333333329E-2</v>
      </c>
      <c r="H15" s="117">
        <f t="shared" si="2"/>
        <v>50.16</v>
      </c>
      <c r="I15" s="118">
        <f t="shared" si="3"/>
        <v>0.91666666666666663</v>
      </c>
    </row>
    <row r="16" spans="2:12" x14ac:dyDescent="0.35">
      <c r="B16" s="111">
        <v>12</v>
      </c>
      <c r="C16" s="112">
        <v>390</v>
      </c>
      <c r="D16" s="113">
        <v>70</v>
      </c>
      <c r="E16" s="119">
        <v>54.6</v>
      </c>
      <c r="F16" s="115">
        <f t="shared" si="0"/>
        <v>2.8</v>
      </c>
      <c r="G16" s="116">
        <f t="shared" si="1"/>
        <v>5.128205128205128E-2</v>
      </c>
      <c r="H16" s="117">
        <f t="shared" si="2"/>
        <v>51.800000000000004</v>
      </c>
      <c r="I16" s="118">
        <f t="shared" si="3"/>
        <v>0.94871794871794868</v>
      </c>
    </row>
    <row r="17" spans="2:9" x14ac:dyDescent="0.35">
      <c r="B17" s="111">
        <v>13</v>
      </c>
      <c r="C17" s="112">
        <v>640</v>
      </c>
      <c r="D17" s="113">
        <v>25</v>
      </c>
      <c r="E17" s="119">
        <v>35.200000000000003</v>
      </c>
      <c r="F17" s="115">
        <f t="shared" si="0"/>
        <v>1.1000000000000001</v>
      </c>
      <c r="G17" s="116">
        <f t="shared" si="1"/>
        <v>3.125E-2</v>
      </c>
      <c r="H17" s="117">
        <f t="shared" si="2"/>
        <v>34.1</v>
      </c>
      <c r="I17" s="118">
        <f t="shared" si="3"/>
        <v>0.96875</v>
      </c>
    </row>
    <row r="18" spans="2:9" x14ac:dyDescent="0.35">
      <c r="B18" s="120">
        <v>14</v>
      </c>
      <c r="C18" s="121">
        <v>1100</v>
      </c>
      <c r="D18" s="122">
        <v>15</v>
      </c>
      <c r="E18" s="123">
        <v>41.25</v>
      </c>
      <c r="F18" s="124">
        <f t="shared" si="0"/>
        <v>0.75</v>
      </c>
      <c r="G18" s="125">
        <f t="shared" si="1"/>
        <v>1.8181818181818181E-2</v>
      </c>
      <c r="H18" s="126">
        <f t="shared" si="2"/>
        <v>40.5</v>
      </c>
      <c r="I18" s="127">
        <f t="shared" si="3"/>
        <v>0.98181818181818181</v>
      </c>
    </row>
    <row r="19" spans="2:9" x14ac:dyDescent="0.35">
      <c r="C19" s="128" t="s">
        <v>77</v>
      </c>
      <c r="D19" s="129">
        <f>SUM(D5:D18)</f>
        <v>519600</v>
      </c>
      <c r="E19" s="130">
        <f>SUM(E5:E18)</f>
        <v>1986.47</v>
      </c>
      <c r="F19" s="130">
        <f>SUM(F5:F18)</f>
        <v>1422.2099999999998</v>
      </c>
      <c r="G19" s="131">
        <f>+F19/E19</f>
        <v>0.71594839086419615</v>
      </c>
      <c r="H19" s="130">
        <f>SUM(H5:H18)</f>
        <v>564.26</v>
      </c>
      <c r="I19" s="131">
        <f>+H19/E19</f>
        <v>0.28405160913580368</v>
      </c>
    </row>
    <row r="24" spans="2:9" x14ac:dyDescent="0.35">
      <c r="B24" s="100" t="s">
        <v>139</v>
      </c>
      <c r="C24" s="101" t="s">
        <v>140</v>
      </c>
      <c r="D24" s="101" t="s">
        <v>141</v>
      </c>
      <c r="E24" s="101" t="s">
        <v>142</v>
      </c>
      <c r="F24" s="102"/>
      <c r="G24" s="103"/>
      <c r="H24" s="102"/>
      <c r="I24" s="103"/>
    </row>
    <row r="25" spans="2:9" x14ac:dyDescent="0.35">
      <c r="B25" s="106" t="s">
        <v>143</v>
      </c>
      <c r="C25" s="107" t="s">
        <v>144</v>
      </c>
      <c r="D25" s="107" t="s">
        <v>145</v>
      </c>
      <c r="E25" s="107" t="s">
        <v>79</v>
      </c>
      <c r="F25" s="190" t="s">
        <v>146</v>
      </c>
      <c r="G25" s="191"/>
      <c r="H25" s="190" t="s">
        <v>147</v>
      </c>
      <c r="I25" s="191"/>
    </row>
    <row r="26" spans="2:9" ht="15" thickBot="1" x14ac:dyDescent="0.4">
      <c r="B26" s="108" t="s">
        <v>148</v>
      </c>
      <c r="C26" s="109" t="s">
        <v>149</v>
      </c>
      <c r="D26" s="109"/>
      <c r="E26" s="109" t="s">
        <v>149</v>
      </c>
      <c r="F26" s="108" t="s">
        <v>149</v>
      </c>
      <c r="G26" s="110" t="s">
        <v>150</v>
      </c>
      <c r="H26" s="108" t="s">
        <v>149</v>
      </c>
      <c r="I26" s="110" t="s">
        <v>150</v>
      </c>
    </row>
    <row r="27" spans="2:9" ht="15" thickTop="1" x14ac:dyDescent="0.35">
      <c r="B27" s="111">
        <v>1</v>
      </c>
      <c r="C27" s="112">
        <v>0.7</v>
      </c>
      <c r="D27" s="113">
        <v>250000</v>
      </c>
      <c r="E27" s="114">
        <v>175</v>
      </c>
      <c r="F27" s="115">
        <f>E27*G27</f>
        <v>175</v>
      </c>
      <c r="G27" s="116">
        <f t="shared" ref="G27:G31" si="4">MIN($L$3,C27)/C27</f>
        <v>1</v>
      </c>
      <c r="H27" s="117">
        <f>+E27-F27</f>
        <v>0</v>
      </c>
      <c r="I27" s="118">
        <f>1-G27</f>
        <v>0</v>
      </c>
    </row>
    <row r="28" spans="2:9" x14ac:dyDescent="0.35">
      <c r="B28" s="111">
        <v>2</v>
      </c>
      <c r="C28" s="112">
        <v>1.9</v>
      </c>
      <c r="D28" s="113">
        <v>150000</v>
      </c>
      <c r="E28" s="114">
        <v>285</v>
      </c>
      <c r="F28" s="115">
        <f t="shared" ref="F28:F40" si="5">E28*G28</f>
        <v>285</v>
      </c>
      <c r="G28" s="116">
        <f t="shared" si="4"/>
        <v>1</v>
      </c>
      <c r="H28" s="117">
        <f t="shared" ref="H28:H40" si="6">+E28-F28</f>
        <v>0</v>
      </c>
      <c r="I28" s="118">
        <f t="shared" ref="I28:I40" si="7">1-G28</f>
        <v>0</v>
      </c>
    </row>
    <row r="29" spans="2:9" x14ac:dyDescent="0.35">
      <c r="B29" s="111">
        <v>3</v>
      </c>
      <c r="C29" s="112">
        <v>3.8</v>
      </c>
      <c r="D29" s="113">
        <v>70000</v>
      </c>
      <c r="E29" s="114">
        <v>266</v>
      </c>
      <c r="F29" s="115">
        <f t="shared" si="5"/>
        <v>266</v>
      </c>
      <c r="G29" s="116">
        <f t="shared" si="4"/>
        <v>1</v>
      </c>
      <c r="H29" s="117">
        <f t="shared" si="6"/>
        <v>0</v>
      </c>
      <c r="I29" s="118">
        <f t="shared" si="7"/>
        <v>0</v>
      </c>
    </row>
    <row r="30" spans="2:9" x14ac:dyDescent="0.35">
      <c r="B30" s="111">
        <v>4</v>
      </c>
      <c r="C30" s="112">
        <v>7</v>
      </c>
      <c r="D30" s="113">
        <v>30000</v>
      </c>
      <c r="E30" s="114">
        <v>252</v>
      </c>
      <c r="F30" s="115">
        <f t="shared" si="5"/>
        <v>252</v>
      </c>
      <c r="G30" s="116">
        <f t="shared" si="4"/>
        <v>1</v>
      </c>
      <c r="H30" s="117">
        <f t="shared" si="6"/>
        <v>0</v>
      </c>
      <c r="I30" s="118">
        <f t="shared" si="7"/>
        <v>0</v>
      </c>
    </row>
    <row r="31" spans="2:9" x14ac:dyDescent="0.35">
      <c r="B31" s="111">
        <v>5</v>
      </c>
      <c r="C31" s="112">
        <v>13</v>
      </c>
      <c r="D31" s="113">
        <v>11000</v>
      </c>
      <c r="E31" s="114">
        <v>185.9</v>
      </c>
      <c r="F31" s="115">
        <f t="shared" si="5"/>
        <v>185.9</v>
      </c>
      <c r="G31" s="116">
        <f t="shared" si="4"/>
        <v>1</v>
      </c>
      <c r="H31" s="117">
        <f t="shared" si="6"/>
        <v>0</v>
      </c>
      <c r="I31" s="118">
        <f t="shared" si="7"/>
        <v>0</v>
      </c>
    </row>
    <row r="32" spans="2:9" x14ac:dyDescent="0.35">
      <c r="B32" s="111">
        <v>6</v>
      </c>
      <c r="C32" s="112">
        <v>25</v>
      </c>
      <c r="D32" s="113">
        <v>4000</v>
      </c>
      <c r="E32" s="114">
        <v>140</v>
      </c>
      <c r="F32" s="115">
        <f t="shared" si="5"/>
        <v>112</v>
      </c>
      <c r="G32" s="116">
        <f>MIN($L$3,C32)/C32</f>
        <v>0.8</v>
      </c>
      <c r="H32" s="117">
        <f t="shared" si="6"/>
        <v>28</v>
      </c>
      <c r="I32" s="118">
        <f t="shared" si="7"/>
        <v>0.19999999999999996</v>
      </c>
    </row>
    <row r="33" spans="2:9" x14ac:dyDescent="0.35">
      <c r="B33" s="111">
        <v>7</v>
      </c>
      <c r="C33" s="112">
        <v>47</v>
      </c>
      <c r="D33" s="113">
        <v>2400</v>
      </c>
      <c r="E33" s="114">
        <v>169.2</v>
      </c>
      <c r="F33" s="115">
        <f t="shared" si="5"/>
        <v>72</v>
      </c>
      <c r="G33" s="116">
        <f t="shared" ref="G33:G40" si="8">MIN($L$3,C33)/C33</f>
        <v>0.42553191489361702</v>
      </c>
      <c r="H33" s="117">
        <f t="shared" si="6"/>
        <v>97.199999999999989</v>
      </c>
      <c r="I33" s="118">
        <f t="shared" si="7"/>
        <v>0.57446808510638303</v>
      </c>
    </row>
    <row r="34" spans="2:9" x14ac:dyDescent="0.35">
      <c r="B34" s="111">
        <v>8</v>
      </c>
      <c r="C34" s="112">
        <v>75</v>
      </c>
      <c r="D34" s="113">
        <v>1200</v>
      </c>
      <c r="E34" s="114">
        <v>144</v>
      </c>
      <c r="F34" s="115">
        <f t="shared" si="5"/>
        <v>38.4</v>
      </c>
      <c r="G34" s="116">
        <f t="shared" si="8"/>
        <v>0.26666666666666666</v>
      </c>
      <c r="H34" s="117">
        <f t="shared" si="6"/>
        <v>105.6</v>
      </c>
      <c r="I34" s="118">
        <f t="shared" si="7"/>
        <v>0.73333333333333339</v>
      </c>
    </row>
    <row r="35" spans="2:9" x14ac:dyDescent="0.35">
      <c r="B35" s="111">
        <v>9</v>
      </c>
      <c r="C35" s="112">
        <v>120</v>
      </c>
      <c r="D35" s="113">
        <v>510</v>
      </c>
      <c r="E35" s="119">
        <v>104.04</v>
      </c>
      <c r="F35" s="115">
        <f t="shared" si="5"/>
        <v>17.34</v>
      </c>
      <c r="G35" s="116">
        <f t="shared" si="8"/>
        <v>0.16666666666666666</v>
      </c>
      <c r="H35" s="117">
        <f t="shared" si="6"/>
        <v>86.7</v>
      </c>
      <c r="I35" s="118">
        <f t="shared" si="7"/>
        <v>0.83333333333333337</v>
      </c>
    </row>
    <row r="36" spans="2:9" x14ac:dyDescent="0.35">
      <c r="B36" s="111">
        <v>10</v>
      </c>
      <c r="C36" s="112">
        <v>170</v>
      </c>
      <c r="D36" s="113">
        <v>260</v>
      </c>
      <c r="E36" s="119">
        <v>79.56</v>
      </c>
      <c r="F36" s="115">
        <f t="shared" si="5"/>
        <v>9.36</v>
      </c>
      <c r="G36" s="116">
        <f t="shared" si="8"/>
        <v>0.11764705882352941</v>
      </c>
      <c r="H36" s="117">
        <f t="shared" si="6"/>
        <v>70.2</v>
      </c>
      <c r="I36" s="118">
        <f t="shared" si="7"/>
        <v>0.88235294117647056</v>
      </c>
    </row>
    <row r="37" spans="2:9" x14ac:dyDescent="0.35">
      <c r="B37" s="111">
        <v>11</v>
      </c>
      <c r="C37" s="112">
        <v>240</v>
      </c>
      <c r="D37" s="113">
        <v>120</v>
      </c>
      <c r="E37" s="119">
        <v>54.72</v>
      </c>
      <c r="F37" s="115">
        <f t="shared" si="5"/>
        <v>4.5599999999999996</v>
      </c>
      <c r="G37" s="116">
        <f t="shared" si="8"/>
        <v>8.3333333333333329E-2</v>
      </c>
      <c r="H37" s="117">
        <f t="shared" si="6"/>
        <v>50.16</v>
      </c>
      <c r="I37" s="118">
        <f t="shared" si="7"/>
        <v>0.91666666666666663</v>
      </c>
    </row>
    <row r="38" spans="2:9" x14ac:dyDescent="0.35">
      <c r="B38" s="111">
        <v>12</v>
      </c>
      <c r="C38" s="112">
        <v>390</v>
      </c>
      <c r="D38" s="113">
        <v>70</v>
      </c>
      <c r="E38" s="119">
        <v>54.6</v>
      </c>
      <c r="F38" s="115">
        <f t="shared" si="5"/>
        <v>2.8</v>
      </c>
      <c r="G38" s="116">
        <f t="shared" si="8"/>
        <v>5.128205128205128E-2</v>
      </c>
      <c r="H38" s="117">
        <f t="shared" si="6"/>
        <v>51.800000000000004</v>
      </c>
      <c r="I38" s="118">
        <f t="shared" si="7"/>
        <v>0.94871794871794868</v>
      </c>
    </row>
    <row r="39" spans="2:9" x14ac:dyDescent="0.35">
      <c r="B39" s="111">
        <v>13</v>
      </c>
      <c r="C39" s="112">
        <v>640</v>
      </c>
      <c r="D39" s="113">
        <v>25</v>
      </c>
      <c r="E39" s="119">
        <v>35.200000000000003</v>
      </c>
      <c r="F39" s="115">
        <f t="shared" si="5"/>
        <v>1.1000000000000001</v>
      </c>
      <c r="G39" s="116">
        <f t="shared" si="8"/>
        <v>3.125E-2</v>
      </c>
      <c r="H39" s="117">
        <f t="shared" si="6"/>
        <v>34.1</v>
      </c>
      <c r="I39" s="118">
        <f t="shared" si="7"/>
        <v>0.96875</v>
      </c>
    </row>
    <row r="40" spans="2:9" x14ac:dyDescent="0.35">
      <c r="B40" s="120">
        <v>14</v>
      </c>
      <c r="C40" s="121">
        <v>1100</v>
      </c>
      <c r="D40" s="122">
        <v>15</v>
      </c>
      <c r="E40" s="123">
        <v>41.25</v>
      </c>
      <c r="F40" s="124">
        <f t="shared" si="5"/>
        <v>0.75</v>
      </c>
      <c r="G40" s="125">
        <f t="shared" si="8"/>
        <v>1.8181818181818181E-2</v>
      </c>
      <c r="H40" s="126">
        <f t="shared" si="6"/>
        <v>40.5</v>
      </c>
      <c r="I40" s="127">
        <f t="shared" si="7"/>
        <v>0.98181818181818181</v>
      </c>
    </row>
    <row r="41" spans="2:9" x14ac:dyDescent="0.35">
      <c r="C41" s="128" t="s">
        <v>77</v>
      </c>
      <c r="D41" s="129">
        <f>SUM(D27:D40)</f>
        <v>519600</v>
      </c>
      <c r="E41" s="130">
        <f>SUM(E27:E40)</f>
        <v>1986.47</v>
      </c>
      <c r="F41" s="130">
        <f>SUM(F27:F40)</f>
        <v>1422.2099999999998</v>
      </c>
      <c r="G41" s="131">
        <f>+F41/E41</f>
        <v>0.71594839086419615</v>
      </c>
      <c r="H41" s="130">
        <f>SUM(H27:H40)</f>
        <v>564.26</v>
      </c>
      <c r="I41" s="131">
        <f>+H41/E41</f>
        <v>0.28405160913580368</v>
      </c>
    </row>
  </sheetData>
  <mergeCells count="4">
    <mergeCell ref="F3:G3"/>
    <mergeCell ref="H3:I3"/>
    <mergeCell ref="F25:G25"/>
    <mergeCell ref="H25:I25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D9CFF73A24F48A5D0A00DD7D3E8D4" ma:contentTypeVersion="4" ma:contentTypeDescription="Create a new document." ma:contentTypeScope="" ma:versionID="1265909b799625a53de60acd0afae5bf">
  <xsd:schema xmlns:xsd="http://www.w3.org/2001/XMLSchema" xmlns:xs="http://www.w3.org/2001/XMLSchema" xmlns:p="http://schemas.microsoft.com/office/2006/metadata/properties" xmlns:ns3="6440cc0e-44f2-4484-a83c-d73a13c5d9f1" targetNamespace="http://schemas.microsoft.com/office/2006/metadata/properties" ma:root="true" ma:fieldsID="a91afa23161c98441f260271e4b31eee" ns3:_="">
    <xsd:import namespace="6440cc0e-44f2-4484-a83c-d73a13c5d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40cc0e-44f2-4484-a83c-d73a13c5d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06DEDB-35C3-4FFD-B87C-A768C53B9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40cc0e-44f2-4484-a83c-d73a13c5d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1494B1-F81C-47B1-A61A-8CB614DA8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87984-A309-4719-9FA5-ED6C7D170169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440cc0e-44f2-4484-a83c-d73a13c5d9f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V@R exercise</vt:lpstr>
      <vt:lpstr>Choosing Portfolio</vt:lpstr>
      <vt:lpstr>VAR FROM MOCKUP</vt:lpstr>
      <vt:lpstr>Above surplus LOSSES</vt:lpstr>
      <vt:lpstr>Above surplus CLAIMS</vt:lpstr>
      <vt:lpstr>Bellow surplus CLAIMS</vt:lpstr>
      <vt:lpstr>SurplusExercise</vt:lpstr>
      <vt:lpstr>QUOTA SHARE</vt:lpstr>
      <vt:lpstr>ExercResseguro1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2021-06-14T17:38:17Z</dcterms:created>
  <dcterms:modified xsi:type="dcterms:W3CDTF">2021-06-20T11:27:50Z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0x0101006BFD9CFF73A24F48A5D0A00DD7D3E8D4</vt:lpwstr>
  </property>
</Properties>
</file>