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/>
  </bookViews>
  <sheets>
    <sheet name="Basic" sheetId="1" r:id="rId1"/>
    <sheet name="Engineering" sheetId="2" r:id="rId2"/>
    <sheet name="Art" sheetId="3" r:id="rId3"/>
    <sheet name="Result" sheetId="6" r:id="rId4"/>
    <sheet name="Process" sheetId="4" r:id="rId5"/>
    <sheet name="Misc" sheetId="5" r:id="rId6"/>
    <sheet name="Score Weight" sheetId="7" r:id="rId7"/>
  </sheets>
  <calcPr calcId="144525"/>
</workbook>
</file>

<file path=xl/sharedStrings.xml><?xml version="1.0" encoding="utf-8"?>
<sst xmlns="http://schemas.openxmlformats.org/spreadsheetml/2006/main" count="543" uniqueCount="293">
  <si>
    <t>BenchoO</t>
  </si>
  <si>
    <t>An Universal 3D printer test standard</t>
  </si>
  <si>
    <t>Part1: Basic Precision</t>
  </si>
  <si>
    <t>Section 1</t>
  </si>
  <si>
    <t>Large Scale</t>
  </si>
  <si>
    <t>No.</t>
  </si>
  <si>
    <t>Value(mm)</t>
  </si>
  <si>
    <t>Average(mm)</t>
  </si>
  <si>
    <t>This part will reflect the relative precision and the absolute accuracy of your printer.The International Tolerance table reference ISO 286 has been applied here.</t>
  </si>
  <si>
    <t>L1</t>
  </si>
  <si>
    <t>L2</t>
  </si>
  <si>
    <t>L3</t>
  </si>
  <si>
    <t>L4</t>
  </si>
  <si>
    <t>For this section , all data should be enter in exact order.</t>
  </si>
  <si>
    <t>L5</t>
  </si>
  <si>
    <t>L6</t>
  </si>
  <si>
    <t>L7</t>
  </si>
  <si>
    <t>L8</t>
  </si>
  <si>
    <t>Subject</t>
  </si>
  <si>
    <t>Score</t>
  </si>
  <si>
    <t>XY relative precision</t>
  </si>
  <si>
    <t>XY accuracy</t>
  </si>
  <si>
    <t>Tolerance Grade</t>
  </si>
  <si>
    <t>Section 2</t>
  </si>
  <si>
    <t>Small Scale</t>
  </si>
  <si>
    <t>This part will reflect the absolute accuracy of your printer.The International Tolerance table reference ISO 286 has been applied here.</t>
  </si>
  <si>
    <t>In this section no specific data order is required.You should take data  from different locations on model and fill all the blank.</t>
  </si>
  <si>
    <t>Z axis</t>
  </si>
  <si>
    <t>Grade</t>
  </si>
  <si>
    <t>To see more details about grade, check Misc tab</t>
  </si>
  <si>
    <t>Small Scale accuracy</t>
  </si>
  <si>
    <t>Z axis accuracy</t>
  </si>
  <si>
    <t>End of the section, please proceed to the next tab</t>
  </si>
  <si>
    <t>Part2: Engineering</t>
  </si>
  <si>
    <t>Base Quality</t>
  </si>
  <si>
    <t>Thickness(mm)</t>
  </si>
  <si>
    <t>Print Time</t>
  </si>
  <si>
    <r>
      <rPr>
        <b/>
        <sz val="11"/>
        <color rgb="FFFF0000"/>
        <rFont val="Microsoft YaHei UI"/>
        <charset val="134"/>
      </rPr>
      <t>Hint:</t>
    </r>
    <r>
      <rPr>
        <sz val="11"/>
        <color theme="1"/>
        <rFont val="Microsoft YaHei UI"/>
        <charset val="134"/>
      </rPr>
      <t>You must use your actual print time.</t>
    </r>
  </si>
  <si>
    <t>T1</t>
  </si>
  <si>
    <t>Hour</t>
  </si>
  <si>
    <t>Min</t>
  </si>
  <si>
    <t>T2</t>
  </si>
  <si>
    <t>T3</t>
  </si>
  <si>
    <t>For this section , all data should be enter in exact order. This part measures the degree of parallel between base and surface.</t>
  </si>
  <si>
    <t>T4</t>
  </si>
  <si>
    <t>T5</t>
  </si>
  <si>
    <t>T6</t>
  </si>
  <si>
    <t>T7</t>
  </si>
  <si>
    <t>T8</t>
  </si>
  <si>
    <t>T9</t>
  </si>
  <si>
    <t>Edge &amp; Corner</t>
  </si>
  <si>
    <t>Distortion(mm)</t>
  </si>
  <si>
    <t>This part measures the overshoot around corner.</t>
  </si>
  <si>
    <t>V1</t>
  </si>
  <si>
    <t>V2</t>
  </si>
  <si>
    <t>V3</t>
  </si>
  <si>
    <t>V4</t>
  </si>
  <si>
    <t>V5</t>
  </si>
  <si>
    <t>V6</t>
  </si>
  <si>
    <t>Parallel</t>
  </si>
  <si>
    <t>Feature</t>
  </si>
  <si>
    <t>Status</t>
  </si>
  <si>
    <t>Divergence(Deg)</t>
  </si>
  <si>
    <t>Score(%)</t>
  </si>
  <si>
    <t>Ueven X axi</t>
  </si>
  <si>
    <t>Ueven Y axi</t>
  </si>
  <si>
    <t>Flatness</t>
  </si>
  <si>
    <t>Uneven thickness</t>
  </si>
  <si>
    <t>Convex</t>
  </si>
  <si>
    <t>Curvature</t>
  </si>
  <si>
    <t>Bending Distance(mm)</t>
  </si>
  <si>
    <t>X axi</t>
  </si>
  <si>
    <t>Y axi</t>
  </si>
  <si>
    <t>Concave Down？</t>
  </si>
  <si>
    <t>No</t>
  </si>
  <si>
    <t>Direction</t>
  </si>
  <si>
    <t>Radius</t>
  </si>
  <si>
    <t>The radius here refer to the circle you need if you use your base as an arc.</t>
  </si>
  <si>
    <t>Summary</t>
  </si>
  <si>
    <t>Condition</t>
  </si>
  <si>
    <t>Sub Total(%)</t>
  </si>
  <si>
    <t>Overall(%)</t>
  </si>
  <si>
    <r>
      <rPr>
        <b/>
        <sz val="11"/>
        <color rgb="FFFF0000"/>
        <rFont val="Microsoft YaHei UI"/>
        <charset val="134"/>
      </rPr>
      <t>Hint:</t>
    </r>
    <r>
      <rPr>
        <b/>
        <sz val="11"/>
        <rFont val="Microsoft YaHei UI"/>
        <charset val="134"/>
      </rPr>
      <t xml:space="preserve"> </t>
    </r>
    <r>
      <rPr>
        <sz val="11"/>
        <rFont val="Microsoft YaHei UI"/>
        <charset val="134"/>
      </rPr>
      <t>Even one small drawbacks can lower your score significantly</t>
    </r>
  </si>
  <si>
    <t>Section 3</t>
  </si>
  <si>
    <r>
      <rPr>
        <b/>
        <sz val="11"/>
        <color rgb="FFFF0000"/>
        <rFont val="Microsoft YaHei UI"/>
        <charset val="134"/>
      </rPr>
      <t>Hint:</t>
    </r>
    <r>
      <rPr>
        <sz val="11"/>
        <rFont val="Microsoft YaHei UI"/>
        <charset val="134"/>
      </rPr>
      <t>You must use your actual print time.</t>
    </r>
  </si>
  <si>
    <t>Large  Holes</t>
  </si>
  <si>
    <t>Inner(mm)</t>
  </si>
  <si>
    <t>Under size?</t>
  </si>
  <si>
    <r>
      <rPr>
        <b/>
        <sz val="11"/>
        <color rgb="FFFF0000"/>
        <rFont val="Microsoft YaHei UI"/>
        <charset val="134"/>
      </rPr>
      <t>Hint:</t>
    </r>
    <r>
      <rPr>
        <sz val="11"/>
        <color theme="1"/>
        <rFont val="Microsoft YaHei UI"/>
        <charset val="134"/>
      </rPr>
      <t>Precision indicates how homogeneous your circle is. While Accuracy shows how much your circle deviates from design</t>
    </r>
  </si>
  <si>
    <t>Off Set(mm)</t>
  </si>
  <si>
    <t>Precision</t>
  </si>
  <si>
    <t>Accuracy</t>
  </si>
  <si>
    <t>Large Shafts</t>
  </si>
  <si>
    <t>Outer(mm)</t>
  </si>
  <si>
    <t>Over size?</t>
  </si>
  <si>
    <r>
      <rPr>
        <b/>
        <sz val="11"/>
        <color rgb="FFFF0000"/>
        <rFont val="Microsoft YaHei UI"/>
        <charset val="134"/>
      </rPr>
      <t>Hint:</t>
    </r>
    <r>
      <rPr>
        <sz val="11"/>
        <rFont val="Microsoft YaHei UI"/>
        <charset val="134"/>
      </rPr>
      <t>Here the precision uses chart ISO 286-2,while accuracy uses chart ISO 286. To see details please check Misc tab</t>
    </r>
  </si>
  <si>
    <t>Small  Holes</t>
  </si>
  <si>
    <t>If your printer score badly this part. Dont worry. Most printers wont score over 50%</t>
  </si>
  <si>
    <t>Small Shafts</t>
  </si>
  <si>
    <t>Only when a hole is not under size and a shaft is not over size. It can be granted H/h grade</t>
  </si>
  <si>
    <t>Part3: Art</t>
  </si>
  <si>
    <t>Art1</t>
  </si>
  <si>
    <t>Overhang Level</t>
  </si>
  <si>
    <t>cameo level</t>
  </si>
  <si>
    <t>Ringing size(Included)</t>
  </si>
  <si>
    <t>4mm</t>
  </si>
  <si>
    <t>Art2</t>
  </si>
  <si>
    <t>Clear space between bridge</t>
  </si>
  <si>
    <t>Yes</t>
  </si>
  <si>
    <t>Bridge to bottom Distance(mm)</t>
  </si>
  <si>
    <t>pic of ringing</t>
  </si>
  <si>
    <t>Stringing</t>
  </si>
  <si>
    <t>Clean</t>
  </si>
  <si>
    <t>Full hieght</t>
  </si>
  <si>
    <t>Disk(Minimum layer height)</t>
  </si>
  <si>
    <t>0.05mm</t>
  </si>
  <si>
    <t>Sum</t>
  </si>
  <si>
    <t>End of the Test. Please check Result Tab for detailed summary</t>
  </si>
  <si>
    <t>Result</t>
  </si>
  <si>
    <t>Basic Precision</t>
  </si>
  <si>
    <t>Engineering</t>
  </si>
  <si>
    <t>sub Score(%)</t>
  </si>
  <si>
    <t>Sub total(%)</t>
  </si>
  <si>
    <t>Sub Score</t>
  </si>
  <si>
    <t>Surface Flatness</t>
  </si>
  <si>
    <t>Surface Parallel</t>
  </si>
  <si>
    <t>Surface Curvature</t>
  </si>
  <si>
    <t>Vertical Distortion</t>
  </si>
  <si>
    <t>Shafts</t>
  </si>
  <si>
    <t>Holes</t>
  </si>
  <si>
    <t>Art</t>
  </si>
  <si>
    <t>Surface condition</t>
  </si>
  <si>
    <t>Sub Sum</t>
  </si>
  <si>
    <t>Ringing</t>
  </si>
  <si>
    <t>Fine detail</t>
  </si>
  <si>
    <t>Camo Level</t>
  </si>
  <si>
    <t>Spike Height</t>
  </si>
  <si>
    <t>Disk feature</t>
  </si>
  <si>
    <t>Overhang &amp; Bridge</t>
  </si>
  <si>
    <t>Overhang</t>
  </si>
  <si>
    <t>Bridge Height</t>
  </si>
  <si>
    <t>Clear space between Bridge</t>
  </si>
  <si>
    <t>Time</t>
  </si>
  <si>
    <t>Part</t>
  </si>
  <si>
    <t>Engineering1</t>
  </si>
  <si>
    <t>Engineering2</t>
  </si>
  <si>
    <t>Overall Sum</t>
  </si>
  <si>
    <t>End of the Test</t>
  </si>
  <si>
    <t>Basicdiff</t>
  </si>
  <si>
    <t>Absdiff</t>
  </si>
  <si>
    <t>relative</t>
  </si>
  <si>
    <t>smalldiff</t>
  </si>
  <si>
    <t>Zdiff</t>
  </si>
  <si>
    <t>s accuracy</t>
  </si>
  <si>
    <t>H diff</t>
  </si>
  <si>
    <t>absHdiff</t>
  </si>
  <si>
    <t>X div</t>
  </si>
  <si>
    <t>Para score</t>
  </si>
  <si>
    <t>radius x</t>
  </si>
  <si>
    <t>Xscore</t>
  </si>
  <si>
    <t>Surface Condition</t>
  </si>
  <si>
    <t>Max Time</t>
  </si>
  <si>
    <t>hang</t>
  </si>
  <si>
    <t>Fine Details</t>
  </si>
  <si>
    <t>ENG1</t>
  </si>
  <si>
    <t>ENG2</t>
  </si>
  <si>
    <t>ART1</t>
  </si>
  <si>
    <t>ART2</t>
  </si>
  <si>
    <t>accuracy</t>
  </si>
  <si>
    <t>s grade</t>
  </si>
  <si>
    <t>Y div</t>
  </si>
  <si>
    <t>Flat score</t>
  </si>
  <si>
    <t>radius Y</t>
  </si>
  <si>
    <t>Yscore</t>
  </si>
  <si>
    <t>cam</t>
  </si>
  <si>
    <t>Bridge&amp;Overhang</t>
  </si>
  <si>
    <t>ring</t>
  </si>
  <si>
    <t>Max time</t>
  </si>
  <si>
    <t>UnevenX</t>
  </si>
  <si>
    <t>Hint1</t>
  </si>
  <si>
    <t>space</t>
  </si>
  <si>
    <t>Time Step</t>
  </si>
  <si>
    <t>bridge</t>
  </si>
  <si>
    <t>Cur Time</t>
  </si>
  <si>
    <t>XY mean</t>
  </si>
  <si>
    <t>UnevenY</t>
  </si>
  <si>
    <t>Hint2</t>
  </si>
  <si>
    <t>str</t>
  </si>
  <si>
    <t>R Score</t>
  </si>
  <si>
    <t>Height</t>
  </si>
  <si>
    <t>misaline</t>
  </si>
  <si>
    <t xml:space="preserve">convex </t>
  </si>
  <si>
    <t>Hint3</t>
  </si>
  <si>
    <t>disk</t>
  </si>
  <si>
    <t>F Score</t>
  </si>
  <si>
    <t>Reldiff</t>
  </si>
  <si>
    <t>absrel</t>
  </si>
  <si>
    <t>s.absdiff</t>
  </si>
  <si>
    <t>sabszdiff</t>
  </si>
  <si>
    <t>z accuracy</t>
  </si>
  <si>
    <t>V diff</t>
  </si>
  <si>
    <t>Hint</t>
  </si>
  <si>
    <t>uneven thick</t>
  </si>
  <si>
    <t>Sum score</t>
  </si>
  <si>
    <t>z grade</t>
  </si>
  <si>
    <t>Vscore</t>
  </si>
  <si>
    <t>Vgrade</t>
  </si>
  <si>
    <t>LHdiff</t>
  </si>
  <si>
    <t>LH pre</t>
  </si>
  <si>
    <t>off</t>
  </si>
  <si>
    <t>LSdiff</t>
  </si>
  <si>
    <t>LS pre</t>
  </si>
  <si>
    <t>SHdiff</t>
  </si>
  <si>
    <t>SH pre</t>
  </si>
  <si>
    <t>LH grade</t>
  </si>
  <si>
    <t>Max diff</t>
  </si>
  <si>
    <t>LS grade</t>
  </si>
  <si>
    <t>SH grade</t>
  </si>
  <si>
    <t>Mindiff</t>
  </si>
  <si>
    <t>Under</t>
  </si>
  <si>
    <t>LH acc</t>
  </si>
  <si>
    <t>Over</t>
  </si>
  <si>
    <t>LS acc</t>
  </si>
  <si>
    <t>SH acc</t>
  </si>
  <si>
    <t>acc grade</t>
  </si>
  <si>
    <t>ABS diff</t>
  </si>
  <si>
    <t>SSdiff</t>
  </si>
  <si>
    <t>SS pre</t>
  </si>
  <si>
    <t>SS grade</t>
  </si>
  <si>
    <t>Maxdiff</t>
  </si>
  <si>
    <t>SS acc</t>
  </si>
  <si>
    <t>Space</t>
  </si>
  <si>
    <t>Cameo level</t>
  </si>
  <si>
    <t>Stringing level</t>
  </si>
  <si>
    <t>Spikes</t>
  </si>
  <si>
    <t>Disk</t>
  </si>
  <si>
    <t>Fail</t>
  </si>
  <si>
    <t>Over/Under Size</t>
  </si>
  <si>
    <t>Ringing level</t>
  </si>
  <si>
    <t>level</t>
  </si>
  <si>
    <t>Some</t>
  </si>
  <si>
    <t>Full</t>
  </si>
  <si>
    <t>0.025mm</t>
  </si>
  <si>
    <t>2mm</t>
  </si>
  <si>
    <t>Ok</t>
  </si>
  <si>
    <t>Most</t>
  </si>
  <si>
    <t>Full Height</t>
  </si>
  <si>
    <t>Uneven</t>
  </si>
  <si>
    <t>0.1mm</t>
  </si>
  <si>
    <t>8mm</t>
  </si>
  <si>
    <t>Nope</t>
  </si>
  <si>
    <t>Tolorence table</t>
  </si>
  <si>
    <t>Tolerance100(mm)</t>
  </si>
  <si>
    <t>Tolerance10(mm)</t>
  </si>
  <si>
    <t>Tolerance30(mm)</t>
  </si>
  <si>
    <t>Tolerance50(mm)</t>
  </si>
  <si>
    <t>Tolerance80(mm)</t>
  </si>
  <si>
    <t>Perfect</t>
  </si>
  <si>
    <t>time(min)</t>
  </si>
  <si>
    <t>IT8</t>
  </si>
  <si>
    <t>IT9</t>
  </si>
  <si>
    <t>IT10</t>
  </si>
  <si>
    <t>IT11</t>
  </si>
  <si>
    <t>IT12</t>
  </si>
  <si>
    <t>IT13</t>
  </si>
  <si>
    <t>IT14</t>
  </si>
  <si>
    <t>IT15</t>
  </si>
  <si>
    <t>IT16</t>
  </si>
  <si>
    <t>Reject</t>
  </si>
  <si>
    <t>TimeScore</t>
  </si>
  <si>
    <t>Surface Smoothness</t>
  </si>
  <si>
    <t>Ulti</t>
  </si>
  <si>
    <t>Ender3</t>
  </si>
  <si>
    <t>(30mm,50mm]</t>
  </si>
  <si>
    <t>(50mm,80mm]</t>
  </si>
  <si>
    <t>(80mm,120mm]</t>
  </si>
  <si>
    <t>&lt;=30</t>
  </si>
  <si>
    <t>&lt;=50</t>
  </si>
  <si>
    <t>&lt;=80</t>
  </si>
  <si>
    <t>&lt;=120</t>
  </si>
  <si>
    <t>Prusa</t>
  </si>
  <si>
    <t>Good</t>
  </si>
  <si>
    <t>Cr10s</t>
  </si>
  <si>
    <t>Decent</t>
  </si>
  <si>
    <t>Score Distribution</t>
  </si>
  <si>
    <t>section</t>
  </si>
  <si>
    <t>subsection</t>
  </si>
  <si>
    <t>Weight</t>
  </si>
  <si>
    <t>Subtotal</t>
  </si>
  <si>
    <t>Edge and corner</t>
  </si>
  <si>
    <t>Full height</t>
  </si>
  <si>
    <t>Part4:Time</t>
  </si>
  <si>
    <t>Total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</si>
</sst>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0_);[Red]\(0.000\)"/>
    <numFmt numFmtId="177" formatCode="0.00000_);[Red]\(0.00000\)"/>
    <numFmt numFmtId="178" formatCode="0.00_);[Red]\(0.00\)"/>
  </numFmts>
  <fonts count="29">
    <font>
      <sz val="11"/>
      <color theme="1"/>
      <name val="宋体"/>
      <charset val="134"/>
      <scheme val="minor"/>
    </font>
    <font>
      <sz val="48"/>
      <name val="Microsoft YaHei UI"/>
      <charset val="134"/>
    </font>
    <font>
      <sz val="11"/>
      <name val="Microsoft YaHei UI"/>
      <charset val="134"/>
    </font>
    <font>
      <sz val="11"/>
      <color theme="1"/>
      <name val="Microsoft YaHei UI"/>
      <charset val="134"/>
    </font>
    <font>
      <sz val="24"/>
      <color theme="1"/>
      <name val="Microsoft YaHei UI"/>
      <charset val="134"/>
    </font>
    <font>
      <sz val="14"/>
      <color theme="1"/>
      <name val="Microsoft YaHei UI"/>
      <charset val="134"/>
    </font>
    <font>
      <sz val="11"/>
      <color rgb="FF000000"/>
      <name val="Microsoft YaHei UI"/>
      <charset val="134"/>
    </font>
    <font>
      <b/>
      <sz val="11"/>
      <color rgb="FFFF0000"/>
      <name val="Microsoft YaHei UI"/>
      <charset val="134"/>
    </font>
    <font>
      <b/>
      <sz val="11"/>
      <color theme="1"/>
      <name val="Microsoft YaHei UI"/>
      <charset val="134"/>
    </font>
    <font>
      <b/>
      <sz val="11"/>
      <name val="Microsoft YaHei UI"/>
      <charset val="134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1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9" borderId="21" applyNumberFormat="0" applyFon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7" fillId="35" borderId="24" applyNumberFormat="0" applyAlignment="0" applyProtection="0">
      <alignment vertical="center"/>
    </xf>
    <xf numFmtId="0" fontId="26" fillId="35" borderId="20" applyNumberFormat="0" applyAlignment="0" applyProtection="0">
      <alignment vertical="center"/>
    </xf>
    <xf numFmtId="0" fontId="28" fillId="39" borderId="25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10" fillId="0" borderId="18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5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78" fontId="3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>
      <alignment vertical="center"/>
    </xf>
    <xf numFmtId="49" fontId="2" fillId="2" borderId="1" xfId="0" applyNumberFormat="1" applyFont="1" applyFill="1" applyBorder="1" applyAlignment="1">
      <alignment vertical="center"/>
    </xf>
    <xf numFmtId="178" fontId="2" fillId="2" borderId="1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1" xfId="0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78" fontId="3" fillId="5" borderId="4" xfId="0" applyNumberFormat="1" applyFont="1" applyFill="1" applyBorder="1" applyAlignment="1">
      <alignment horizontal="center" vertical="center"/>
    </xf>
    <xf numFmtId="178" fontId="3" fillId="5" borderId="2" xfId="0" applyNumberFormat="1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78" fontId="3" fillId="5" borderId="7" xfId="0" applyNumberFormat="1" applyFont="1" applyFill="1" applyBorder="1" applyAlignment="1">
      <alignment horizontal="center" vertical="center"/>
    </xf>
    <xf numFmtId="178" fontId="3" fillId="5" borderId="8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>
      <alignment vertical="center"/>
    </xf>
    <xf numFmtId="0" fontId="3" fillId="5" borderId="1" xfId="0" applyFont="1" applyFill="1" applyBorder="1">
      <alignment vertical="center"/>
    </xf>
    <xf numFmtId="0" fontId="3" fillId="5" borderId="2" xfId="0" applyFont="1" applyFill="1" applyBorder="1">
      <alignment vertical="center"/>
    </xf>
    <xf numFmtId="178" fontId="3" fillId="3" borderId="2" xfId="0" applyNumberFormat="1" applyFont="1" applyFill="1" applyBorder="1" applyAlignment="1">
      <alignment vertical="center"/>
    </xf>
    <xf numFmtId="178" fontId="3" fillId="5" borderId="1" xfId="0" applyNumberFormat="1" applyFont="1" applyFill="1" applyBorder="1">
      <alignment vertical="center"/>
    </xf>
    <xf numFmtId="178" fontId="3" fillId="5" borderId="2" xfId="0" applyNumberFormat="1" applyFont="1" applyFill="1" applyBorder="1">
      <alignment vertical="center"/>
    </xf>
    <xf numFmtId="10" fontId="3" fillId="5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vertical="center"/>
    </xf>
    <xf numFmtId="178" fontId="3" fillId="3" borderId="6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78" fontId="3" fillId="3" borderId="2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10" fontId="3" fillId="3" borderId="1" xfId="0" applyNumberFormat="1" applyFont="1" applyFill="1" applyBorder="1">
      <alignment vertical="center"/>
    </xf>
    <xf numFmtId="0" fontId="0" fillId="4" borderId="0" xfId="0" applyFill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5" borderId="4" xfId="0" applyNumberFormat="1" applyFont="1" applyFill="1" applyBorder="1" applyAlignment="1">
      <alignment horizontal="center" vertical="center" wrapText="1"/>
    </xf>
    <xf numFmtId="10" fontId="3" fillId="0" borderId="4" xfId="0" applyNumberFormat="1" applyFont="1" applyBorder="1" applyAlignment="1">
      <alignment horizontal="center" vertical="center"/>
    </xf>
    <xf numFmtId="178" fontId="3" fillId="5" borderId="17" xfId="0" applyNumberFormat="1" applyFont="1" applyFill="1" applyBorder="1" applyAlignment="1">
      <alignment horizontal="center" vertical="center" wrapText="1"/>
    </xf>
    <xf numFmtId="10" fontId="3" fillId="0" borderId="17" xfId="0" applyNumberFormat="1" applyFont="1" applyBorder="1" applyAlignment="1">
      <alignment horizontal="center" vertical="center"/>
    </xf>
    <xf numFmtId="178" fontId="3" fillId="5" borderId="5" xfId="0" applyNumberFormat="1" applyFont="1" applyFill="1" applyBorder="1" applyAlignment="1">
      <alignment horizontal="center" vertical="center" wrapText="1"/>
    </xf>
    <xf numFmtId="10" fontId="3" fillId="0" borderId="5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78" fontId="0" fillId="7" borderId="1" xfId="0" applyNumberForma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6" borderId="1" xfId="0" applyFont="1" applyFill="1" applyBorder="1">
      <alignment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78" fontId="2" fillId="5" borderId="4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0" fontId="3" fillId="5" borderId="2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3" fillId="0" borderId="4" xfId="0" applyNumberFormat="1" applyFont="1" applyFill="1" applyBorder="1" applyAlignment="1">
      <alignment horizontal="center" vertical="center"/>
    </xf>
    <xf numFmtId="10" fontId="3" fillId="5" borderId="4" xfId="0" applyNumberFormat="1" applyFont="1" applyFill="1" applyBorder="1" applyAlignment="1">
      <alignment horizontal="center" vertical="center"/>
    </xf>
    <xf numFmtId="178" fontId="3" fillId="0" borderId="2" xfId="0" applyNumberFormat="1" applyFont="1" applyBorder="1" applyAlignment="1">
      <alignment horizontal="center" vertical="center"/>
    </xf>
    <xf numFmtId="178" fontId="3" fillId="0" borderId="6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10" fontId="3" fillId="5" borderId="6" xfId="0" applyNumberFormat="1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3" fillId="6" borderId="6" xfId="0" applyFont="1" applyFill="1" applyBorder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178" fontId="3" fillId="5" borderId="17" xfId="0" applyNumberFormat="1" applyFont="1" applyFill="1" applyBorder="1" applyAlignment="1">
      <alignment horizontal="center" vertical="center"/>
    </xf>
    <xf numFmtId="178" fontId="3" fillId="5" borderId="5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78" fontId="3" fillId="5" borderId="9" xfId="0" applyNumberFormat="1" applyFont="1" applyFill="1" applyBorder="1" applyAlignment="1">
      <alignment horizontal="center" vertical="center"/>
    </xf>
    <xf numFmtId="178" fontId="3" fillId="5" borderId="1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9" tint="0.4"/>
        </patternFill>
      </fill>
    </dxf>
    <dxf>
      <fill>
        <patternFill patternType="solid">
          <bgColor theme="6" tint="0.4"/>
        </patternFill>
      </fill>
    </dxf>
    <dxf>
      <fill>
        <patternFill patternType="solid">
          <bgColor theme="5" tint="0.6"/>
        </patternFill>
      </fill>
    </dxf>
    <dxf>
      <fill>
        <patternFill patternType="solid">
          <bgColor theme="6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692574600972"/>
          <c:y val="0.0581068416119963"/>
          <c:w val="0.5235253296322"/>
          <c:h val="0.883786316776007"/>
        </c:manualLayout>
      </c:layout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Process!$M$20:$M$25</c:f>
              <c:strCache>
                <c:ptCount val="6"/>
                <c:pt idx="0">
                  <c:v>Surface Flatness</c:v>
                </c:pt>
                <c:pt idx="1">
                  <c:v>Surface Parallel</c:v>
                </c:pt>
                <c:pt idx="2">
                  <c:v>Surface Curvature</c:v>
                </c:pt>
                <c:pt idx="3">
                  <c:v>Vertical Distortion</c:v>
                </c:pt>
                <c:pt idx="4">
                  <c:v>Shafts</c:v>
                </c:pt>
                <c:pt idx="5">
                  <c:v>Holes</c:v>
                </c:pt>
              </c:strCache>
            </c:strRef>
          </c:cat>
          <c:val>
            <c:numRef>
              <c:f>Process!$N$20:$N$25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spPr>
            <a:solidFill>
              <a:schemeClr val="bg1">
                <a:lumMod val="65000"/>
                <a:alpha val="47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Process!$M$20:$M$25</c:f>
              <c:strCache>
                <c:ptCount val="6"/>
                <c:pt idx="0">
                  <c:v>Surface Flatness</c:v>
                </c:pt>
                <c:pt idx="1">
                  <c:v>Surface Parallel</c:v>
                </c:pt>
                <c:pt idx="2">
                  <c:v>Surface Curvature</c:v>
                </c:pt>
                <c:pt idx="3">
                  <c:v>Vertical Distortion</c:v>
                </c:pt>
                <c:pt idx="4">
                  <c:v>Shafts</c:v>
                </c:pt>
                <c:pt idx="5">
                  <c:v>Holes</c:v>
                </c:pt>
              </c:strCache>
            </c:strRef>
          </c:cat>
          <c:val>
            <c:numRef>
              <c:f>Process!$O$20:$O$25</c:f>
              <c:numCache>
                <c:formatCode>0.00%</c:formatCode>
                <c:ptCount val="6"/>
                <c:pt idx="0">
                  <c:v>0.45</c:v>
                </c:pt>
                <c:pt idx="1">
                  <c:v>0.97</c:v>
                </c:pt>
                <c:pt idx="2">
                  <c:v>1</c:v>
                </c:pt>
                <c:pt idx="3">
                  <c:v>0.9</c:v>
                </c:pt>
                <c:pt idx="4">
                  <c:v>0.75</c:v>
                </c:pt>
                <c:pt idx="5">
                  <c:v>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70330"/>
        <c:axId val="256858770"/>
      </c:radarChart>
      <c:catAx>
        <c:axId val="8382703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858770"/>
        <c:crosses val="autoZero"/>
        <c:auto val="1"/>
        <c:lblAlgn val="ctr"/>
        <c:lblOffset val="100"/>
        <c:noMultiLvlLbl val="0"/>
      </c:catAx>
      <c:valAx>
        <c:axId val="2568587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2703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2692574600972"/>
          <c:y val="0.0581068416119963"/>
          <c:w val="0.5235253296322"/>
          <c:h val="0.883786316776007"/>
        </c:manualLayout>
      </c:layout>
      <c:radarChart>
        <c:radarStyle val="fill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Result!$A$10:$A$13</c:f>
              <c:strCache>
                <c:ptCount val="4"/>
                <c:pt idx="0">
                  <c:v>XY relative precision</c:v>
                </c:pt>
                <c:pt idx="1">
                  <c:v>XY accuracy</c:v>
                </c:pt>
                <c:pt idx="2">
                  <c:v>Small Scale accuracy</c:v>
                </c:pt>
                <c:pt idx="3">
                  <c:v>Z axis accuracy</c:v>
                </c:pt>
              </c:strCache>
            </c:strRef>
          </c:cat>
          <c:val>
            <c:numRef>
              <c:f>Result!$B$10:$B$13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spPr>
            <a:solidFill>
              <a:schemeClr val="bg1">
                <a:lumMod val="50000"/>
                <a:alpha val="27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Result!$A$10:$A$13</c:f>
              <c:strCache>
                <c:ptCount val="4"/>
                <c:pt idx="0">
                  <c:v>XY relative precision</c:v>
                </c:pt>
                <c:pt idx="1">
                  <c:v>XY accuracy</c:v>
                </c:pt>
                <c:pt idx="2">
                  <c:v>Small Scale accuracy</c:v>
                </c:pt>
                <c:pt idx="3">
                  <c:v>Z axis accuracy</c:v>
                </c:pt>
              </c:strCache>
            </c:strRef>
          </c:cat>
          <c:val>
            <c:numRef>
              <c:f>Result!$D$10:$D$13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270330"/>
        <c:axId val="256858770"/>
      </c:radarChart>
      <c:catAx>
        <c:axId val="8382703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858770"/>
        <c:crosses val="autoZero"/>
        <c:auto val="1"/>
        <c:lblAlgn val="ctr"/>
        <c:lblOffset val="100"/>
        <c:noMultiLvlLbl val="0"/>
      </c:catAx>
      <c:valAx>
        <c:axId val="2568587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82703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065096094234"/>
          <c:y val="0.228969272435"/>
          <c:w val="0.569869807811531"/>
          <c:h val="0.535508301776871"/>
        </c:manualLayout>
      </c:layout>
      <c:radarChart>
        <c:radarStyle val="filled"/>
        <c:varyColors val="0"/>
        <c:ser>
          <c:idx val="0"/>
          <c:order val="0"/>
          <c:spPr>
            <a:solidFill>
              <a:schemeClr val="bg1">
                <a:lumMod val="50000"/>
                <a:alpha val="4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Process!$R$1:$R$3</c:f>
              <c:strCache>
                <c:ptCount val="3"/>
                <c:pt idx="0" c:formatCode="0.00_);[Red]\(0.00\)">
                  <c:v>Surface Condition</c:v>
                </c:pt>
                <c:pt idx="1" c:formatCode="0.00_);[Red]\(0.00\)">
                  <c:v>Fine Details</c:v>
                </c:pt>
                <c:pt idx="2" c:formatCode="0.00_);[Red]\(0.00\)">
                  <c:v>Bridge&amp;Overhang</c:v>
                </c:pt>
              </c:strCache>
            </c:strRef>
          </c:cat>
          <c:val>
            <c:numRef>
              <c:f>Process!$S$1:$S$3</c:f>
              <c:numCache>
                <c:formatCode>0.00%</c:formatCode>
                <c:ptCount val="3"/>
                <c:pt idx="0">
                  <c:v>0.8125</c:v>
                </c:pt>
                <c:pt idx="1">
                  <c:v>0.688888888888889</c:v>
                </c:pt>
                <c:pt idx="2">
                  <c:v>0.9825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657262"/>
        <c:axId val="395804483"/>
      </c:radarChart>
      <c:catAx>
        <c:axId val="9946572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804483"/>
        <c:crosses val="autoZero"/>
        <c:auto val="1"/>
        <c:lblAlgn val="ctr"/>
        <c:lblOffset val="100"/>
        <c:noMultiLvlLbl val="0"/>
      </c:catAx>
      <c:valAx>
        <c:axId val="3958044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657262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451133698202"/>
          <c:y val="0.227010457987739"/>
          <c:w val="0.602001563721657"/>
          <c:h val="0.694157951676884"/>
        </c:manualLayout>
      </c:layout>
      <c:radarChart>
        <c:radarStyle val="filled"/>
        <c:varyColors val="0"/>
        <c:ser>
          <c:idx val="0"/>
          <c:order val="0"/>
          <c:spPr>
            <a:solidFill>
              <a:schemeClr val="bg1">
                <a:lumMod val="50000"/>
                <a:alpha val="40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Process!$R$7:$R$10</c:f>
              <c:strCache>
                <c:ptCount val="4"/>
                <c:pt idx="0">
                  <c:v>Basic Precision</c:v>
                </c:pt>
                <c:pt idx="1">
                  <c:v>Engineering</c:v>
                </c:pt>
                <c:pt idx="2">
                  <c:v>Art</c:v>
                </c:pt>
                <c:pt idx="3">
                  <c:v>Time</c:v>
                </c:pt>
              </c:strCache>
            </c:strRef>
          </c:cat>
          <c:val>
            <c:numRef>
              <c:f>Process!$S$7:$S$10</c:f>
              <c:numCache>
                <c:formatCode>0.00%</c:formatCode>
                <c:ptCount val="4"/>
                <c:pt idx="0">
                  <c:v>0.955555555555555</c:v>
                </c:pt>
                <c:pt idx="1">
                  <c:v>0.598</c:v>
                </c:pt>
                <c:pt idx="2">
                  <c:v>0.8224</c:v>
                </c:pt>
                <c:pt idx="3">
                  <c:v>0.95971875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657262"/>
        <c:axId val="395804483"/>
      </c:radarChart>
      <c:catAx>
        <c:axId val="99465726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5804483"/>
        <c:crosses val="autoZero"/>
        <c:auto val="1"/>
        <c:lblAlgn val="ctr"/>
        <c:lblOffset val="100"/>
        <c:noMultiLvlLbl val="0"/>
      </c:catAx>
      <c:valAx>
        <c:axId val="3958044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657262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374413931681"/>
          <c:y val="0.171946677122133"/>
          <c:w val="0.588881446751507"/>
          <c:h val="0.689433444422662"/>
        </c:manualLayout>
      </c:layout>
      <c:radarChart>
        <c:radarStyle val="filled"/>
        <c:varyColors val="0"/>
        <c:ser>
          <c:idx val="0"/>
          <c:order val="0"/>
          <c:spPr>
            <a:solidFill>
              <a:schemeClr val="accent1">
                <a:alpha val="45000"/>
              </a:schemeClr>
            </a:solidFill>
            <a:ln>
              <a:noFill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Process!$R$12:$R$15</c:f>
              <c:strCache>
                <c:ptCount val="4"/>
                <c:pt idx="0">
                  <c:v>Engineering1</c:v>
                </c:pt>
                <c:pt idx="1">
                  <c:v>Engineering2</c:v>
                </c:pt>
                <c:pt idx="2">
                  <c:v>Art1</c:v>
                </c:pt>
                <c:pt idx="3">
                  <c:v>Art2</c:v>
                </c:pt>
              </c:strCache>
            </c:strRef>
          </c:cat>
          <c:val>
            <c:numRef>
              <c:f>Process!$S$12:$S$15</c:f>
              <c:numCache>
                <c:formatCode>0.00%</c:formatCode>
                <c:ptCount val="4"/>
                <c:pt idx="0">
                  <c:v>0.909944751381215</c:v>
                </c:pt>
                <c:pt idx="1">
                  <c:v>1</c:v>
                </c:pt>
                <c:pt idx="2">
                  <c:v>1</c:v>
                </c:pt>
                <c:pt idx="3">
                  <c:v>0.935294117647059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577228"/>
        <c:axId val="12634795"/>
      </c:radarChart>
      <c:catAx>
        <c:axId val="9605772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34795"/>
        <c:crosses val="autoZero"/>
        <c:auto val="1"/>
        <c:lblAlgn val="ctr"/>
        <c:lblOffset val="100"/>
        <c:noMultiLvlLbl val="0"/>
      </c:catAx>
      <c:valAx>
        <c:axId val="126347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5772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53340</xdr:colOff>
      <xdr:row>9</xdr:row>
      <xdr:rowOff>86995</xdr:rowOff>
    </xdr:from>
    <xdr:to>
      <xdr:col>12</xdr:col>
      <xdr:colOff>462280</xdr:colOff>
      <xdr:row>20</xdr:row>
      <xdr:rowOff>172720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6398895" y="2372995"/>
          <a:ext cx="3495040" cy="2879725"/>
        </a:xfrm>
        <a:prstGeom prst="rect">
          <a:avLst/>
        </a:prstGeom>
        <a:ln w="6350">
          <a:noFill/>
        </a:ln>
      </xdr:spPr>
    </xdr:pic>
    <xdr:clientData/>
  </xdr:twoCellAnchor>
  <xdr:twoCellAnchor>
    <xdr:from>
      <xdr:col>8</xdr:col>
      <xdr:colOff>36830</xdr:colOff>
      <xdr:row>32</xdr:row>
      <xdr:rowOff>107950</xdr:rowOff>
    </xdr:from>
    <xdr:to>
      <xdr:col>12</xdr:col>
      <xdr:colOff>485775</xdr:colOff>
      <xdr:row>40</xdr:row>
      <xdr:rowOff>169545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99605" y="8235950"/>
          <a:ext cx="2917825" cy="2093595"/>
        </a:xfrm>
        <a:prstGeom prst="rect">
          <a:avLst/>
        </a:prstGeom>
        <a:ln w="6350">
          <a:noFill/>
        </a:ln>
      </xdr:spPr>
    </xdr:pic>
    <xdr:clientData/>
  </xdr:twoCellAnchor>
  <xdr:twoCellAnchor>
    <xdr:from>
      <xdr:col>8</xdr:col>
      <xdr:colOff>88900</xdr:colOff>
      <xdr:row>23</xdr:row>
      <xdr:rowOff>128905</xdr:rowOff>
    </xdr:from>
    <xdr:to>
      <xdr:col>12</xdr:col>
      <xdr:colOff>409575</xdr:colOff>
      <xdr:row>31</xdr:row>
      <xdr:rowOff>146685</xdr:rowOff>
    </xdr:to>
    <xdr:pic>
      <xdr:nvPicPr>
        <xdr:cNvPr id="5" name="图片 4" descr="Basic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051675" y="5970905"/>
          <a:ext cx="2789555" cy="2049780"/>
        </a:xfrm>
        <a:prstGeom prst="rect">
          <a:avLst/>
        </a:prstGeom>
        <a:ln w="635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83820</xdr:colOff>
      <xdr:row>8</xdr:row>
      <xdr:rowOff>62230</xdr:rowOff>
    </xdr:from>
    <xdr:to>
      <xdr:col>13</xdr:col>
      <xdr:colOff>549910</xdr:colOff>
      <xdr:row>18</xdr:row>
      <xdr:rowOff>168275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04560" y="2094230"/>
          <a:ext cx="4169410" cy="2646045"/>
        </a:xfrm>
        <a:prstGeom prst="rect">
          <a:avLst/>
        </a:prstGeom>
        <a:ln w="6350">
          <a:noFill/>
        </a:ln>
      </xdr:spPr>
    </xdr:pic>
    <xdr:clientData/>
  </xdr:twoCellAnchor>
  <xdr:twoCellAnchor>
    <xdr:from>
      <xdr:col>7</xdr:col>
      <xdr:colOff>304800</xdr:colOff>
      <xdr:row>21</xdr:row>
      <xdr:rowOff>39370</xdr:rowOff>
    </xdr:from>
    <xdr:to>
      <xdr:col>13</xdr:col>
      <xdr:colOff>220345</xdr:colOff>
      <xdr:row>32</xdr:row>
      <xdr:rowOff>133985</xdr:rowOff>
    </xdr:to>
    <xdr:pic>
      <xdr:nvPicPr>
        <xdr:cNvPr id="3" name="图片 2" descr="C:\Users\Asus\Desktop\BenchoProfile\Pic\ENG2.pngENG2"/>
        <xdr:cNvPicPr>
          <a:picLocks noChangeAspect="1"/>
        </xdr:cNvPicPr>
      </xdr:nvPicPr>
      <xdr:blipFill>
        <a:blip r:embed="rId2"/>
        <a:srcRect/>
        <a:stretch>
          <a:fillRect/>
        </a:stretch>
      </xdr:blipFill>
      <xdr:spPr>
        <a:xfrm>
          <a:off x="6225540" y="5373370"/>
          <a:ext cx="3618865" cy="2888615"/>
        </a:xfrm>
        <a:prstGeom prst="rect">
          <a:avLst/>
        </a:prstGeom>
        <a:ln w="6350">
          <a:noFill/>
        </a:ln>
      </xdr:spPr>
    </xdr:pic>
    <xdr:clientData/>
  </xdr:twoCellAnchor>
  <xdr:twoCellAnchor>
    <xdr:from>
      <xdr:col>7</xdr:col>
      <xdr:colOff>396240</xdr:colOff>
      <xdr:row>36</xdr:row>
      <xdr:rowOff>12700</xdr:rowOff>
    </xdr:from>
    <xdr:to>
      <xdr:col>13</xdr:col>
      <xdr:colOff>319405</xdr:colOff>
      <xdr:row>45</xdr:row>
      <xdr:rowOff>172085</xdr:rowOff>
    </xdr:to>
    <xdr:pic>
      <xdr:nvPicPr>
        <xdr:cNvPr id="4" name="图片 3" descr="C:\Users\Asus\Desktop\BenchoProfile\Pic\ENG3.pngENG3"/>
        <xdr:cNvPicPr>
          <a:picLocks noChangeAspect="1"/>
        </xdr:cNvPicPr>
      </xdr:nvPicPr>
      <xdr:blipFill>
        <a:blip r:embed="rId3"/>
        <a:srcRect/>
        <a:stretch>
          <a:fillRect/>
        </a:stretch>
      </xdr:blipFill>
      <xdr:spPr>
        <a:xfrm>
          <a:off x="6316980" y="9156700"/>
          <a:ext cx="3626485" cy="2445385"/>
        </a:xfrm>
        <a:prstGeom prst="rect">
          <a:avLst/>
        </a:prstGeom>
        <a:ln w="76200">
          <a:noFill/>
        </a:ln>
      </xdr:spPr>
    </xdr:pic>
    <xdr:clientData/>
  </xdr:twoCellAnchor>
  <xdr:twoCellAnchor>
    <xdr:from>
      <xdr:col>7</xdr:col>
      <xdr:colOff>327660</xdr:colOff>
      <xdr:row>46</xdr:row>
      <xdr:rowOff>121285</xdr:rowOff>
    </xdr:from>
    <xdr:to>
      <xdr:col>13</xdr:col>
      <xdr:colOff>251460</xdr:colOff>
      <xdr:row>55</xdr:row>
      <xdr:rowOff>67945</xdr:rowOff>
    </xdr:to>
    <xdr:pic>
      <xdr:nvPicPr>
        <xdr:cNvPr id="5" name="图片 4" descr="C:\Users\Asus\Desktop\BenchoProfile\Pic\ENG4.pngENG4"/>
        <xdr:cNvPicPr>
          <a:picLocks noChangeAspect="1"/>
        </xdr:cNvPicPr>
      </xdr:nvPicPr>
      <xdr:blipFill>
        <a:blip r:embed="rId4"/>
        <a:srcRect/>
        <a:stretch>
          <a:fillRect/>
        </a:stretch>
      </xdr:blipFill>
      <xdr:spPr>
        <a:xfrm>
          <a:off x="6248400" y="11805285"/>
          <a:ext cx="3627120" cy="2232660"/>
        </a:xfrm>
        <a:prstGeom prst="rect">
          <a:avLst/>
        </a:prstGeom>
        <a:ln w="76200">
          <a:noFill/>
        </a:ln>
      </xdr:spPr>
    </xdr:pic>
    <xdr:clientData/>
  </xdr:twoCellAnchor>
  <xdr:twoCellAnchor>
    <xdr:from>
      <xdr:col>7</xdr:col>
      <xdr:colOff>129540</xdr:colOff>
      <xdr:row>58</xdr:row>
      <xdr:rowOff>71755</xdr:rowOff>
    </xdr:from>
    <xdr:to>
      <xdr:col>13</xdr:col>
      <xdr:colOff>387350</xdr:colOff>
      <xdr:row>68</xdr:row>
      <xdr:rowOff>195580</xdr:rowOff>
    </xdr:to>
    <xdr:pic>
      <xdr:nvPicPr>
        <xdr:cNvPr id="6" name="图片 5" descr="C:\Users\Asus\Desktop\BenchoProfile\Pic\ENG5.pngENG5"/>
        <xdr:cNvPicPr>
          <a:picLocks noChangeAspect="1"/>
        </xdr:cNvPicPr>
      </xdr:nvPicPr>
      <xdr:blipFill>
        <a:blip r:embed="rId5"/>
        <a:srcRect/>
        <a:stretch>
          <a:fillRect/>
        </a:stretch>
      </xdr:blipFill>
      <xdr:spPr>
        <a:xfrm>
          <a:off x="6050280" y="14803755"/>
          <a:ext cx="3961130" cy="2663825"/>
        </a:xfrm>
        <a:prstGeom prst="rect">
          <a:avLst/>
        </a:prstGeom>
        <a:ln w="7620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92075</xdr:colOff>
      <xdr:row>8</xdr:row>
      <xdr:rowOff>45720</xdr:rowOff>
    </xdr:from>
    <xdr:to>
      <xdr:col>13</xdr:col>
      <xdr:colOff>577850</xdr:colOff>
      <xdr:row>17</xdr:row>
      <xdr:rowOff>50800</xdr:rowOff>
    </xdr:to>
    <xdr:pic>
      <xdr:nvPicPr>
        <xdr:cNvPr id="2" name="图片 1" descr="C:\Users\Asus\Desktop\BenchoProfile\Pic\Art2.pngArt2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5890895" y="2077720"/>
          <a:ext cx="4189095" cy="2291080"/>
        </a:xfrm>
        <a:prstGeom prst="rect">
          <a:avLst/>
        </a:prstGeom>
        <a:ln w="76200">
          <a:noFill/>
        </a:ln>
      </xdr:spPr>
    </xdr:pic>
    <xdr:clientData/>
  </xdr:twoCellAnchor>
  <xdr:twoCellAnchor>
    <xdr:from>
      <xdr:col>7</xdr:col>
      <xdr:colOff>69215</xdr:colOff>
      <xdr:row>18</xdr:row>
      <xdr:rowOff>66040</xdr:rowOff>
    </xdr:from>
    <xdr:to>
      <xdr:col>13</xdr:col>
      <xdr:colOff>603885</xdr:colOff>
      <xdr:row>25</xdr:row>
      <xdr:rowOff>184785</xdr:rowOff>
    </xdr:to>
    <xdr:pic>
      <xdr:nvPicPr>
        <xdr:cNvPr id="3" name="图片 2" descr="C:\Users\Asus\Desktop\BenchoProfile\Pic\Art3.pngArt3"/>
        <xdr:cNvPicPr>
          <a:picLocks noChangeAspect="1"/>
        </xdr:cNvPicPr>
      </xdr:nvPicPr>
      <xdr:blipFill>
        <a:blip r:embed="rId2"/>
        <a:srcRect/>
        <a:stretch>
          <a:fillRect/>
        </a:stretch>
      </xdr:blipFill>
      <xdr:spPr>
        <a:xfrm>
          <a:off x="5868035" y="4638040"/>
          <a:ext cx="4237990" cy="1896745"/>
        </a:xfrm>
        <a:prstGeom prst="rect">
          <a:avLst/>
        </a:prstGeom>
        <a:ln w="7620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67310</xdr:colOff>
      <xdr:row>19</xdr:row>
      <xdr:rowOff>57150</xdr:rowOff>
    </xdr:from>
    <xdr:to>
      <xdr:col>14</xdr:col>
      <xdr:colOff>462280</xdr:colOff>
      <xdr:row>31</xdr:row>
      <xdr:rowOff>158750</xdr:rowOff>
    </xdr:to>
    <xdr:graphicFrame>
      <xdr:nvGraphicFramePr>
        <xdr:cNvPr id="6" name="图表 5"/>
        <xdr:cNvGraphicFramePr/>
      </xdr:nvGraphicFramePr>
      <xdr:xfrm>
        <a:off x="8051800" y="4883150"/>
        <a:ext cx="4052570" cy="314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</xdr:colOff>
      <xdr:row>8</xdr:row>
      <xdr:rowOff>92710</xdr:rowOff>
    </xdr:from>
    <xdr:to>
      <xdr:col>14</xdr:col>
      <xdr:colOff>489585</xdr:colOff>
      <xdr:row>17</xdr:row>
      <xdr:rowOff>202565</xdr:rowOff>
    </xdr:to>
    <xdr:graphicFrame>
      <xdr:nvGraphicFramePr>
        <xdr:cNvPr id="7" name="图表 6"/>
        <xdr:cNvGraphicFramePr/>
      </xdr:nvGraphicFramePr>
      <xdr:xfrm>
        <a:off x="8061960" y="2124710"/>
        <a:ext cx="4069715" cy="2395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88265</xdr:colOff>
      <xdr:row>33</xdr:row>
      <xdr:rowOff>104140</xdr:rowOff>
    </xdr:from>
    <xdr:to>
      <xdr:col>14</xdr:col>
      <xdr:colOff>527685</xdr:colOff>
      <xdr:row>50</xdr:row>
      <xdr:rowOff>196850</xdr:rowOff>
    </xdr:to>
    <xdr:graphicFrame>
      <xdr:nvGraphicFramePr>
        <xdr:cNvPr id="2" name="图表 1"/>
        <xdr:cNvGraphicFramePr/>
      </xdr:nvGraphicFramePr>
      <xdr:xfrm>
        <a:off x="8072755" y="8486140"/>
        <a:ext cx="4097020" cy="4410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81280</xdr:colOff>
      <xdr:row>67</xdr:row>
      <xdr:rowOff>81280</xdr:rowOff>
    </xdr:from>
    <xdr:to>
      <xdr:col>14</xdr:col>
      <xdr:colOff>484505</xdr:colOff>
      <xdr:row>81</xdr:row>
      <xdr:rowOff>88900</xdr:rowOff>
    </xdr:to>
    <xdr:graphicFrame>
      <xdr:nvGraphicFramePr>
        <xdr:cNvPr id="5" name="图表 4"/>
        <xdr:cNvGraphicFramePr/>
      </xdr:nvGraphicFramePr>
      <xdr:xfrm>
        <a:off x="8065770" y="17099280"/>
        <a:ext cx="4060825" cy="3563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152400</xdr:colOff>
      <xdr:row>52</xdr:row>
      <xdr:rowOff>81280</xdr:rowOff>
    </xdr:from>
    <xdr:to>
      <xdr:col>14</xdr:col>
      <xdr:colOff>287020</xdr:colOff>
      <xdr:row>65</xdr:row>
      <xdr:rowOff>57150</xdr:rowOff>
    </xdr:to>
    <xdr:graphicFrame>
      <xdr:nvGraphicFramePr>
        <xdr:cNvPr id="3" name="图表 2"/>
        <xdr:cNvGraphicFramePr/>
      </xdr:nvGraphicFramePr>
      <xdr:xfrm>
        <a:off x="8136890" y="13289280"/>
        <a:ext cx="3792220" cy="32778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6"/>
  <sheetViews>
    <sheetView tabSelected="1" topLeftCell="A10" workbookViewId="0">
      <selection activeCell="D25" sqref="D25:H28"/>
    </sheetView>
  </sheetViews>
  <sheetFormatPr defaultColWidth="9" defaultRowHeight="14.4"/>
  <cols>
    <col min="1" max="1" width="5.35185185185185" customWidth="1"/>
    <col min="2" max="2" width="13.8425925925926" customWidth="1"/>
    <col min="3" max="3" width="16.1111111111111" customWidth="1"/>
    <col min="4" max="4" width="24.8888888888889" customWidth="1"/>
    <col min="5" max="5" width="14.3333333333333" customWidth="1"/>
    <col min="9" max="9" width="9.11111111111111" customWidth="1"/>
    <col min="12" max="12" width="8.88888888888889" customWidth="1"/>
    <col min="13" max="13" width="7.33333333333333" customWidth="1"/>
  </cols>
  <sheetData>
    <row r="1" ht="20" customHeight="1" spans="1:1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20" customHeight="1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20" customHeight="1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ht="20" customHeight="1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ht="20" customHeight="1" spans="1:13">
      <c r="A5" s="3" t="s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ht="20" customHeight="1" spans="1:13">
      <c r="A6" s="64" t="s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ht="20" customHeight="1" spans="1:1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ht="20" customHeight="1" spans="1:13">
      <c r="A8" s="3" t="s">
        <v>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ht="20" customHeight="1" spans="1:13">
      <c r="A9" s="3" t="s">
        <v>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ht="20" customHeight="1" spans="1:13">
      <c r="A10" s="142" t="s">
        <v>5</v>
      </c>
      <c r="B10" s="142" t="s">
        <v>6</v>
      </c>
      <c r="C10" s="142" t="s">
        <v>7</v>
      </c>
      <c r="D10" s="103" t="s">
        <v>8</v>
      </c>
      <c r="E10" s="104"/>
      <c r="F10" s="104"/>
      <c r="G10" s="123"/>
      <c r="H10" s="3"/>
      <c r="I10" s="3"/>
      <c r="J10" s="3"/>
      <c r="K10" s="3"/>
      <c r="L10" s="3"/>
      <c r="M10" s="3"/>
    </row>
    <row r="11" ht="20" customHeight="1" spans="1:13">
      <c r="A11" s="139" t="s">
        <v>9</v>
      </c>
      <c r="B11" s="143">
        <v>100</v>
      </c>
      <c r="C11" s="41">
        <f>IFERROR(AVERAGE(B11:B18),0)</f>
        <v>100</v>
      </c>
      <c r="D11" s="103"/>
      <c r="E11" s="104"/>
      <c r="F11" s="104"/>
      <c r="G11" s="123"/>
      <c r="H11" s="3"/>
      <c r="I11" s="3"/>
      <c r="J11" s="3"/>
      <c r="K11" s="3"/>
      <c r="L11" s="3"/>
      <c r="M11" s="3"/>
    </row>
    <row r="12" ht="20" customHeight="1" spans="1:13">
      <c r="A12" s="139" t="s">
        <v>10</v>
      </c>
      <c r="B12" s="143">
        <v>100</v>
      </c>
      <c r="C12" s="144"/>
      <c r="D12" s="103"/>
      <c r="E12" s="104"/>
      <c r="F12" s="104"/>
      <c r="G12" s="123"/>
      <c r="H12" s="3"/>
      <c r="I12" s="3"/>
      <c r="J12" s="3"/>
      <c r="K12" s="3"/>
      <c r="L12" s="3"/>
      <c r="M12" s="3"/>
    </row>
    <row r="13" ht="20" customHeight="1" spans="1:13">
      <c r="A13" s="139" t="s">
        <v>11</v>
      </c>
      <c r="B13" s="143">
        <v>100</v>
      </c>
      <c r="C13" s="144"/>
      <c r="D13" s="103"/>
      <c r="E13" s="104"/>
      <c r="F13" s="104"/>
      <c r="G13" s="123"/>
      <c r="H13" s="3"/>
      <c r="I13" s="3"/>
      <c r="J13" s="3"/>
      <c r="K13" s="3"/>
      <c r="L13" s="3"/>
      <c r="M13" s="3"/>
    </row>
    <row r="14" ht="20" customHeight="1" spans="1:13">
      <c r="A14" s="139" t="s">
        <v>12</v>
      </c>
      <c r="B14" s="143">
        <v>100</v>
      </c>
      <c r="C14" s="144"/>
      <c r="D14" s="4" t="s">
        <v>13</v>
      </c>
      <c r="E14" s="4"/>
      <c r="F14" s="4"/>
      <c r="G14" s="4"/>
      <c r="H14" s="3"/>
      <c r="I14" s="3"/>
      <c r="J14" s="3"/>
      <c r="K14" s="3"/>
      <c r="L14" s="3"/>
      <c r="M14" s="3"/>
    </row>
    <row r="15" ht="20" customHeight="1" spans="1:13">
      <c r="A15" s="139" t="s">
        <v>14</v>
      </c>
      <c r="B15" s="143">
        <v>100</v>
      </c>
      <c r="C15" s="144"/>
      <c r="D15" s="4"/>
      <c r="E15" s="4"/>
      <c r="F15" s="4"/>
      <c r="G15" s="4"/>
      <c r="H15" s="3"/>
      <c r="I15" s="3"/>
      <c r="J15" s="3"/>
      <c r="K15" s="3"/>
      <c r="L15" s="3"/>
      <c r="M15" s="3"/>
    </row>
    <row r="16" ht="20" customHeight="1" spans="1:13">
      <c r="A16" s="139" t="s">
        <v>15</v>
      </c>
      <c r="B16" s="143">
        <v>100</v>
      </c>
      <c r="C16" s="144"/>
      <c r="D16" s="4"/>
      <c r="E16" s="4"/>
      <c r="F16" s="4"/>
      <c r="G16" s="4"/>
      <c r="H16" s="3"/>
      <c r="I16" s="3"/>
      <c r="J16" s="3"/>
      <c r="K16" s="3"/>
      <c r="L16" s="3"/>
      <c r="M16" s="3"/>
    </row>
    <row r="17" ht="20" customHeight="1" spans="1:13">
      <c r="A17" s="139" t="s">
        <v>16</v>
      </c>
      <c r="B17" s="143">
        <v>100</v>
      </c>
      <c r="C17" s="144"/>
      <c r="D17" s="4"/>
      <c r="E17" s="4"/>
      <c r="F17" s="4"/>
      <c r="G17" s="4"/>
      <c r="H17" s="3"/>
      <c r="I17" s="3"/>
      <c r="J17" s="3"/>
      <c r="K17" s="3"/>
      <c r="L17" s="3"/>
      <c r="M17" s="3"/>
    </row>
    <row r="18" ht="20" customHeight="1" spans="1:13">
      <c r="A18" s="139" t="s">
        <v>17</v>
      </c>
      <c r="B18" s="143">
        <v>100</v>
      </c>
      <c r="C18" s="145"/>
      <c r="D18" s="4"/>
      <c r="E18" s="4"/>
      <c r="F18" s="4"/>
      <c r="G18" s="4"/>
      <c r="H18" s="3"/>
      <c r="I18" s="3"/>
      <c r="J18" s="3"/>
      <c r="K18" s="3"/>
      <c r="L18" s="3"/>
      <c r="M18" s="3"/>
    </row>
    <row r="19" ht="20" customHeight="1" spans="1:13">
      <c r="A19" s="35"/>
      <c r="B19" s="35"/>
      <c r="C19" s="35"/>
      <c r="D19" s="139" t="s">
        <v>18</v>
      </c>
      <c r="E19" s="139" t="s">
        <v>19</v>
      </c>
      <c r="F19" s="4" t="str">
        <f>"Hint:"&amp;Process!D12</f>
        <v>Hint:All good</v>
      </c>
      <c r="G19" s="4"/>
      <c r="H19" s="3"/>
      <c r="I19" s="3"/>
      <c r="J19" s="3"/>
      <c r="K19" s="3"/>
      <c r="L19" s="3"/>
      <c r="M19" s="3"/>
    </row>
    <row r="20" ht="20" customHeight="1" spans="1:13">
      <c r="A20" s="35"/>
      <c r="B20" s="35"/>
      <c r="C20" s="35"/>
      <c r="D20" s="139" t="s">
        <v>20</v>
      </c>
      <c r="E20" s="38" t="str">
        <f>ROUND(Process!D2*'Score Weight'!L8,2)&amp;" out of 6"</f>
        <v>6 out of 6</v>
      </c>
      <c r="F20" s="4"/>
      <c r="G20" s="4"/>
      <c r="H20" s="3"/>
      <c r="I20" s="3"/>
      <c r="J20" s="3"/>
      <c r="K20" s="3"/>
      <c r="L20" s="3"/>
      <c r="M20" s="3"/>
    </row>
    <row r="21" ht="20" customHeight="1" spans="1:13">
      <c r="A21" s="35"/>
      <c r="B21" s="35"/>
      <c r="C21" s="35"/>
      <c r="D21" s="139" t="s">
        <v>21</v>
      </c>
      <c r="E21" s="38" t="str">
        <f>ROUND(Process!D4*'Score Weight'!L9,2)&amp;" out of 4"</f>
        <v>4 out of 4</v>
      </c>
      <c r="F21" s="4"/>
      <c r="G21" s="4"/>
      <c r="H21" s="3"/>
      <c r="I21" s="3"/>
      <c r="J21" s="3"/>
      <c r="K21" s="3"/>
      <c r="L21" s="3"/>
      <c r="M21" s="3"/>
    </row>
    <row r="22" ht="20" customHeight="1" spans="1:13">
      <c r="A22" s="35"/>
      <c r="B22" s="35"/>
      <c r="C22" s="35"/>
      <c r="D22" s="139" t="s">
        <v>22</v>
      </c>
      <c r="E22" s="146" t="str">
        <f>Process!D6</f>
        <v>Perfect</v>
      </c>
      <c r="F22" s="4"/>
      <c r="G22" s="4"/>
      <c r="H22" s="3"/>
      <c r="I22" s="3"/>
      <c r="J22" s="3"/>
      <c r="K22" s="3"/>
      <c r="L22" s="3"/>
      <c r="M22" s="3"/>
    </row>
    <row r="23" ht="20" customHeight="1" spans="1:13">
      <c r="A23" s="3" t="s">
        <v>23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ht="20" customHeight="1" spans="1:13">
      <c r="A24" s="66" t="s">
        <v>24</v>
      </c>
      <c r="B24" s="147"/>
      <c r="C24" s="147"/>
      <c r="D24" s="147"/>
      <c r="E24" s="147"/>
      <c r="F24" s="147"/>
      <c r="G24" s="147"/>
      <c r="H24" s="147"/>
      <c r="I24" s="3"/>
      <c r="J24" s="3"/>
      <c r="K24" s="3"/>
      <c r="L24" s="3"/>
      <c r="M24" s="3"/>
    </row>
    <row r="25" ht="20" customHeight="1" spans="1:13">
      <c r="A25" s="3" t="s">
        <v>5</v>
      </c>
      <c r="B25" s="3" t="s">
        <v>6</v>
      </c>
      <c r="C25" s="3" t="s">
        <v>7</v>
      </c>
      <c r="D25" s="4" t="s">
        <v>25</v>
      </c>
      <c r="E25" s="4"/>
      <c r="F25" s="4"/>
      <c r="G25" s="4"/>
      <c r="H25" s="148"/>
      <c r="I25" s="3"/>
      <c r="J25" s="3"/>
      <c r="K25" s="3"/>
      <c r="L25" s="3"/>
      <c r="M25" s="3"/>
    </row>
    <row r="26" ht="20" customHeight="1" spans="1:13">
      <c r="A26" s="3">
        <v>1</v>
      </c>
      <c r="B26" s="143">
        <v>10.02</v>
      </c>
      <c r="C26" s="41">
        <f>IFERROR(AVERAGE(B26:B35),0)</f>
        <v>9.979</v>
      </c>
      <c r="D26" s="4"/>
      <c r="E26" s="4"/>
      <c r="F26" s="4"/>
      <c r="G26" s="4"/>
      <c r="H26" s="148"/>
      <c r="I26" s="3"/>
      <c r="J26" s="3"/>
      <c r="K26" s="3"/>
      <c r="L26" s="3"/>
      <c r="M26" s="3"/>
    </row>
    <row r="27" ht="20" customHeight="1" spans="1:13">
      <c r="A27" s="3">
        <v>2</v>
      </c>
      <c r="B27" s="143">
        <v>9.98</v>
      </c>
      <c r="C27" s="144"/>
      <c r="D27" s="4"/>
      <c r="E27" s="4"/>
      <c r="F27" s="4"/>
      <c r="G27" s="4"/>
      <c r="H27" s="148"/>
      <c r="I27" s="3"/>
      <c r="J27" s="3"/>
      <c r="K27" s="3"/>
      <c r="L27" s="3"/>
      <c r="M27" s="3"/>
    </row>
    <row r="28" ht="20" customHeight="1" spans="1:13">
      <c r="A28" s="3">
        <v>3</v>
      </c>
      <c r="B28" s="143">
        <v>9.93</v>
      </c>
      <c r="C28" s="144"/>
      <c r="D28" s="4"/>
      <c r="E28" s="4"/>
      <c r="F28" s="4"/>
      <c r="G28" s="4"/>
      <c r="H28" s="148"/>
      <c r="I28" s="3"/>
      <c r="J28" s="3"/>
      <c r="K28" s="3"/>
      <c r="L28" s="3"/>
      <c r="M28" s="3"/>
    </row>
    <row r="29" ht="20" customHeight="1" spans="1:13">
      <c r="A29" s="3">
        <v>4</v>
      </c>
      <c r="B29" s="143">
        <v>9.92</v>
      </c>
      <c r="C29" s="144"/>
      <c r="D29" s="4" t="s">
        <v>26</v>
      </c>
      <c r="E29" s="4"/>
      <c r="F29" s="4"/>
      <c r="G29" s="4"/>
      <c r="H29" s="148"/>
      <c r="I29" s="3"/>
      <c r="J29" s="3"/>
      <c r="K29" s="3"/>
      <c r="L29" s="3"/>
      <c r="M29" s="3"/>
    </row>
    <row r="30" ht="20" customHeight="1" spans="1:13">
      <c r="A30" s="3">
        <v>5</v>
      </c>
      <c r="B30" s="143">
        <v>9.95</v>
      </c>
      <c r="C30" s="144"/>
      <c r="D30" s="4"/>
      <c r="E30" s="4"/>
      <c r="F30" s="4"/>
      <c r="G30" s="4"/>
      <c r="H30" s="148"/>
      <c r="I30" s="3"/>
      <c r="J30" s="3"/>
      <c r="K30" s="3"/>
      <c r="L30" s="3"/>
      <c r="M30" s="3"/>
    </row>
    <row r="31" ht="20" customHeight="1" spans="1:13">
      <c r="A31" s="3">
        <v>6</v>
      </c>
      <c r="B31" s="143">
        <v>9.95</v>
      </c>
      <c r="C31" s="144"/>
      <c r="D31" s="4"/>
      <c r="E31" s="4"/>
      <c r="F31" s="4"/>
      <c r="G31" s="4"/>
      <c r="H31" s="148"/>
      <c r="I31" s="3"/>
      <c r="J31" s="3"/>
      <c r="K31" s="3"/>
      <c r="L31" s="3"/>
      <c r="M31" s="3"/>
    </row>
    <row r="32" ht="20" customHeight="1" spans="1:13">
      <c r="A32" s="3">
        <v>7</v>
      </c>
      <c r="B32" s="143">
        <v>9.96</v>
      </c>
      <c r="C32" s="144"/>
      <c r="D32" s="4"/>
      <c r="E32" s="4"/>
      <c r="F32" s="4"/>
      <c r="G32" s="4"/>
      <c r="H32" s="148"/>
      <c r="I32" s="3"/>
      <c r="J32" s="3"/>
      <c r="K32" s="3"/>
      <c r="L32" s="3"/>
      <c r="M32" s="3"/>
    </row>
    <row r="33" ht="20" customHeight="1" spans="1:13">
      <c r="A33" s="3">
        <v>8</v>
      </c>
      <c r="B33" s="143">
        <v>10</v>
      </c>
      <c r="C33" s="144"/>
      <c r="D33" s="4"/>
      <c r="E33" s="4"/>
      <c r="F33" s="4"/>
      <c r="G33" s="4"/>
      <c r="H33" s="148"/>
      <c r="I33" s="3"/>
      <c r="J33" s="3"/>
      <c r="K33" s="3"/>
      <c r="L33" s="3"/>
      <c r="M33" s="3"/>
    </row>
    <row r="34" ht="20" customHeight="1" spans="1:13">
      <c r="A34" s="3">
        <v>9</v>
      </c>
      <c r="B34" s="143">
        <v>10.06</v>
      </c>
      <c r="C34" s="144"/>
      <c r="D34" s="4"/>
      <c r="E34" s="4"/>
      <c r="F34" s="4"/>
      <c r="G34" s="4"/>
      <c r="H34" s="148"/>
      <c r="I34" s="3"/>
      <c r="J34" s="3"/>
      <c r="K34" s="3"/>
      <c r="L34" s="3"/>
      <c r="M34" s="3"/>
    </row>
    <row r="35" ht="20" customHeight="1" spans="1:13">
      <c r="A35" s="65">
        <v>10</v>
      </c>
      <c r="B35" s="143">
        <v>10.02</v>
      </c>
      <c r="C35" s="144"/>
      <c r="D35" s="149"/>
      <c r="E35" s="149"/>
      <c r="F35" s="149"/>
      <c r="G35" s="149"/>
      <c r="H35" s="108"/>
      <c r="I35" s="3"/>
      <c r="J35" s="3"/>
      <c r="K35" s="3"/>
      <c r="L35" s="3"/>
      <c r="M35" s="3"/>
    </row>
    <row r="36" ht="20" customHeight="1" spans="1:13">
      <c r="A36" s="3" t="s">
        <v>27</v>
      </c>
      <c r="B36" s="3"/>
      <c r="C36" s="3"/>
      <c r="D36" s="3"/>
      <c r="E36" s="3"/>
      <c r="F36" s="3"/>
      <c r="G36" s="3"/>
      <c r="H36" s="66"/>
      <c r="I36" s="3"/>
      <c r="J36" s="3"/>
      <c r="K36" s="3"/>
      <c r="L36" s="3"/>
      <c r="M36" s="3"/>
    </row>
    <row r="37" ht="20" customHeight="1" spans="1:13">
      <c r="A37" s="96" t="s">
        <v>5</v>
      </c>
      <c r="B37" s="96" t="s">
        <v>6</v>
      </c>
      <c r="C37" s="96" t="s">
        <v>7</v>
      </c>
      <c r="D37" s="3" t="s">
        <v>18</v>
      </c>
      <c r="E37" s="3" t="s">
        <v>19</v>
      </c>
      <c r="F37" s="3" t="s">
        <v>28</v>
      </c>
      <c r="G37" s="104" t="s">
        <v>29</v>
      </c>
      <c r="H37" s="104"/>
      <c r="I37" s="3"/>
      <c r="J37" s="3"/>
      <c r="K37" s="3"/>
      <c r="L37" s="3"/>
      <c r="M37" s="3"/>
    </row>
    <row r="38" ht="20" customHeight="1" spans="1:13">
      <c r="A38" s="3">
        <v>1</v>
      </c>
      <c r="B38" s="143">
        <v>100</v>
      </c>
      <c r="C38" s="150">
        <f>IFERROR(AVERAGE(B38:B41),0)</f>
        <v>100</v>
      </c>
      <c r="D38" s="3" t="s">
        <v>30</v>
      </c>
      <c r="E38" s="38" t="str">
        <f>Process!H2*'Score Weight'!L10&amp;" out of 4"</f>
        <v>3.2 out of 4</v>
      </c>
      <c r="F38" s="3" t="str">
        <f>Process!H4</f>
        <v>IT10</v>
      </c>
      <c r="G38" s="104"/>
      <c r="H38" s="104"/>
      <c r="I38" s="3"/>
      <c r="J38" s="3"/>
      <c r="K38" s="3"/>
      <c r="L38" s="3"/>
      <c r="M38" s="3"/>
    </row>
    <row r="39" ht="20" customHeight="1" spans="1:13">
      <c r="A39" s="3">
        <v>2</v>
      </c>
      <c r="B39" s="143">
        <v>100</v>
      </c>
      <c r="C39" s="151"/>
      <c r="D39" s="3"/>
      <c r="E39" s="38"/>
      <c r="F39" s="3"/>
      <c r="G39" s="104"/>
      <c r="H39" s="104"/>
      <c r="I39" s="3"/>
      <c r="J39" s="3"/>
      <c r="K39" s="3"/>
      <c r="L39" s="3"/>
      <c r="M39" s="3"/>
    </row>
    <row r="40" ht="20" customHeight="1" spans="1:13">
      <c r="A40" s="3">
        <v>3</v>
      </c>
      <c r="B40" s="143">
        <v>100</v>
      </c>
      <c r="C40" s="151"/>
      <c r="D40" s="3" t="s">
        <v>31</v>
      </c>
      <c r="E40" s="38" t="str">
        <f>Process!H11*'Score Weight'!L11&amp;" out of 4"</f>
        <v>4 out of 4</v>
      </c>
      <c r="F40" s="3" t="str">
        <f>Process!H13</f>
        <v>Perfect</v>
      </c>
      <c r="G40" s="104"/>
      <c r="H40" s="104"/>
      <c r="I40" s="3"/>
      <c r="J40" s="3"/>
      <c r="K40" s="3"/>
      <c r="L40" s="3"/>
      <c r="M40" s="3"/>
    </row>
    <row r="41" ht="20" customHeight="1" spans="1:13">
      <c r="A41" s="65">
        <v>4</v>
      </c>
      <c r="B41" s="143">
        <v>100</v>
      </c>
      <c r="C41" s="151"/>
      <c r="D41" s="3"/>
      <c r="E41" s="38"/>
      <c r="F41" s="3"/>
      <c r="G41" s="104"/>
      <c r="H41" s="104"/>
      <c r="I41" s="3"/>
      <c r="J41" s="3"/>
      <c r="K41" s="3"/>
      <c r="L41" s="3"/>
      <c r="M41" s="3"/>
    </row>
    <row r="42" ht="20" customHeight="1" spans="1:13">
      <c r="A42" s="86" t="s">
        <v>32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</row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  <row r="56" ht="20" customHeight="1"/>
    <row r="57" ht="20" customHeight="1"/>
    <row r="58" ht="20" customHeight="1"/>
    <row r="59" ht="20" customHeight="1"/>
    <row r="60" ht="20" customHeight="1"/>
    <row r="61" ht="20" customHeight="1"/>
    <row r="62" ht="20" customHeight="1"/>
    <row r="63" ht="20" customHeight="1"/>
    <row r="64" ht="20" customHeight="1"/>
    <row r="65" ht="20" customHeight="1"/>
    <row r="66" ht="20" customHeight="1"/>
    <row r="67" ht="20" customHeight="1"/>
    <row r="68" ht="20" customHeight="1"/>
    <row r="69" ht="20" customHeight="1"/>
    <row r="70" ht="20" customHeight="1"/>
    <row r="71" ht="20" customHeight="1"/>
    <row r="72" ht="20" customHeight="1"/>
    <row r="73" ht="20" customHeight="1"/>
    <row r="74" ht="20" customHeight="1"/>
    <row r="75" ht="20" customHeight="1"/>
    <row r="76" ht="20" customHeight="1"/>
  </sheetData>
  <mergeCells count="28">
    <mergeCell ref="A5:M5"/>
    <mergeCell ref="A8:M8"/>
    <mergeCell ref="A9:G9"/>
    <mergeCell ref="A23:M23"/>
    <mergeCell ref="A24:H24"/>
    <mergeCell ref="A36:H36"/>
    <mergeCell ref="A42:M42"/>
    <mergeCell ref="C11:C18"/>
    <mergeCell ref="C26:C35"/>
    <mergeCell ref="C38:C41"/>
    <mergeCell ref="D38:D39"/>
    <mergeCell ref="D40:D41"/>
    <mergeCell ref="E38:E39"/>
    <mergeCell ref="E40:E41"/>
    <mergeCell ref="F38:F39"/>
    <mergeCell ref="F40:F41"/>
    <mergeCell ref="A1:M4"/>
    <mergeCell ref="A6:M7"/>
    <mergeCell ref="F19:G22"/>
    <mergeCell ref="D10:G13"/>
    <mergeCell ref="D14:G18"/>
    <mergeCell ref="D25:H28"/>
    <mergeCell ref="D29:H35"/>
    <mergeCell ref="H9:M22"/>
    <mergeCell ref="I24:M32"/>
    <mergeCell ref="I33:M41"/>
    <mergeCell ref="A19:C22"/>
    <mergeCell ref="G37:H41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3"/>
  <sheetViews>
    <sheetView topLeftCell="A79" workbookViewId="0">
      <selection activeCell="A93" sqref="A93:N93"/>
    </sheetView>
  </sheetViews>
  <sheetFormatPr defaultColWidth="9" defaultRowHeight="14.4"/>
  <cols>
    <col min="1" max="1" width="4.77777777777778" customWidth="1"/>
    <col min="2" max="2" width="15.8888888888889" customWidth="1"/>
    <col min="3" max="3" width="15" customWidth="1"/>
    <col min="4" max="4" width="10.3333333333333" customWidth="1"/>
    <col min="5" max="5" width="13.8888888888889" customWidth="1"/>
    <col min="6" max="6" width="10.7777777777778" customWidth="1"/>
    <col min="7" max="7" width="15.6666666666667"/>
  </cols>
  <sheetData>
    <row r="1" ht="20" customHeight="1" spans="1:1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0" customHeight="1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20" customHeight="1" spans="1: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20" customHeight="1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ht="20" customHeight="1" spans="1:14">
      <c r="A5" s="3" t="s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ht="20" customHeight="1" spans="1:14">
      <c r="A6" s="64" t="s">
        <v>33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ht="20" customHeight="1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ht="20" customHeight="1" spans="1:14">
      <c r="A8" s="65" t="s">
        <v>3</v>
      </c>
      <c r="B8" s="65"/>
      <c r="C8" s="65"/>
      <c r="D8" s="65"/>
      <c r="E8" s="65"/>
      <c r="F8" s="65"/>
      <c r="G8" s="65"/>
      <c r="H8" s="3"/>
      <c r="I8" s="3"/>
      <c r="J8" s="3"/>
      <c r="K8" s="3"/>
      <c r="L8" s="3"/>
      <c r="M8" s="3"/>
      <c r="N8" s="3"/>
    </row>
    <row r="9" ht="20" customHeight="1" spans="1:14">
      <c r="A9" s="3" t="s">
        <v>34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ht="20" customHeight="1" spans="1:14">
      <c r="A10" s="96" t="s">
        <v>5</v>
      </c>
      <c r="B10" s="96" t="s">
        <v>35</v>
      </c>
      <c r="C10" s="97" t="s">
        <v>7</v>
      </c>
      <c r="D10" s="98" t="s">
        <v>36</v>
      </c>
      <c r="E10" s="98"/>
      <c r="F10" s="99" t="s">
        <v>37</v>
      </c>
      <c r="G10" s="100"/>
      <c r="H10" s="3"/>
      <c r="I10" s="3"/>
      <c r="J10" s="3"/>
      <c r="K10" s="3"/>
      <c r="L10" s="3"/>
      <c r="M10" s="3"/>
      <c r="N10" s="3"/>
    </row>
    <row r="11" ht="20" customHeight="1" spans="1:14">
      <c r="A11" s="3" t="s">
        <v>38</v>
      </c>
      <c r="B11" s="101">
        <v>9.85</v>
      </c>
      <c r="C11" s="102">
        <f>AVERAGE(B11:B19)</f>
        <v>9.92222222222222</v>
      </c>
      <c r="D11" s="88" t="s">
        <v>39</v>
      </c>
      <c r="E11" s="88" t="s">
        <v>40</v>
      </c>
      <c r="F11" s="103"/>
      <c r="G11" s="104"/>
      <c r="H11" s="3"/>
      <c r="I11" s="3"/>
      <c r="J11" s="3"/>
      <c r="K11" s="3"/>
      <c r="L11" s="3"/>
      <c r="M11" s="3"/>
      <c r="N11" s="3"/>
    </row>
    <row r="12" ht="20" customHeight="1" spans="1:14">
      <c r="A12" s="3" t="s">
        <v>41</v>
      </c>
      <c r="B12" s="101">
        <v>9.97</v>
      </c>
      <c r="C12" s="102"/>
      <c r="D12" s="105">
        <v>5</v>
      </c>
      <c r="E12" s="105">
        <v>58</v>
      </c>
      <c r="F12" s="106"/>
      <c r="G12" s="107"/>
      <c r="H12" s="3"/>
      <c r="I12" s="3"/>
      <c r="J12" s="3"/>
      <c r="K12" s="3"/>
      <c r="L12" s="3"/>
      <c r="M12" s="3"/>
      <c r="N12" s="3"/>
    </row>
    <row r="13" ht="20" customHeight="1" spans="1:14">
      <c r="A13" s="3" t="s">
        <v>42</v>
      </c>
      <c r="B13" s="101">
        <v>9.73</v>
      </c>
      <c r="C13" s="102"/>
      <c r="D13" s="108" t="s">
        <v>43</v>
      </c>
      <c r="E13" s="109"/>
      <c r="F13" s="109"/>
      <c r="G13" s="109"/>
      <c r="H13" s="3"/>
      <c r="I13" s="3"/>
      <c r="J13" s="3"/>
      <c r="K13" s="3"/>
      <c r="L13" s="3"/>
      <c r="M13" s="3"/>
      <c r="N13" s="3"/>
    </row>
    <row r="14" ht="20" customHeight="1" spans="1:14">
      <c r="A14" s="3" t="s">
        <v>44</v>
      </c>
      <c r="B14" s="101">
        <v>9.97</v>
      </c>
      <c r="C14" s="102"/>
      <c r="D14" s="103"/>
      <c r="E14" s="104"/>
      <c r="F14" s="104"/>
      <c r="G14" s="104"/>
      <c r="H14" s="3"/>
      <c r="I14" s="3"/>
      <c r="J14" s="3"/>
      <c r="K14" s="3"/>
      <c r="L14" s="3"/>
      <c r="M14" s="3"/>
      <c r="N14" s="3"/>
    </row>
    <row r="15" ht="20" customHeight="1" spans="1:14">
      <c r="A15" s="3" t="s">
        <v>45</v>
      </c>
      <c r="B15" s="101">
        <v>9.78</v>
      </c>
      <c r="C15" s="102"/>
      <c r="D15" s="103"/>
      <c r="E15" s="104"/>
      <c r="F15" s="104"/>
      <c r="G15" s="104"/>
      <c r="H15" s="3"/>
      <c r="I15" s="3"/>
      <c r="J15" s="3"/>
      <c r="K15" s="3"/>
      <c r="L15" s="3"/>
      <c r="M15" s="3"/>
      <c r="N15" s="3"/>
    </row>
    <row r="16" ht="20" customHeight="1" spans="1:14">
      <c r="A16" s="3" t="s">
        <v>46</v>
      </c>
      <c r="B16" s="101">
        <v>9.99</v>
      </c>
      <c r="C16" s="102"/>
      <c r="D16" s="103"/>
      <c r="E16" s="104"/>
      <c r="F16" s="104"/>
      <c r="G16" s="104"/>
      <c r="H16" s="3"/>
      <c r="I16" s="3"/>
      <c r="J16" s="3"/>
      <c r="K16" s="3"/>
      <c r="L16" s="3"/>
      <c r="M16" s="3"/>
      <c r="N16" s="3"/>
    </row>
    <row r="17" ht="20" customHeight="1" spans="1:14">
      <c r="A17" s="3" t="s">
        <v>47</v>
      </c>
      <c r="B17" s="101">
        <v>9.76</v>
      </c>
      <c r="C17" s="102"/>
      <c r="D17" s="103"/>
      <c r="E17" s="104"/>
      <c r="F17" s="104"/>
      <c r="G17" s="104"/>
      <c r="H17" s="3"/>
      <c r="I17" s="3"/>
      <c r="J17" s="3"/>
      <c r="K17" s="3"/>
      <c r="L17" s="3"/>
      <c r="M17" s="3"/>
      <c r="N17" s="3"/>
    </row>
    <row r="18" ht="20" customHeight="1" spans="1:14">
      <c r="A18" s="3" t="s">
        <v>48</v>
      </c>
      <c r="B18" s="101">
        <v>10.03</v>
      </c>
      <c r="C18" s="102"/>
      <c r="D18" s="103"/>
      <c r="E18" s="104"/>
      <c r="F18" s="104"/>
      <c r="G18" s="104"/>
      <c r="H18" s="3"/>
      <c r="I18" s="3"/>
      <c r="J18" s="3"/>
      <c r="K18" s="3"/>
      <c r="L18" s="3"/>
      <c r="M18" s="3"/>
      <c r="N18" s="3"/>
    </row>
    <row r="19" ht="20" customHeight="1" spans="1:14">
      <c r="A19" s="65" t="s">
        <v>49</v>
      </c>
      <c r="B19" s="101">
        <v>10.22</v>
      </c>
      <c r="C19" s="110"/>
      <c r="D19" s="103"/>
      <c r="E19" s="104"/>
      <c r="F19" s="104"/>
      <c r="G19" s="104"/>
      <c r="H19" s="3"/>
      <c r="I19" s="3"/>
      <c r="J19" s="3"/>
      <c r="K19" s="3"/>
      <c r="L19" s="3"/>
      <c r="M19" s="3"/>
      <c r="N19" s="3"/>
    </row>
    <row r="20" ht="20" customHeight="1" spans="1:14">
      <c r="A20" s="3" t="s">
        <v>50</v>
      </c>
      <c r="B20" s="3"/>
      <c r="C20" s="3"/>
      <c r="D20" s="3"/>
      <c r="E20" s="3"/>
      <c r="F20" s="3"/>
      <c r="G20" s="66"/>
      <c r="H20" s="3"/>
      <c r="I20" s="3"/>
      <c r="J20" s="3"/>
      <c r="K20" s="3"/>
      <c r="L20" s="3"/>
      <c r="M20" s="3"/>
      <c r="N20" s="3"/>
    </row>
    <row r="21" ht="20" customHeight="1" spans="1:14">
      <c r="A21" s="96" t="s">
        <v>5</v>
      </c>
      <c r="B21" s="96" t="s">
        <v>35</v>
      </c>
      <c r="C21" s="96" t="s">
        <v>51</v>
      </c>
      <c r="D21" s="96" t="s">
        <v>19</v>
      </c>
      <c r="E21" s="96" t="s">
        <v>28</v>
      </c>
      <c r="F21" s="103" t="s">
        <v>52</v>
      </c>
      <c r="G21" s="100"/>
      <c r="H21" s="3"/>
      <c r="I21" s="3"/>
      <c r="J21" s="3"/>
      <c r="K21" s="3"/>
      <c r="L21" s="3"/>
      <c r="M21" s="3"/>
      <c r="N21" s="3"/>
    </row>
    <row r="22" ht="20" customHeight="1" spans="1:14">
      <c r="A22" s="3" t="s">
        <v>53</v>
      </c>
      <c r="B22" s="111">
        <v>8.02</v>
      </c>
      <c r="C22" s="38">
        <f>MAX(B22:B27)-MIN(B22:B27)</f>
        <v>0.110000000000001</v>
      </c>
      <c r="D22" s="112" t="str">
        <f>Process!L14*'Score Weight'!L13&amp;" out of 5"</f>
        <v>4.5 out of 5</v>
      </c>
      <c r="E22" s="3" t="str">
        <f>Process!L16</f>
        <v>IT9</v>
      </c>
      <c r="F22" s="103"/>
      <c r="G22" s="100"/>
      <c r="H22" s="3"/>
      <c r="I22" s="3"/>
      <c r="J22" s="3"/>
      <c r="K22" s="3"/>
      <c r="L22" s="3"/>
      <c r="M22" s="3"/>
      <c r="N22" s="3"/>
    </row>
    <row r="23" ht="20" customHeight="1" spans="1:14">
      <c r="A23" s="3" t="s">
        <v>54</v>
      </c>
      <c r="B23" s="111">
        <v>8.06</v>
      </c>
      <c r="C23" s="38"/>
      <c r="D23" s="113"/>
      <c r="E23" s="3"/>
      <c r="F23" s="103"/>
      <c r="G23" s="100"/>
      <c r="H23" s="3"/>
      <c r="I23" s="3"/>
      <c r="J23" s="3"/>
      <c r="K23" s="3"/>
      <c r="L23" s="3"/>
      <c r="M23" s="3"/>
      <c r="N23" s="3"/>
    </row>
    <row r="24" ht="20" customHeight="1" spans="1:14">
      <c r="A24" s="3" t="s">
        <v>55</v>
      </c>
      <c r="B24" s="111">
        <v>8.1</v>
      </c>
      <c r="C24" s="38"/>
      <c r="D24" s="113"/>
      <c r="E24" s="3"/>
      <c r="F24" s="103"/>
      <c r="G24" s="100"/>
      <c r="H24" s="3"/>
      <c r="I24" s="3"/>
      <c r="J24" s="3"/>
      <c r="K24" s="3"/>
      <c r="L24" s="3"/>
      <c r="M24" s="3"/>
      <c r="N24" s="3"/>
    </row>
    <row r="25" ht="20" customHeight="1" spans="1:14">
      <c r="A25" s="3" t="s">
        <v>56</v>
      </c>
      <c r="B25" s="111">
        <v>8.13</v>
      </c>
      <c r="C25" s="38"/>
      <c r="D25" s="113"/>
      <c r="E25" s="3"/>
      <c r="F25" s="103"/>
      <c r="G25" s="100"/>
      <c r="H25" s="3"/>
      <c r="I25" s="3"/>
      <c r="J25" s="3"/>
      <c r="K25" s="3"/>
      <c r="L25" s="3"/>
      <c r="M25" s="3"/>
      <c r="N25" s="3"/>
    </row>
    <row r="26" ht="20" customHeight="1" spans="1:14">
      <c r="A26" s="3" t="s">
        <v>57</v>
      </c>
      <c r="B26" s="111">
        <v>8.05</v>
      </c>
      <c r="C26" s="38"/>
      <c r="D26" s="113"/>
      <c r="E26" s="3"/>
      <c r="F26" s="103"/>
      <c r="G26" s="100"/>
      <c r="H26" s="3"/>
      <c r="I26" s="3"/>
      <c r="J26" s="3"/>
      <c r="K26" s="3"/>
      <c r="L26" s="3"/>
      <c r="M26" s="3"/>
      <c r="N26" s="3"/>
    </row>
    <row r="27" ht="20" customHeight="1" spans="1:14">
      <c r="A27" s="3" t="s">
        <v>58</v>
      </c>
      <c r="B27" s="111">
        <v>8.07</v>
      </c>
      <c r="C27" s="38"/>
      <c r="D27" s="114"/>
      <c r="E27" s="3"/>
      <c r="F27" s="106"/>
      <c r="G27" s="107"/>
      <c r="H27" s="3"/>
      <c r="I27" s="3"/>
      <c r="J27" s="3"/>
      <c r="K27" s="3"/>
      <c r="L27" s="3"/>
      <c r="M27" s="3"/>
      <c r="N27" s="3"/>
    </row>
    <row r="28" ht="20" customHeight="1" spans="1:14">
      <c r="A28" s="3" t="s">
        <v>59</v>
      </c>
      <c r="B28" s="3"/>
      <c r="C28" s="3"/>
      <c r="D28" s="3"/>
      <c r="E28" s="3"/>
      <c r="F28" s="3"/>
      <c r="G28" s="66"/>
      <c r="H28" s="3"/>
      <c r="I28" s="3"/>
      <c r="J28" s="3"/>
      <c r="K28" s="3"/>
      <c r="L28" s="3"/>
      <c r="M28" s="3"/>
      <c r="N28" s="3"/>
    </row>
    <row r="29" ht="20" customHeight="1" spans="1:14">
      <c r="A29" s="96" t="s">
        <v>60</v>
      </c>
      <c r="B29" s="96"/>
      <c r="C29" s="96" t="s">
        <v>61</v>
      </c>
      <c r="D29" s="3" t="s">
        <v>62</v>
      </c>
      <c r="E29" s="3"/>
      <c r="F29" s="3" t="s">
        <v>63</v>
      </c>
      <c r="G29" s="115">
        <f>Process!M2</f>
        <v>0.97</v>
      </c>
      <c r="H29" s="3"/>
      <c r="I29" s="3"/>
      <c r="J29" s="3"/>
      <c r="K29" s="3"/>
      <c r="L29" s="3"/>
      <c r="M29" s="3"/>
      <c r="N29" s="3"/>
    </row>
    <row r="30" ht="20" customHeight="1" spans="1:14">
      <c r="A30" s="3" t="s">
        <v>64</v>
      </c>
      <c r="B30" s="3"/>
      <c r="C30" s="3" t="str">
        <f>Process!L6</f>
        <v>No</v>
      </c>
      <c r="D30" s="116">
        <f>Process!L2</f>
        <v>0.00382</v>
      </c>
      <c r="E30" s="116"/>
      <c r="F30" s="3"/>
      <c r="G30" s="115"/>
      <c r="H30" s="3"/>
      <c r="I30" s="3"/>
      <c r="J30" s="3"/>
      <c r="K30" s="3"/>
      <c r="L30" s="3"/>
      <c r="M30" s="3"/>
      <c r="N30" s="3"/>
    </row>
    <row r="31" ht="20" customHeight="1" spans="1:14">
      <c r="A31" s="65" t="s">
        <v>65</v>
      </c>
      <c r="B31" s="65"/>
      <c r="C31" s="3" t="str">
        <f>Process!L8</f>
        <v>No</v>
      </c>
      <c r="D31" s="117">
        <f>Process!L4</f>
        <v>0.03056</v>
      </c>
      <c r="E31" s="117"/>
      <c r="F31" s="3"/>
      <c r="G31" s="115"/>
      <c r="H31" s="3"/>
      <c r="I31" s="3"/>
      <c r="J31" s="3"/>
      <c r="K31" s="3"/>
      <c r="L31" s="3"/>
      <c r="M31" s="3"/>
      <c r="N31" s="3"/>
    </row>
    <row r="32" ht="20" customHeight="1" spans="1:14">
      <c r="A32" s="3" t="s">
        <v>66</v>
      </c>
      <c r="B32" s="3"/>
      <c r="C32" s="3"/>
      <c r="D32" s="3"/>
      <c r="E32" s="3"/>
      <c r="F32" s="3"/>
      <c r="G32" s="66"/>
      <c r="H32" s="3"/>
      <c r="I32" s="3"/>
      <c r="J32" s="3"/>
      <c r="K32" s="3"/>
      <c r="L32" s="3"/>
      <c r="M32" s="3"/>
      <c r="N32" s="3"/>
    </row>
    <row r="33" ht="20" customHeight="1" spans="1:14">
      <c r="A33" s="96" t="s">
        <v>60</v>
      </c>
      <c r="B33" s="96"/>
      <c r="C33" s="96" t="s">
        <v>61</v>
      </c>
      <c r="D33" s="3" t="s">
        <v>63</v>
      </c>
      <c r="E33" s="55">
        <f>Process!M4</f>
        <v>0.45</v>
      </c>
      <c r="F33" s="104"/>
      <c r="G33" s="104"/>
      <c r="H33" s="3"/>
      <c r="I33" s="3"/>
      <c r="J33" s="3"/>
      <c r="K33" s="3"/>
      <c r="L33" s="3"/>
      <c r="M33" s="3"/>
      <c r="N33" s="3"/>
    </row>
    <row r="34" ht="20" customHeight="1" spans="1:14">
      <c r="A34" s="96" t="s">
        <v>67</v>
      </c>
      <c r="B34" s="96"/>
      <c r="C34" s="3" t="str">
        <f>Process!L12</f>
        <v>Yes</v>
      </c>
      <c r="D34" s="3"/>
      <c r="E34" s="55"/>
      <c r="F34" s="104"/>
      <c r="G34" s="104"/>
      <c r="H34" s="3"/>
      <c r="I34" s="3"/>
      <c r="J34" s="3"/>
      <c r="K34" s="3"/>
      <c r="L34" s="3"/>
      <c r="M34" s="3"/>
      <c r="N34" s="3"/>
    </row>
    <row r="35" ht="20" customHeight="1" spans="1:14">
      <c r="A35" s="65" t="s">
        <v>68</v>
      </c>
      <c r="B35" s="65"/>
      <c r="C35" s="65" t="str">
        <f>Process!L10</f>
        <v>Yes</v>
      </c>
      <c r="D35" s="65"/>
      <c r="E35" s="118"/>
      <c r="F35" s="104"/>
      <c r="G35" s="104"/>
      <c r="H35" s="3"/>
      <c r="I35" s="3"/>
      <c r="J35" s="3"/>
      <c r="K35" s="3"/>
      <c r="L35" s="3"/>
      <c r="M35" s="3"/>
      <c r="N35" s="3"/>
    </row>
    <row r="36" ht="20" customHeight="1" spans="1:14">
      <c r="A36" s="3" t="s">
        <v>23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ht="20" customHeight="1" spans="1:14">
      <c r="A37" s="3" t="s">
        <v>69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ht="20" customHeight="1" spans="1:14">
      <c r="A38" s="96"/>
      <c r="B38" s="96" t="s">
        <v>70</v>
      </c>
      <c r="C38" s="96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ht="20" customHeight="1" spans="1:14">
      <c r="A39" s="3" t="s">
        <v>5</v>
      </c>
      <c r="B39" s="3" t="s">
        <v>71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ht="20" customHeight="1" spans="1:14">
      <c r="A40" s="3">
        <v>1</v>
      </c>
      <c r="B40" s="101">
        <v>0</v>
      </c>
      <c r="C40" s="101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ht="20" customHeight="1" spans="1:14">
      <c r="A41" s="3">
        <v>2</v>
      </c>
      <c r="B41" s="101">
        <v>0</v>
      </c>
      <c r="C41" s="101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ht="20" customHeight="1" spans="1:14">
      <c r="A42" s="3">
        <v>3</v>
      </c>
      <c r="B42" s="101">
        <v>0</v>
      </c>
      <c r="C42" s="101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ht="20" customHeight="1" spans="1:14">
      <c r="A43" s="3">
        <v>4</v>
      </c>
      <c r="B43" s="101">
        <v>0</v>
      </c>
      <c r="C43" s="101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ht="20" customHeight="1" spans="1:14">
      <c r="A44" s="3" t="s">
        <v>5</v>
      </c>
      <c r="B44" s="3" t="s">
        <v>72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ht="20" customHeight="1" spans="1:14">
      <c r="A45" s="3">
        <v>1</v>
      </c>
      <c r="B45" s="101">
        <v>0</v>
      </c>
      <c r="C45" s="101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ht="20" customHeight="1" spans="1:14">
      <c r="A46" s="3">
        <v>2</v>
      </c>
      <c r="B46" s="101">
        <v>0</v>
      </c>
      <c r="C46" s="101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ht="20" customHeight="1" spans="1:14">
      <c r="A47" s="3">
        <v>3</v>
      </c>
      <c r="B47" s="101">
        <v>0</v>
      </c>
      <c r="C47" s="101"/>
      <c r="D47" s="3"/>
      <c r="E47" s="3"/>
      <c r="F47" s="3"/>
      <c r="G47" s="66"/>
      <c r="H47" s="3"/>
      <c r="I47" s="3"/>
      <c r="J47" s="3"/>
      <c r="K47" s="3"/>
      <c r="L47" s="3"/>
      <c r="M47" s="3"/>
      <c r="N47" s="3"/>
    </row>
    <row r="48" ht="20" customHeight="1" spans="1:14">
      <c r="A48" s="3">
        <v>4</v>
      </c>
      <c r="B48" s="101">
        <v>0</v>
      </c>
      <c r="C48" s="101"/>
      <c r="D48" s="3"/>
      <c r="E48" s="3"/>
      <c r="F48" s="3"/>
      <c r="G48" s="66"/>
      <c r="H48" s="3"/>
      <c r="I48" s="3"/>
      <c r="J48" s="3"/>
      <c r="K48" s="3"/>
      <c r="L48" s="3"/>
      <c r="M48" s="3"/>
      <c r="N48" s="3"/>
    </row>
    <row r="49" ht="20" customHeight="1" spans="1:14">
      <c r="A49" s="71" t="s">
        <v>73</v>
      </c>
      <c r="B49" s="73"/>
      <c r="C49" s="91" t="s">
        <v>74</v>
      </c>
      <c r="D49" s="3"/>
      <c r="E49" s="3"/>
      <c r="F49" s="3"/>
      <c r="G49" s="66"/>
      <c r="H49" s="3"/>
      <c r="I49" s="3"/>
      <c r="J49" s="3"/>
      <c r="K49" s="3"/>
      <c r="L49" s="3"/>
      <c r="M49" s="3"/>
      <c r="N49" s="3"/>
    </row>
    <row r="50" ht="20" customHeight="1" spans="1:14">
      <c r="A50" s="3" t="s">
        <v>75</v>
      </c>
      <c r="B50" s="3"/>
      <c r="C50" s="3" t="s">
        <v>76</v>
      </c>
      <c r="D50" s="119" t="s">
        <v>19</v>
      </c>
      <c r="E50" s="120"/>
      <c r="F50" s="108" t="s">
        <v>77</v>
      </c>
      <c r="G50" s="121"/>
      <c r="H50" s="3"/>
      <c r="I50" s="3"/>
      <c r="J50" s="3"/>
      <c r="K50" s="3"/>
      <c r="L50" s="3"/>
      <c r="M50" s="3"/>
      <c r="N50" s="3"/>
    </row>
    <row r="51" ht="20" customHeight="1" spans="1:14">
      <c r="A51" s="3" t="s">
        <v>71</v>
      </c>
      <c r="B51" s="3"/>
      <c r="C51" s="30" t="str">
        <f>IFERROR(50/(SIN(ATAN(AVERAGE(B40:C43)/100))),"Inf")</f>
        <v>Inf</v>
      </c>
      <c r="D51" s="115">
        <f>Process!O2</f>
        <v>1</v>
      </c>
      <c r="E51" s="122"/>
      <c r="F51" s="103"/>
      <c r="G51" s="123"/>
      <c r="H51" s="3"/>
      <c r="I51" s="3"/>
      <c r="J51" s="3"/>
      <c r="K51" s="3"/>
      <c r="L51" s="3"/>
      <c r="M51" s="3"/>
      <c r="N51" s="3"/>
    </row>
    <row r="52" ht="20" customHeight="1" spans="1:14">
      <c r="A52" s="3" t="s">
        <v>72</v>
      </c>
      <c r="B52" s="3"/>
      <c r="C52" s="30" t="str">
        <f>IFERROR(34/(SIN(ATAN(AVERAGE(B45:C48)/68))),"Inf")</f>
        <v>Inf</v>
      </c>
      <c r="D52" s="115">
        <f>Process!O4</f>
        <v>1</v>
      </c>
      <c r="E52" s="122"/>
      <c r="F52" s="106"/>
      <c r="G52" s="124"/>
      <c r="H52" s="3"/>
      <c r="I52" s="3"/>
      <c r="J52" s="3"/>
      <c r="K52" s="3"/>
      <c r="L52" s="3"/>
      <c r="M52" s="3"/>
      <c r="N52" s="3"/>
    </row>
    <row r="53" ht="20" customHeight="1" spans="1:14">
      <c r="A53" s="125" t="s">
        <v>78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ht="20" customHeight="1" spans="1:14">
      <c r="A54" s="3" t="s">
        <v>79</v>
      </c>
      <c r="B54" s="3"/>
      <c r="C54" s="3" t="s">
        <v>80</v>
      </c>
      <c r="D54" s="3" t="s">
        <v>81</v>
      </c>
      <c r="E54" s="35" t="s">
        <v>19</v>
      </c>
      <c r="F54" s="126" t="s">
        <v>82</v>
      </c>
      <c r="G54" s="127"/>
      <c r="H54" s="3"/>
      <c r="I54" s="3"/>
      <c r="J54" s="3"/>
      <c r="K54" s="3"/>
      <c r="L54" s="3"/>
      <c r="M54" s="3"/>
      <c r="N54" s="3"/>
    </row>
    <row r="55" ht="20" customHeight="1" spans="1:14">
      <c r="A55" s="3" t="s">
        <v>59</v>
      </c>
      <c r="B55" s="3"/>
      <c r="C55" s="55">
        <f>Process!M2</f>
        <v>0.97</v>
      </c>
      <c r="D55" s="55">
        <f>ROUND((C55*C56*C57)^1,2)</f>
        <v>0.44</v>
      </c>
      <c r="E55" s="128" t="str">
        <f>D55*'Score Weight'!L12&amp;" out of 10"</f>
        <v>4.4 out of 10</v>
      </c>
      <c r="F55" s="129"/>
      <c r="G55" s="130"/>
      <c r="H55" s="3"/>
      <c r="I55" s="3"/>
      <c r="J55" s="3"/>
      <c r="K55" s="3"/>
      <c r="L55" s="3"/>
      <c r="M55" s="3"/>
      <c r="N55" s="3"/>
    </row>
    <row r="56" ht="20" customHeight="1" spans="1:14">
      <c r="A56" s="3" t="s">
        <v>66</v>
      </c>
      <c r="B56" s="3"/>
      <c r="C56" s="55">
        <f>Process!M4</f>
        <v>0.45</v>
      </c>
      <c r="D56" s="55"/>
      <c r="E56" s="131"/>
      <c r="F56" s="129"/>
      <c r="G56" s="130"/>
      <c r="H56" s="3"/>
      <c r="I56" s="3"/>
      <c r="J56" s="3"/>
      <c r="K56" s="3"/>
      <c r="L56" s="3"/>
      <c r="M56" s="3"/>
      <c r="N56" s="3"/>
    </row>
    <row r="57" ht="20" customHeight="1" spans="1:14">
      <c r="A57" s="3" t="s">
        <v>69</v>
      </c>
      <c r="B57" s="3"/>
      <c r="C57" s="55">
        <f>AVERAGE(Process!O2,Process!O4)</f>
        <v>1</v>
      </c>
      <c r="D57" s="55"/>
      <c r="E57" s="132"/>
      <c r="F57" s="133"/>
      <c r="G57" s="134"/>
      <c r="H57" s="3"/>
      <c r="I57" s="3"/>
      <c r="J57" s="3"/>
      <c r="K57" s="3"/>
      <c r="L57" s="3"/>
      <c r="M57" s="3"/>
      <c r="N57" s="3"/>
    </row>
    <row r="58" ht="20" customHeight="1" spans="1:14">
      <c r="A58" s="3" t="s">
        <v>83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ht="20" customHeight="1" spans="1:14">
      <c r="A59" s="87" t="s">
        <v>36</v>
      </c>
      <c r="B59" s="87"/>
      <c r="C59" s="135" t="s">
        <v>39</v>
      </c>
      <c r="D59" s="88" t="s">
        <v>40</v>
      </c>
      <c r="E59" s="89" t="s">
        <v>84</v>
      </c>
      <c r="F59" s="3"/>
      <c r="G59" s="3"/>
      <c r="H59" s="136"/>
      <c r="I59" s="3"/>
      <c r="J59" s="3"/>
      <c r="K59" s="3"/>
      <c r="L59" s="3"/>
      <c r="M59" s="3"/>
      <c r="N59" s="3"/>
    </row>
    <row r="60" ht="20" customHeight="1" spans="1:14">
      <c r="A60" s="87"/>
      <c r="B60" s="87"/>
      <c r="C60" s="137">
        <v>2</v>
      </c>
      <c r="D60" s="105">
        <v>0</v>
      </c>
      <c r="E60" s="3"/>
      <c r="F60" s="3"/>
      <c r="G60" s="3"/>
      <c r="H60" s="136"/>
      <c r="I60" s="3"/>
      <c r="J60" s="3"/>
      <c r="K60" s="3"/>
      <c r="L60" s="3"/>
      <c r="M60" s="3"/>
      <c r="N60" s="3"/>
    </row>
    <row r="61" ht="20" customHeight="1" spans="1:14">
      <c r="A61" s="3" t="s">
        <v>85</v>
      </c>
      <c r="B61" s="3"/>
      <c r="C61" s="3"/>
      <c r="D61" s="3"/>
      <c r="E61" s="3"/>
      <c r="F61" s="3"/>
      <c r="G61" s="3"/>
      <c r="H61" s="136"/>
      <c r="I61" s="3"/>
      <c r="J61" s="3"/>
      <c r="K61" s="3"/>
      <c r="L61" s="3"/>
      <c r="M61" s="3"/>
      <c r="N61" s="3"/>
    </row>
    <row r="62" ht="20" customHeight="1" spans="1:14">
      <c r="A62" s="3" t="s">
        <v>5</v>
      </c>
      <c r="B62" s="3" t="s">
        <v>86</v>
      </c>
      <c r="C62" s="3" t="s">
        <v>7</v>
      </c>
      <c r="D62" s="138" t="s">
        <v>87</v>
      </c>
      <c r="E62" s="138"/>
      <c r="F62" s="89" t="s">
        <v>88</v>
      </c>
      <c r="G62" s="4"/>
      <c r="H62" s="136"/>
      <c r="I62" s="3"/>
      <c r="J62" s="3"/>
      <c r="K62" s="3"/>
      <c r="L62" s="3"/>
      <c r="M62" s="3"/>
      <c r="N62" s="3"/>
    </row>
    <row r="63" ht="20" customHeight="1" spans="1:14">
      <c r="A63" s="3">
        <v>1</v>
      </c>
      <c r="B63" s="101">
        <v>79.86</v>
      </c>
      <c r="C63" s="38">
        <f>AVERAGE(B63:B68)</f>
        <v>79.8633333333333</v>
      </c>
      <c r="D63" s="138" t="str">
        <f>Process!C25</f>
        <v>Yes</v>
      </c>
      <c r="E63" s="138"/>
      <c r="F63" s="4"/>
      <c r="G63" s="4"/>
      <c r="H63" s="136"/>
      <c r="I63" s="3"/>
      <c r="J63" s="3"/>
      <c r="K63" s="3"/>
      <c r="L63" s="3"/>
      <c r="M63" s="3"/>
      <c r="N63" s="3"/>
    </row>
    <row r="64" ht="20" customHeight="1" spans="1:14">
      <c r="A64" s="3">
        <v>2</v>
      </c>
      <c r="B64" s="101">
        <v>79.87</v>
      </c>
      <c r="C64" s="38"/>
      <c r="D64" s="138" t="s">
        <v>89</v>
      </c>
      <c r="E64" s="138"/>
      <c r="F64" s="4"/>
      <c r="G64" s="4"/>
      <c r="H64" s="136"/>
      <c r="I64" s="3"/>
      <c r="J64" s="3"/>
      <c r="K64" s="3"/>
      <c r="L64" s="3"/>
      <c r="M64" s="3"/>
      <c r="N64" s="3"/>
    </row>
    <row r="65" ht="20" customHeight="1" spans="1:14">
      <c r="A65" s="3">
        <v>3</v>
      </c>
      <c r="B65" s="101">
        <v>79.82</v>
      </c>
      <c r="C65" s="38"/>
      <c r="D65" s="30">
        <f>Process!D21</f>
        <v>-0.180000000000007</v>
      </c>
      <c r="E65" s="30"/>
      <c r="F65" s="4"/>
      <c r="G65" s="4"/>
      <c r="H65" s="136"/>
      <c r="I65" s="3"/>
      <c r="J65" s="3"/>
      <c r="K65" s="3"/>
      <c r="L65" s="3"/>
      <c r="M65" s="3"/>
      <c r="N65" s="3"/>
    </row>
    <row r="66" ht="20" customHeight="1" spans="1:14">
      <c r="A66" s="3">
        <v>4</v>
      </c>
      <c r="B66" s="101">
        <v>79.91</v>
      </c>
      <c r="C66" s="38"/>
      <c r="D66" s="3" t="s">
        <v>63</v>
      </c>
      <c r="E66" s="3"/>
      <c r="F66" s="3" t="s">
        <v>28</v>
      </c>
      <c r="G66" s="65" t="s">
        <v>19</v>
      </c>
      <c r="H66" s="136"/>
      <c r="I66" s="3"/>
      <c r="J66" s="3"/>
      <c r="K66" s="3"/>
      <c r="L66" s="3"/>
      <c r="M66" s="3"/>
      <c r="N66" s="3"/>
    </row>
    <row r="67" ht="20" customHeight="1" spans="1:14">
      <c r="A67" s="3">
        <v>5</v>
      </c>
      <c r="B67" s="101">
        <v>79.84</v>
      </c>
      <c r="C67" s="38"/>
      <c r="D67" s="3" t="s">
        <v>90</v>
      </c>
      <c r="E67" s="55">
        <f>Process!C21</f>
        <v>0.6</v>
      </c>
      <c r="F67" s="3">
        <f>Process!C23</f>
        <v>9</v>
      </c>
      <c r="G67" s="38" t="str">
        <f>ROUND(E67*0.6+E68*0.4,2)*'Score Weight'!L14&amp;" out of 2.5"</f>
        <v>1.3 out of 2.5</v>
      </c>
      <c r="H67" s="136"/>
      <c r="I67" s="3"/>
      <c r="J67" s="3"/>
      <c r="K67" s="3"/>
      <c r="L67" s="3"/>
      <c r="M67" s="3"/>
      <c r="N67" s="3"/>
    </row>
    <row r="68" ht="20" customHeight="1" spans="1:14">
      <c r="A68" s="3">
        <v>6</v>
      </c>
      <c r="B68" s="101">
        <v>79.88</v>
      </c>
      <c r="C68" s="38"/>
      <c r="D68" s="30" t="s">
        <v>91</v>
      </c>
      <c r="E68" s="55">
        <f>Process!D25</f>
        <v>0.4</v>
      </c>
      <c r="F68" s="3" t="str">
        <f>Process!D26</f>
        <v>IT10</v>
      </c>
      <c r="G68" s="38"/>
      <c r="H68" s="136"/>
      <c r="I68" s="3"/>
      <c r="J68" s="3"/>
      <c r="K68" s="3"/>
      <c r="L68" s="3"/>
      <c r="M68" s="3"/>
      <c r="N68" s="3"/>
    </row>
    <row r="69" ht="20" customHeight="1" spans="1:14">
      <c r="A69" s="3" t="s">
        <v>92</v>
      </c>
      <c r="B69" s="139"/>
      <c r="C69" s="139"/>
      <c r="D69" s="3"/>
      <c r="E69" s="3"/>
      <c r="F69" s="3"/>
      <c r="G69" s="3"/>
      <c r="H69" s="136"/>
      <c r="I69" s="3"/>
      <c r="J69" s="3"/>
      <c r="K69" s="3"/>
      <c r="L69" s="3"/>
      <c r="M69" s="3"/>
      <c r="N69" s="3"/>
    </row>
    <row r="70" ht="20" customHeight="1" spans="1:14">
      <c r="A70" s="3" t="s">
        <v>5</v>
      </c>
      <c r="B70" s="3" t="s">
        <v>93</v>
      </c>
      <c r="C70" s="3" t="s">
        <v>7</v>
      </c>
      <c r="D70" s="138" t="s">
        <v>94</v>
      </c>
      <c r="E70" s="138"/>
      <c r="F70" s="89" t="s">
        <v>95</v>
      </c>
      <c r="G70" s="4"/>
      <c r="H70" s="3"/>
      <c r="I70" s="3"/>
      <c r="J70" s="3"/>
      <c r="K70" s="3"/>
      <c r="L70" s="3"/>
      <c r="M70" s="3"/>
      <c r="N70" s="3"/>
    </row>
    <row r="71" ht="20" customHeight="1" spans="1:14">
      <c r="A71" s="3">
        <v>1</v>
      </c>
      <c r="B71" s="101">
        <v>99.92</v>
      </c>
      <c r="C71" s="38">
        <f>AVERAGE(B71:B76)</f>
        <v>99.9316666666667</v>
      </c>
      <c r="D71" s="138" t="str">
        <f>Process!G25</f>
        <v>No</v>
      </c>
      <c r="E71" s="138"/>
      <c r="F71" s="4"/>
      <c r="G71" s="4"/>
      <c r="H71" s="3"/>
      <c r="I71" s="3"/>
      <c r="J71" s="3"/>
      <c r="K71" s="3"/>
      <c r="L71" s="3"/>
      <c r="M71" s="3"/>
      <c r="N71" s="3"/>
    </row>
    <row r="72" ht="20" customHeight="1" spans="1:14">
      <c r="A72" s="3">
        <v>2</v>
      </c>
      <c r="B72" s="101">
        <v>99.96</v>
      </c>
      <c r="C72" s="38"/>
      <c r="D72" s="138" t="s">
        <v>89</v>
      </c>
      <c r="E72" s="138"/>
      <c r="F72" s="4"/>
      <c r="G72" s="4"/>
      <c r="H72" s="3"/>
      <c r="I72" s="3"/>
      <c r="J72" s="3"/>
      <c r="K72" s="3"/>
      <c r="L72" s="3"/>
      <c r="M72" s="3"/>
      <c r="N72" s="3"/>
    </row>
    <row r="73" ht="20" customHeight="1" spans="1:14">
      <c r="A73" s="3">
        <v>3</v>
      </c>
      <c r="B73" s="101">
        <v>99.95</v>
      </c>
      <c r="C73" s="38"/>
      <c r="D73" s="30">
        <f>Process!H21</f>
        <v>-0.109999999999999</v>
      </c>
      <c r="E73" s="30"/>
      <c r="F73" s="4"/>
      <c r="G73" s="4"/>
      <c r="H73" s="3"/>
      <c r="I73" s="3"/>
      <c r="J73" s="3"/>
      <c r="K73" s="3"/>
      <c r="L73" s="3"/>
      <c r="M73" s="3"/>
      <c r="N73" s="3"/>
    </row>
    <row r="74" ht="20" customHeight="1" spans="1:14">
      <c r="A74" s="3">
        <v>4</v>
      </c>
      <c r="B74" s="101">
        <v>99.89</v>
      </c>
      <c r="C74" s="38"/>
      <c r="D74" s="30" t="s">
        <v>63</v>
      </c>
      <c r="E74" s="30"/>
      <c r="F74" s="3" t="s">
        <v>28</v>
      </c>
      <c r="G74" s="3" t="s">
        <v>19</v>
      </c>
      <c r="H74" s="3"/>
      <c r="I74" s="3"/>
      <c r="J74" s="3"/>
      <c r="K74" s="3"/>
      <c r="L74" s="3"/>
      <c r="M74" s="3"/>
      <c r="N74" s="3"/>
    </row>
    <row r="75" ht="20" customHeight="1" spans="1:14">
      <c r="A75" s="3">
        <v>5</v>
      </c>
      <c r="B75" s="101">
        <v>99.9</v>
      </c>
      <c r="C75" s="38"/>
      <c r="D75" s="3" t="s">
        <v>90</v>
      </c>
      <c r="E75" s="55">
        <f>Process!G21</f>
        <v>0.7</v>
      </c>
      <c r="F75" s="3">
        <f>Process!G23</f>
        <v>8</v>
      </c>
      <c r="G75" s="38" t="str">
        <f>ROUND(E75*0.6+E76*0.4,2)*'Score Weight'!L15&amp;" out of 2.5"</f>
        <v>1.95 out of 2.5</v>
      </c>
      <c r="H75" s="3"/>
      <c r="I75" s="3"/>
      <c r="J75" s="3"/>
      <c r="K75" s="3"/>
      <c r="L75" s="3"/>
      <c r="M75" s="3"/>
      <c r="N75" s="3"/>
    </row>
    <row r="76" ht="20" customHeight="1" spans="1:14">
      <c r="A76" s="3">
        <v>6</v>
      </c>
      <c r="B76" s="101">
        <v>99.97</v>
      </c>
      <c r="C76" s="38"/>
      <c r="D76" s="30" t="s">
        <v>91</v>
      </c>
      <c r="E76" s="55">
        <f>Process!H25</f>
        <v>0.9</v>
      </c>
      <c r="F76" s="3" t="str">
        <f>Process!H26</f>
        <v>IT9</v>
      </c>
      <c r="G76" s="38"/>
      <c r="H76" s="3"/>
      <c r="I76" s="3"/>
      <c r="J76" s="3"/>
      <c r="K76" s="3"/>
      <c r="L76" s="3"/>
      <c r="M76" s="3"/>
      <c r="N76" s="3"/>
    </row>
    <row r="77" ht="20" customHeight="1" spans="1:14">
      <c r="A77" s="3" t="s">
        <v>96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ht="20" customHeight="1" spans="1:14">
      <c r="A78" s="3" t="s">
        <v>5</v>
      </c>
      <c r="B78" s="3" t="s">
        <v>86</v>
      </c>
      <c r="C78" s="3" t="s">
        <v>7</v>
      </c>
      <c r="D78" s="138" t="s">
        <v>87</v>
      </c>
      <c r="E78" s="138"/>
      <c r="F78" s="140" t="s">
        <v>97</v>
      </c>
      <c r="G78" s="4"/>
      <c r="H78" s="3"/>
      <c r="I78" s="3"/>
      <c r="J78" s="3"/>
      <c r="K78" s="3"/>
      <c r="L78" s="3"/>
      <c r="M78" s="3"/>
      <c r="N78" s="3"/>
    </row>
    <row r="79" ht="20" customHeight="1" spans="1:14">
      <c r="A79" s="3">
        <v>1</v>
      </c>
      <c r="B79" s="101">
        <v>29.93</v>
      </c>
      <c r="C79" s="38">
        <f>AVERAGE(B79:B84)</f>
        <v>29.9283333333333</v>
      </c>
      <c r="D79" s="138" t="str">
        <f>Process!K25</f>
        <v>Yes</v>
      </c>
      <c r="E79" s="138"/>
      <c r="F79" s="4"/>
      <c r="G79" s="4"/>
      <c r="H79" s="3"/>
      <c r="I79" s="3"/>
      <c r="J79" s="3"/>
      <c r="K79" s="3"/>
      <c r="L79" s="3"/>
      <c r="M79" s="3"/>
      <c r="N79" s="3"/>
    </row>
    <row r="80" ht="20" customHeight="1" spans="1:14">
      <c r="A80" s="3">
        <v>2</v>
      </c>
      <c r="B80" s="101">
        <v>29.95</v>
      </c>
      <c r="C80" s="38"/>
      <c r="D80" s="138" t="s">
        <v>89</v>
      </c>
      <c r="E80" s="138"/>
      <c r="F80" s="4"/>
      <c r="G80" s="4"/>
      <c r="H80" s="3"/>
      <c r="I80" s="3"/>
      <c r="J80" s="3"/>
      <c r="K80" s="3"/>
      <c r="L80" s="3"/>
      <c r="M80" s="3"/>
      <c r="N80" s="3"/>
    </row>
    <row r="81" ht="20" customHeight="1" spans="1:14">
      <c r="A81" s="3">
        <v>3</v>
      </c>
      <c r="B81" s="101">
        <v>29.92</v>
      </c>
      <c r="C81" s="38"/>
      <c r="D81" s="30">
        <f>Process!L21</f>
        <v>-0.129999999999999</v>
      </c>
      <c r="E81" s="30"/>
      <c r="F81" s="4"/>
      <c r="G81" s="4"/>
      <c r="H81" s="71"/>
      <c r="I81" s="72"/>
      <c r="J81" s="72"/>
      <c r="K81" s="72"/>
      <c r="L81" s="72"/>
      <c r="M81" s="72"/>
      <c r="N81" s="73"/>
    </row>
    <row r="82" ht="20" customHeight="1" spans="1:14">
      <c r="A82" s="3">
        <v>4</v>
      </c>
      <c r="B82" s="101">
        <v>29.87</v>
      </c>
      <c r="C82" s="38"/>
      <c r="D82" s="3" t="s">
        <v>63</v>
      </c>
      <c r="E82" s="3"/>
      <c r="F82" s="3" t="s">
        <v>28</v>
      </c>
      <c r="G82" s="3" t="s">
        <v>19</v>
      </c>
      <c r="H82" s="74"/>
      <c r="I82" s="35"/>
      <c r="J82" s="35"/>
      <c r="K82" s="35"/>
      <c r="L82" s="35"/>
      <c r="M82" s="35"/>
      <c r="N82" s="75"/>
    </row>
    <row r="83" ht="20" customHeight="1" spans="1:14">
      <c r="A83" s="3">
        <v>5</v>
      </c>
      <c r="B83" s="101">
        <v>29.93</v>
      </c>
      <c r="C83" s="38"/>
      <c r="D83" s="3" t="s">
        <v>90</v>
      </c>
      <c r="E83" s="55">
        <f>Process!K21</f>
        <v>0.4</v>
      </c>
      <c r="F83" s="3">
        <f>Process!K23</f>
        <v>10</v>
      </c>
      <c r="G83" s="38" t="str">
        <f>ROUND(E83*0.6+E84*0.4,2)*'Score Weight'!L16&amp;" out of 2.5"</f>
        <v>1 out of 2.5</v>
      </c>
      <c r="H83" s="74"/>
      <c r="I83" s="35"/>
      <c r="J83" s="35"/>
      <c r="K83" s="35"/>
      <c r="L83" s="35"/>
      <c r="M83" s="35"/>
      <c r="N83" s="75"/>
    </row>
    <row r="84" ht="20" customHeight="1" spans="1:14">
      <c r="A84" s="3">
        <v>6</v>
      </c>
      <c r="B84" s="101">
        <v>29.97</v>
      </c>
      <c r="C84" s="38"/>
      <c r="D84" s="30" t="s">
        <v>91</v>
      </c>
      <c r="E84" s="55">
        <f>Process!L25</f>
        <v>0.4</v>
      </c>
      <c r="F84" s="3" t="str">
        <f>Process!L26</f>
        <v>IT10</v>
      </c>
      <c r="G84" s="38"/>
      <c r="H84" s="74"/>
      <c r="I84" s="35"/>
      <c r="J84" s="35"/>
      <c r="K84" s="35"/>
      <c r="L84" s="35"/>
      <c r="M84" s="35"/>
      <c r="N84" s="75"/>
    </row>
    <row r="85" ht="20" customHeight="1" spans="1:14">
      <c r="A85" s="3" t="s">
        <v>98</v>
      </c>
      <c r="B85" s="139"/>
      <c r="C85" s="139"/>
      <c r="D85" s="3"/>
      <c r="E85" s="3"/>
      <c r="F85" s="3"/>
      <c r="G85" s="3"/>
      <c r="H85" s="74"/>
      <c r="I85" s="35"/>
      <c r="J85" s="35"/>
      <c r="K85" s="35"/>
      <c r="L85" s="35"/>
      <c r="M85" s="35"/>
      <c r="N85" s="75"/>
    </row>
    <row r="86" ht="20" customHeight="1" spans="1:14">
      <c r="A86" s="3" t="s">
        <v>5</v>
      </c>
      <c r="B86" s="3" t="s">
        <v>93</v>
      </c>
      <c r="C86" s="3" t="s">
        <v>7</v>
      </c>
      <c r="D86" s="138" t="s">
        <v>94</v>
      </c>
      <c r="E86" s="138"/>
      <c r="F86" s="4" t="s">
        <v>99</v>
      </c>
      <c r="G86" s="4"/>
      <c r="H86" s="74"/>
      <c r="I86" s="35"/>
      <c r="J86" s="35"/>
      <c r="K86" s="35"/>
      <c r="L86" s="35"/>
      <c r="M86" s="35"/>
      <c r="N86" s="75"/>
    </row>
    <row r="87" ht="20" customHeight="1" spans="1:14">
      <c r="A87" s="3">
        <v>1</v>
      </c>
      <c r="B87" s="141">
        <v>49.98</v>
      </c>
      <c r="C87" s="38">
        <f>AVERAGE(B87:B92)</f>
        <v>49.9433333333333</v>
      </c>
      <c r="D87" s="138" t="str">
        <f>Process!C39</f>
        <v>No</v>
      </c>
      <c r="E87" s="138"/>
      <c r="F87" s="4"/>
      <c r="G87" s="4"/>
      <c r="H87" s="74"/>
      <c r="I87" s="35"/>
      <c r="J87" s="35"/>
      <c r="K87" s="35"/>
      <c r="L87" s="35"/>
      <c r="M87" s="35"/>
      <c r="N87" s="75"/>
    </row>
    <row r="88" ht="20" customHeight="1" spans="1:14">
      <c r="A88" s="3">
        <v>2</v>
      </c>
      <c r="B88" s="141">
        <v>49.91</v>
      </c>
      <c r="C88" s="38"/>
      <c r="D88" s="138" t="s">
        <v>89</v>
      </c>
      <c r="E88" s="138"/>
      <c r="F88" s="4"/>
      <c r="G88" s="4"/>
      <c r="H88" s="74"/>
      <c r="I88" s="35"/>
      <c r="J88" s="35"/>
      <c r="K88" s="35"/>
      <c r="L88" s="35"/>
      <c r="M88" s="35"/>
      <c r="N88" s="75"/>
    </row>
    <row r="89" ht="20" customHeight="1" spans="1:14">
      <c r="A89" s="3">
        <v>3</v>
      </c>
      <c r="B89" s="141">
        <v>49.96</v>
      </c>
      <c r="C89" s="38"/>
      <c r="D89" s="30">
        <f>Process!D35</f>
        <v>-0.0900000000000034</v>
      </c>
      <c r="E89" s="30"/>
      <c r="F89" s="4"/>
      <c r="G89" s="4"/>
      <c r="H89" s="74"/>
      <c r="I89" s="35"/>
      <c r="J89" s="35"/>
      <c r="K89" s="35"/>
      <c r="L89" s="35"/>
      <c r="M89" s="35"/>
      <c r="N89" s="75"/>
    </row>
    <row r="90" ht="20" customHeight="1" spans="1:14">
      <c r="A90" s="3">
        <v>4</v>
      </c>
      <c r="B90" s="141">
        <v>49.92</v>
      </c>
      <c r="C90" s="38"/>
      <c r="D90" s="30" t="s">
        <v>63</v>
      </c>
      <c r="E90" s="30"/>
      <c r="F90" s="3" t="s">
        <v>28</v>
      </c>
      <c r="G90" s="3" t="s">
        <v>19</v>
      </c>
      <c r="H90" s="74"/>
      <c r="I90" s="35"/>
      <c r="J90" s="35"/>
      <c r="K90" s="35"/>
      <c r="L90" s="35"/>
      <c r="M90" s="35"/>
      <c r="N90" s="75"/>
    </row>
    <row r="91" ht="20" customHeight="1" spans="1:14">
      <c r="A91" s="3">
        <v>5</v>
      </c>
      <c r="B91" s="141">
        <v>49.94</v>
      </c>
      <c r="C91" s="38"/>
      <c r="D91" s="3" t="s">
        <v>90</v>
      </c>
      <c r="E91" s="55">
        <f>Process!C35</f>
        <v>0.6</v>
      </c>
      <c r="F91" s="3">
        <f>Process!C37</f>
        <v>9</v>
      </c>
      <c r="G91" s="38" t="str">
        <f>ROUND(E91*0.6+E92*0.4,2)*'Score Weight'!L17&amp;" out of 2.5"</f>
        <v>1.8 out of 2.5</v>
      </c>
      <c r="H91" s="74"/>
      <c r="I91" s="35"/>
      <c r="J91" s="35"/>
      <c r="K91" s="35"/>
      <c r="L91" s="35"/>
      <c r="M91" s="35"/>
      <c r="N91" s="75"/>
    </row>
    <row r="92" ht="20" customHeight="1" spans="1:14">
      <c r="A92" s="3">
        <v>6</v>
      </c>
      <c r="B92" s="141">
        <v>49.95</v>
      </c>
      <c r="C92" s="38"/>
      <c r="D92" s="30" t="s">
        <v>91</v>
      </c>
      <c r="E92" s="55">
        <f>Process!D39</f>
        <v>0.9</v>
      </c>
      <c r="F92" s="3" t="str">
        <f>Process!D40</f>
        <v>IT9</v>
      </c>
      <c r="G92" s="38"/>
      <c r="H92" s="76"/>
      <c r="I92" s="77"/>
      <c r="J92" s="77"/>
      <c r="K92" s="77"/>
      <c r="L92" s="77"/>
      <c r="M92" s="77"/>
      <c r="N92" s="78"/>
    </row>
    <row r="93" ht="20" customHeight="1" spans="1:14">
      <c r="A93" s="86" t="s">
        <v>32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</row>
  </sheetData>
  <mergeCells count="107">
    <mergeCell ref="A5:N5"/>
    <mergeCell ref="A8:N8"/>
    <mergeCell ref="A9:G9"/>
    <mergeCell ref="D10:E10"/>
    <mergeCell ref="A20:G20"/>
    <mergeCell ref="A28:G28"/>
    <mergeCell ref="A29:B29"/>
    <mergeCell ref="D29:E29"/>
    <mergeCell ref="A30:B30"/>
    <mergeCell ref="D30:E30"/>
    <mergeCell ref="A31:B31"/>
    <mergeCell ref="D31:E31"/>
    <mergeCell ref="A32:G32"/>
    <mergeCell ref="A33:B33"/>
    <mergeCell ref="A34:B34"/>
    <mergeCell ref="A35:B35"/>
    <mergeCell ref="A36:N36"/>
    <mergeCell ref="A37:G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A49:B49"/>
    <mergeCell ref="A50:B50"/>
    <mergeCell ref="D50:E50"/>
    <mergeCell ref="A51:B51"/>
    <mergeCell ref="D51:E51"/>
    <mergeCell ref="A52:B52"/>
    <mergeCell ref="D52:E52"/>
    <mergeCell ref="A53:G53"/>
    <mergeCell ref="A54:B54"/>
    <mergeCell ref="A55:B55"/>
    <mergeCell ref="A56:B56"/>
    <mergeCell ref="A57:B57"/>
    <mergeCell ref="A58:N58"/>
    <mergeCell ref="A61:G61"/>
    <mergeCell ref="D62:E62"/>
    <mergeCell ref="D63:E63"/>
    <mergeCell ref="D64:E64"/>
    <mergeCell ref="D65:E65"/>
    <mergeCell ref="D66:E66"/>
    <mergeCell ref="A69:G69"/>
    <mergeCell ref="D70:E70"/>
    <mergeCell ref="D71:E71"/>
    <mergeCell ref="D72:E72"/>
    <mergeCell ref="D73:E73"/>
    <mergeCell ref="D74:E74"/>
    <mergeCell ref="A77:G77"/>
    <mergeCell ref="D78:E78"/>
    <mergeCell ref="D79:E79"/>
    <mergeCell ref="D80:E80"/>
    <mergeCell ref="D81:E81"/>
    <mergeCell ref="D82:E82"/>
    <mergeCell ref="A85:G85"/>
    <mergeCell ref="D86:E86"/>
    <mergeCell ref="D87:E87"/>
    <mergeCell ref="D88:E88"/>
    <mergeCell ref="D89:E89"/>
    <mergeCell ref="D90:E90"/>
    <mergeCell ref="A93:N93"/>
    <mergeCell ref="C11:C19"/>
    <mergeCell ref="C22:C27"/>
    <mergeCell ref="C63:C68"/>
    <mergeCell ref="C71:C76"/>
    <mergeCell ref="C79:C84"/>
    <mergeCell ref="C87:C92"/>
    <mergeCell ref="D22:D27"/>
    <mergeCell ref="D33:D35"/>
    <mergeCell ref="D55:D57"/>
    <mergeCell ref="E22:E27"/>
    <mergeCell ref="E33:E35"/>
    <mergeCell ref="E55:E57"/>
    <mergeCell ref="F29:F31"/>
    <mergeCell ref="G29:G31"/>
    <mergeCell ref="G67:G68"/>
    <mergeCell ref="G75:G76"/>
    <mergeCell ref="G83:G84"/>
    <mergeCell ref="G91:G92"/>
    <mergeCell ref="A1:N4"/>
    <mergeCell ref="A6:N7"/>
    <mergeCell ref="H9:N19"/>
    <mergeCell ref="F21:G27"/>
    <mergeCell ref="H20:N35"/>
    <mergeCell ref="F33:G35"/>
    <mergeCell ref="H37:N46"/>
    <mergeCell ref="D13:G19"/>
    <mergeCell ref="F10:G12"/>
    <mergeCell ref="D38:G49"/>
    <mergeCell ref="H47:N57"/>
    <mergeCell ref="H59:N69"/>
    <mergeCell ref="F50:G52"/>
    <mergeCell ref="F62:G65"/>
    <mergeCell ref="F70:G73"/>
    <mergeCell ref="A59:B60"/>
    <mergeCell ref="E59:G60"/>
    <mergeCell ref="F78:G81"/>
    <mergeCell ref="F86:G89"/>
    <mergeCell ref="H70:N80"/>
    <mergeCell ref="H81:N92"/>
    <mergeCell ref="F54:G57"/>
  </mergeCells>
  <conditionalFormatting sqref="C55:D57 D51:E52 E33:E35 G29:G31 E67:E68 E75:E76 E83:E84 E91:E92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30:C31 C34:C35">
    <cfRule type="containsText" dxfId="0" priority="10" operator="between" text="Yes">
      <formula>NOT(ISERROR(SEARCH("Yes",C30)))</formula>
    </cfRule>
    <cfRule type="containsText" dxfId="1" priority="9" operator="between" text="No">
      <formula>NOT(ISERROR(SEARCH("No",C30)))</formula>
    </cfRule>
  </conditionalFormatting>
  <conditionalFormatting sqref="D71 D63">
    <cfRule type="containsText" dxfId="2" priority="5" operator="between" text="Yes">
      <formula>NOT(ISERROR(SEARCH("Yes",D63)))</formula>
    </cfRule>
    <cfRule type="containsText" dxfId="3" priority="6" operator="between" text="No">
      <formula>NOT(ISERROR(SEARCH("No",D63)))</formula>
    </cfRule>
  </conditionalFormatting>
  <conditionalFormatting sqref="D87 D79">
    <cfRule type="containsText" dxfId="3" priority="3" operator="between" text="No">
      <formula>NOT(ISERROR(SEARCH("No",D79)))</formula>
    </cfRule>
    <cfRule type="containsText" dxfId="2" priority="2" operator="between" text="Yes">
      <formula>NOT(ISERROR(SEARCH("Yes",D79)))</formula>
    </cfRule>
  </conditionalFormatting>
  <dataValidations count="2">
    <dataValidation allowBlank="1" showInputMessage="1" showErrorMessage="1" sqref="G22 G23 G24 C30 D30 C31 D31 D32 C35 C50 D50"/>
    <dataValidation type="list" allowBlank="1" showInputMessage="1" showErrorMessage="1" sqref="C49">
      <formula1>Misc!$M$5:$M$6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"/>
  <sheetViews>
    <sheetView topLeftCell="A4" workbookViewId="0">
      <selection activeCell="C14" sqref="C14:C15"/>
    </sheetView>
  </sheetViews>
  <sheetFormatPr defaultColWidth="9" defaultRowHeight="14.4"/>
  <cols>
    <col min="1" max="1" width="18.3333333333333" customWidth="1"/>
    <col min="2" max="2" width="11.7777777777778" customWidth="1"/>
    <col min="3" max="3" width="15.5555555555556" customWidth="1"/>
    <col min="7" max="7" width="11.8888888888889" customWidth="1"/>
  </cols>
  <sheetData>
    <row r="1" ht="20" customHeight="1" spans="1:14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20" customHeight="1" spans="1:1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20" customHeight="1" spans="1: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20" customHeight="1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ht="20" customHeight="1" spans="1:14">
      <c r="A5" s="3" t="s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ht="20" customHeight="1" spans="1:14">
      <c r="A6" s="64" t="s">
        <v>100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ht="20" customHeight="1" spans="1:1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ht="20" customHeight="1" spans="1:14">
      <c r="A8" s="65" t="s">
        <v>3</v>
      </c>
      <c r="B8" s="65"/>
      <c r="C8" s="65"/>
      <c r="D8" s="65"/>
      <c r="E8" s="65"/>
      <c r="F8" s="65"/>
      <c r="G8" s="65"/>
      <c r="H8" s="3"/>
      <c r="I8" s="3"/>
      <c r="J8" s="3"/>
      <c r="K8" s="3"/>
      <c r="L8" s="3"/>
      <c r="M8" s="3"/>
      <c r="N8" s="3"/>
    </row>
    <row r="9" ht="20" customHeight="1" spans="1:14">
      <c r="A9" s="3" t="s">
        <v>101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ht="20" customHeight="1" spans="1:14">
      <c r="A10" s="87" t="s">
        <v>36</v>
      </c>
      <c r="B10" s="87"/>
      <c r="C10" s="88" t="s">
        <v>39</v>
      </c>
      <c r="D10" s="88" t="s">
        <v>40</v>
      </c>
      <c r="E10" s="89" t="s">
        <v>84</v>
      </c>
      <c r="F10" s="89"/>
      <c r="G10" s="89"/>
      <c r="H10" s="3"/>
      <c r="I10" s="3"/>
      <c r="J10" s="3"/>
      <c r="K10" s="3"/>
      <c r="L10" s="3"/>
      <c r="M10" s="3"/>
      <c r="N10" s="3"/>
    </row>
    <row r="11" ht="20" customHeight="1" spans="1:14">
      <c r="A11" s="87"/>
      <c r="B11" s="87"/>
      <c r="C11" s="90">
        <v>1</v>
      </c>
      <c r="D11" s="90">
        <v>8</v>
      </c>
      <c r="E11" s="89"/>
      <c r="F11" s="89"/>
      <c r="G11" s="89"/>
      <c r="H11" s="3"/>
      <c r="I11" s="3"/>
      <c r="J11" s="3"/>
      <c r="K11" s="3"/>
      <c r="L11" s="3"/>
      <c r="M11" s="3"/>
      <c r="N11" s="3"/>
    </row>
    <row r="12" ht="20" customHeight="1" spans="1:14">
      <c r="A12" s="87"/>
      <c r="B12" s="87"/>
      <c r="C12" s="90"/>
      <c r="D12" s="90"/>
      <c r="E12" s="89"/>
      <c r="F12" s="89"/>
      <c r="G12" s="89"/>
      <c r="H12" s="3"/>
      <c r="I12" s="3"/>
      <c r="J12" s="3"/>
      <c r="K12" s="3"/>
      <c r="L12" s="3"/>
      <c r="M12" s="3"/>
      <c r="N12" s="3"/>
    </row>
    <row r="13" ht="20" customHeight="1" spans="1:14">
      <c r="A13" s="3" t="s">
        <v>18</v>
      </c>
      <c r="B13" s="3" t="s">
        <v>79</v>
      </c>
      <c r="C13" s="3" t="s">
        <v>19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ht="20" customHeight="1" spans="1:14">
      <c r="A14" s="4" t="s">
        <v>102</v>
      </c>
      <c r="B14" s="91">
        <v>4</v>
      </c>
      <c r="C14" s="40" t="str">
        <f>Process!Q2&amp;" out of 4"</f>
        <v>4 out of 4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ht="20" customHeight="1" spans="1:14">
      <c r="A15" s="4"/>
      <c r="B15" s="91"/>
      <c r="C15" s="9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ht="20" customHeight="1" spans="1:14">
      <c r="A16" s="4" t="s">
        <v>103</v>
      </c>
      <c r="B16" s="91">
        <v>3</v>
      </c>
      <c r="C16" s="40" t="str">
        <f>Process!Q3&amp;" out of 4"</f>
        <v>2.4 out of 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ht="20" customHeight="1" spans="1:14">
      <c r="A17" s="93"/>
      <c r="B17" s="94"/>
      <c r="C17" s="9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ht="20" customHeight="1" spans="1:14">
      <c r="A18" s="4" t="s">
        <v>104</v>
      </c>
      <c r="B18" s="91" t="s">
        <v>105</v>
      </c>
      <c r="C18" s="40" t="str">
        <f>Process!Q4&amp;" out of 5"</f>
        <v>3.5 out of 5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ht="20" customHeight="1" spans="1:14">
      <c r="A19" s="93"/>
      <c r="B19" s="94"/>
      <c r="C19" s="9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ht="20" customHeight="1" spans="1:14">
      <c r="A20" s="3" t="s">
        <v>106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ht="20" customHeight="1" spans="1:14">
      <c r="A21" s="87" t="s">
        <v>36</v>
      </c>
      <c r="B21" s="87"/>
      <c r="C21" s="88" t="s">
        <v>39</v>
      </c>
      <c r="D21" s="88" t="s">
        <v>40</v>
      </c>
      <c r="E21" s="89" t="s">
        <v>84</v>
      </c>
      <c r="F21" s="89"/>
      <c r="G21" s="89"/>
      <c r="H21" s="3"/>
      <c r="I21" s="3"/>
      <c r="J21" s="3"/>
      <c r="K21" s="3"/>
      <c r="L21" s="3"/>
      <c r="M21" s="3"/>
      <c r="N21" s="3"/>
    </row>
    <row r="22" ht="20" customHeight="1" spans="1:14">
      <c r="A22" s="87"/>
      <c r="B22" s="87"/>
      <c r="C22" s="90">
        <v>0</v>
      </c>
      <c r="D22" s="90">
        <v>49</v>
      </c>
      <c r="E22" s="89"/>
      <c r="F22" s="89"/>
      <c r="G22" s="89"/>
      <c r="H22" s="3"/>
      <c r="I22" s="3"/>
      <c r="J22" s="3"/>
      <c r="K22" s="3"/>
      <c r="L22" s="3"/>
      <c r="M22" s="3"/>
      <c r="N22" s="3"/>
    </row>
    <row r="23" ht="20" customHeight="1" spans="1:14">
      <c r="A23" s="87"/>
      <c r="B23" s="87"/>
      <c r="C23" s="90"/>
      <c r="D23" s="90"/>
      <c r="E23" s="89"/>
      <c r="F23" s="89"/>
      <c r="G23" s="89"/>
      <c r="H23" s="3"/>
      <c r="I23" s="3"/>
      <c r="J23" s="3"/>
      <c r="K23" s="3"/>
      <c r="L23" s="3"/>
      <c r="M23" s="3"/>
      <c r="N23" s="3"/>
    </row>
    <row r="24" ht="20" customHeight="1" spans="1:14">
      <c r="A24" s="3" t="s">
        <v>18</v>
      </c>
      <c r="B24" s="3" t="s">
        <v>79</v>
      </c>
      <c r="C24" s="3" t="s">
        <v>19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ht="20" customHeight="1" spans="1:14">
      <c r="A25" s="4" t="s">
        <v>107</v>
      </c>
      <c r="B25" s="91" t="s">
        <v>108</v>
      </c>
      <c r="C25" s="40" t="str">
        <f>Process!Q5&amp;" out of 1"</f>
        <v>1 out of 1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ht="20" customHeight="1" spans="1:14">
      <c r="A26" s="4"/>
      <c r="B26" s="91"/>
      <c r="C26" s="9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ht="20" customHeight="1" spans="1:14">
      <c r="A27" s="4" t="s">
        <v>109</v>
      </c>
      <c r="B27" s="91">
        <v>11.42</v>
      </c>
      <c r="C27" s="40" t="str">
        <f>Process!Q6&amp;" out of 3"</f>
        <v>2.86 out of 3</v>
      </c>
      <c r="D27" s="3"/>
      <c r="E27" s="3"/>
      <c r="F27" s="3"/>
      <c r="G27" s="3"/>
      <c r="H27" s="3" t="s">
        <v>110</v>
      </c>
      <c r="I27" s="3"/>
      <c r="J27" s="3"/>
      <c r="K27" s="3"/>
      <c r="L27" s="3"/>
      <c r="M27" s="3"/>
      <c r="N27" s="3"/>
    </row>
    <row r="28" ht="20" customHeight="1" spans="1:14">
      <c r="A28" s="4"/>
      <c r="B28" s="91"/>
      <c r="C28" s="9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ht="20" customHeight="1" spans="1:14">
      <c r="A29" s="95" t="s">
        <v>111</v>
      </c>
      <c r="B29" s="91" t="s">
        <v>112</v>
      </c>
      <c r="C29" s="40" t="str">
        <f>Process!Q7&amp;" out of 3"</f>
        <v>3 out of 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ht="20" customHeight="1" spans="1:14">
      <c r="A30" s="95"/>
      <c r="B30" s="91"/>
      <c r="C30" s="9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ht="20" customHeight="1" spans="1:14">
      <c r="A31" s="95" t="s">
        <v>113</v>
      </c>
      <c r="B31" s="91" t="s">
        <v>108</v>
      </c>
      <c r="C31" s="40" t="str">
        <f>Process!Q8&amp;" out of 1"</f>
        <v>1 out of 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ht="20" customHeight="1" spans="1:14">
      <c r="A32" s="95"/>
      <c r="B32" s="91"/>
      <c r="C32" s="9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ht="20" customHeight="1" spans="1:14">
      <c r="A33" s="4" t="s">
        <v>114</v>
      </c>
      <c r="B33" s="91" t="s">
        <v>115</v>
      </c>
      <c r="C33" s="40" t="str">
        <f>Process!Q9&amp;" out of 4"</f>
        <v>2.8 out of 4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ht="20" customHeight="1" spans="1:14">
      <c r="A34" s="4"/>
      <c r="B34" s="91"/>
      <c r="C34" s="9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ht="20" customHeight="1" spans="1:14">
      <c r="A35" s="3" t="s">
        <v>116</v>
      </c>
      <c r="B35" s="37" t="str">
        <f>SUM(Process!Q2:Q9)&amp;" out of 25"</f>
        <v>20.56 out of 25</v>
      </c>
      <c r="C35" s="3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ht="20" customHeight="1" spans="1:14">
      <c r="A36" s="3"/>
      <c r="B36" s="37"/>
      <c r="C36" s="3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ht="20" customHeight="1" spans="1:14">
      <c r="A37" s="86" t="s">
        <v>117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</row>
    <row r="38" ht="20" customHeight="1"/>
    <row r="39" ht="20" customHeight="1"/>
    <row r="40" ht="20" customHeight="1"/>
    <row r="41" ht="20" customHeight="1"/>
    <row r="42" ht="20" customHeight="1"/>
    <row r="43" ht="20" customHeight="1"/>
    <row r="44" ht="20" customHeight="1"/>
    <row r="45" ht="20" customHeight="1"/>
    <row r="46" ht="20" customHeight="1"/>
    <row r="47" ht="20" customHeight="1"/>
    <row r="48" ht="20" customHeight="1"/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  <row r="56" ht="20" customHeight="1"/>
    <row r="57" ht="20" customHeight="1"/>
    <row r="58" ht="20" customHeight="1"/>
    <row r="59" ht="20" customHeight="1"/>
    <row r="60" ht="20" customHeight="1"/>
  </sheetData>
  <mergeCells count="46">
    <mergeCell ref="A5:N5"/>
    <mergeCell ref="A8:N8"/>
    <mergeCell ref="A9:G9"/>
    <mergeCell ref="A20:G20"/>
    <mergeCell ref="A37:N37"/>
    <mergeCell ref="A14:A15"/>
    <mergeCell ref="A16:A17"/>
    <mergeCell ref="A18:A19"/>
    <mergeCell ref="A25:A26"/>
    <mergeCell ref="A27:A28"/>
    <mergeCell ref="A29:A30"/>
    <mergeCell ref="A31:A32"/>
    <mergeCell ref="A33:A34"/>
    <mergeCell ref="A35:A36"/>
    <mergeCell ref="B14:B15"/>
    <mergeCell ref="B16:B17"/>
    <mergeCell ref="B18:B19"/>
    <mergeCell ref="B25:B26"/>
    <mergeCell ref="B27:B28"/>
    <mergeCell ref="B29:B30"/>
    <mergeCell ref="B31:B32"/>
    <mergeCell ref="B33:B34"/>
    <mergeCell ref="C11:C12"/>
    <mergeCell ref="C14:C15"/>
    <mergeCell ref="C16:C17"/>
    <mergeCell ref="C18:C19"/>
    <mergeCell ref="C22:C23"/>
    <mergeCell ref="C25:C26"/>
    <mergeCell ref="C27:C28"/>
    <mergeCell ref="C29:C30"/>
    <mergeCell ref="C31:C32"/>
    <mergeCell ref="C33:C34"/>
    <mergeCell ref="D11:D12"/>
    <mergeCell ref="D22:D23"/>
    <mergeCell ref="A1:N4"/>
    <mergeCell ref="A6:N7"/>
    <mergeCell ref="E10:G12"/>
    <mergeCell ref="A10:B12"/>
    <mergeCell ref="H9:N18"/>
    <mergeCell ref="H19:N26"/>
    <mergeCell ref="D13:G19"/>
    <mergeCell ref="A21:B23"/>
    <mergeCell ref="E21:G23"/>
    <mergeCell ref="B35:C36"/>
    <mergeCell ref="D24:G36"/>
    <mergeCell ref="H27:N36"/>
  </mergeCells>
  <dataValidations count="8">
    <dataValidation type="list" allowBlank="1" showInputMessage="1" showErrorMessage="1" sqref="B29:B30">
      <formula1>Misc!$E$3:$E$6</formula1>
    </dataValidation>
    <dataValidation type="list" allowBlank="1" showInputMessage="1" showErrorMessage="1" sqref="B14">
      <formula1>Misc!$O$3:$O$7</formula1>
    </dataValidation>
    <dataValidation type="list" allowBlank="1" showInputMessage="1" showErrorMessage="1" sqref="B33:B34">
      <formula1>Misc!$I$3:$I$6</formula1>
    </dataValidation>
    <dataValidation type="list" allowBlank="1" showInputMessage="1" showErrorMessage="1" sqref="B25:B26">
      <formula1>Misc!$A$2:$A$4</formula1>
    </dataValidation>
    <dataValidation allowBlank="1" showInputMessage="1" showErrorMessage="1" sqref="B27"/>
    <dataValidation type="list" allowBlank="1" showInputMessage="1" showErrorMessage="1" sqref="B16:B17">
      <formula1>Misc!$C$3:$C$8</formula1>
    </dataValidation>
    <dataValidation type="list" allowBlank="1" showInputMessage="1" showErrorMessage="1" sqref="B18:B19">
      <formula1>Misc!$Q$3:$Q$6</formula1>
    </dataValidation>
    <dataValidation type="list" allowBlank="1" showInputMessage="1" showErrorMessage="1" sqref="B31:B32">
      <formula1>Misc!$K$5:$K$6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3"/>
  <sheetViews>
    <sheetView zoomScale="85" zoomScaleNormal="85" topLeftCell="A64" workbookViewId="0">
      <selection activeCell="P62" sqref="P62"/>
    </sheetView>
  </sheetViews>
  <sheetFormatPr defaultColWidth="8.88888888888889" defaultRowHeight="14.4"/>
  <cols>
    <col min="1" max="1" width="13.8611111111111" customWidth="1"/>
    <col min="2" max="2" width="15.9444444444444" customWidth="1"/>
    <col min="3" max="3" width="18.5555555555556" customWidth="1"/>
    <col min="4" max="4" width="12.8055555555556" customWidth="1"/>
    <col min="5" max="5" width="13.462962962963" customWidth="1"/>
    <col min="7" max="7" width="19.4444444444444" customWidth="1"/>
    <col min="8" max="8" width="13.462962962963" customWidth="1"/>
  </cols>
  <sheetData>
    <row r="1" ht="20" customHeight="1" spans="1: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20" customHeight="1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ht="20" customHeight="1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ht="20" customHeight="1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ht="20" customHeight="1" spans="1:15">
      <c r="A5" s="3" t="s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ht="20" customHeight="1" spans="1:15">
      <c r="A6" s="64" t="s">
        <v>118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ht="20" customHeight="1" spans="1:15">
      <c r="A7" s="65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</row>
    <row r="8" ht="20" customHeight="1" spans="1:15">
      <c r="A8" s="3" t="s">
        <v>119</v>
      </c>
      <c r="B8" s="3"/>
      <c r="C8" s="3"/>
      <c r="D8" s="3"/>
      <c r="E8" s="65"/>
      <c r="F8" s="65"/>
      <c r="G8" s="3"/>
      <c r="H8" s="3"/>
      <c r="I8" s="3"/>
      <c r="J8" s="3"/>
      <c r="K8" s="3"/>
      <c r="L8" s="3"/>
      <c r="M8" s="3"/>
      <c r="N8" s="3"/>
      <c r="O8" s="3"/>
    </row>
    <row r="9" ht="20" customHeight="1" spans="1:15">
      <c r="A9" s="3" t="s">
        <v>18</v>
      </c>
      <c r="B9" s="3"/>
      <c r="C9" s="3" t="s">
        <v>19</v>
      </c>
      <c r="D9" s="66" t="s">
        <v>63</v>
      </c>
      <c r="E9" s="3" t="s">
        <v>116</v>
      </c>
      <c r="F9" s="3"/>
      <c r="G9" s="3" t="s">
        <v>19</v>
      </c>
      <c r="H9" s="3" t="s">
        <v>63</v>
      </c>
      <c r="I9" s="3"/>
      <c r="J9" s="3"/>
      <c r="K9" s="3"/>
      <c r="L9" s="3"/>
      <c r="M9" s="3"/>
      <c r="N9" s="3"/>
      <c r="O9" s="3"/>
    </row>
    <row r="10" ht="20" customHeight="1" spans="1:15">
      <c r="A10" s="3" t="s">
        <v>20</v>
      </c>
      <c r="B10" s="3"/>
      <c r="C10" s="38" t="str">
        <f>ROUND(Process!D2*4,2)&amp;" out of 4"</f>
        <v>4 out of 4</v>
      </c>
      <c r="D10" s="67">
        <f>Process!D2</f>
        <v>1</v>
      </c>
      <c r="E10" s="3"/>
      <c r="F10" s="3"/>
      <c r="G10" s="68" t="str">
        <f>ROUND(SUM(Process!D2*6+Process!D4*4+Process!H2*4+Process!H11*4),2)&amp;" out of 18"</f>
        <v>17.2 out of 18</v>
      </c>
      <c r="H10" s="69">
        <f>SUM(Process!D2*6+Process!D4*4+Process!H2*4+Process!H11*4)/18</f>
        <v>0.955555555555555</v>
      </c>
      <c r="I10" s="3"/>
      <c r="J10" s="3"/>
      <c r="K10" s="3"/>
      <c r="L10" s="3"/>
      <c r="M10" s="3"/>
      <c r="N10" s="3"/>
      <c r="O10" s="3"/>
    </row>
    <row r="11" ht="20" customHeight="1" spans="1:15">
      <c r="A11" s="3" t="s">
        <v>21</v>
      </c>
      <c r="B11" s="3"/>
      <c r="C11" s="38" t="str">
        <f>ROUND(Process!D4*6,2)&amp;" out of 6"</f>
        <v>6 out of 6</v>
      </c>
      <c r="D11" s="67">
        <f>Process!D4</f>
        <v>1</v>
      </c>
      <c r="E11" s="3"/>
      <c r="F11" s="3"/>
      <c r="G11" s="68"/>
      <c r="H11" s="69"/>
      <c r="I11" s="3"/>
      <c r="J11" s="3"/>
      <c r="K11" s="3"/>
      <c r="L11" s="3"/>
      <c r="M11" s="3"/>
      <c r="N11" s="3"/>
      <c r="O11" s="3"/>
    </row>
    <row r="12" ht="20" customHeight="1" spans="1:15">
      <c r="A12" s="3" t="s">
        <v>30</v>
      </c>
      <c r="B12" s="3"/>
      <c r="C12" s="38" t="str">
        <f>ROUND(Process!H2*4,2)&amp;" out of 4"</f>
        <v>3.2 out of 4</v>
      </c>
      <c r="D12" s="67">
        <f>Process!H2</f>
        <v>0.8</v>
      </c>
      <c r="E12" s="3"/>
      <c r="F12" s="3"/>
      <c r="G12" s="68"/>
      <c r="H12" s="69"/>
      <c r="I12" s="3"/>
      <c r="J12" s="3"/>
      <c r="K12" s="3"/>
      <c r="L12" s="3"/>
      <c r="M12" s="3"/>
      <c r="N12" s="3"/>
      <c r="O12" s="3"/>
    </row>
    <row r="13" ht="20" customHeight="1" spans="1:15">
      <c r="A13" s="3" t="s">
        <v>31</v>
      </c>
      <c r="B13" s="3"/>
      <c r="C13" s="38" t="str">
        <f>ROUND(Process!H11*4,2)&amp;" out of 4"</f>
        <v>4 out of 4</v>
      </c>
      <c r="D13" s="67">
        <f>Process!H11</f>
        <v>1</v>
      </c>
      <c r="E13" s="3"/>
      <c r="F13" s="3"/>
      <c r="G13" s="68"/>
      <c r="H13" s="69"/>
      <c r="I13" s="3"/>
      <c r="J13" s="3"/>
      <c r="K13" s="3"/>
      <c r="L13" s="3"/>
      <c r="M13" s="3"/>
      <c r="N13" s="3"/>
      <c r="O13" s="3"/>
    </row>
    <row r="14" ht="20" customHeight="1" spans="1: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ht="20" customHeight="1" spans="1: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ht="20" customHeight="1" spans="1: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ht="20" customHeight="1" spans="1: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ht="20" customHeight="1" spans="1:15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</row>
    <row r="19" ht="20" customHeight="1" spans="1:15">
      <c r="A19" s="3" t="s">
        <v>120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ht="20" customHeight="1" spans="1:15">
      <c r="A20" s="3" t="s">
        <v>18</v>
      </c>
      <c r="B20" s="3"/>
      <c r="C20" s="3" t="s">
        <v>121</v>
      </c>
      <c r="D20" s="3" t="s">
        <v>122</v>
      </c>
      <c r="E20" s="3" t="s">
        <v>123</v>
      </c>
      <c r="F20" s="3" t="s">
        <v>116</v>
      </c>
      <c r="G20" s="3" t="s">
        <v>19</v>
      </c>
      <c r="H20" s="3" t="s">
        <v>63</v>
      </c>
      <c r="I20" s="71"/>
      <c r="J20" s="72"/>
      <c r="K20" s="72"/>
      <c r="L20" s="72"/>
      <c r="M20" s="72"/>
      <c r="N20" s="72"/>
      <c r="O20" s="73"/>
    </row>
    <row r="21" ht="20" customHeight="1" spans="1:15">
      <c r="A21" s="3" t="s">
        <v>124</v>
      </c>
      <c r="B21" s="3"/>
      <c r="C21" s="69">
        <f>Process!$M$4</f>
        <v>0.45</v>
      </c>
      <c r="D21" s="69">
        <f>Process!M12</f>
        <v>0.44</v>
      </c>
      <c r="E21" s="70" t="str">
        <f>D21*10&amp;" out of 10"</f>
        <v>4.4 out of 10</v>
      </c>
      <c r="F21" s="3"/>
      <c r="G21" s="38" t="str">
        <f>(Process!C43+Process!D43)*5+Process!M12*10+Process!L14*5&amp;" out of 25"</f>
        <v>14.95 out of 25</v>
      </c>
      <c r="H21" s="69">
        <f>((Process!C43+Process!D43)*5+Process!M12*10+Process!L14*5)/25</f>
        <v>0.598</v>
      </c>
      <c r="I21" s="74"/>
      <c r="J21" s="35"/>
      <c r="K21" s="35"/>
      <c r="L21" s="35"/>
      <c r="M21" s="35"/>
      <c r="N21" s="35"/>
      <c r="O21" s="75"/>
    </row>
    <row r="22" ht="20" customHeight="1" spans="1:15">
      <c r="A22" s="3" t="s">
        <v>125</v>
      </c>
      <c r="B22" s="3"/>
      <c r="C22" s="69">
        <f>Process!$M$2</f>
        <v>0.97</v>
      </c>
      <c r="D22" s="69"/>
      <c r="E22" s="70"/>
      <c r="F22" s="3"/>
      <c r="G22" s="38"/>
      <c r="H22" s="69"/>
      <c r="I22" s="74"/>
      <c r="J22" s="35"/>
      <c r="K22" s="35"/>
      <c r="L22" s="35"/>
      <c r="M22" s="35"/>
      <c r="N22" s="35"/>
      <c r="O22" s="75"/>
    </row>
    <row r="23" ht="20" customHeight="1" spans="1:15">
      <c r="A23" s="3" t="s">
        <v>126</v>
      </c>
      <c r="B23" s="3"/>
      <c r="C23" s="69">
        <f>SUM(Process!$O$2+Process!$O$4)/2</f>
        <v>1</v>
      </c>
      <c r="D23" s="69"/>
      <c r="E23" s="70"/>
      <c r="F23" s="3"/>
      <c r="G23" s="38"/>
      <c r="H23" s="69"/>
      <c r="I23" s="74"/>
      <c r="J23" s="35"/>
      <c r="K23" s="35"/>
      <c r="L23" s="35"/>
      <c r="M23" s="35"/>
      <c r="N23" s="35"/>
      <c r="O23" s="75"/>
    </row>
    <row r="24" ht="20" customHeight="1" spans="1:15">
      <c r="A24" s="3" t="s">
        <v>18</v>
      </c>
      <c r="B24" s="3"/>
      <c r="C24" s="3" t="s">
        <v>19</v>
      </c>
      <c r="D24" s="3" t="s">
        <v>63</v>
      </c>
      <c r="E24" s="3"/>
      <c r="F24" s="3"/>
      <c r="G24" s="38"/>
      <c r="H24" s="69"/>
      <c r="I24" s="74"/>
      <c r="J24" s="35"/>
      <c r="K24" s="35"/>
      <c r="L24" s="35"/>
      <c r="M24" s="35"/>
      <c r="N24" s="35"/>
      <c r="O24" s="75"/>
    </row>
    <row r="25" ht="20" customHeight="1" spans="1:15">
      <c r="A25" s="3" t="s">
        <v>127</v>
      </c>
      <c r="B25" s="3"/>
      <c r="C25" s="38" t="str">
        <f>Process!L14*5&amp;" out of 5"</f>
        <v>4.5 out of 5</v>
      </c>
      <c r="D25" s="69">
        <f>Process!$L$14</f>
        <v>0.9</v>
      </c>
      <c r="E25" s="69"/>
      <c r="F25" s="3"/>
      <c r="G25" s="38"/>
      <c r="H25" s="69"/>
      <c r="I25" s="74"/>
      <c r="J25" s="35"/>
      <c r="K25" s="35"/>
      <c r="L25" s="35"/>
      <c r="M25" s="35"/>
      <c r="N25" s="35"/>
      <c r="O25" s="75"/>
    </row>
    <row r="26" ht="20" customHeight="1" spans="1:15">
      <c r="A26" s="3" t="s">
        <v>128</v>
      </c>
      <c r="B26" s="3"/>
      <c r="C26" s="38" t="str">
        <f>Process!C43*5&amp;" out of 5"</f>
        <v>3.75 out of 5</v>
      </c>
      <c r="D26" s="69">
        <f>Process!$C$43</f>
        <v>0.75</v>
      </c>
      <c r="E26" s="69"/>
      <c r="F26" s="3"/>
      <c r="G26" s="38"/>
      <c r="H26" s="69"/>
      <c r="I26" s="74"/>
      <c r="J26" s="35"/>
      <c r="K26" s="35"/>
      <c r="L26" s="35"/>
      <c r="M26" s="35"/>
      <c r="N26" s="35"/>
      <c r="O26" s="75"/>
    </row>
    <row r="27" ht="20" customHeight="1" spans="1:15">
      <c r="A27" s="3" t="s">
        <v>129</v>
      </c>
      <c r="B27" s="3"/>
      <c r="C27" s="38" t="str">
        <f>Process!D43*5&amp;" out of 5"</f>
        <v>2.3 out of 5</v>
      </c>
      <c r="D27" s="69">
        <f>Process!$D$43</f>
        <v>0.46</v>
      </c>
      <c r="E27" s="69"/>
      <c r="F27" s="3"/>
      <c r="G27" s="38"/>
      <c r="H27" s="69"/>
      <c r="I27" s="74"/>
      <c r="J27" s="35"/>
      <c r="K27" s="35"/>
      <c r="L27" s="35"/>
      <c r="M27" s="35"/>
      <c r="N27" s="35"/>
      <c r="O27" s="75"/>
    </row>
    <row r="28" ht="20" customHeight="1" spans="1:15">
      <c r="A28" s="71"/>
      <c r="B28" s="72"/>
      <c r="C28" s="72"/>
      <c r="D28" s="72"/>
      <c r="E28" s="72"/>
      <c r="F28" s="72"/>
      <c r="G28" s="72"/>
      <c r="H28" s="73"/>
      <c r="I28" s="74"/>
      <c r="J28" s="35"/>
      <c r="K28" s="35"/>
      <c r="L28" s="35"/>
      <c r="M28" s="35"/>
      <c r="N28" s="35"/>
      <c r="O28" s="75"/>
    </row>
    <row r="29" ht="20" customHeight="1" spans="1:15">
      <c r="A29" s="74"/>
      <c r="B29" s="35"/>
      <c r="C29" s="35"/>
      <c r="D29" s="35"/>
      <c r="E29" s="35"/>
      <c r="F29" s="35"/>
      <c r="G29" s="35"/>
      <c r="H29" s="75"/>
      <c r="I29" s="74"/>
      <c r="J29" s="35"/>
      <c r="K29" s="35"/>
      <c r="L29" s="35"/>
      <c r="M29" s="35"/>
      <c r="N29" s="35"/>
      <c r="O29" s="75"/>
    </row>
    <row r="30" ht="20" customHeight="1" spans="1:15">
      <c r="A30" s="74"/>
      <c r="B30" s="35"/>
      <c r="C30" s="35"/>
      <c r="D30" s="35"/>
      <c r="E30" s="35"/>
      <c r="F30" s="35"/>
      <c r="G30" s="35"/>
      <c r="H30" s="75"/>
      <c r="I30" s="74"/>
      <c r="J30" s="35"/>
      <c r="K30" s="35"/>
      <c r="L30" s="35"/>
      <c r="M30" s="35"/>
      <c r="N30" s="35"/>
      <c r="O30" s="75"/>
    </row>
    <row r="31" ht="20" customHeight="1" spans="1:15">
      <c r="A31" s="74"/>
      <c r="B31" s="35"/>
      <c r="C31" s="35"/>
      <c r="D31" s="35"/>
      <c r="E31" s="35"/>
      <c r="F31" s="35"/>
      <c r="G31" s="35"/>
      <c r="H31" s="75"/>
      <c r="I31" s="74"/>
      <c r="J31" s="35"/>
      <c r="K31" s="35"/>
      <c r="L31" s="35"/>
      <c r="M31" s="35"/>
      <c r="N31" s="35"/>
      <c r="O31" s="75"/>
    </row>
    <row r="32" ht="20" customHeight="1" spans="1:15">
      <c r="A32" s="76"/>
      <c r="B32" s="77"/>
      <c r="C32" s="77"/>
      <c r="D32" s="77"/>
      <c r="E32" s="77"/>
      <c r="F32" s="77"/>
      <c r="G32" s="77"/>
      <c r="H32" s="78"/>
      <c r="I32" s="76"/>
      <c r="J32" s="77"/>
      <c r="K32" s="77"/>
      <c r="L32" s="77"/>
      <c r="M32" s="77"/>
      <c r="N32" s="77"/>
      <c r="O32" s="78"/>
    </row>
    <row r="33" ht="20" customHeight="1" spans="1:15">
      <c r="A33" s="3" t="s">
        <v>130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ht="20" customHeight="1" spans="1:15">
      <c r="A34" s="3" t="s">
        <v>131</v>
      </c>
      <c r="B34" s="3"/>
      <c r="C34" s="3"/>
      <c r="D34" s="3"/>
      <c r="E34" s="3"/>
      <c r="F34" s="3" t="s">
        <v>116</v>
      </c>
      <c r="G34" s="3" t="s">
        <v>19</v>
      </c>
      <c r="H34" s="3" t="s">
        <v>63</v>
      </c>
      <c r="I34" s="3"/>
      <c r="J34" s="3"/>
      <c r="K34" s="3"/>
      <c r="L34" s="3"/>
      <c r="M34" s="3"/>
      <c r="N34" s="3"/>
      <c r="O34" s="3"/>
    </row>
    <row r="35" ht="20" customHeight="1" spans="5:15">
      <c r="E35" s="3" t="s">
        <v>132</v>
      </c>
      <c r="F35" s="3"/>
      <c r="G35" s="38" t="str">
        <f>SUM(Process!T1+Process!T2+Process!T3)&amp;" out of 25"</f>
        <v>20.56 out of 25</v>
      </c>
      <c r="H35" s="69">
        <f>SUM(Process!T1+Process!T2+Process!T3)/25</f>
        <v>0.8224</v>
      </c>
      <c r="I35" s="3"/>
      <c r="J35" s="3"/>
      <c r="K35" s="3"/>
      <c r="L35" s="3"/>
      <c r="M35" s="3"/>
      <c r="N35" s="3"/>
      <c r="O35" s="3"/>
    </row>
    <row r="36" ht="20" customHeight="1" spans="1:15">
      <c r="A36" s="3" t="s">
        <v>111</v>
      </c>
      <c r="B36" s="3"/>
      <c r="C36" s="37" t="str">
        <f>Process!Q7&amp;" out of 3"</f>
        <v>3 out of 3</v>
      </c>
      <c r="D36" s="55">
        <f>Process!Q7/3</f>
        <v>1</v>
      </c>
      <c r="E36" s="37" t="str">
        <f>Process!T1&amp;" out of 8"</f>
        <v>6.5 out of 8</v>
      </c>
      <c r="F36" s="3"/>
      <c r="G36" s="38"/>
      <c r="H36" s="69"/>
      <c r="I36" s="3"/>
      <c r="J36" s="3"/>
      <c r="K36" s="3"/>
      <c r="L36" s="3"/>
      <c r="M36" s="3"/>
      <c r="N36" s="3"/>
      <c r="O36" s="3"/>
    </row>
    <row r="37" ht="20" customHeight="1" spans="1:15">
      <c r="A37" s="3" t="s">
        <v>133</v>
      </c>
      <c r="B37" s="3"/>
      <c r="C37" s="37" t="str">
        <f>Process!Q4&amp;" out of 5"</f>
        <v>3.5 out of 5</v>
      </c>
      <c r="D37" s="55">
        <f>Process!Q4/5</f>
        <v>0.7</v>
      </c>
      <c r="E37" s="37"/>
      <c r="F37" s="3"/>
      <c r="G37" s="38"/>
      <c r="H37" s="69"/>
      <c r="I37" s="3"/>
      <c r="J37" s="3"/>
      <c r="K37" s="3"/>
      <c r="L37" s="3"/>
      <c r="M37" s="3"/>
      <c r="N37" s="3"/>
      <c r="O37" s="3"/>
    </row>
    <row r="38" ht="20" customHeight="1" spans="1:15">
      <c r="A38" s="3" t="s">
        <v>134</v>
      </c>
      <c r="B38" s="3"/>
      <c r="C38" s="3"/>
      <c r="D38" s="3"/>
      <c r="E38" s="3"/>
      <c r="F38" s="3"/>
      <c r="G38" s="38"/>
      <c r="H38" s="69"/>
      <c r="I38" s="3"/>
      <c r="J38" s="3"/>
      <c r="K38" s="3"/>
      <c r="L38" s="3"/>
      <c r="M38" s="3"/>
      <c r="N38" s="3"/>
      <c r="O38" s="3"/>
    </row>
    <row r="39" ht="20" customHeight="1" spans="1:15">
      <c r="A39" s="3" t="s">
        <v>18</v>
      </c>
      <c r="B39" s="3"/>
      <c r="C39" s="3" t="s">
        <v>19</v>
      </c>
      <c r="D39" s="3" t="s">
        <v>63</v>
      </c>
      <c r="E39" s="3" t="s">
        <v>132</v>
      </c>
      <c r="F39" s="3"/>
      <c r="G39" s="38"/>
      <c r="H39" s="69"/>
      <c r="I39" s="3"/>
      <c r="J39" s="3"/>
      <c r="K39" s="3"/>
      <c r="L39" s="3"/>
      <c r="M39" s="3"/>
      <c r="N39" s="3"/>
      <c r="O39" s="3"/>
    </row>
    <row r="40" ht="20" customHeight="1" spans="1:15">
      <c r="A40" s="3" t="s">
        <v>135</v>
      </c>
      <c r="B40" s="3"/>
      <c r="C40" s="37" t="str">
        <f>Process!Q3&amp;" out of 4"</f>
        <v>2.4 out of 4</v>
      </c>
      <c r="D40" s="69">
        <f>Process!Q3/4</f>
        <v>0.6</v>
      </c>
      <c r="E40" s="37" t="str">
        <f>Process!T2&amp;" out of 9"</f>
        <v>6.2 out of 9</v>
      </c>
      <c r="F40" s="3"/>
      <c r="G40" s="38"/>
      <c r="H40" s="69"/>
      <c r="I40" s="3"/>
      <c r="J40" s="3"/>
      <c r="K40" s="3"/>
      <c r="L40" s="3"/>
      <c r="M40" s="3"/>
      <c r="N40" s="3"/>
      <c r="O40" s="3"/>
    </row>
    <row r="41" ht="20" customHeight="1" spans="1:15">
      <c r="A41" s="3" t="s">
        <v>136</v>
      </c>
      <c r="B41" s="3"/>
      <c r="C41" s="37" t="str">
        <f>Process!Q8&amp;" out of 1"</f>
        <v>1 out of 1</v>
      </c>
      <c r="D41" s="69">
        <f>Process!Q8/1</f>
        <v>1</v>
      </c>
      <c r="E41" s="37"/>
      <c r="F41" s="3"/>
      <c r="G41" s="38"/>
      <c r="H41" s="69"/>
      <c r="I41" s="3"/>
      <c r="J41" s="3"/>
      <c r="K41" s="3"/>
      <c r="L41" s="3"/>
      <c r="M41" s="3"/>
      <c r="N41" s="3"/>
      <c r="O41" s="3"/>
    </row>
    <row r="42" ht="20" customHeight="1" spans="1:15">
      <c r="A42" s="3" t="s">
        <v>137</v>
      </c>
      <c r="B42" s="3"/>
      <c r="C42" s="37" t="str">
        <f>Process!Q9&amp;" out of 4"</f>
        <v>2.8 out of 4</v>
      </c>
      <c r="D42" s="69">
        <f>Process!Q9/4</f>
        <v>0.7</v>
      </c>
      <c r="E42" s="37"/>
      <c r="F42" s="3"/>
      <c r="G42" s="38"/>
      <c r="H42" s="69"/>
      <c r="I42" s="3"/>
      <c r="J42" s="3"/>
      <c r="K42" s="3"/>
      <c r="L42" s="3"/>
      <c r="M42" s="3"/>
      <c r="N42" s="3"/>
      <c r="O42" s="3"/>
    </row>
    <row r="43" ht="20" customHeight="1" spans="1:15">
      <c r="A43" s="3" t="s">
        <v>138</v>
      </c>
      <c r="B43" s="3"/>
      <c r="C43" s="3"/>
      <c r="D43" s="3"/>
      <c r="E43" s="3"/>
      <c r="F43" s="3"/>
      <c r="G43" s="38"/>
      <c r="H43" s="69"/>
      <c r="I43" s="3"/>
      <c r="J43" s="3"/>
      <c r="K43" s="3"/>
      <c r="L43" s="3"/>
      <c r="M43" s="3"/>
      <c r="N43" s="3"/>
      <c r="O43" s="3"/>
    </row>
    <row r="44" ht="20" customHeight="1" spans="1:15">
      <c r="A44" s="3" t="s">
        <v>18</v>
      </c>
      <c r="B44" s="3"/>
      <c r="C44" s="3" t="s">
        <v>19</v>
      </c>
      <c r="D44" s="3" t="s">
        <v>63</v>
      </c>
      <c r="E44" s="3" t="s">
        <v>132</v>
      </c>
      <c r="F44" s="3"/>
      <c r="G44" s="38"/>
      <c r="H44" s="69"/>
      <c r="I44" s="3"/>
      <c r="J44" s="3"/>
      <c r="K44" s="3"/>
      <c r="L44" s="3"/>
      <c r="M44" s="3"/>
      <c r="N44" s="3"/>
      <c r="O44" s="3"/>
    </row>
    <row r="45" ht="20" customHeight="1" spans="1:15">
      <c r="A45" s="3" t="s">
        <v>139</v>
      </c>
      <c r="B45" s="3"/>
      <c r="C45" s="37" t="str">
        <f>Process!Q2&amp;" out of 4"</f>
        <v>4 out of 4</v>
      </c>
      <c r="D45" s="69">
        <f>Process!Q2/4</f>
        <v>1</v>
      </c>
      <c r="E45" s="37" t="str">
        <f>Process!T3&amp;" out of 8"</f>
        <v>7.86 out of 8</v>
      </c>
      <c r="F45" s="3"/>
      <c r="G45" s="38"/>
      <c r="H45" s="69"/>
      <c r="I45" s="3"/>
      <c r="J45" s="3"/>
      <c r="K45" s="3"/>
      <c r="L45" s="3"/>
      <c r="M45" s="3"/>
      <c r="N45" s="3"/>
      <c r="O45" s="3"/>
    </row>
    <row r="46" ht="20" customHeight="1" spans="1:15">
      <c r="A46" s="3" t="s">
        <v>140</v>
      </c>
      <c r="B46" s="3"/>
      <c r="C46" s="37" t="str">
        <f>Process!Q6&amp;" out of 3"</f>
        <v>2.86 out of 3</v>
      </c>
      <c r="D46" s="69">
        <f>Process!Q6/3</f>
        <v>0.953333333333333</v>
      </c>
      <c r="E46" s="37"/>
      <c r="F46" s="3"/>
      <c r="G46" s="38"/>
      <c r="H46" s="69"/>
      <c r="I46" s="3"/>
      <c r="J46" s="3"/>
      <c r="K46" s="3"/>
      <c r="L46" s="3"/>
      <c r="M46" s="3"/>
      <c r="N46" s="3"/>
      <c r="O46" s="3"/>
    </row>
    <row r="47" ht="20" customHeight="1" spans="1:15">
      <c r="A47" s="3" t="s">
        <v>141</v>
      </c>
      <c r="B47" s="3"/>
      <c r="C47" s="37" t="str">
        <f>Process!Q5&amp;" out of 1"</f>
        <v>1 out of 1</v>
      </c>
      <c r="D47" s="69">
        <f>Process!Q5</f>
        <v>1</v>
      </c>
      <c r="E47" s="37"/>
      <c r="F47" s="3"/>
      <c r="G47" s="38"/>
      <c r="H47" s="69"/>
      <c r="I47" s="3"/>
      <c r="J47" s="3"/>
      <c r="K47" s="3"/>
      <c r="L47" s="3"/>
      <c r="M47" s="3"/>
      <c r="N47" s="3"/>
      <c r="O47" s="3"/>
    </row>
    <row r="48" ht="20" customHeight="1" spans="1: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ht="20" customHeight="1" spans="1: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ht="20" customHeight="1" spans="1: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ht="20" customHeight="1" spans="1: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ht="20" customHeight="1" spans="1:15">
      <c r="A52" s="3" t="s">
        <v>142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ht="20" customHeight="1" spans="1:15">
      <c r="A53" s="3" t="s">
        <v>143</v>
      </c>
      <c r="B53" s="3"/>
      <c r="C53" s="3" t="s">
        <v>19</v>
      </c>
      <c r="D53" s="3" t="s">
        <v>63</v>
      </c>
      <c r="E53" s="3" t="s">
        <v>116</v>
      </c>
      <c r="F53" s="3"/>
      <c r="G53" s="3" t="s">
        <v>19</v>
      </c>
      <c r="H53" s="3" t="s">
        <v>63</v>
      </c>
      <c r="I53" s="3"/>
      <c r="J53" s="3"/>
      <c r="K53" s="3"/>
      <c r="L53" s="3"/>
      <c r="M53" s="3"/>
      <c r="N53" s="3"/>
      <c r="O53" s="3"/>
    </row>
    <row r="54" ht="20" customHeight="1" spans="1:15">
      <c r="A54" s="3" t="s">
        <v>144</v>
      </c>
      <c r="B54" s="3"/>
      <c r="C54" s="38" t="str">
        <f>Process!V9&amp;" out of 10"</f>
        <v>9.099 out of 10</v>
      </c>
      <c r="D54" s="69">
        <f>Process!V9/10</f>
        <v>0.9099</v>
      </c>
      <c r="E54" s="3"/>
      <c r="F54" s="3"/>
      <c r="G54" s="38" t="str">
        <f>ROUND(SUM(Process!V9+Process!W9+Process!X9+Process!Y9),2)&amp;" out of 32"</f>
        <v>30.71 out of 32</v>
      </c>
      <c r="H54" s="69">
        <f>SUM(Process!V9+Process!W9+Process!X9+Process!Y9)/32</f>
        <v>0.95971875</v>
      </c>
      <c r="I54" s="3"/>
      <c r="J54" s="3"/>
      <c r="K54" s="3"/>
      <c r="L54" s="3"/>
      <c r="M54" s="3"/>
      <c r="N54" s="3"/>
      <c r="O54" s="3"/>
    </row>
    <row r="55" ht="20" customHeight="1" spans="1:15">
      <c r="A55" s="3"/>
      <c r="B55" s="3"/>
      <c r="C55" s="38"/>
      <c r="D55" s="69"/>
      <c r="E55" s="3"/>
      <c r="F55" s="3"/>
      <c r="G55" s="38"/>
      <c r="H55" s="69"/>
      <c r="I55" s="3"/>
      <c r="J55" s="3"/>
      <c r="K55" s="3"/>
      <c r="L55" s="3"/>
      <c r="M55" s="3"/>
      <c r="N55" s="3"/>
      <c r="O55" s="3"/>
    </row>
    <row r="56" ht="20" customHeight="1" spans="1:15">
      <c r="A56" s="3" t="s">
        <v>145</v>
      </c>
      <c r="B56" s="3"/>
      <c r="C56" s="38" t="str">
        <f>Process!W9&amp;" out of 6"</f>
        <v>6 out of 6</v>
      </c>
      <c r="D56" s="69">
        <f>Process!W9/6</f>
        <v>1</v>
      </c>
      <c r="E56" s="3"/>
      <c r="F56" s="3"/>
      <c r="G56" s="38"/>
      <c r="H56" s="69"/>
      <c r="I56" s="3"/>
      <c r="J56" s="3"/>
      <c r="K56" s="3"/>
      <c r="L56" s="3"/>
      <c r="M56" s="3"/>
      <c r="N56" s="3"/>
      <c r="O56" s="3"/>
    </row>
    <row r="57" ht="20" customHeight="1" spans="1:15">
      <c r="A57" s="3"/>
      <c r="B57" s="3"/>
      <c r="C57" s="38"/>
      <c r="D57" s="69"/>
      <c r="E57" s="3"/>
      <c r="F57" s="3"/>
      <c r="G57" s="38"/>
      <c r="H57" s="69"/>
      <c r="I57" s="3"/>
      <c r="J57" s="3"/>
      <c r="K57" s="3"/>
      <c r="L57" s="3"/>
      <c r="M57" s="3"/>
      <c r="N57" s="3"/>
      <c r="O57" s="3"/>
    </row>
    <row r="58" ht="20" customHeight="1" spans="1:15">
      <c r="A58" s="3" t="s">
        <v>101</v>
      </c>
      <c r="B58" s="3"/>
      <c r="C58" s="38" t="str">
        <f>Process!X9&amp;" out of 10"</f>
        <v>10 out of 10</v>
      </c>
      <c r="D58" s="69">
        <f>Process!X9/10</f>
        <v>1</v>
      </c>
      <c r="E58" s="3"/>
      <c r="F58" s="3"/>
      <c r="G58" s="38"/>
      <c r="H58" s="69"/>
      <c r="I58" s="3"/>
      <c r="J58" s="3"/>
      <c r="K58" s="3"/>
      <c r="L58" s="3"/>
      <c r="M58" s="3"/>
      <c r="N58" s="3"/>
      <c r="O58" s="3"/>
    </row>
    <row r="59" ht="20" customHeight="1" spans="1:15">
      <c r="A59" s="3"/>
      <c r="B59" s="3"/>
      <c r="C59" s="38"/>
      <c r="D59" s="69"/>
      <c r="E59" s="3"/>
      <c r="F59" s="3"/>
      <c r="G59" s="38"/>
      <c r="H59" s="69"/>
      <c r="I59" s="3"/>
      <c r="J59" s="3"/>
      <c r="K59" s="3"/>
      <c r="L59" s="3"/>
      <c r="M59" s="3"/>
      <c r="N59" s="3"/>
      <c r="O59" s="3"/>
    </row>
    <row r="60" ht="20" customHeight="1" spans="1:15">
      <c r="A60" s="3" t="s">
        <v>106</v>
      </c>
      <c r="B60" s="3"/>
      <c r="C60" s="38" t="str">
        <f>Process!Y9&amp;" out of 6"</f>
        <v>5.612 out of 6</v>
      </c>
      <c r="D60" s="69">
        <f>Process!Y9/6</f>
        <v>0.935333333333333</v>
      </c>
      <c r="E60" s="3"/>
      <c r="F60" s="3"/>
      <c r="G60" s="38"/>
      <c r="H60" s="69"/>
      <c r="I60" s="3"/>
      <c r="J60" s="3"/>
      <c r="K60" s="3"/>
      <c r="L60" s="3"/>
      <c r="M60" s="3"/>
      <c r="N60" s="3"/>
      <c r="O60" s="3"/>
    </row>
    <row r="61" ht="20" customHeight="1" spans="1:15">
      <c r="A61" s="3"/>
      <c r="B61" s="3"/>
      <c r="C61" s="38"/>
      <c r="D61" s="69"/>
      <c r="E61" s="3"/>
      <c r="F61" s="3"/>
      <c r="G61" s="38"/>
      <c r="H61" s="69"/>
      <c r="I61" s="3"/>
      <c r="J61" s="3"/>
      <c r="K61" s="3"/>
      <c r="L61" s="3"/>
      <c r="M61" s="3"/>
      <c r="N61" s="3"/>
      <c r="O61" s="3"/>
    </row>
    <row r="62" ht="20" customHeight="1" spans="1:15">
      <c r="A62" s="79"/>
      <c r="B62" s="79"/>
      <c r="C62" s="79"/>
      <c r="D62" s="79"/>
      <c r="E62" s="79"/>
      <c r="F62" s="79"/>
      <c r="G62" s="79"/>
      <c r="H62" s="79"/>
      <c r="I62" s="3"/>
      <c r="J62" s="3"/>
      <c r="K62" s="3"/>
      <c r="L62" s="3"/>
      <c r="M62" s="3"/>
      <c r="N62" s="3"/>
      <c r="O62" s="3"/>
    </row>
    <row r="63" ht="20" customHeight="1" spans="1:15">
      <c r="A63" s="79"/>
      <c r="B63" s="79"/>
      <c r="C63" s="79"/>
      <c r="D63" s="79"/>
      <c r="E63" s="79"/>
      <c r="F63" s="79"/>
      <c r="G63" s="79"/>
      <c r="H63" s="79"/>
      <c r="I63" s="3"/>
      <c r="J63" s="3"/>
      <c r="K63" s="3"/>
      <c r="L63" s="3"/>
      <c r="M63" s="3"/>
      <c r="N63" s="3"/>
      <c r="O63" s="3"/>
    </row>
    <row r="64" ht="20" customHeight="1" spans="1:15">
      <c r="A64" s="79"/>
      <c r="B64" s="79"/>
      <c r="C64" s="79"/>
      <c r="D64" s="79"/>
      <c r="E64" s="79"/>
      <c r="F64" s="79"/>
      <c r="G64" s="79"/>
      <c r="H64" s="79"/>
      <c r="I64" s="3"/>
      <c r="J64" s="3"/>
      <c r="K64" s="3"/>
      <c r="L64" s="3"/>
      <c r="M64" s="3"/>
      <c r="N64" s="3"/>
      <c r="O64" s="3"/>
    </row>
    <row r="65" ht="20" customHeight="1" spans="1:15">
      <c r="A65" s="79"/>
      <c r="B65" s="79"/>
      <c r="C65" s="79"/>
      <c r="D65" s="79"/>
      <c r="E65" s="79"/>
      <c r="F65" s="79"/>
      <c r="G65" s="79"/>
      <c r="H65" s="79"/>
      <c r="I65" s="3"/>
      <c r="J65" s="3"/>
      <c r="K65" s="3"/>
      <c r="L65" s="3"/>
      <c r="M65" s="3"/>
      <c r="N65" s="3"/>
      <c r="O65" s="3"/>
    </row>
    <row r="66" ht="20" customHeight="1" spans="1:15">
      <c r="A66" s="79"/>
      <c r="B66" s="79"/>
      <c r="C66" s="79"/>
      <c r="D66" s="79"/>
      <c r="E66" s="79"/>
      <c r="F66" s="79"/>
      <c r="G66" s="79"/>
      <c r="H66" s="79"/>
      <c r="I66" s="3"/>
      <c r="J66" s="3"/>
      <c r="K66" s="3"/>
      <c r="L66" s="3"/>
      <c r="M66" s="3"/>
      <c r="N66" s="3"/>
      <c r="O66" s="3"/>
    </row>
    <row r="67" ht="20" customHeight="1" spans="1:15">
      <c r="A67" s="3" t="s">
        <v>146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ht="20" customHeight="1" spans="1:15">
      <c r="A68" s="3" t="s">
        <v>18</v>
      </c>
      <c r="B68" s="3"/>
      <c r="C68" s="3" t="s">
        <v>19</v>
      </c>
      <c r="D68" s="3" t="s">
        <v>63</v>
      </c>
      <c r="E68" s="71" t="s">
        <v>116</v>
      </c>
      <c r="F68" s="73"/>
      <c r="G68" s="3" t="s">
        <v>19</v>
      </c>
      <c r="H68" s="3" t="s">
        <v>63</v>
      </c>
      <c r="I68" s="3"/>
      <c r="J68" s="3"/>
      <c r="K68" s="3"/>
      <c r="L68" s="3"/>
      <c r="M68" s="3"/>
      <c r="N68" s="3"/>
      <c r="O68" s="3"/>
    </row>
    <row r="69" ht="20" customHeight="1" spans="1:15">
      <c r="A69" s="3" t="s">
        <v>119</v>
      </c>
      <c r="B69" s="3"/>
      <c r="C69" s="38" t="str">
        <f>Process!T7&amp;" out of 18"</f>
        <v>17.2 out of 18</v>
      </c>
      <c r="D69" s="69">
        <f>Process!S7</f>
        <v>0.955555555555555</v>
      </c>
      <c r="E69" s="74"/>
      <c r="F69" s="75"/>
      <c r="G69" s="80" t="str">
        <f>ROUND(SUM(Process!T7:T10),2)&amp;" out of 100"</f>
        <v>83.42 out of 100</v>
      </c>
      <c r="H69" s="81">
        <f>SUM(Process!T7:T10)/100</f>
        <v>0.83421</v>
      </c>
      <c r="I69" s="3"/>
      <c r="J69" s="3"/>
      <c r="K69" s="3"/>
      <c r="L69" s="3"/>
      <c r="M69" s="3"/>
      <c r="N69" s="3"/>
      <c r="O69" s="3"/>
    </row>
    <row r="70" ht="20" customHeight="1" spans="1:15">
      <c r="A70" s="3"/>
      <c r="B70" s="3"/>
      <c r="C70" s="38"/>
      <c r="D70" s="69"/>
      <c r="E70" s="74"/>
      <c r="F70" s="75"/>
      <c r="G70" s="82"/>
      <c r="H70" s="83"/>
      <c r="I70" s="3"/>
      <c r="J70" s="3"/>
      <c r="K70" s="3"/>
      <c r="L70" s="3"/>
      <c r="M70" s="3"/>
      <c r="N70" s="3"/>
      <c r="O70" s="3"/>
    </row>
    <row r="71" ht="20" customHeight="1" spans="1:15">
      <c r="A71" s="3" t="s">
        <v>120</v>
      </c>
      <c r="B71" s="3"/>
      <c r="C71" s="38" t="str">
        <f>Process!T8&amp;" out of 25"</f>
        <v>14.95 out of 25</v>
      </c>
      <c r="D71" s="69">
        <f>Process!S8</f>
        <v>0.598</v>
      </c>
      <c r="E71" s="74"/>
      <c r="F71" s="75"/>
      <c r="G71" s="82"/>
      <c r="H71" s="83"/>
      <c r="I71" s="3"/>
      <c r="J71" s="3"/>
      <c r="K71" s="3"/>
      <c r="L71" s="3"/>
      <c r="M71" s="3"/>
      <c r="N71" s="3"/>
      <c r="O71" s="3"/>
    </row>
    <row r="72" ht="20" customHeight="1" spans="1:15">
      <c r="A72" s="3"/>
      <c r="B72" s="3"/>
      <c r="C72" s="38"/>
      <c r="D72" s="69"/>
      <c r="E72" s="74"/>
      <c r="F72" s="75"/>
      <c r="G72" s="82"/>
      <c r="H72" s="83"/>
      <c r="I72" s="3"/>
      <c r="J72" s="3"/>
      <c r="K72" s="3"/>
      <c r="L72" s="3"/>
      <c r="M72" s="3"/>
      <c r="N72" s="3"/>
      <c r="O72" s="3"/>
    </row>
    <row r="73" ht="20" customHeight="1" spans="1:15">
      <c r="A73" s="3" t="s">
        <v>130</v>
      </c>
      <c r="B73" s="3"/>
      <c r="C73" s="38" t="str">
        <f>Process!T9&amp;" out of 25"</f>
        <v>20.56 out of 25</v>
      </c>
      <c r="D73" s="69">
        <f>Process!S9</f>
        <v>0.8224</v>
      </c>
      <c r="E73" s="74"/>
      <c r="F73" s="75"/>
      <c r="G73" s="82"/>
      <c r="H73" s="83"/>
      <c r="I73" s="3"/>
      <c r="J73" s="3"/>
      <c r="K73" s="3"/>
      <c r="L73" s="3"/>
      <c r="M73" s="3"/>
      <c r="N73" s="3"/>
      <c r="O73" s="3"/>
    </row>
    <row r="74" ht="20" customHeight="1" spans="1:15">
      <c r="A74" s="3"/>
      <c r="B74" s="3"/>
      <c r="C74" s="38"/>
      <c r="D74" s="69"/>
      <c r="E74" s="74"/>
      <c r="F74" s="75"/>
      <c r="G74" s="82"/>
      <c r="H74" s="83"/>
      <c r="I74" s="3"/>
      <c r="J74" s="3"/>
      <c r="K74" s="3"/>
      <c r="L74" s="3"/>
      <c r="M74" s="3"/>
      <c r="N74" s="3"/>
      <c r="O74" s="3"/>
    </row>
    <row r="75" ht="20" customHeight="1" spans="1:15">
      <c r="A75" s="71" t="s">
        <v>142</v>
      </c>
      <c r="B75" s="73"/>
      <c r="C75" s="38" t="str">
        <f>G54</f>
        <v>30.71 out of 32</v>
      </c>
      <c r="D75" s="69">
        <f>H54</f>
        <v>0.95971875</v>
      </c>
      <c r="E75" s="74"/>
      <c r="F75" s="75"/>
      <c r="G75" s="82"/>
      <c r="H75" s="83"/>
      <c r="I75" s="3"/>
      <c r="J75" s="3"/>
      <c r="K75" s="3"/>
      <c r="L75" s="3"/>
      <c r="M75" s="3"/>
      <c r="N75" s="3"/>
      <c r="O75" s="3"/>
    </row>
    <row r="76" ht="20" customHeight="1" spans="1:15">
      <c r="A76" s="76"/>
      <c r="B76" s="78"/>
      <c r="C76" s="38"/>
      <c r="D76" s="69"/>
      <c r="E76" s="76"/>
      <c r="F76" s="78"/>
      <c r="G76" s="84"/>
      <c r="H76" s="85"/>
      <c r="I76" s="3"/>
      <c r="J76" s="3"/>
      <c r="K76" s="3"/>
      <c r="L76" s="3"/>
      <c r="M76" s="3"/>
      <c r="N76" s="3"/>
      <c r="O76" s="3"/>
    </row>
    <row r="77" ht="20" customHeight="1" spans="1:15">
      <c r="A77" s="71"/>
      <c r="B77" s="72"/>
      <c r="C77" s="72"/>
      <c r="D77" s="72"/>
      <c r="E77" s="72"/>
      <c r="F77" s="72"/>
      <c r="G77" s="72"/>
      <c r="H77" s="73"/>
      <c r="I77" s="3"/>
      <c r="J77" s="3"/>
      <c r="K77" s="3"/>
      <c r="L77" s="3"/>
      <c r="M77" s="3"/>
      <c r="N77" s="3"/>
      <c r="O77" s="3"/>
    </row>
    <row r="78" ht="20" customHeight="1" spans="1:15">
      <c r="A78" s="74"/>
      <c r="B78" s="35"/>
      <c r="C78" s="35"/>
      <c r="D78" s="35"/>
      <c r="E78" s="35"/>
      <c r="F78" s="35"/>
      <c r="G78" s="35"/>
      <c r="H78" s="75"/>
      <c r="I78" s="3"/>
      <c r="J78" s="3"/>
      <c r="K78" s="3"/>
      <c r="L78" s="3"/>
      <c r="M78" s="3"/>
      <c r="N78" s="3"/>
      <c r="O78" s="3"/>
    </row>
    <row r="79" ht="20" customHeight="1" spans="1:15">
      <c r="A79" s="74"/>
      <c r="B79" s="35"/>
      <c r="C79" s="35"/>
      <c r="D79" s="35"/>
      <c r="E79" s="35"/>
      <c r="F79" s="35"/>
      <c r="G79" s="35"/>
      <c r="H79" s="75"/>
      <c r="I79" s="3"/>
      <c r="J79" s="3"/>
      <c r="K79" s="3"/>
      <c r="L79" s="3"/>
      <c r="M79" s="3"/>
      <c r="N79" s="3"/>
      <c r="O79" s="3"/>
    </row>
    <row r="80" ht="20" customHeight="1" spans="1:15">
      <c r="A80" s="74"/>
      <c r="B80" s="35"/>
      <c r="C80" s="35"/>
      <c r="D80" s="35"/>
      <c r="E80" s="35"/>
      <c r="F80" s="35"/>
      <c r="G80" s="35"/>
      <c r="H80" s="75"/>
      <c r="I80" s="3"/>
      <c r="J80" s="3"/>
      <c r="K80" s="3"/>
      <c r="L80" s="3"/>
      <c r="M80" s="3"/>
      <c r="N80" s="3"/>
      <c r="O80" s="3"/>
    </row>
    <row r="81" ht="20" customHeight="1" spans="1:15">
      <c r="A81" s="74"/>
      <c r="B81" s="35"/>
      <c r="C81" s="35"/>
      <c r="D81" s="35"/>
      <c r="E81" s="35"/>
      <c r="F81" s="35"/>
      <c r="G81" s="35"/>
      <c r="H81" s="75"/>
      <c r="I81" s="3"/>
      <c r="J81" s="3"/>
      <c r="K81" s="3"/>
      <c r="L81" s="3"/>
      <c r="M81" s="3"/>
      <c r="N81" s="3"/>
      <c r="O81" s="3"/>
    </row>
    <row r="82" ht="20" customHeight="1" spans="1:15">
      <c r="A82" s="74"/>
      <c r="B82" s="35"/>
      <c r="C82" s="35"/>
      <c r="D82" s="35"/>
      <c r="E82" s="35"/>
      <c r="F82" s="35"/>
      <c r="G82" s="35"/>
      <c r="H82" s="75"/>
      <c r="I82" s="65"/>
      <c r="J82" s="65"/>
      <c r="K82" s="65"/>
      <c r="L82" s="65"/>
      <c r="M82" s="65"/>
      <c r="N82" s="65"/>
      <c r="O82" s="65"/>
    </row>
    <row r="83" ht="20" customHeight="1" spans="1:15">
      <c r="A83" s="86" t="s">
        <v>147</v>
      </c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</row>
  </sheetData>
  <mergeCells count="95">
    <mergeCell ref="A5:O5"/>
    <mergeCell ref="A8:O8"/>
    <mergeCell ref="A9:B9"/>
    <mergeCell ref="A10:B10"/>
    <mergeCell ref="A11:B11"/>
    <mergeCell ref="A12:B12"/>
    <mergeCell ref="A13:B13"/>
    <mergeCell ref="A19:O19"/>
    <mergeCell ref="A20:B20"/>
    <mergeCell ref="A21:B21"/>
    <mergeCell ref="A22:B22"/>
    <mergeCell ref="A23:B23"/>
    <mergeCell ref="A24:B24"/>
    <mergeCell ref="D24:E24"/>
    <mergeCell ref="A25:B25"/>
    <mergeCell ref="D25:E25"/>
    <mergeCell ref="A26:B26"/>
    <mergeCell ref="D26:E26"/>
    <mergeCell ref="A27:B27"/>
    <mergeCell ref="D27:E27"/>
    <mergeCell ref="A33:O33"/>
    <mergeCell ref="A34:E34"/>
    <mergeCell ref="A36:B36"/>
    <mergeCell ref="A37:B37"/>
    <mergeCell ref="A38:E38"/>
    <mergeCell ref="A39:B39"/>
    <mergeCell ref="A40:B40"/>
    <mergeCell ref="A41:B41"/>
    <mergeCell ref="A42:B42"/>
    <mergeCell ref="A43:E43"/>
    <mergeCell ref="A44:B44"/>
    <mergeCell ref="A45:B45"/>
    <mergeCell ref="A46:B46"/>
    <mergeCell ref="A47:B47"/>
    <mergeCell ref="A52:O52"/>
    <mergeCell ref="A53:B53"/>
    <mergeCell ref="A67:O67"/>
    <mergeCell ref="A68:B68"/>
    <mergeCell ref="A83:O83"/>
    <mergeCell ref="C54:C55"/>
    <mergeCell ref="C56:C57"/>
    <mergeCell ref="C58:C59"/>
    <mergeCell ref="C60:C61"/>
    <mergeCell ref="C69:C70"/>
    <mergeCell ref="C71:C72"/>
    <mergeCell ref="C73:C74"/>
    <mergeCell ref="C75:C76"/>
    <mergeCell ref="D21:D23"/>
    <mergeCell ref="D54:D55"/>
    <mergeCell ref="D56:D57"/>
    <mergeCell ref="D58:D59"/>
    <mergeCell ref="D60:D61"/>
    <mergeCell ref="D69:D70"/>
    <mergeCell ref="D71:D72"/>
    <mergeCell ref="D73:D74"/>
    <mergeCell ref="D75:D76"/>
    <mergeCell ref="E21:E23"/>
    <mergeCell ref="E36:E37"/>
    <mergeCell ref="E40:E42"/>
    <mergeCell ref="E45:E47"/>
    <mergeCell ref="F20:F27"/>
    <mergeCell ref="F34:F47"/>
    <mergeCell ref="G10:G13"/>
    <mergeCell ref="G21:G27"/>
    <mergeCell ref="G35:G47"/>
    <mergeCell ref="G54:G61"/>
    <mergeCell ref="G69:G76"/>
    <mergeCell ref="H10:H13"/>
    <mergeCell ref="H21:H27"/>
    <mergeCell ref="H35:H47"/>
    <mergeCell ref="H54:H61"/>
    <mergeCell ref="H69:H76"/>
    <mergeCell ref="A1:O4"/>
    <mergeCell ref="A6:O7"/>
    <mergeCell ref="I9:O18"/>
    <mergeCell ref="A14:H18"/>
    <mergeCell ref="E9:F13"/>
    <mergeCell ref="I34:O51"/>
    <mergeCell ref="A48:H51"/>
    <mergeCell ref="I20:O32"/>
    <mergeCell ref="A28:H32"/>
    <mergeCell ref="A54:B55"/>
    <mergeCell ref="A56:B57"/>
    <mergeCell ref="A58:B59"/>
    <mergeCell ref="A60:B61"/>
    <mergeCell ref="E53:F61"/>
    <mergeCell ref="A71:B72"/>
    <mergeCell ref="A73:B74"/>
    <mergeCell ref="A75:B76"/>
    <mergeCell ref="A69:B70"/>
    <mergeCell ref="I68:O82"/>
    <mergeCell ref="E68:F76"/>
    <mergeCell ref="A77:H82"/>
    <mergeCell ref="I53:O66"/>
    <mergeCell ref="A62:H66"/>
  </mergeCells>
  <conditionalFormatting sqref="H35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54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5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6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7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10:D13 H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21:C23 D21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25:D27 H21 D36:D37 D45:D47 D40:D42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73 D69 D71 H69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7"/>
  <sheetViews>
    <sheetView topLeftCell="F1" workbookViewId="0">
      <selection activeCell="N19" sqref="N19"/>
    </sheetView>
  </sheetViews>
  <sheetFormatPr defaultColWidth="8.88888888888889" defaultRowHeight="14.4"/>
  <cols>
    <col min="1" max="1" width="3.77777777777778" customWidth="1"/>
    <col min="2" max="2" width="18.8888888888889" customWidth="1"/>
    <col min="3" max="3" width="11.8888888888889" customWidth="1"/>
    <col min="4" max="4" width="12.8888888888889"/>
    <col min="5" max="5" width="3.77777777777778" customWidth="1"/>
    <col min="6" max="6" width="9.77777777777778" customWidth="1"/>
    <col min="7" max="7" width="9.55555555555556" customWidth="1"/>
    <col min="8" max="8" width="10.8888888888889" customWidth="1"/>
    <col min="9" max="9" width="3.66666666666667" customWidth="1"/>
    <col min="12" max="13" width="12.8888888888889"/>
    <col min="14" max="14" width="15.6666666666667"/>
    <col min="15" max="15" width="12.8888888888889"/>
    <col min="16" max="16" width="9.66666666666667"/>
    <col min="18" max="18" width="17.6666666666667" customWidth="1"/>
    <col min="19" max="19" width="15.6666666666667"/>
    <col min="20" max="20" width="9.77777777777778" customWidth="1"/>
    <col min="21" max="21" width="11" customWidth="1"/>
    <col min="22" max="22" width="15.6666666666667"/>
    <col min="23" max="24" width="10"/>
    <col min="25" max="25" width="15.6666666666667"/>
  </cols>
  <sheetData>
    <row r="1" ht="15.6" spans="1:25">
      <c r="A1" s="29" t="s">
        <v>5</v>
      </c>
      <c r="B1" s="29" t="s">
        <v>148</v>
      </c>
      <c r="C1" s="29" t="s">
        <v>149</v>
      </c>
      <c r="D1" s="30" t="s">
        <v>150</v>
      </c>
      <c r="E1" s="31" t="s">
        <v>5</v>
      </c>
      <c r="F1" s="31" t="s">
        <v>151</v>
      </c>
      <c r="G1" s="31" t="s">
        <v>152</v>
      </c>
      <c r="H1" s="32" t="s">
        <v>153</v>
      </c>
      <c r="I1" s="50" t="s">
        <v>5</v>
      </c>
      <c r="J1" s="50" t="s">
        <v>154</v>
      </c>
      <c r="K1" s="51" t="s">
        <v>155</v>
      </c>
      <c r="L1" s="50" t="s">
        <v>156</v>
      </c>
      <c r="M1" s="50" t="s">
        <v>157</v>
      </c>
      <c r="N1" s="50" t="s">
        <v>158</v>
      </c>
      <c r="O1" s="50" t="s">
        <v>159</v>
      </c>
      <c r="P1" s="52"/>
      <c r="Q1" s="56" t="s">
        <v>130</v>
      </c>
      <c r="R1" s="57" t="s">
        <v>160</v>
      </c>
      <c r="S1" s="58">
        <f>T1/8</f>
        <v>0.8125</v>
      </c>
      <c r="T1" s="59">
        <f>Q7+Q4</f>
        <v>6.5</v>
      </c>
      <c r="U1" s="29" t="s">
        <v>161</v>
      </c>
      <c r="V1" s="29"/>
      <c r="W1" s="29"/>
      <c r="X1" s="29"/>
      <c r="Y1" s="29"/>
    </row>
    <row r="2" ht="15.6" spans="1:25">
      <c r="A2" s="29">
        <v>1</v>
      </c>
      <c r="B2" s="33">
        <f>Basic!B11-100</f>
        <v>0</v>
      </c>
      <c r="C2" s="33">
        <f>ABS(B2)</f>
        <v>0</v>
      </c>
      <c r="D2" s="30">
        <f>EXP(-STDEV(Process!B2:B9))</f>
        <v>1</v>
      </c>
      <c r="E2" s="31">
        <v>1</v>
      </c>
      <c r="F2" s="34">
        <f>Basic!B26-10</f>
        <v>0.0199999999999996</v>
      </c>
      <c r="G2" s="34">
        <f>Basic!B38-100</f>
        <v>0</v>
      </c>
      <c r="H2" s="30">
        <f>LOOKUP(MAX(F11:F18),Misc!C11:C21,Misc!G11:G21)</f>
        <v>0.8</v>
      </c>
      <c r="I2" s="50">
        <v>1</v>
      </c>
      <c r="J2" s="53">
        <f>Engineering!B11-10</f>
        <v>-0.15</v>
      </c>
      <c r="K2" s="54">
        <f>ABS(J2)</f>
        <v>0.15</v>
      </c>
      <c r="L2" s="50">
        <f>ROUND(ASIN(ABS(AVERAGE(Engineering!B11:B13)-AVERAGE(Engineering!B15:B17))/100)*180/PI(),5)</f>
        <v>0.00382</v>
      </c>
      <c r="M2" s="53">
        <f>ROUND((VLOOKUP(L6,Misc!M5:N6,2,FALSE)*EXP(-ABS(AVERAGE(Engineering!B11:B13)-AVERAGE(Engineering!B15:B17))))/2+(VLOOKUP(L8,Misc!M5:N6,2,FALSE)*EXP(-ABS(AVERAGE(Engineering!B13:B15)-AVERAGE(Engineering!B17:B18,Engineering!B11))))/2,2)</f>
        <v>0.97</v>
      </c>
      <c r="N2" s="50" t="str">
        <f>IFERROR(50/(SIN(ATAN(AVERAGE(Engineering!B40:C43)/100))),"Inf")</f>
        <v>Inf</v>
      </c>
      <c r="O2" s="50">
        <f>ROUND(IFERROR(1-EXP(-N2/10^3.5),1)*IF(MAX(Engineering!B40:C43)&gt;2.5,0,1)*VLOOKUP(Engineering!C49,Misc!M5:N6,2,FALSE),2)</f>
        <v>1</v>
      </c>
      <c r="P2" s="52" t="s">
        <v>162</v>
      </c>
      <c r="Q2" s="56">
        <f>VLOOKUP(Art!$B$14,Misc!$O$2:$P$7,2,FALSE)*'Score Weight'!L18</f>
        <v>4</v>
      </c>
      <c r="R2" s="57" t="s">
        <v>163</v>
      </c>
      <c r="S2" s="58">
        <f>T2/9</f>
        <v>0.688888888888889</v>
      </c>
      <c r="T2" s="59">
        <f>Q3+Q8+Q9</f>
        <v>6.2</v>
      </c>
      <c r="U2" s="29" t="s">
        <v>143</v>
      </c>
      <c r="V2" s="29" t="s">
        <v>164</v>
      </c>
      <c r="W2" s="29" t="s">
        <v>165</v>
      </c>
      <c r="X2" s="29" t="s">
        <v>166</v>
      </c>
      <c r="Y2" s="29" t="s">
        <v>167</v>
      </c>
    </row>
    <row r="3" ht="15.6" spans="1:25">
      <c r="A3" s="29">
        <v>2</v>
      </c>
      <c r="B3" s="33">
        <f>Basic!B12-100</f>
        <v>0</v>
      </c>
      <c r="C3" s="33">
        <f t="shared" ref="C3:C9" si="0">ABS(B3)</f>
        <v>0</v>
      </c>
      <c r="D3" s="30" t="s">
        <v>168</v>
      </c>
      <c r="E3" s="31">
        <v>2</v>
      </c>
      <c r="F3" s="34">
        <f>Basic!B27-10</f>
        <v>-0.0199999999999996</v>
      </c>
      <c r="G3" s="34">
        <f>Basic!B39-100</f>
        <v>0</v>
      </c>
      <c r="H3" s="32" t="s">
        <v>169</v>
      </c>
      <c r="I3" s="50">
        <v>2</v>
      </c>
      <c r="J3" s="53">
        <f>Engineering!B12-10</f>
        <v>-0.0299999999999994</v>
      </c>
      <c r="K3" s="54">
        <f t="shared" ref="K3:K9" si="1">ABS(J3)</f>
        <v>0.0299999999999994</v>
      </c>
      <c r="L3" s="50" t="s">
        <v>170</v>
      </c>
      <c r="M3" s="50" t="s">
        <v>171</v>
      </c>
      <c r="N3" s="50" t="s">
        <v>172</v>
      </c>
      <c r="O3" s="50" t="s">
        <v>173</v>
      </c>
      <c r="P3" s="52" t="s">
        <v>174</v>
      </c>
      <c r="Q3" s="56">
        <f>VLOOKUP(Art!$B$16,Misc!C3:D8,2,FALSE)*'Score Weight'!L19</f>
        <v>2.4</v>
      </c>
      <c r="R3" s="57" t="s">
        <v>175</v>
      </c>
      <c r="S3" s="58">
        <f>T3/8</f>
        <v>0.9825</v>
      </c>
      <c r="T3" s="59">
        <f>Q6+Q5+Q2</f>
        <v>7.86</v>
      </c>
      <c r="U3" s="29" t="s">
        <v>142</v>
      </c>
      <c r="V3" s="33">
        <f>Misc!I11</f>
        <v>362</v>
      </c>
      <c r="W3" s="33">
        <f>Misc!J11</f>
        <v>182</v>
      </c>
      <c r="X3" s="33">
        <f>Misc!K11</f>
        <v>90</v>
      </c>
      <c r="Y3" s="33">
        <f>Misc!L11</f>
        <v>51</v>
      </c>
    </row>
    <row r="4" ht="15.6" spans="1:25">
      <c r="A4" s="29">
        <v>3</v>
      </c>
      <c r="B4" s="33">
        <f>Basic!B13-100</f>
        <v>0</v>
      </c>
      <c r="C4" s="33">
        <f t="shared" si="0"/>
        <v>0</v>
      </c>
      <c r="D4" s="30">
        <f>LOOKUP(MAX(C2:C9),Misc!B11:B21,Misc!G11:G21)</f>
        <v>1</v>
      </c>
      <c r="E4" s="31">
        <v>3</v>
      </c>
      <c r="F4" s="34">
        <f>Basic!B28-10</f>
        <v>-0.0700000000000003</v>
      </c>
      <c r="G4" s="34">
        <f>Basic!B40-100</f>
        <v>0</v>
      </c>
      <c r="H4" s="30" t="str">
        <f>LOOKUP(MAX(F11:F18),Misc!C11:C21,Misc!A11:A21)</f>
        <v>IT10</v>
      </c>
      <c r="I4" s="50">
        <v>3</v>
      </c>
      <c r="J4" s="53">
        <f>Engineering!B13-10</f>
        <v>-0.27</v>
      </c>
      <c r="K4" s="54">
        <f t="shared" si="1"/>
        <v>0.27</v>
      </c>
      <c r="L4" s="50">
        <f>ROUND(ASIN(ABS(AVERAGE(Engineering!B13:B15)-AVERAGE(Engineering!B17:B18,Engineering!B11))/100)*180/PI(),5)</f>
        <v>0.03056</v>
      </c>
      <c r="M4" s="50">
        <f>ROUND(VLOOKUP(L12,Misc!M5:N6,2,FALSE)*EXP(-STDEV(K2:K9)),2)</f>
        <v>0.45</v>
      </c>
      <c r="N4" s="50" t="str">
        <f>IFERROR(34/(SIN(ATAN(AVERAGE(Engineering!B45:C48)/68))),"Inf")</f>
        <v>Inf</v>
      </c>
      <c r="O4" s="50">
        <f>ROUND(IFERROR(1-EXP(-N4/10^3.5),1)*IF(MAX(Engineering!B45:C48)&gt;2.5,0,1)*VLOOKUP(Engineering!C49,Misc!M5:N6,2,FALSE),2)</f>
        <v>1</v>
      </c>
      <c r="P4" s="52" t="s">
        <v>176</v>
      </c>
      <c r="Q4" s="56">
        <f>VLOOKUP(Art!$B$18,Misc!Q3:R6,2,FALSE)*'Score Weight'!L20</f>
        <v>3.5</v>
      </c>
      <c r="R4" s="18"/>
      <c r="S4" s="18"/>
      <c r="T4" s="18"/>
      <c r="U4" s="29" t="s">
        <v>177</v>
      </c>
      <c r="V4" s="33">
        <f>2*V3</f>
        <v>724</v>
      </c>
      <c r="W4" s="33">
        <f>2*W3</f>
        <v>364</v>
      </c>
      <c r="X4" s="33">
        <f>2*X3</f>
        <v>180</v>
      </c>
      <c r="Y4" s="33">
        <f>2*Y3</f>
        <v>102</v>
      </c>
    </row>
    <row r="5" ht="15.6" spans="1:25">
      <c r="A5" s="29">
        <v>4</v>
      </c>
      <c r="B5" s="33">
        <f>Basic!B14-100</f>
        <v>0</v>
      </c>
      <c r="C5" s="33">
        <f t="shared" si="0"/>
        <v>0</v>
      </c>
      <c r="D5" s="30" t="s">
        <v>28</v>
      </c>
      <c r="E5" s="31">
        <v>4</v>
      </c>
      <c r="F5" s="34">
        <f>Basic!B29-10</f>
        <v>-0.0800000000000001</v>
      </c>
      <c r="G5" s="34">
        <f>Basic!B41-100</f>
        <v>0</v>
      </c>
      <c r="H5" s="32"/>
      <c r="I5" s="50">
        <v>4</v>
      </c>
      <c r="J5" s="53">
        <f>Engineering!B14-10</f>
        <v>-0.0299999999999994</v>
      </c>
      <c r="K5" s="54">
        <f t="shared" si="1"/>
        <v>0.0299999999999994</v>
      </c>
      <c r="L5" s="50" t="s">
        <v>178</v>
      </c>
      <c r="M5" s="50" t="s">
        <v>179</v>
      </c>
      <c r="N5" s="50"/>
      <c r="O5" s="50"/>
      <c r="P5" s="52" t="s">
        <v>180</v>
      </c>
      <c r="Q5" s="56">
        <f>VLOOKUP(Art!$B$25,Misc!A2:B4,2,FALSE)*'Score Weight'!L21</f>
        <v>1</v>
      </c>
      <c r="R5" s="18"/>
      <c r="S5" s="18"/>
      <c r="T5" s="18"/>
      <c r="U5" s="29" t="s">
        <v>181</v>
      </c>
      <c r="V5" s="60">
        <f>(V4-V3)/90</f>
        <v>4.02222222222222</v>
      </c>
      <c r="W5" s="60">
        <f>(W4-W3)/90</f>
        <v>2.02222222222222</v>
      </c>
      <c r="X5" s="60">
        <f>(X4-X3)/90</f>
        <v>1</v>
      </c>
      <c r="Y5" s="60">
        <f>(Y4-Y3)/90</f>
        <v>0.566666666666667</v>
      </c>
    </row>
    <row r="6" ht="15.6" spans="1:25">
      <c r="A6" s="29">
        <v>5</v>
      </c>
      <c r="B6" s="33">
        <f>Basic!B15-100</f>
        <v>0</v>
      </c>
      <c r="C6" s="33">
        <f t="shared" si="0"/>
        <v>0</v>
      </c>
      <c r="D6" s="30" t="str">
        <f>LOOKUP(C2:C9,Misc!B11:B21,Misc!A11:A21)</f>
        <v>Perfect</v>
      </c>
      <c r="E6" s="31">
        <v>5</v>
      </c>
      <c r="F6" s="34">
        <f>Basic!B30-10</f>
        <v>-0.0500000000000007</v>
      </c>
      <c r="G6" s="34"/>
      <c r="H6" s="32"/>
      <c r="I6" s="50">
        <v>5</v>
      </c>
      <c r="J6" s="53">
        <f>Engineering!B15-10</f>
        <v>-0.220000000000001</v>
      </c>
      <c r="K6" s="54">
        <f t="shared" si="1"/>
        <v>0.220000000000001</v>
      </c>
      <c r="L6" s="50" t="str">
        <f>IF(ABS(AVERAGE(Engineering!B11:B13)-AVERAGE(Engineering!B15:B17))&gt;0.2,"Yes","No")</f>
        <v>No</v>
      </c>
      <c r="M6" s="50" t="str">
        <f>IF(OR(L6="Yes",L8="Yes"),"Your model base is not parallel","Your base is parallel")</f>
        <v>Your base is parallel</v>
      </c>
      <c r="N6" s="50"/>
      <c r="O6" s="50"/>
      <c r="P6" s="52" t="s">
        <v>182</v>
      </c>
      <c r="Q6" s="56">
        <f>ROUND(Art!$B$27/12*'Score Weight'!L22,2)</f>
        <v>2.86</v>
      </c>
      <c r="R6" s="18"/>
      <c r="S6" s="18"/>
      <c r="T6" s="18"/>
      <c r="U6" s="29" t="s">
        <v>183</v>
      </c>
      <c r="V6" s="33">
        <f>Engineering!D12*60+Engineering!E12</f>
        <v>358</v>
      </c>
      <c r="W6" s="33">
        <f>Engineering!C60*60+Engineering!D60</f>
        <v>120</v>
      </c>
      <c r="X6" s="33">
        <f>Art!C11*60+Art!D11</f>
        <v>68</v>
      </c>
      <c r="Y6" s="33">
        <f>Art!C22*60+Art!D22</f>
        <v>49</v>
      </c>
    </row>
    <row r="7" ht="15.6" spans="1:25">
      <c r="A7" s="29">
        <v>6</v>
      </c>
      <c r="B7" s="33">
        <f>Basic!B16-100</f>
        <v>0</v>
      </c>
      <c r="C7" s="33">
        <f t="shared" si="0"/>
        <v>0</v>
      </c>
      <c r="D7" s="30" t="s">
        <v>184</v>
      </c>
      <c r="E7" s="31">
        <v>6</v>
      </c>
      <c r="F7" s="34">
        <f>Basic!B31-10</f>
        <v>-0.0500000000000007</v>
      </c>
      <c r="G7" s="34"/>
      <c r="H7" s="32"/>
      <c r="I7" s="50">
        <v>6</v>
      </c>
      <c r="J7" s="53">
        <f>Engineering!B16-10</f>
        <v>-0.00999999999999979</v>
      </c>
      <c r="K7" s="54">
        <f t="shared" si="1"/>
        <v>0.00999999999999979</v>
      </c>
      <c r="L7" s="50" t="s">
        <v>185</v>
      </c>
      <c r="M7" s="50" t="s">
        <v>186</v>
      </c>
      <c r="N7" s="50"/>
      <c r="O7" s="50"/>
      <c r="P7" s="52" t="s">
        <v>187</v>
      </c>
      <c r="Q7" s="56">
        <f>VLOOKUP(Art!$B$29,Misc!E3:F6,2,FALSE)*'Score Weight'!L23</f>
        <v>3</v>
      </c>
      <c r="R7" s="61" t="s">
        <v>119</v>
      </c>
      <c r="S7" s="62">
        <f>T7/18</f>
        <v>0.955555555555555</v>
      </c>
      <c r="T7" s="31">
        <f>ROUND(SUM(Process!D2*4+Process!D4*6+Process!H2*4+Process!H11*4),2)</f>
        <v>17.2</v>
      </c>
      <c r="U7" s="29" t="s">
        <v>188</v>
      </c>
      <c r="V7" s="58">
        <f>((V3-V6)/V5+90)/100</f>
        <v>0.909944751381215</v>
      </c>
      <c r="W7" s="58">
        <f>((W3-W6)/W5+90)/100</f>
        <v>1.20659340659341</v>
      </c>
      <c r="X7" s="58">
        <f>((X3-X6)/X5+90)/100</f>
        <v>1.12</v>
      </c>
      <c r="Y7" s="58">
        <f>((Y3-Y6)/Y5+90)/100</f>
        <v>0.935294117647059</v>
      </c>
    </row>
    <row r="8" ht="15.6" spans="1:25">
      <c r="A8" s="29">
        <v>7</v>
      </c>
      <c r="B8" s="33">
        <f>Basic!B17-100</f>
        <v>0</v>
      </c>
      <c r="C8" s="33">
        <f t="shared" si="0"/>
        <v>0</v>
      </c>
      <c r="D8" s="30">
        <f>SUM(Basic!B11,Basic!B13,Basic!B15,Basic!B17)/4</f>
        <v>100</v>
      </c>
      <c r="E8" s="31">
        <v>7</v>
      </c>
      <c r="F8" s="34">
        <f>Basic!B32-10</f>
        <v>-0.0399999999999991</v>
      </c>
      <c r="G8" s="34"/>
      <c r="H8" s="32"/>
      <c r="I8" s="50">
        <v>7</v>
      </c>
      <c r="J8" s="53">
        <f>Engineering!B17-10</f>
        <v>-0.24</v>
      </c>
      <c r="K8" s="54">
        <f t="shared" si="1"/>
        <v>0.24</v>
      </c>
      <c r="L8" s="50" t="str">
        <f>IF(ABS(AVERAGE(Engineering!B13:B15)-AVERAGE(Engineering!B17:B18,Engineering!B11))&gt;0.2,"Yes","No")</f>
        <v>No</v>
      </c>
      <c r="M8" s="50" t="str">
        <f>IF(L10="Yes","Your Base is thicker in the center","")</f>
        <v>Your Base is thicker in the center</v>
      </c>
      <c r="N8" s="50"/>
      <c r="O8" s="50"/>
      <c r="P8" s="52" t="s">
        <v>189</v>
      </c>
      <c r="Q8" s="56">
        <f>VLOOKUP(Art!$B$31,Misc!K5:L6,2,FALSE)*'Score Weight'!L24</f>
        <v>1</v>
      </c>
      <c r="R8" s="61" t="s">
        <v>120</v>
      </c>
      <c r="S8" s="62">
        <f>T8/25</f>
        <v>0.598</v>
      </c>
      <c r="T8" s="31">
        <f>(Process!C43+Process!D43)*5+Process!M12*10+Process!L14*5</f>
        <v>14.95</v>
      </c>
      <c r="U8" s="33" t="s">
        <v>19</v>
      </c>
      <c r="V8" s="33">
        <f>IF(V7&lt;0,0,IF(V7&gt;1,1,V7))</f>
        <v>0.909944751381215</v>
      </c>
      <c r="W8" s="33">
        <f>IF(W7&lt;0,0,IF(W7&gt;1,1,W7))</f>
        <v>1</v>
      </c>
      <c r="X8" s="33">
        <f>IF(X7&lt;0,0,IF(X7&gt;1,1,X7))</f>
        <v>1</v>
      </c>
      <c r="Y8" s="33">
        <f>IF(Y7&lt;0,0,IF(Y7&gt;1,1,Y7))</f>
        <v>0.935294117647059</v>
      </c>
    </row>
    <row r="9" ht="15.6" spans="1:25">
      <c r="A9" s="29">
        <v>8</v>
      </c>
      <c r="B9" s="33">
        <f>Basic!B18-100</f>
        <v>0</v>
      </c>
      <c r="C9" s="33">
        <f t="shared" si="0"/>
        <v>0</v>
      </c>
      <c r="D9" s="30" t="s">
        <v>190</v>
      </c>
      <c r="E9" s="31">
        <v>8</v>
      </c>
      <c r="F9" s="34">
        <f>Basic!B33-10</f>
        <v>0</v>
      </c>
      <c r="G9" s="34"/>
      <c r="H9" s="32"/>
      <c r="I9" s="50">
        <v>8</v>
      </c>
      <c r="J9" s="53">
        <f>Engineering!B18-10</f>
        <v>0.0299999999999994</v>
      </c>
      <c r="K9" s="54">
        <f t="shared" si="1"/>
        <v>0.0299999999999994</v>
      </c>
      <c r="L9" s="50" t="s">
        <v>191</v>
      </c>
      <c r="M9" s="50" t="s">
        <v>192</v>
      </c>
      <c r="N9" s="18"/>
      <c r="O9" s="18"/>
      <c r="P9" s="52" t="s">
        <v>193</v>
      </c>
      <c r="Q9" s="56">
        <f>VLOOKUP(Art!$B$33,Misc!I3:J6,2,FALSE)*'Score Weight'!L25</f>
        <v>2.8</v>
      </c>
      <c r="R9" s="61" t="s">
        <v>130</v>
      </c>
      <c r="S9" s="62">
        <f>T9/25</f>
        <v>0.8224</v>
      </c>
      <c r="T9" s="31">
        <f>SUM(Process!T1+Process!T2+Process!T3)</f>
        <v>20.56</v>
      </c>
      <c r="U9" s="33" t="s">
        <v>194</v>
      </c>
      <c r="V9" s="33">
        <f>ROUND(V8*'Score Weight'!L26,3)</f>
        <v>9.099</v>
      </c>
      <c r="W9" s="33">
        <f>ROUND(W8*'Score Weight'!L27,3)</f>
        <v>6</v>
      </c>
      <c r="X9" s="33">
        <f>ROUND(X8*'Score Weight'!L28,3)</f>
        <v>10</v>
      </c>
      <c r="Y9" s="33">
        <f>ROUND(Y8*'Score Weight'!L29,3)</f>
        <v>5.612</v>
      </c>
    </row>
    <row r="10" ht="15.6" spans="1:20">
      <c r="A10" s="29"/>
      <c r="B10" s="29" t="s">
        <v>195</v>
      </c>
      <c r="C10" s="29" t="s">
        <v>196</v>
      </c>
      <c r="D10" s="3" t="str">
        <f>IF(ABS(AVERAGE(B16,B12)-AVERAGE(B14,B18))&gt;0.2,"Yes","No")</f>
        <v>No</v>
      </c>
      <c r="E10" s="31" t="s">
        <v>5</v>
      </c>
      <c r="F10" s="31" t="s">
        <v>197</v>
      </c>
      <c r="G10" s="31" t="s">
        <v>198</v>
      </c>
      <c r="H10" s="32" t="s">
        <v>199</v>
      </c>
      <c r="I10" s="50"/>
      <c r="J10" s="53" t="s">
        <v>200</v>
      </c>
      <c r="K10" s="54"/>
      <c r="L10" s="50" t="str">
        <f>IF(ABS(Engineering!B19-AVERAGE(Engineering!B11:B18))&gt;0.3,"Yes","No")</f>
        <v>Yes</v>
      </c>
      <c r="M10" s="50"/>
      <c r="N10" s="18"/>
      <c r="O10" s="18"/>
      <c r="P10" s="18"/>
      <c r="Q10" s="18"/>
      <c r="R10" s="61" t="s">
        <v>142</v>
      </c>
      <c r="S10" s="62">
        <f>SUM(V9:Y9)/32</f>
        <v>0.95971875</v>
      </c>
      <c r="T10" s="31">
        <f>SUM(V9:Y9)</f>
        <v>30.711</v>
      </c>
    </row>
    <row r="11" ht="15.6" spans="1:20">
      <c r="A11" s="29">
        <v>1</v>
      </c>
      <c r="B11" s="33">
        <f>Basic!B11-$D$8</f>
        <v>0</v>
      </c>
      <c r="C11" s="33">
        <f>ABS(B11)</f>
        <v>0</v>
      </c>
      <c r="D11" s="3" t="s">
        <v>201</v>
      </c>
      <c r="E11" s="31">
        <v>1</v>
      </c>
      <c r="F11" s="34">
        <f>ABS(F2)</f>
        <v>0.0199999999999996</v>
      </c>
      <c r="G11" s="34">
        <f>ABS(G2)</f>
        <v>0</v>
      </c>
      <c r="H11" s="30">
        <f>LOOKUP(MAX(G11:G14),Misc!B11:B21,Misc!G11:G21)</f>
        <v>1</v>
      </c>
      <c r="I11" s="50"/>
      <c r="J11" s="53">
        <f>MAX(Engineering!B22:B27)-MIN(Engineering!B22:B27)</f>
        <v>0.110000000000001</v>
      </c>
      <c r="K11" s="54"/>
      <c r="L11" s="50" t="s">
        <v>202</v>
      </c>
      <c r="M11" s="50" t="s">
        <v>203</v>
      </c>
      <c r="N11" s="18"/>
      <c r="O11" s="18"/>
      <c r="P11" s="18"/>
      <c r="Q11" s="18"/>
      <c r="R11" s="18"/>
      <c r="S11" s="18"/>
      <c r="T11" s="18"/>
    </row>
    <row r="12" ht="15.6" spans="1:20">
      <c r="A12" s="29">
        <v>2</v>
      </c>
      <c r="B12" s="33">
        <f>Basic!B12-$D$8</f>
        <v>0</v>
      </c>
      <c r="C12" s="33">
        <f t="shared" ref="C12:C18" si="2">ABS(B12)</f>
        <v>0</v>
      </c>
      <c r="D12" s="3" t="str">
        <f>IF(D10="Yes","Your axis might be misaligned","All good")</f>
        <v>All good</v>
      </c>
      <c r="E12" s="31">
        <v>2</v>
      </c>
      <c r="F12" s="34">
        <f t="shared" ref="F12:F18" si="3">ABS(F3)</f>
        <v>0.0199999999999996</v>
      </c>
      <c r="G12" s="34">
        <f>ABS(G3)</f>
        <v>0</v>
      </c>
      <c r="H12" s="32" t="s">
        <v>204</v>
      </c>
      <c r="I12" s="18"/>
      <c r="J12" s="18"/>
      <c r="K12" s="18"/>
      <c r="L12" s="50" t="str">
        <f>IF(OR(MAX(Engineering!B11:B19)-MIN(Engineering!B11:B19)&gt;0.4,STDEV(Engineering!B11:B19)&gt;0.5),"Yes","No")</f>
        <v>Yes</v>
      </c>
      <c r="M12" s="50">
        <f>ROUND(M2*M4*(O2+O4)/2,2)</f>
        <v>0.44</v>
      </c>
      <c r="N12" s="18"/>
      <c r="O12" s="18"/>
      <c r="P12" s="18"/>
      <c r="Q12" s="18"/>
      <c r="R12" s="37" t="s">
        <v>144</v>
      </c>
      <c r="S12" s="55">
        <f>V8</f>
        <v>0.909944751381215</v>
      </c>
      <c r="T12" s="18"/>
    </row>
    <row r="13" ht="15.6" spans="1:20">
      <c r="A13" s="29">
        <v>3</v>
      </c>
      <c r="B13" s="33">
        <f>Basic!B13-$D$8</f>
        <v>0</v>
      </c>
      <c r="C13" s="33">
        <f t="shared" si="2"/>
        <v>0</v>
      </c>
      <c r="D13" s="35"/>
      <c r="E13" s="31">
        <v>3</v>
      </c>
      <c r="F13" s="34">
        <f t="shared" si="3"/>
        <v>0.0700000000000003</v>
      </c>
      <c r="G13" s="34">
        <f>ABS(G4)</f>
        <v>0</v>
      </c>
      <c r="H13" s="30" t="str">
        <f>LOOKUP(MAX(G11:G14),Misc!B11:B21,Misc!A11:A21)</f>
        <v>Perfect</v>
      </c>
      <c r="I13" s="18"/>
      <c r="J13" s="18"/>
      <c r="K13" s="18"/>
      <c r="L13" s="50" t="s">
        <v>205</v>
      </c>
      <c r="M13" s="50"/>
      <c r="N13" s="18"/>
      <c r="O13" s="18"/>
      <c r="P13" s="18"/>
      <c r="Q13" s="18"/>
      <c r="R13" s="37" t="s">
        <v>145</v>
      </c>
      <c r="S13" s="55">
        <f>W8</f>
        <v>1</v>
      </c>
      <c r="T13" s="18"/>
    </row>
    <row r="14" ht="15.6" spans="1:20">
      <c r="A14" s="29">
        <v>4</v>
      </c>
      <c r="B14" s="33">
        <f>Basic!B14-$D$8</f>
        <v>0</v>
      </c>
      <c r="C14" s="33">
        <f t="shared" si="2"/>
        <v>0</v>
      </c>
      <c r="D14" s="35"/>
      <c r="E14" s="31">
        <v>4</v>
      </c>
      <c r="F14" s="34">
        <f t="shared" si="3"/>
        <v>0.0800000000000001</v>
      </c>
      <c r="G14" s="34">
        <f>ABS(G5)</f>
        <v>0</v>
      </c>
      <c r="H14" s="18"/>
      <c r="I14" s="18"/>
      <c r="J14" s="18"/>
      <c r="K14" s="18"/>
      <c r="L14" s="50">
        <f>LOOKUP(J11,Misc!B11:B21,Misc!G11:G21)</f>
        <v>0.9</v>
      </c>
      <c r="M14" s="50"/>
      <c r="N14" s="18"/>
      <c r="O14" s="18"/>
      <c r="P14" s="18"/>
      <c r="Q14" s="18"/>
      <c r="R14" s="37" t="s">
        <v>101</v>
      </c>
      <c r="S14" s="55">
        <f>X8</f>
        <v>1</v>
      </c>
      <c r="T14" s="18"/>
    </row>
    <row r="15" ht="15.6" spans="1:20">
      <c r="A15" s="29">
        <v>5</v>
      </c>
      <c r="B15" s="33">
        <f>Basic!B15-$D$8</f>
        <v>0</v>
      </c>
      <c r="C15" s="33">
        <f t="shared" si="2"/>
        <v>0</v>
      </c>
      <c r="D15" s="35"/>
      <c r="E15" s="31">
        <v>5</v>
      </c>
      <c r="F15" s="34">
        <f t="shared" si="3"/>
        <v>0.0500000000000007</v>
      </c>
      <c r="G15" s="34"/>
      <c r="H15" s="18"/>
      <c r="I15" s="18"/>
      <c r="J15" s="18"/>
      <c r="K15" s="18"/>
      <c r="L15" s="50" t="s">
        <v>206</v>
      </c>
      <c r="M15" s="50"/>
      <c r="N15" s="18"/>
      <c r="O15" s="18"/>
      <c r="P15" s="18"/>
      <c r="Q15" s="18"/>
      <c r="R15" s="37" t="s">
        <v>106</v>
      </c>
      <c r="S15" s="55">
        <f>Y8</f>
        <v>0.935294117647059</v>
      </c>
      <c r="T15" s="18"/>
    </row>
    <row r="16" ht="15.6" spans="1:20">
      <c r="A16" s="29">
        <v>6</v>
      </c>
      <c r="B16" s="33">
        <f>Basic!B16-$D$8</f>
        <v>0</v>
      </c>
      <c r="C16" s="33">
        <f t="shared" si="2"/>
        <v>0</v>
      </c>
      <c r="D16" s="35"/>
      <c r="E16" s="31">
        <v>6</v>
      </c>
      <c r="F16" s="34">
        <f t="shared" si="3"/>
        <v>0.0500000000000007</v>
      </c>
      <c r="G16" s="34"/>
      <c r="H16" s="18"/>
      <c r="I16" s="18"/>
      <c r="J16" s="18"/>
      <c r="K16" s="18"/>
      <c r="L16" s="50" t="str">
        <f>LOOKUP(J11,Misc!B11:B21,Misc!A11:A21)</f>
        <v>IT9</v>
      </c>
      <c r="M16" s="50"/>
      <c r="N16" s="18"/>
      <c r="O16" s="18"/>
      <c r="P16" s="18"/>
      <c r="Q16" s="18"/>
      <c r="R16" s="18"/>
      <c r="S16" s="18"/>
      <c r="T16" s="18"/>
    </row>
    <row r="17" ht="15.6" spans="1:20">
      <c r="A17" s="29">
        <v>7</v>
      </c>
      <c r="B17" s="33">
        <f>Basic!B17-$D$8</f>
        <v>0</v>
      </c>
      <c r="C17" s="33">
        <f t="shared" si="2"/>
        <v>0</v>
      </c>
      <c r="D17" s="35"/>
      <c r="E17" s="31">
        <v>7</v>
      </c>
      <c r="F17" s="34">
        <f t="shared" si="3"/>
        <v>0.0399999999999991</v>
      </c>
      <c r="G17" s="3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ht="15.6" spans="1:20">
      <c r="A18" s="29">
        <v>8</v>
      </c>
      <c r="B18" s="33">
        <f>Basic!B18-$D$8</f>
        <v>0</v>
      </c>
      <c r="C18" s="33">
        <f t="shared" si="2"/>
        <v>0</v>
      </c>
      <c r="D18" s="35"/>
      <c r="E18" s="31">
        <v>8</v>
      </c>
      <c r="F18" s="34">
        <f t="shared" si="3"/>
        <v>0</v>
      </c>
      <c r="G18" s="34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ht="15.6" spans="1:22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63"/>
      <c r="V19" s="63"/>
    </row>
    <row r="20" ht="15.6" spans="1:20">
      <c r="A20" s="37" t="s">
        <v>5</v>
      </c>
      <c r="B20" s="37" t="s">
        <v>207</v>
      </c>
      <c r="C20" s="37" t="s">
        <v>208</v>
      </c>
      <c r="D20" s="37" t="s">
        <v>209</v>
      </c>
      <c r="E20" s="37" t="s">
        <v>5</v>
      </c>
      <c r="F20" s="37" t="s">
        <v>210</v>
      </c>
      <c r="G20" s="37" t="s">
        <v>211</v>
      </c>
      <c r="H20" s="37" t="s">
        <v>209</v>
      </c>
      <c r="I20" s="37" t="s">
        <v>5</v>
      </c>
      <c r="J20" s="37" t="s">
        <v>212</v>
      </c>
      <c r="K20" s="37" t="s">
        <v>213</v>
      </c>
      <c r="L20" s="37" t="s">
        <v>209</v>
      </c>
      <c r="M20" s="37" t="s">
        <v>124</v>
      </c>
      <c r="N20" s="37"/>
      <c r="O20" s="55">
        <f>Process!$M$4</f>
        <v>0.45</v>
      </c>
      <c r="P20" s="18"/>
      <c r="Q20" s="18"/>
      <c r="R20" s="18"/>
      <c r="S20" s="18"/>
      <c r="T20" s="18"/>
    </row>
    <row r="21" ht="15.6" spans="1:20">
      <c r="A21" s="37">
        <v>1</v>
      </c>
      <c r="B21" s="38">
        <f>Engineering!B63-MIN(Engineering!$B$63:$B$68)</f>
        <v>0.0400000000000063</v>
      </c>
      <c r="C21" s="38">
        <f>LOOKUP(ABS(MAX(B21:B26)),Misc!Q24:Q31,Misc!S24:S31)</f>
        <v>0.6</v>
      </c>
      <c r="D21" s="38">
        <f>MIN(Engineering!B63:B68)-80</f>
        <v>-0.180000000000007</v>
      </c>
      <c r="E21" s="37">
        <v>1</v>
      </c>
      <c r="F21" s="38">
        <f>MAX(Engineering!$B$71:$B$76)-Engineering!B71</f>
        <v>0.0499999999999972</v>
      </c>
      <c r="G21" s="38">
        <f>LOOKUP(MAX(F21:F26),Misc!L24:L33,Misc!M24:M33)</f>
        <v>0.7</v>
      </c>
      <c r="H21" s="38">
        <f>MIN(Engineering!B71:B76)-100</f>
        <v>-0.109999999999999</v>
      </c>
      <c r="I21" s="37">
        <v>1</v>
      </c>
      <c r="J21" s="38">
        <f>Engineering!B79-MIN(Engineering!$B$79:$B$84)</f>
        <v>0.0599999999999987</v>
      </c>
      <c r="K21" s="38">
        <f>LOOKUP(ABS(MAX(J21:J26)),Misc!O24:O31,Misc!S24:S31)</f>
        <v>0.4</v>
      </c>
      <c r="L21" s="38">
        <f>MIN(Engineering!B79:B84)-30</f>
        <v>-0.129999999999999</v>
      </c>
      <c r="M21" s="37" t="s">
        <v>125</v>
      </c>
      <c r="N21" s="37"/>
      <c r="O21" s="55">
        <f>Process!$M$2</f>
        <v>0.97</v>
      </c>
      <c r="P21" s="18"/>
      <c r="Q21" s="18"/>
      <c r="R21" s="18"/>
      <c r="S21" s="18"/>
      <c r="T21" s="18"/>
    </row>
    <row r="22" ht="15.6" spans="1:20">
      <c r="A22" s="37">
        <v>2</v>
      </c>
      <c r="B22" s="38">
        <f>Engineering!B64-MIN(Engineering!$B$63:$B$68)</f>
        <v>0.0500000000000114</v>
      </c>
      <c r="C22" s="37" t="s">
        <v>214</v>
      </c>
      <c r="D22" s="37" t="s">
        <v>215</v>
      </c>
      <c r="E22" s="37">
        <v>2</v>
      </c>
      <c r="F22" s="38">
        <f>MAX(Engineering!$B$71:$B$76)-Engineering!B72</f>
        <v>0.0100000000000051</v>
      </c>
      <c r="G22" s="38" t="s">
        <v>216</v>
      </c>
      <c r="H22" s="37" t="s">
        <v>215</v>
      </c>
      <c r="I22" s="37">
        <v>2</v>
      </c>
      <c r="J22" s="38">
        <f>Engineering!B80-MIN(Engineering!$B$79:$B$84)</f>
        <v>0.0799999999999983</v>
      </c>
      <c r="K22" s="37" t="s">
        <v>217</v>
      </c>
      <c r="L22" s="37" t="s">
        <v>218</v>
      </c>
      <c r="M22" s="37" t="s">
        <v>126</v>
      </c>
      <c r="N22" s="37"/>
      <c r="O22" s="55">
        <f>SUM(Process!$O$2+Process!$O$4)/2</f>
        <v>1</v>
      </c>
      <c r="P22" s="18"/>
      <c r="Q22" s="18"/>
      <c r="R22" s="18"/>
      <c r="S22" s="18"/>
      <c r="T22" s="18"/>
    </row>
    <row r="23" ht="15.6" spans="1:20">
      <c r="A23" s="37">
        <v>3</v>
      </c>
      <c r="B23" s="38">
        <f>Engineering!B65-MIN(Engineering!$B$63:$B$68)</f>
        <v>0</v>
      </c>
      <c r="C23" s="37">
        <f>LOOKUP(ABS(MAX(B21:B26)),Misc!Q24:Q31,Misc!N24:N31)</f>
        <v>9</v>
      </c>
      <c r="D23" s="38">
        <f>ABS(MAX(B28:B33))</f>
        <v>0.180000000000007</v>
      </c>
      <c r="E23" s="37">
        <v>3</v>
      </c>
      <c r="F23" s="38">
        <f>MAX(Engineering!$B$71:$B$76)-Engineering!B73</f>
        <v>0.019999999999996</v>
      </c>
      <c r="G23" s="39">
        <f>LOOKUP(MAX(F21:F26),Misc!L24:L33,Misc!I24:I33)</f>
        <v>8</v>
      </c>
      <c r="H23" s="38">
        <f>MAX(F28:F33)</f>
        <v>0.109999999999999</v>
      </c>
      <c r="I23" s="37">
        <v>3</v>
      </c>
      <c r="J23" s="38">
        <f>Engineering!B81-MIN(Engineering!$B$79:$B$84)</f>
        <v>0.0500000000000007</v>
      </c>
      <c r="K23" s="37">
        <f>LOOKUP(ABS(MAX(J21:J26)),Misc!O24:O31,Misc!N24:N31)</f>
        <v>10</v>
      </c>
      <c r="L23" s="38">
        <f>MAX(J28:J33)</f>
        <v>0.129999999999999</v>
      </c>
      <c r="M23" s="37" t="s">
        <v>127</v>
      </c>
      <c r="N23" s="37"/>
      <c r="O23" s="55">
        <f>Process!$L$14</f>
        <v>0.9</v>
      </c>
      <c r="P23" s="18"/>
      <c r="Q23" s="18"/>
      <c r="R23" s="18"/>
      <c r="S23" s="18"/>
      <c r="T23" s="18"/>
    </row>
    <row r="24" ht="15.6" spans="1:20">
      <c r="A24" s="37">
        <v>4</v>
      </c>
      <c r="B24" s="38">
        <f>Engineering!B66-MIN(Engineering!$B$63:$B$68)</f>
        <v>0.0900000000000034</v>
      </c>
      <c r="C24" s="37" t="s">
        <v>219</v>
      </c>
      <c r="D24" s="37" t="s">
        <v>220</v>
      </c>
      <c r="E24" s="37">
        <v>4</v>
      </c>
      <c r="F24" s="38">
        <f>MAX(Engineering!$B$71:$B$76)-Engineering!B74</f>
        <v>0.0799999999999983</v>
      </c>
      <c r="G24" s="38" t="s">
        <v>221</v>
      </c>
      <c r="H24" s="38" t="s">
        <v>222</v>
      </c>
      <c r="I24" s="37">
        <v>4</v>
      </c>
      <c r="J24" s="38">
        <f>Engineering!B82-MIN(Engineering!$B$79:$B$84)</f>
        <v>0</v>
      </c>
      <c r="K24" s="37" t="s">
        <v>219</v>
      </c>
      <c r="L24" s="37" t="s">
        <v>223</v>
      </c>
      <c r="M24" s="37" t="s">
        <v>128</v>
      </c>
      <c r="N24" s="37"/>
      <c r="O24" s="55">
        <f>Process!$C$43</f>
        <v>0.75</v>
      </c>
      <c r="P24" s="18"/>
      <c r="Q24" s="18"/>
      <c r="R24" s="18"/>
      <c r="S24" s="18"/>
      <c r="T24" s="18"/>
    </row>
    <row r="25" ht="16.35" spans="1:20">
      <c r="A25" s="37">
        <v>5</v>
      </c>
      <c r="B25" s="38">
        <f>Engineering!B67-MIN(Engineering!$B$63:$B$68)</f>
        <v>0.0200000000000102</v>
      </c>
      <c r="C25" s="40" t="str">
        <f>IF(MIN(Engineering!B63:B68)&lt;80,"Yes","No")</f>
        <v>Yes</v>
      </c>
      <c r="D25" s="40">
        <f>VLOOKUP(C25,Misc!M2:N3,2,FALSE)*LOOKUP(D23,Misc!F11:F21,Misc!G11:G21)</f>
        <v>0.4</v>
      </c>
      <c r="E25" s="37">
        <v>5</v>
      </c>
      <c r="F25" s="38">
        <f>MAX(Engineering!$B$71:$B$76)-Engineering!B75</f>
        <v>0.0699999999999932</v>
      </c>
      <c r="G25" s="41" t="str">
        <f>IF(MAX(Engineering!B71:B76)&gt;100,"Yes","No")</f>
        <v>No</v>
      </c>
      <c r="H25" s="40">
        <f>VLOOKUP(G25,Misc!M2:N3,2,FALSE)*LOOKUP(H23,Misc!B11:B21,Misc!G11:G21)</f>
        <v>0.9</v>
      </c>
      <c r="I25" s="37">
        <v>5</v>
      </c>
      <c r="J25" s="38">
        <f>Engineering!B83-MIN(Engineering!$B$79:$B$84)</f>
        <v>0.0599999999999987</v>
      </c>
      <c r="K25" s="40" t="str">
        <f>IF(MIN(Engineering!B79:B84)&lt;30,"Yes","No")</f>
        <v>Yes</v>
      </c>
      <c r="L25" s="41">
        <f>VLOOKUP(K25,Misc!M2:N3,2,FALSE)*LOOKUP(L23,Misc!D11:D21,Misc!G11:G21)</f>
        <v>0.4</v>
      </c>
      <c r="M25" s="37" t="s">
        <v>129</v>
      </c>
      <c r="N25" s="37"/>
      <c r="O25" s="55">
        <f>Process!$D$43</f>
        <v>0.46</v>
      </c>
      <c r="P25" s="18"/>
      <c r="Q25" s="18"/>
      <c r="R25" s="18"/>
      <c r="S25" s="18"/>
      <c r="T25" s="18"/>
    </row>
    <row r="26" ht="16.35" spans="1:20">
      <c r="A26" s="37">
        <v>6</v>
      </c>
      <c r="B26" s="42">
        <f>Engineering!B68-MIN(Engineering!$B$63:$B$68)</f>
        <v>0.0600000000000023</v>
      </c>
      <c r="C26" s="43" t="s">
        <v>224</v>
      </c>
      <c r="D26" s="44" t="str">
        <f>LOOKUP(D23,Misc!F11:F21,Misc!A11:A21)</f>
        <v>IT10</v>
      </c>
      <c r="E26" s="45">
        <v>6</v>
      </c>
      <c r="F26" s="42">
        <f>MAX(Engineering!$B$71:$B$76)-Engineering!B76</f>
        <v>0</v>
      </c>
      <c r="G26" s="46" t="s">
        <v>224</v>
      </c>
      <c r="H26" s="47" t="str">
        <f>LOOKUP(H23,Misc!B11:B21,Misc!A11:A21)</f>
        <v>IT9</v>
      </c>
      <c r="I26" s="45">
        <v>6</v>
      </c>
      <c r="J26" s="42">
        <f>Engineering!B84-MIN(Engineering!$B$79:$B$84)</f>
        <v>0.0999999999999979</v>
      </c>
      <c r="K26" s="43" t="s">
        <v>224</v>
      </c>
      <c r="L26" s="44" t="str">
        <f>LOOKUP(L23,Misc!D11:D21,Misc!A11:A21)</f>
        <v>IT10</v>
      </c>
      <c r="M26" s="18"/>
      <c r="N26" s="18"/>
      <c r="O26" s="18"/>
      <c r="P26" s="18"/>
      <c r="Q26" s="18"/>
      <c r="R26" s="18"/>
      <c r="S26" s="18"/>
      <c r="T26" s="18"/>
    </row>
    <row r="27" ht="15.6" spans="1:20">
      <c r="A27" s="37" t="s">
        <v>5</v>
      </c>
      <c r="B27" s="37" t="s">
        <v>225</v>
      </c>
      <c r="C27" s="35"/>
      <c r="D27" s="35"/>
      <c r="E27" s="37" t="s">
        <v>5</v>
      </c>
      <c r="F27" s="37" t="s">
        <v>225</v>
      </c>
      <c r="G27" s="35"/>
      <c r="H27" s="35"/>
      <c r="I27" s="37" t="s">
        <v>5</v>
      </c>
      <c r="J27" s="37" t="s">
        <v>225</v>
      </c>
      <c r="K27" s="35"/>
      <c r="L27" s="35"/>
      <c r="M27" s="18"/>
      <c r="N27" s="18"/>
      <c r="O27" s="18"/>
      <c r="P27" s="18"/>
      <c r="Q27" s="18"/>
      <c r="R27" s="18"/>
      <c r="S27" s="18"/>
      <c r="T27" s="18"/>
    </row>
    <row r="28" ht="15.6" spans="1:20">
      <c r="A28" s="37">
        <v>1</v>
      </c>
      <c r="B28" s="37">
        <f>ABS(Engineering!B63-80)</f>
        <v>0.140000000000001</v>
      </c>
      <c r="C28" s="35"/>
      <c r="D28" s="35"/>
      <c r="E28" s="37">
        <v>1</v>
      </c>
      <c r="F28" s="38">
        <f>ABS(Engineering!B71-100)</f>
        <v>0.0799999999999983</v>
      </c>
      <c r="G28" s="35"/>
      <c r="H28" s="35"/>
      <c r="I28" s="37">
        <v>1</v>
      </c>
      <c r="J28" s="38">
        <f>ABS(Engineering!B79-30)</f>
        <v>0.0700000000000003</v>
      </c>
      <c r="K28" s="35"/>
      <c r="L28" s="35"/>
      <c r="M28" s="18"/>
      <c r="N28" s="18"/>
      <c r="O28" s="18"/>
      <c r="P28" s="18"/>
      <c r="Q28" s="18"/>
      <c r="R28" s="18"/>
      <c r="S28" s="18"/>
      <c r="T28" s="18"/>
    </row>
    <row r="29" ht="15.6" spans="1:20">
      <c r="A29" s="37">
        <v>2</v>
      </c>
      <c r="B29" s="37">
        <f>ABS(Engineering!B64-80)</f>
        <v>0.129999999999995</v>
      </c>
      <c r="C29" s="35"/>
      <c r="D29" s="35"/>
      <c r="E29" s="37">
        <v>2</v>
      </c>
      <c r="F29" s="38">
        <f>ABS(Engineering!B72-100)</f>
        <v>0.0400000000000063</v>
      </c>
      <c r="G29" s="35"/>
      <c r="H29" s="35"/>
      <c r="I29" s="37">
        <v>2</v>
      </c>
      <c r="J29" s="38">
        <f>ABS(Engineering!B80-30)</f>
        <v>0.0500000000000007</v>
      </c>
      <c r="K29" s="35"/>
      <c r="L29" s="35"/>
      <c r="M29" s="18"/>
      <c r="N29" s="18"/>
      <c r="O29" s="18"/>
      <c r="P29" s="18"/>
      <c r="Q29" s="18"/>
      <c r="R29" s="18"/>
      <c r="S29" s="18"/>
      <c r="T29" s="18"/>
    </row>
    <row r="30" ht="15.6" spans="1:20">
      <c r="A30" s="37">
        <v>3</v>
      </c>
      <c r="B30" s="37">
        <f>ABS(Engineering!B65-80)</f>
        <v>0.180000000000007</v>
      </c>
      <c r="C30" s="35"/>
      <c r="D30" s="35"/>
      <c r="E30" s="37">
        <v>3</v>
      </c>
      <c r="F30" s="38">
        <f>ABS(Engineering!B73-100)</f>
        <v>0.0499999999999972</v>
      </c>
      <c r="G30" s="35"/>
      <c r="H30" s="35"/>
      <c r="I30" s="37">
        <v>3</v>
      </c>
      <c r="J30" s="38">
        <f>ABS(Engineering!B81-30)</f>
        <v>0.0799999999999983</v>
      </c>
      <c r="K30" s="35"/>
      <c r="L30" s="35"/>
      <c r="M30" s="18"/>
      <c r="N30" s="18"/>
      <c r="O30" s="18"/>
      <c r="P30" s="18"/>
      <c r="Q30" s="18"/>
      <c r="R30" s="18"/>
      <c r="S30" s="18"/>
      <c r="T30" s="18"/>
    </row>
    <row r="31" ht="15.6" spans="1:20">
      <c r="A31" s="37">
        <v>4</v>
      </c>
      <c r="B31" s="37">
        <f>ABS(Engineering!B66-80)</f>
        <v>0.0900000000000034</v>
      </c>
      <c r="C31" s="35"/>
      <c r="D31" s="35"/>
      <c r="E31" s="37">
        <v>4</v>
      </c>
      <c r="F31" s="38">
        <f>ABS(Engineering!B74-100)</f>
        <v>0.109999999999999</v>
      </c>
      <c r="G31" s="35"/>
      <c r="H31" s="35"/>
      <c r="I31" s="37">
        <v>4</v>
      </c>
      <c r="J31" s="38">
        <f>ABS(Engineering!B82-30)</f>
        <v>0.129999999999999</v>
      </c>
      <c r="K31" s="35"/>
      <c r="L31" s="35"/>
      <c r="M31" s="18"/>
      <c r="N31" s="18"/>
      <c r="O31" s="18"/>
      <c r="P31" s="18"/>
      <c r="Q31" s="18"/>
      <c r="R31" s="18"/>
      <c r="S31" s="18"/>
      <c r="T31" s="18"/>
    </row>
    <row r="32" ht="15.6" spans="1:20">
      <c r="A32" s="37">
        <v>5</v>
      </c>
      <c r="B32" s="37">
        <f>ABS(Engineering!B67-80)</f>
        <v>0.159999999999997</v>
      </c>
      <c r="C32" s="35"/>
      <c r="D32" s="35"/>
      <c r="E32" s="37">
        <v>5</v>
      </c>
      <c r="F32" s="38">
        <f>ABS(Engineering!B75-100)</f>
        <v>0.0999999999999943</v>
      </c>
      <c r="G32" s="35"/>
      <c r="H32" s="35"/>
      <c r="I32" s="37">
        <v>5</v>
      </c>
      <c r="J32" s="38">
        <f>ABS(Engineering!B83-30)</f>
        <v>0.0700000000000003</v>
      </c>
      <c r="K32" s="35"/>
      <c r="L32" s="35"/>
      <c r="M32" s="18"/>
      <c r="N32" s="18"/>
      <c r="O32" s="18"/>
      <c r="P32" s="18"/>
      <c r="Q32" s="18"/>
      <c r="R32" s="18"/>
      <c r="S32" s="18"/>
      <c r="T32" s="18"/>
    </row>
    <row r="33" ht="15.6" spans="1:20">
      <c r="A33" s="37">
        <v>6</v>
      </c>
      <c r="B33" s="37">
        <f>ABS(Engineering!B68-80)</f>
        <v>0.120000000000005</v>
      </c>
      <c r="C33" s="35"/>
      <c r="D33" s="35"/>
      <c r="E33" s="37">
        <v>6</v>
      </c>
      <c r="F33" s="38">
        <f>ABS(Engineering!B76-100)</f>
        <v>0.0300000000000011</v>
      </c>
      <c r="G33" s="35"/>
      <c r="H33" s="35"/>
      <c r="I33" s="37">
        <v>6</v>
      </c>
      <c r="J33" s="38">
        <f>ABS(Engineering!B84-30)</f>
        <v>0.0300000000000011</v>
      </c>
      <c r="K33" s="35"/>
      <c r="L33" s="35"/>
      <c r="M33" s="18"/>
      <c r="N33" s="18"/>
      <c r="O33" s="18"/>
      <c r="P33" s="18"/>
      <c r="Q33" s="18"/>
      <c r="R33" s="18"/>
      <c r="S33" s="18"/>
      <c r="T33" s="18"/>
    </row>
    <row r="34" ht="15.6" spans="1:20">
      <c r="A34" s="37" t="s">
        <v>5</v>
      </c>
      <c r="B34" s="37" t="s">
        <v>226</v>
      </c>
      <c r="C34" s="37" t="s">
        <v>227</v>
      </c>
      <c r="D34" s="37" t="s">
        <v>209</v>
      </c>
      <c r="E34" s="35"/>
      <c r="F34" s="35"/>
      <c r="G34" s="35"/>
      <c r="H34" s="35"/>
      <c r="I34" s="35"/>
      <c r="J34" s="35"/>
      <c r="K34" s="35"/>
      <c r="L34" s="35"/>
      <c r="M34" s="18"/>
      <c r="N34" s="18"/>
      <c r="O34" s="18"/>
      <c r="P34" s="18"/>
      <c r="Q34" s="18"/>
      <c r="R34" s="18"/>
      <c r="S34" s="18"/>
      <c r="T34" s="18"/>
    </row>
    <row r="35" ht="15.6" spans="1:20">
      <c r="A35" s="37">
        <v>1</v>
      </c>
      <c r="B35" s="38">
        <f>MAX(Engineering!$B$87:$B$92)-Engineering!B87</f>
        <v>0</v>
      </c>
      <c r="C35" s="38">
        <f>LOOKUP(MAX(B35:B40),Misc!J24:J33,Misc!M24:M33)</f>
        <v>0.6</v>
      </c>
      <c r="D35" s="38">
        <f>MIN(Engineering!B87:B92)-50</f>
        <v>-0.0900000000000034</v>
      </c>
      <c r="E35" s="35"/>
      <c r="F35" s="35"/>
      <c r="G35" s="35"/>
      <c r="H35" s="35"/>
      <c r="I35" s="35"/>
      <c r="J35" s="35"/>
      <c r="K35" s="35"/>
      <c r="L35" s="35"/>
      <c r="M35" s="18"/>
      <c r="N35" s="18"/>
      <c r="O35" s="18"/>
      <c r="P35" s="18"/>
      <c r="Q35" s="18"/>
      <c r="R35" s="18"/>
      <c r="S35" s="18"/>
      <c r="T35" s="18"/>
    </row>
    <row r="36" ht="15.6" spans="1:20">
      <c r="A36" s="37">
        <v>2</v>
      </c>
      <c r="B36" s="38">
        <f>MAX(Engineering!$B$87:$B$92)-Engineering!B88</f>
        <v>0.0700000000000003</v>
      </c>
      <c r="C36" s="38" t="s">
        <v>228</v>
      </c>
      <c r="D36" s="37" t="s">
        <v>229</v>
      </c>
      <c r="E36" s="35"/>
      <c r="F36" s="35"/>
      <c r="G36" s="35"/>
      <c r="H36" s="35"/>
      <c r="I36" s="35"/>
      <c r="J36" s="35"/>
      <c r="K36" s="35"/>
      <c r="L36" s="35"/>
      <c r="M36" s="18"/>
      <c r="N36" s="18"/>
      <c r="O36" s="18"/>
      <c r="P36" s="18"/>
      <c r="Q36" s="18"/>
      <c r="R36" s="18"/>
      <c r="S36" s="18"/>
      <c r="T36" s="18"/>
    </row>
    <row r="37" ht="15.6" spans="1:20">
      <c r="A37" s="37">
        <v>3</v>
      </c>
      <c r="B37" s="38">
        <f>MAX(Engineering!$B$87:$B$92)-Engineering!B89</f>
        <v>0.019999999999996</v>
      </c>
      <c r="C37" s="39">
        <f>LOOKUP(MAX(B35:B40),Misc!J24:J33,Misc!I24:I33)</f>
        <v>9</v>
      </c>
      <c r="D37" s="38">
        <f>ABS(MAX(B42:B47))</f>
        <v>0.0900000000000034</v>
      </c>
      <c r="E37" s="35"/>
      <c r="F37" s="35"/>
      <c r="G37" s="35"/>
      <c r="H37" s="35"/>
      <c r="I37" s="35"/>
      <c r="J37" s="35"/>
      <c r="K37" s="35"/>
      <c r="L37" s="35"/>
      <c r="M37" s="18"/>
      <c r="N37" s="18"/>
      <c r="O37" s="18"/>
      <c r="P37" s="18"/>
      <c r="Q37" s="18"/>
      <c r="R37" s="18"/>
      <c r="S37" s="18"/>
      <c r="T37" s="18"/>
    </row>
    <row r="38" ht="15.6" spans="1:20">
      <c r="A38" s="37">
        <v>4</v>
      </c>
      <c r="B38" s="38">
        <f>MAX(Engineering!$B$87:$B$92)-Engineering!B90</f>
        <v>0.0599999999999952</v>
      </c>
      <c r="C38" s="38" t="s">
        <v>221</v>
      </c>
      <c r="D38" s="38" t="s">
        <v>230</v>
      </c>
      <c r="E38" s="35"/>
      <c r="F38" s="35"/>
      <c r="G38" s="35"/>
      <c r="H38" s="35"/>
      <c r="I38" s="35"/>
      <c r="J38" s="35"/>
      <c r="K38" s="35"/>
      <c r="L38" s="35"/>
      <c r="M38" s="18"/>
      <c r="N38" s="18"/>
      <c r="O38" s="18"/>
      <c r="P38" s="18"/>
      <c r="Q38" s="18"/>
      <c r="R38" s="18"/>
      <c r="S38" s="18"/>
      <c r="T38" s="18"/>
    </row>
    <row r="39" ht="16.35" spans="1:20">
      <c r="A39" s="37">
        <v>5</v>
      </c>
      <c r="B39" s="38">
        <f>MAX(Engineering!$B$87:$B$92)-Engineering!B91</f>
        <v>0.0399999999999991</v>
      </c>
      <c r="C39" s="41" t="str">
        <f>IF(MAX(Engineering!B87:B92)&gt;50,"Yes","No")</f>
        <v>No</v>
      </c>
      <c r="D39" s="40">
        <f>VLOOKUP(C39,Misc!M2:N3,2,FALSE)*LOOKUP(D37,Misc!E11:E21,Misc!G11:G21)</f>
        <v>0.9</v>
      </c>
      <c r="E39" s="35"/>
      <c r="F39" s="35"/>
      <c r="G39" s="35"/>
      <c r="H39" s="35"/>
      <c r="I39" s="35"/>
      <c r="J39" s="35"/>
      <c r="K39" s="35"/>
      <c r="L39" s="35"/>
      <c r="M39" s="18"/>
      <c r="N39" s="18"/>
      <c r="O39" s="18"/>
      <c r="P39" s="18"/>
      <c r="Q39" s="18"/>
      <c r="R39" s="18"/>
      <c r="S39" s="18"/>
      <c r="T39" s="18"/>
    </row>
    <row r="40" ht="16.35" spans="1:20">
      <c r="A40" s="37">
        <v>6</v>
      </c>
      <c r="B40" s="42">
        <f>MAX(Engineering!$B$87:$B$92)-Engineering!B92</f>
        <v>0.029999999999994</v>
      </c>
      <c r="C40" s="46" t="s">
        <v>224</v>
      </c>
      <c r="D40" s="44" t="str">
        <f>LOOKUP(D37,Misc!E11:E21,Misc!A11:A21)</f>
        <v>IT9</v>
      </c>
      <c r="E40" s="35"/>
      <c r="F40" s="35"/>
      <c r="G40" s="35"/>
      <c r="H40" s="35"/>
      <c r="I40" s="35"/>
      <c r="J40" s="35"/>
      <c r="K40" s="35"/>
      <c r="L40" s="35"/>
      <c r="M40" s="18"/>
      <c r="N40" s="18"/>
      <c r="O40" s="18"/>
      <c r="P40" s="18"/>
      <c r="Q40" s="18"/>
      <c r="R40" s="18"/>
      <c r="S40" s="18"/>
      <c r="T40" s="18"/>
    </row>
    <row r="41" ht="15.6" spans="1:20">
      <c r="A41" s="37" t="s">
        <v>5</v>
      </c>
      <c r="B41" s="37" t="s">
        <v>225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18"/>
      <c r="N41" s="18"/>
      <c r="O41" s="18"/>
      <c r="P41" s="18"/>
      <c r="Q41" s="18"/>
      <c r="R41" s="18"/>
      <c r="S41" s="18"/>
      <c r="T41" s="18"/>
    </row>
    <row r="42" ht="15.6" spans="1:20">
      <c r="A42" s="37">
        <v>1</v>
      </c>
      <c r="B42" s="38">
        <f>ABS(Engineering!B87-50)</f>
        <v>0.0200000000000031</v>
      </c>
      <c r="C42" s="38" t="s">
        <v>128</v>
      </c>
      <c r="D42" s="38" t="s">
        <v>129</v>
      </c>
      <c r="E42" s="35"/>
      <c r="F42" s="35"/>
      <c r="G42" s="35"/>
      <c r="H42" s="35"/>
      <c r="I42" s="35"/>
      <c r="J42" s="35"/>
      <c r="K42" s="35"/>
      <c r="L42" s="35"/>
      <c r="M42" s="18"/>
      <c r="N42" s="18"/>
      <c r="O42" s="18"/>
      <c r="P42" s="18"/>
      <c r="Q42" s="18"/>
      <c r="R42" s="18"/>
      <c r="S42" s="18"/>
      <c r="T42" s="18"/>
    </row>
    <row r="43" ht="15.6" spans="1:20">
      <c r="A43" s="37">
        <v>2</v>
      </c>
      <c r="B43" s="38">
        <f>ABS(Engineering!B88-50)</f>
        <v>0.0900000000000034</v>
      </c>
      <c r="C43" s="38">
        <f>(G21+C35)*0.3+(H25+D39)*0.2</f>
        <v>0.75</v>
      </c>
      <c r="D43" s="38">
        <f>(C21+K21)*0.3+(D25+L25)*0.2</f>
        <v>0.46</v>
      </c>
      <c r="E43" s="35"/>
      <c r="F43" s="35"/>
      <c r="G43" s="35"/>
      <c r="H43" s="35"/>
      <c r="I43" s="35"/>
      <c r="J43" s="35"/>
      <c r="K43" s="35"/>
      <c r="L43" s="35"/>
      <c r="M43" s="18"/>
      <c r="N43" s="18"/>
      <c r="O43" s="18"/>
      <c r="P43" s="18"/>
      <c r="Q43" s="18"/>
      <c r="R43" s="18"/>
      <c r="S43" s="18"/>
      <c r="T43" s="18"/>
    </row>
    <row r="44" ht="15.6" spans="1:20">
      <c r="A44" s="37">
        <v>3</v>
      </c>
      <c r="B44" s="38">
        <f>ABS(Engineering!B89-50)</f>
        <v>0.0399999999999991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18"/>
      <c r="N44" s="18"/>
      <c r="O44" s="18"/>
      <c r="P44" s="18"/>
      <c r="Q44" s="18"/>
      <c r="R44" s="18"/>
      <c r="S44" s="18"/>
      <c r="T44" s="18"/>
    </row>
    <row r="45" ht="15.6" spans="1:20">
      <c r="A45" s="37">
        <v>4</v>
      </c>
      <c r="B45" s="38">
        <f>ABS(Engineering!B90-50)</f>
        <v>0.0799999999999983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18"/>
      <c r="N45" s="18"/>
      <c r="O45" s="18"/>
      <c r="P45" s="18"/>
      <c r="Q45" s="18"/>
      <c r="R45" s="18"/>
      <c r="S45" s="18"/>
      <c r="T45" s="18"/>
    </row>
    <row r="46" ht="15.6" spans="1:20">
      <c r="A46" s="37">
        <v>5</v>
      </c>
      <c r="B46" s="38">
        <f>ABS(Engineering!B91-50)</f>
        <v>0.0600000000000023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18"/>
      <c r="N46" s="18"/>
      <c r="O46" s="18"/>
      <c r="P46" s="18"/>
      <c r="Q46" s="18"/>
      <c r="R46" s="18"/>
      <c r="S46" s="18"/>
      <c r="T46" s="18"/>
    </row>
    <row r="47" ht="15.6" spans="1:20">
      <c r="A47" s="37">
        <v>6</v>
      </c>
      <c r="B47" s="38">
        <f>ABS(Engineering!B92-50)</f>
        <v>0.0499999999999972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18"/>
      <c r="N47" s="18"/>
      <c r="O47" s="18"/>
      <c r="P47" s="18"/>
      <c r="Q47" s="18"/>
      <c r="R47" s="18"/>
      <c r="S47" s="18"/>
      <c r="T47" s="18"/>
    </row>
    <row r="50" spans="1:4">
      <c r="A50" s="48"/>
      <c r="B50" s="48"/>
      <c r="C50" s="48"/>
      <c r="D50" s="48"/>
    </row>
    <row r="52" spans="3:3">
      <c r="C52" s="49"/>
    </row>
    <row r="53" spans="3:3">
      <c r="C53" s="49"/>
    </row>
    <row r="54" spans="3:3">
      <c r="C54" s="49"/>
    </row>
    <row r="55" spans="3:3">
      <c r="C55" s="49"/>
    </row>
    <row r="56" spans="3:3">
      <c r="C56" s="49"/>
    </row>
    <row r="57" spans="3:3">
      <c r="C57" s="49"/>
    </row>
  </sheetData>
  <mergeCells count="7">
    <mergeCell ref="U1:Y1"/>
    <mergeCell ref="M20:N20"/>
    <mergeCell ref="M21:N21"/>
    <mergeCell ref="M22:N22"/>
    <mergeCell ref="M23:N23"/>
    <mergeCell ref="M24:N24"/>
    <mergeCell ref="M25:N2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3"/>
  <sheetViews>
    <sheetView workbookViewId="0">
      <selection activeCell="H10" sqref="H9:L10"/>
    </sheetView>
  </sheetViews>
  <sheetFormatPr defaultColWidth="8.88888888888889" defaultRowHeight="14.4"/>
  <cols>
    <col min="2" max="2" width="12.7777777777778" customWidth="1"/>
    <col min="5" max="5" width="12.2222222222222" customWidth="1"/>
    <col min="7" max="7" width="10.4444444444444" customWidth="1"/>
    <col min="8" max="8" width="10.1111111111111" customWidth="1"/>
  </cols>
  <sheetData>
    <row r="1" ht="15.6" spans="1:18">
      <c r="A1" s="5" t="s">
        <v>231</v>
      </c>
      <c r="B1" s="5"/>
      <c r="C1" s="5" t="s">
        <v>232</v>
      </c>
      <c r="D1" s="5"/>
      <c r="E1" s="6" t="s">
        <v>233</v>
      </c>
      <c r="F1" s="7"/>
      <c r="G1" s="5" t="s">
        <v>234</v>
      </c>
      <c r="H1" s="5"/>
      <c r="I1" s="5" t="s">
        <v>235</v>
      </c>
      <c r="J1" s="5"/>
      <c r="K1" s="5" t="s">
        <v>236</v>
      </c>
      <c r="L1" s="5"/>
      <c r="M1" s="5" t="s">
        <v>237</v>
      </c>
      <c r="N1" s="5"/>
      <c r="O1" s="5" t="s">
        <v>139</v>
      </c>
      <c r="P1" s="5"/>
      <c r="Q1" s="6" t="s">
        <v>238</v>
      </c>
      <c r="R1" s="27"/>
    </row>
    <row r="2" ht="15.6" spans="1:18">
      <c r="A2" s="5" t="s">
        <v>108</v>
      </c>
      <c r="B2" s="5">
        <v>1</v>
      </c>
      <c r="C2" s="5" t="s">
        <v>239</v>
      </c>
      <c r="D2" s="5" t="s">
        <v>19</v>
      </c>
      <c r="E2" s="5" t="s">
        <v>79</v>
      </c>
      <c r="F2" s="5" t="s">
        <v>19</v>
      </c>
      <c r="G2" s="5" t="s">
        <v>189</v>
      </c>
      <c r="H2" s="5" t="s">
        <v>19</v>
      </c>
      <c r="I2" s="5" t="s">
        <v>189</v>
      </c>
      <c r="J2" s="5" t="s">
        <v>19</v>
      </c>
      <c r="K2" s="5" t="s">
        <v>108</v>
      </c>
      <c r="L2" s="5">
        <v>0</v>
      </c>
      <c r="M2" s="5" t="s">
        <v>108</v>
      </c>
      <c r="N2" s="5">
        <v>0.5</v>
      </c>
      <c r="O2" s="5" t="s">
        <v>189</v>
      </c>
      <c r="P2" s="5" t="s">
        <v>19</v>
      </c>
      <c r="Q2" s="5" t="s">
        <v>79</v>
      </c>
      <c r="R2" s="5" t="s">
        <v>19</v>
      </c>
    </row>
    <row r="3" ht="15.6" spans="1:18">
      <c r="A3" s="5" t="s">
        <v>240</v>
      </c>
      <c r="B3" s="5">
        <v>0.3</v>
      </c>
      <c r="C3" s="5">
        <v>0</v>
      </c>
      <c r="D3" s="8">
        <v>0</v>
      </c>
      <c r="E3" s="9" t="s">
        <v>112</v>
      </c>
      <c r="F3" s="10">
        <v>1</v>
      </c>
      <c r="G3" s="5" t="s">
        <v>241</v>
      </c>
      <c r="H3" s="8">
        <v>1</v>
      </c>
      <c r="I3" s="5" t="s">
        <v>242</v>
      </c>
      <c r="J3" s="8">
        <v>1</v>
      </c>
      <c r="K3" s="5" t="s">
        <v>74</v>
      </c>
      <c r="L3" s="5">
        <v>1</v>
      </c>
      <c r="M3" s="5" t="s">
        <v>74</v>
      </c>
      <c r="N3" s="5">
        <v>1</v>
      </c>
      <c r="O3" s="5">
        <v>4</v>
      </c>
      <c r="P3" s="8">
        <v>1</v>
      </c>
      <c r="Q3" s="9" t="s">
        <v>243</v>
      </c>
      <c r="R3" s="10">
        <v>1</v>
      </c>
    </row>
    <row r="4" ht="15.6" spans="1:18">
      <c r="A4" s="5" t="s">
        <v>74</v>
      </c>
      <c r="B4" s="5">
        <v>0</v>
      </c>
      <c r="C4" s="5">
        <v>1</v>
      </c>
      <c r="D4" s="8">
        <v>0.2</v>
      </c>
      <c r="E4" s="9" t="s">
        <v>244</v>
      </c>
      <c r="F4" s="10">
        <v>0.6</v>
      </c>
      <c r="G4" s="5" t="s">
        <v>245</v>
      </c>
      <c r="H4" s="8">
        <v>0.7</v>
      </c>
      <c r="I4" s="5" t="s">
        <v>115</v>
      </c>
      <c r="J4" s="8">
        <v>0.7</v>
      </c>
      <c r="K4" s="5" t="s">
        <v>246</v>
      </c>
      <c r="L4" s="5"/>
      <c r="M4" s="5" t="s">
        <v>247</v>
      </c>
      <c r="N4" s="5"/>
      <c r="O4" s="5">
        <v>3</v>
      </c>
      <c r="P4" s="8">
        <v>0.75</v>
      </c>
      <c r="Q4" s="9" t="s">
        <v>105</v>
      </c>
      <c r="R4" s="10">
        <v>0.7</v>
      </c>
    </row>
    <row r="5" ht="15.6" spans="1:18">
      <c r="A5" s="5"/>
      <c r="B5" s="5"/>
      <c r="C5" s="5">
        <v>2</v>
      </c>
      <c r="D5" s="8">
        <v>0.4</v>
      </c>
      <c r="E5" s="9" t="str">
        <f>"Bad"</f>
        <v>Bad</v>
      </c>
      <c r="F5" s="10">
        <v>0.2</v>
      </c>
      <c r="G5" s="5" t="s">
        <v>240</v>
      </c>
      <c r="H5" s="8">
        <v>0.5</v>
      </c>
      <c r="I5" s="5" t="s">
        <v>248</v>
      </c>
      <c r="J5" s="8">
        <v>0.5</v>
      </c>
      <c r="K5" s="5" t="s">
        <v>108</v>
      </c>
      <c r="L5" s="5">
        <v>1</v>
      </c>
      <c r="M5" s="5" t="s">
        <v>108</v>
      </c>
      <c r="N5" s="5">
        <v>0.5</v>
      </c>
      <c r="O5" s="5">
        <v>2</v>
      </c>
      <c r="P5" s="8">
        <v>0.5</v>
      </c>
      <c r="Q5" s="9" t="s">
        <v>249</v>
      </c>
      <c r="R5" s="10">
        <v>0.5</v>
      </c>
    </row>
    <row r="6" ht="15.6" spans="1:18">
      <c r="A6" s="11"/>
      <c r="B6" s="11"/>
      <c r="C6" s="5">
        <v>3</v>
      </c>
      <c r="D6" s="8">
        <v>0.6</v>
      </c>
      <c r="E6" s="9" t="str">
        <f>"Fail"</f>
        <v>Fail</v>
      </c>
      <c r="F6" s="10">
        <v>0</v>
      </c>
      <c r="G6" s="5" t="s">
        <v>250</v>
      </c>
      <c r="H6" s="8">
        <v>0</v>
      </c>
      <c r="I6" s="5" t="s">
        <v>236</v>
      </c>
      <c r="J6" s="8">
        <v>0</v>
      </c>
      <c r="K6" s="5" t="s">
        <v>74</v>
      </c>
      <c r="L6" s="5">
        <v>0</v>
      </c>
      <c r="M6" s="5" t="s">
        <v>74</v>
      </c>
      <c r="N6" s="5">
        <v>1</v>
      </c>
      <c r="O6" s="5">
        <v>1</v>
      </c>
      <c r="P6" s="8">
        <v>0.25</v>
      </c>
      <c r="Q6" s="9" t="str">
        <f>"Fail"</f>
        <v>Fail</v>
      </c>
      <c r="R6" s="10">
        <v>0</v>
      </c>
    </row>
    <row r="7" ht="15.6" spans="1:18">
      <c r="A7" s="11"/>
      <c r="B7" s="11"/>
      <c r="C7" s="5">
        <v>4</v>
      </c>
      <c r="D7" s="8">
        <v>0.8</v>
      </c>
      <c r="E7" s="11"/>
      <c r="F7" s="11"/>
      <c r="G7" s="11"/>
      <c r="H7" s="11"/>
      <c r="I7" s="11"/>
      <c r="J7" s="11"/>
      <c r="K7" s="11"/>
      <c r="L7" s="11"/>
      <c r="M7" s="23"/>
      <c r="N7" s="23"/>
      <c r="O7" s="5">
        <v>0</v>
      </c>
      <c r="P7" s="8">
        <v>0</v>
      </c>
      <c r="Q7" s="23"/>
      <c r="R7" s="23"/>
    </row>
    <row r="8" ht="15.6" spans="1:18">
      <c r="A8" s="11"/>
      <c r="B8" s="11"/>
      <c r="C8" s="12">
        <v>5</v>
      </c>
      <c r="D8" s="13">
        <v>1</v>
      </c>
      <c r="E8" s="11"/>
      <c r="F8" s="11"/>
      <c r="G8" s="11"/>
      <c r="H8" s="11"/>
      <c r="I8" s="11"/>
      <c r="J8" s="11"/>
      <c r="K8" s="11"/>
      <c r="L8" s="11"/>
      <c r="M8" s="23"/>
      <c r="N8" s="23"/>
      <c r="O8" s="23"/>
      <c r="P8" s="23"/>
      <c r="Q8" s="23"/>
      <c r="R8" s="23"/>
    </row>
    <row r="9" ht="15.6" spans="1:20">
      <c r="A9" s="14" t="s">
        <v>251</v>
      </c>
      <c r="B9" s="14"/>
      <c r="C9" s="14"/>
      <c r="D9" s="14"/>
      <c r="E9" s="14"/>
      <c r="F9" s="14"/>
      <c r="G9" s="14"/>
      <c r="H9" s="5" t="s">
        <v>161</v>
      </c>
      <c r="I9" s="5"/>
      <c r="J9" s="5"/>
      <c r="K9" s="5"/>
      <c r="L9" s="5"/>
      <c r="R9" s="18"/>
      <c r="S9" s="28"/>
      <c r="T9" s="28"/>
    </row>
    <row r="10" ht="15.6" spans="1:20">
      <c r="A10" s="15" t="s">
        <v>28</v>
      </c>
      <c r="B10" s="15" t="s">
        <v>252</v>
      </c>
      <c r="C10" s="15" t="s">
        <v>253</v>
      </c>
      <c r="D10" s="15" t="s">
        <v>254</v>
      </c>
      <c r="E10" s="15" t="s">
        <v>255</v>
      </c>
      <c r="F10" s="15" t="s">
        <v>256</v>
      </c>
      <c r="G10" s="15" t="s">
        <v>19</v>
      </c>
      <c r="H10" s="5" t="s">
        <v>143</v>
      </c>
      <c r="I10" s="5" t="s">
        <v>164</v>
      </c>
      <c r="J10" s="5" t="s">
        <v>165</v>
      </c>
      <c r="K10" s="5" t="s">
        <v>166</v>
      </c>
      <c r="L10" s="5" t="s">
        <v>167</v>
      </c>
      <c r="R10" s="18"/>
      <c r="S10" s="28"/>
      <c r="T10" s="28"/>
    </row>
    <row r="11" ht="15.6" spans="1:20">
      <c r="A11" s="14" t="s">
        <v>257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0">
        <v>1</v>
      </c>
      <c r="H11" s="5" t="s">
        <v>258</v>
      </c>
      <c r="I11" s="5">
        <v>362</v>
      </c>
      <c r="J11" s="5">
        <v>182</v>
      </c>
      <c r="K11" s="5">
        <v>90</v>
      </c>
      <c r="L11" s="5">
        <v>51</v>
      </c>
      <c r="R11" s="18"/>
      <c r="S11" s="28"/>
      <c r="T11" s="28"/>
    </row>
    <row r="12" ht="15.6" spans="1:20">
      <c r="A12" s="14" t="s">
        <v>259</v>
      </c>
      <c r="B12" s="16">
        <v>0.054</v>
      </c>
      <c r="C12" s="16">
        <v>0.022</v>
      </c>
      <c r="D12" s="16">
        <v>0.033</v>
      </c>
      <c r="E12" s="16">
        <v>0.039</v>
      </c>
      <c r="F12" s="16">
        <v>0.046</v>
      </c>
      <c r="G12" s="10">
        <v>1</v>
      </c>
      <c r="R12" s="18"/>
      <c r="S12" s="28"/>
      <c r="T12" s="28"/>
    </row>
    <row r="13" ht="15.6" spans="1:20">
      <c r="A13" s="14" t="s">
        <v>260</v>
      </c>
      <c r="B13" s="16">
        <v>0.087</v>
      </c>
      <c r="C13" s="16">
        <v>0.036</v>
      </c>
      <c r="D13" s="16">
        <v>0.052</v>
      </c>
      <c r="E13" s="16">
        <v>0.062</v>
      </c>
      <c r="F13" s="16">
        <v>0.074</v>
      </c>
      <c r="G13" s="10">
        <v>0.9</v>
      </c>
      <c r="R13" s="18"/>
      <c r="S13" s="28"/>
      <c r="T13" s="28"/>
    </row>
    <row r="14" ht="15.6" spans="1:20">
      <c r="A14" s="14" t="s">
        <v>261</v>
      </c>
      <c r="B14" s="16">
        <v>0.14</v>
      </c>
      <c r="C14" s="16">
        <v>0.058</v>
      </c>
      <c r="D14" s="16">
        <v>0.084</v>
      </c>
      <c r="E14" s="16">
        <v>0.1</v>
      </c>
      <c r="F14" s="16">
        <v>0.12</v>
      </c>
      <c r="G14" s="10">
        <v>0.8</v>
      </c>
      <c r="R14" s="18"/>
      <c r="S14" s="28"/>
      <c r="T14" s="28"/>
    </row>
    <row r="15" ht="15.6" spans="1:20">
      <c r="A15" s="14" t="s">
        <v>262</v>
      </c>
      <c r="B15" s="16">
        <v>0.22</v>
      </c>
      <c r="C15" s="16">
        <v>0.09</v>
      </c>
      <c r="D15" s="16">
        <v>0.13</v>
      </c>
      <c r="E15" s="16">
        <v>0.16</v>
      </c>
      <c r="F15" s="16">
        <v>0.19</v>
      </c>
      <c r="G15" s="10">
        <v>0.7</v>
      </c>
      <c r="R15" s="18"/>
      <c r="S15" s="28"/>
      <c r="T15" s="28"/>
    </row>
    <row r="16" ht="15.6" spans="1:20">
      <c r="A16" s="14" t="s">
        <v>263</v>
      </c>
      <c r="B16" s="16">
        <v>0.35</v>
      </c>
      <c r="C16" s="16">
        <v>0.15</v>
      </c>
      <c r="D16" s="16">
        <v>0.21</v>
      </c>
      <c r="E16" s="16">
        <v>0.25</v>
      </c>
      <c r="F16" s="16">
        <v>0.3</v>
      </c>
      <c r="G16" s="10">
        <v>0.6</v>
      </c>
      <c r="R16" s="18"/>
      <c r="S16" s="28"/>
      <c r="T16" s="28"/>
    </row>
    <row r="17" ht="15.6" spans="1:20">
      <c r="A17" s="14" t="s">
        <v>264</v>
      </c>
      <c r="B17" s="16">
        <v>0.54</v>
      </c>
      <c r="C17" s="16">
        <v>0.22</v>
      </c>
      <c r="D17" s="16">
        <v>0.33</v>
      </c>
      <c r="E17" s="16">
        <v>0.39</v>
      </c>
      <c r="F17" s="16">
        <v>0.46</v>
      </c>
      <c r="G17" s="10">
        <v>0.5</v>
      </c>
      <c r="R17" s="18"/>
      <c r="S17" s="28"/>
      <c r="T17" s="28"/>
    </row>
    <row r="18" ht="15.6" spans="1:20">
      <c r="A18" s="14" t="s">
        <v>265</v>
      </c>
      <c r="B18" s="16">
        <v>0.87</v>
      </c>
      <c r="C18" s="16">
        <v>0.36</v>
      </c>
      <c r="D18" s="16">
        <v>0.52</v>
      </c>
      <c r="E18" s="16">
        <v>0.62</v>
      </c>
      <c r="F18" s="16">
        <v>0.74</v>
      </c>
      <c r="G18" s="10">
        <v>0.4</v>
      </c>
      <c r="R18" s="18"/>
      <c r="S18" s="28"/>
      <c r="T18" s="28"/>
    </row>
    <row r="19" ht="15.6" spans="1:20">
      <c r="A19" s="14" t="s">
        <v>266</v>
      </c>
      <c r="B19" s="16">
        <v>1.4</v>
      </c>
      <c r="C19" s="16">
        <v>0.58</v>
      </c>
      <c r="D19" s="16">
        <v>0.84</v>
      </c>
      <c r="E19" s="16">
        <v>1</v>
      </c>
      <c r="F19" s="16">
        <v>1.2</v>
      </c>
      <c r="G19" s="10">
        <v>0.3</v>
      </c>
      <c r="R19" s="23"/>
      <c r="S19" s="28"/>
      <c r="T19" s="28"/>
    </row>
    <row r="20" ht="15.6" spans="1:18">
      <c r="A20" s="14" t="s">
        <v>267</v>
      </c>
      <c r="B20" s="16">
        <v>2.2</v>
      </c>
      <c r="C20" s="16">
        <v>0.9</v>
      </c>
      <c r="D20" s="16">
        <v>1.3</v>
      </c>
      <c r="E20" s="16">
        <v>1.6</v>
      </c>
      <c r="F20" s="16">
        <v>1.9</v>
      </c>
      <c r="G20" s="10">
        <v>0.1</v>
      </c>
      <c r="R20" s="18"/>
    </row>
    <row r="21" ht="15.6" spans="1:18">
      <c r="A21" s="17" t="s">
        <v>268</v>
      </c>
      <c r="B21" s="16">
        <v>3</v>
      </c>
      <c r="C21" s="16">
        <v>3</v>
      </c>
      <c r="D21" s="16">
        <v>3</v>
      </c>
      <c r="E21" s="16">
        <v>3</v>
      </c>
      <c r="F21" s="16">
        <v>3</v>
      </c>
      <c r="G21" s="10">
        <v>0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ht="15.6" spans="1:19">
      <c r="A22" s="5" t="s">
        <v>269</v>
      </c>
      <c r="B22" s="5"/>
      <c r="C22" s="5"/>
      <c r="D22" s="5"/>
      <c r="E22" s="5"/>
      <c r="F22" s="5"/>
      <c r="G22" s="19" t="s">
        <v>270</v>
      </c>
      <c r="H22" s="19"/>
      <c r="I22" s="5" t="s">
        <v>128</v>
      </c>
      <c r="J22" s="5"/>
      <c r="K22" s="5"/>
      <c r="L22" s="5"/>
      <c r="M22" s="5"/>
      <c r="N22" s="5" t="s">
        <v>129</v>
      </c>
      <c r="O22" s="5"/>
      <c r="P22" s="5"/>
      <c r="Q22" s="5"/>
      <c r="R22" s="5"/>
      <c r="S22" s="5"/>
    </row>
    <row r="23" ht="15.6" spans="1:19">
      <c r="A23" s="20" t="s">
        <v>271</v>
      </c>
      <c r="B23" s="20">
        <v>0.86</v>
      </c>
      <c r="C23" s="20" t="s">
        <v>272</v>
      </c>
      <c r="D23" s="20">
        <v>0.72</v>
      </c>
      <c r="E23" s="20"/>
      <c r="F23" s="20"/>
      <c r="G23" s="19" t="s">
        <v>79</v>
      </c>
      <c r="H23" s="5" t="s">
        <v>19</v>
      </c>
      <c r="I23" s="5" t="s">
        <v>28</v>
      </c>
      <c r="J23" s="5" t="s">
        <v>273</v>
      </c>
      <c r="K23" s="5" t="s">
        <v>274</v>
      </c>
      <c r="L23" s="5" t="s">
        <v>275</v>
      </c>
      <c r="M23" s="5" t="s">
        <v>19</v>
      </c>
      <c r="N23" s="5" t="s">
        <v>28</v>
      </c>
      <c r="O23" s="5" t="s">
        <v>276</v>
      </c>
      <c r="P23" s="5" t="s">
        <v>277</v>
      </c>
      <c r="Q23" s="5" t="s">
        <v>278</v>
      </c>
      <c r="R23" s="5" t="s">
        <v>279</v>
      </c>
      <c r="S23" s="5" t="s">
        <v>19</v>
      </c>
    </row>
    <row r="24" ht="15.6" spans="1:19">
      <c r="A24" s="20" t="s">
        <v>280</v>
      </c>
      <c r="B24" s="20">
        <v>0.8</v>
      </c>
      <c r="C24" s="20"/>
      <c r="D24" s="20"/>
      <c r="E24" s="20"/>
      <c r="F24" s="20"/>
      <c r="G24" s="21" t="s">
        <v>281</v>
      </c>
      <c r="H24" s="22">
        <v>1</v>
      </c>
      <c r="I24" s="24" t="s">
        <v>257</v>
      </c>
      <c r="J24" s="24">
        <v>0</v>
      </c>
      <c r="K24" s="24">
        <v>0</v>
      </c>
      <c r="L24" s="24">
        <v>0</v>
      </c>
      <c r="M24" s="8">
        <v>1</v>
      </c>
      <c r="N24" s="24" t="s">
        <v>257</v>
      </c>
      <c r="O24" s="24">
        <v>0</v>
      </c>
      <c r="P24" s="24">
        <v>0</v>
      </c>
      <c r="Q24" s="24">
        <v>0</v>
      </c>
      <c r="R24" s="24">
        <v>0</v>
      </c>
      <c r="S24" s="8">
        <v>1</v>
      </c>
    </row>
    <row r="25" ht="15.6" spans="1:19">
      <c r="A25" s="20" t="s">
        <v>282</v>
      </c>
      <c r="B25" s="20">
        <v>0.81</v>
      </c>
      <c r="C25" s="20"/>
      <c r="D25" s="20"/>
      <c r="E25" s="20"/>
      <c r="F25" s="20"/>
      <c r="G25" s="21" t="s">
        <v>283</v>
      </c>
      <c r="H25" s="22">
        <v>0.8</v>
      </c>
      <c r="I25" s="5">
        <v>5</v>
      </c>
      <c r="J25" s="24">
        <v>0.011</v>
      </c>
      <c r="K25" s="24">
        <v>0.0013</v>
      </c>
      <c r="L25" s="24">
        <v>0.015</v>
      </c>
      <c r="M25" s="8">
        <v>1</v>
      </c>
      <c r="N25" s="5">
        <v>6</v>
      </c>
      <c r="O25" s="24">
        <v>0.013</v>
      </c>
      <c r="P25" s="24">
        <v>0.016</v>
      </c>
      <c r="Q25" s="24">
        <v>0.019</v>
      </c>
      <c r="R25" s="24">
        <v>0.022</v>
      </c>
      <c r="S25" s="8">
        <v>1</v>
      </c>
    </row>
    <row r="26" ht="15.6" spans="7:19">
      <c r="G26" s="21" t="str">
        <f>"Bad"</f>
        <v>Bad</v>
      </c>
      <c r="H26" s="22">
        <v>0.5</v>
      </c>
      <c r="I26" s="5">
        <v>6</v>
      </c>
      <c r="J26" s="25">
        <v>0.016</v>
      </c>
      <c r="K26" s="24">
        <v>0.019</v>
      </c>
      <c r="L26" s="24">
        <v>0.022</v>
      </c>
      <c r="M26" s="8">
        <v>0.9</v>
      </c>
      <c r="N26" s="5">
        <v>7</v>
      </c>
      <c r="O26" s="24">
        <v>0.021</v>
      </c>
      <c r="P26" s="24">
        <v>0.025</v>
      </c>
      <c r="Q26" s="24">
        <v>0.03</v>
      </c>
      <c r="R26" s="24">
        <v>0.035</v>
      </c>
      <c r="S26" s="8">
        <v>0.9</v>
      </c>
    </row>
    <row r="27" ht="15.6" spans="7:19">
      <c r="G27" s="21" t="str">
        <f>"Fail"</f>
        <v>Fail</v>
      </c>
      <c r="H27" s="22">
        <v>0</v>
      </c>
      <c r="I27" s="5">
        <v>7</v>
      </c>
      <c r="J27" s="24">
        <v>0.025</v>
      </c>
      <c r="K27" s="24">
        <v>0.03</v>
      </c>
      <c r="L27" s="24">
        <v>0.035</v>
      </c>
      <c r="M27" s="8">
        <v>0.8</v>
      </c>
      <c r="N27" s="5">
        <v>8</v>
      </c>
      <c r="O27" s="5">
        <v>0.033</v>
      </c>
      <c r="P27" s="5">
        <v>0.039</v>
      </c>
      <c r="Q27" s="5">
        <v>0.046</v>
      </c>
      <c r="R27" s="5">
        <v>0.054</v>
      </c>
      <c r="S27" s="5">
        <v>0.8</v>
      </c>
    </row>
    <row r="28" ht="15.6" spans="9:19">
      <c r="I28" s="5">
        <v>8</v>
      </c>
      <c r="J28" s="24">
        <v>0.039</v>
      </c>
      <c r="K28" s="24">
        <v>0.046</v>
      </c>
      <c r="L28" s="24">
        <v>0.054</v>
      </c>
      <c r="M28" s="8">
        <v>0.7</v>
      </c>
      <c r="N28" s="5">
        <v>9</v>
      </c>
      <c r="O28" s="5">
        <v>0.052</v>
      </c>
      <c r="P28" s="5">
        <v>0.062</v>
      </c>
      <c r="Q28" s="5">
        <v>0.074</v>
      </c>
      <c r="R28" s="5">
        <v>0.087</v>
      </c>
      <c r="S28" s="5">
        <v>0.6</v>
      </c>
    </row>
    <row r="29" ht="15.6" spans="9:19">
      <c r="I29" s="5">
        <v>9</v>
      </c>
      <c r="J29" s="24">
        <v>0.062</v>
      </c>
      <c r="K29" s="24">
        <v>0.074</v>
      </c>
      <c r="L29" s="24">
        <v>0.087</v>
      </c>
      <c r="M29" s="8">
        <v>0.6</v>
      </c>
      <c r="N29" s="5">
        <v>10</v>
      </c>
      <c r="O29" s="5">
        <v>0.084</v>
      </c>
      <c r="P29" s="5">
        <v>0.1</v>
      </c>
      <c r="Q29" s="5">
        <v>0.12</v>
      </c>
      <c r="R29" s="5">
        <v>0.14</v>
      </c>
      <c r="S29" s="5">
        <v>0.4</v>
      </c>
    </row>
    <row r="30" ht="15.6" spans="9:19">
      <c r="I30" s="5">
        <v>10</v>
      </c>
      <c r="J30" s="24">
        <v>0.1</v>
      </c>
      <c r="K30" s="24">
        <v>0.12</v>
      </c>
      <c r="L30" s="24">
        <v>0.14</v>
      </c>
      <c r="M30" s="8">
        <v>0.5</v>
      </c>
      <c r="N30" s="5">
        <v>11</v>
      </c>
      <c r="O30" s="5">
        <v>0.13</v>
      </c>
      <c r="P30" s="5">
        <v>0.16</v>
      </c>
      <c r="Q30" s="5">
        <v>0.19</v>
      </c>
      <c r="R30" s="5">
        <v>0.22</v>
      </c>
      <c r="S30" s="5">
        <v>0.2</v>
      </c>
    </row>
    <row r="31" ht="15.6" spans="9:19">
      <c r="I31" s="5">
        <v>11</v>
      </c>
      <c r="J31" s="24">
        <v>0.16</v>
      </c>
      <c r="K31" s="24">
        <v>0.19</v>
      </c>
      <c r="L31" s="24">
        <v>0.22</v>
      </c>
      <c r="M31" s="8">
        <v>0.3</v>
      </c>
      <c r="N31" s="5" t="s">
        <v>268</v>
      </c>
      <c r="O31" s="8">
        <v>1</v>
      </c>
      <c r="P31" s="8">
        <v>1</v>
      </c>
      <c r="Q31" s="8">
        <v>1</v>
      </c>
      <c r="R31" s="8">
        <v>1</v>
      </c>
      <c r="S31" s="8">
        <v>0</v>
      </c>
    </row>
    <row r="32" ht="15.6" spans="9:19">
      <c r="I32" s="5">
        <v>12</v>
      </c>
      <c r="J32" s="24">
        <v>0.25</v>
      </c>
      <c r="K32" s="24">
        <v>0.3</v>
      </c>
      <c r="L32" s="24">
        <v>0.35</v>
      </c>
      <c r="M32" s="8">
        <v>0.1</v>
      </c>
      <c r="N32" s="18"/>
      <c r="O32" s="23"/>
      <c r="P32" s="23"/>
      <c r="Q32" s="23"/>
      <c r="R32" s="23"/>
      <c r="S32" s="23"/>
    </row>
    <row r="33" ht="15.6" spans="9:19">
      <c r="I33" s="26" t="s">
        <v>268</v>
      </c>
      <c r="J33" s="24">
        <v>1</v>
      </c>
      <c r="K33" s="24">
        <v>1</v>
      </c>
      <c r="L33" s="24">
        <v>1</v>
      </c>
      <c r="M33" s="8">
        <v>0</v>
      </c>
      <c r="N33" s="18"/>
      <c r="O33" s="18"/>
      <c r="P33" s="18"/>
      <c r="Q33" s="18"/>
      <c r="R33" s="18"/>
      <c r="S33" s="18"/>
    </row>
  </sheetData>
  <mergeCells count="17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K4:L4"/>
    <mergeCell ref="M4:N4"/>
    <mergeCell ref="A9:G9"/>
    <mergeCell ref="H9:L9"/>
    <mergeCell ref="A22:F22"/>
    <mergeCell ref="G22:H22"/>
    <mergeCell ref="I22:M22"/>
    <mergeCell ref="N22:S22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A17" workbookViewId="0">
      <selection activeCell="P30" sqref="P30"/>
    </sheetView>
  </sheetViews>
  <sheetFormatPr defaultColWidth="8.88888888888889" defaultRowHeight="14.4"/>
  <sheetData>
    <row r="1" ht="30" customHeight="1" spans="1: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30" customHeight="1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ht="30" customHeight="1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ht="30" customHeight="1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ht="30" customHeight="1" spans="1:15">
      <c r="A5" s="3" t="s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ht="30" customHeight="1" spans="1:15">
      <c r="A6" s="3" t="s">
        <v>284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ht="30" customHeight="1" spans="1:15">
      <c r="A7" s="3" t="s">
        <v>285</v>
      </c>
      <c r="B7" s="3"/>
      <c r="C7" s="3"/>
      <c r="D7" s="3"/>
      <c r="E7" s="3"/>
      <c r="F7" s="3" t="s">
        <v>286</v>
      </c>
      <c r="G7" s="3"/>
      <c r="H7" s="3"/>
      <c r="I7" s="3"/>
      <c r="J7" s="3"/>
      <c r="K7" s="3"/>
      <c r="L7" s="3" t="s">
        <v>287</v>
      </c>
      <c r="M7" s="3"/>
      <c r="N7" s="3" t="s">
        <v>288</v>
      </c>
      <c r="O7" s="3"/>
    </row>
    <row r="8" ht="30" customHeight="1" spans="1:15">
      <c r="A8" s="3" t="s">
        <v>2</v>
      </c>
      <c r="B8" s="3"/>
      <c r="C8" s="3"/>
      <c r="D8" s="3"/>
      <c r="E8" s="3"/>
      <c r="F8" s="3" t="s">
        <v>20</v>
      </c>
      <c r="G8" s="3"/>
      <c r="H8" s="3"/>
      <c r="I8" s="3"/>
      <c r="J8" s="3"/>
      <c r="K8" s="3"/>
      <c r="L8" s="3">
        <v>6</v>
      </c>
      <c r="M8" s="3"/>
      <c r="N8" s="3">
        <f>SUM(L8:M11)</f>
        <v>18</v>
      </c>
      <c r="O8" s="3"/>
    </row>
    <row r="9" ht="30" customHeight="1" spans="1:15">
      <c r="A9" s="3"/>
      <c r="B9" s="3"/>
      <c r="C9" s="3"/>
      <c r="D9" s="3"/>
      <c r="E9" s="3"/>
      <c r="F9" s="3" t="s">
        <v>21</v>
      </c>
      <c r="G9" s="3"/>
      <c r="H9" s="3"/>
      <c r="I9" s="3"/>
      <c r="J9" s="3"/>
      <c r="K9" s="3"/>
      <c r="L9" s="3">
        <v>4</v>
      </c>
      <c r="M9" s="3"/>
      <c r="N9" s="3"/>
      <c r="O9" s="3"/>
    </row>
    <row r="10" ht="30" customHeight="1" spans="1:15">
      <c r="A10" s="3"/>
      <c r="B10" s="3"/>
      <c r="C10" s="3"/>
      <c r="D10" s="3"/>
      <c r="E10" s="3"/>
      <c r="F10" s="3" t="s">
        <v>30</v>
      </c>
      <c r="G10" s="3"/>
      <c r="H10" s="3"/>
      <c r="I10" s="3"/>
      <c r="J10" s="3"/>
      <c r="K10" s="3"/>
      <c r="L10" s="3">
        <v>4</v>
      </c>
      <c r="M10" s="3"/>
      <c r="N10" s="3"/>
      <c r="O10" s="3"/>
    </row>
    <row r="11" ht="30" customHeight="1" spans="1:15">
      <c r="A11" s="3"/>
      <c r="B11" s="3"/>
      <c r="C11" s="3"/>
      <c r="D11" s="3"/>
      <c r="E11" s="3"/>
      <c r="F11" s="3" t="s">
        <v>31</v>
      </c>
      <c r="G11" s="3"/>
      <c r="H11" s="3"/>
      <c r="I11" s="3"/>
      <c r="J11" s="3"/>
      <c r="K11" s="3"/>
      <c r="L11" s="3">
        <v>4</v>
      </c>
      <c r="M11" s="3"/>
      <c r="N11" s="3"/>
      <c r="O11" s="3"/>
    </row>
    <row r="12" ht="30" customHeight="1" spans="1:15">
      <c r="A12" s="3" t="s">
        <v>33</v>
      </c>
      <c r="B12" s="3"/>
      <c r="C12" s="3"/>
      <c r="D12" s="3"/>
      <c r="E12" s="3"/>
      <c r="F12" s="3" t="s">
        <v>34</v>
      </c>
      <c r="G12" s="3"/>
      <c r="H12" s="3"/>
      <c r="I12" s="3"/>
      <c r="J12" s="3"/>
      <c r="K12" s="3"/>
      <c r="L12" s="3">
        <v>10</v>
      </c>
      <c r="M12" s="3"/>
      <c r="N12" s="3">
        <f>SUM(L12:M17)</f>
        <v>25</v>
      </c>
      <c r="O12" s="3"/>
    </row>
    <row r="13" ht="30" customHeight="1" spans="1:15">
      <c r="A13" s="3"/>
      <c r="B13" s="3"/>
      <c r="C13" s="3"/>
      <c r="D13" s="3"/>
      <c r="E13" s="3"/>
      <c r="F13" s="3" t="s">
        <v>289</v>
      </c>
      <c r="G13" s="3"/>
      <c r="H13" s="3"/>
      <c r="I13" s="3"/>
      <c r="J13" s="3"/>
      <c r="K13" s="3"/>
      <c r="L13" s="3">
        <v>5</v>
      </c>
      <c r="M13" s="3"/>
      <c r="N13" s="3"/>
      <c r="O13" s="3"/>
    </row>
    <row r="14" ht="30" customHeight="1" spans="1:15">
      <c r="A14" s="3"/>
      <c r="B14" s="3"/>
      <c r="C14" s="3"/>
      <c r="D14" s="3"/>
      <c r="E14" s="3"/>
      <c r="F14" s="3" t="s">
        <v>85</v>
      </c>
      <c r="G14" s="3"/>
      <c r="H14" s="3"/>
      <c r="I14" s="3"/>
      <c r="J14" s="3"/>
      <c r="K14" s="3"/>
      <c r="L14" s="3">
        <v>2.5</v>
      </c>
      <c r="M14" s="3"/>
      <c r="N14" s="3"/>
      <c r="O14" s="3"/>
    </row>
    <row r="15" ht="30" customHeight="1" spans="1:15">
      <c r="A15" s="3"/>
      <c r="B15" s="3"/>
      <c r="C15" s="3"/>
      <c r="D15" s="3"/>
      <c r="E15" s="3"/>
      <c r="F15" s="3" t="s">
        <v>92</v>
      </c>
      <c r="G15" s="3"/>
      <c r="H15" s="3"/>
      <c r="I15" s="3"/>
      <c r="J15" s="3"/>
      <c r="K15" s="3"/>
      <c r="L15" s="3">
        <v>2.5</v>
      </c>
      <c r="M15" s="3"/>
      <c r="N15" s="3"/>
      <c r="O15" s="3"/>
    </row>
    <row r="16" ht="30" customHeight="1" spans="1:15">
      <c r="A16" s="3"/>
      <c r="B16" s="3"/>
      <c r="C16" s="3"/>
      <c r="D16" s="3"/>
      <c r="E16" s="3"/>
      <c r="F16" s="3" t="s">
        <v>96</v>
      </c>
      <c r="G16" s="3"/>
      <c r="H16" s="3"/>
      <c r="I16" s="3"/>
      <c r="J16" s="3"/>
      <c r="K16" s="3"/>
      <c r="L16" s="3">
        <v>2.5</v>
      </c>
      <c r="M16" s="3"/>
      <c r="N16" s="3"/>
      <c r="O16" s="3"/>
    </row>
    <row r="17" ht="30" customHeight="1" spans="1:15">
      <c r="A17" s="3"/>
      <c r="B17" s="3"/>
      <c r="C17" s="3"/>
      <c r="D17" s="3"/>
      <c r="E17" s="3"/>
      <c r="F17" s="3" t="s">
        <v>98</v>
      </c>
      <c r="G17" s="3"/>
      <c r="H17" s="3"/>
      <c r="I17" s="3"/>
      <c r="J17" s="3"/>
      <c r="K17" s="3"/>
      <c r="L17" s="3">
        <v>2.5</v>
      </c>
      <c r="M17" s="3"/>
      <c r="N17" s="3"/>
      <c r="O17" s="3"/>
    </row>
    <row r="18" ht="30" customHeight="1" spans="1:15">
      <c r="A18" s="3" t="s">
        <v>100</v>
      </c>
      <c r="B18" s="3"/>
      <c r="C18" s="3"/>
      <c r="D18" s="3"/>
      <c r="E18" s="3"/>
      <c r="F18" s="3" t="s">
        <v>102</v>
      </c>
      <c r="G18" s="3"/>
      <c r="H18" s="3"/>
      <c r="I18" s="3"/>
      <c r="J18" s="3"/>
      <c r="K18" s="3"/>
      <c r="L18" s="3">
        <v>4</v>
      </c>
      <c r="M18" s="3"/>
      <c r="N18" s="3">
        <f>SUM(L18:M25)</f>
        <v>25</v>
      </c>
      <c r="O18" s="3"/>
    </row>
    <row r="19" ht="30" customHeight="1" spans="1:15">
      <c r="A19" s="3"/>
      <c r="B19" s="3"/>
      <c r="C19" s="3"/>
      <c r="D19" s="3"/>
      <c r="E19" s="3"/>
      <c r="F19" s="3" t="s">
        <v>103</v>
      </c>
      <c r="G19" s="3"/>
      <c r="H19" s="3"/>
      <c r="I19" s="3"/>
      <c r="J19" s="3"/>
      <c r="K19" s="3"/>
      <c r="L19" s="3">
        <v>4</v>
      </c>
      <c r="M19" s="3"/>
      <c r="N19" s="3"/>
      <c r="O19" s="3"/>
    </row>
    <row r="20" ht="30" customHeight="1" spans="1:15">
      <c r="A20" s="3"/>
      <c r="B20" s="3"/>
      <c r="C20" s="3"/>
      <c r="D20" s="3"/>
      <c r="E20" s="3"/>
      <c r="F20" s="3" t="s">
        <v>104</v>
      </c>
      <c r="G20" s="3"/>
      <c r="H20" s="3"/>
      <c r="I20" s="3"/>
      <c r="J20" s="3"/>
      <c r="K20" s="3"/>
      <c r="L20" s="3">
        <v>5</v>
      </c>
      <c r="M20" s="3"/>
      <c r="N20" s="3"/>
      <c r="O20" s="3"/>
    </row>
    <row r="21" ht="30" customHeight="1" spans="1:15">
      <c r="A21" s="3"/>
      <c r="B21" s="3"/>
      <c r="C21" s="3"/>
      <c r="D21" s="3"/>
      <c r="E21" s="3"/>
      <c r="F21" s="3" t="s">
        <v>107</v>
      </c>
      <c r="G21" s="3"/>
      <c r="H21" s="3"/>
      <c r="I21" s="3"/>
      <c r="J21" s="3"/>
      <c r="K21" s="3"/>
      <c r="L21" s="3">
        <v>1</v>
      </c>
      <c r="M21" s="3"/>
      <c r="N21" s="3"/>
      <c r="O21" s="3"/>
    </row>
    <row r="22" ht="30" customHeight="1" spans="1:15">
      <c r="A22" s="3"/>
      <c r="B22" s="3"/>
      <c r="C22" s="3"/>
      <c r="D22" s="3"/>
      <c r="E22" s="3"/>
      <c r="F22" s="3" t="s">
        <v>109</v>
      </c>
      <c r="G22" s="3"/>
      <c r="H22" s="3"/>
      <c r="I22" s="3"/>
      <c r="J22" s="3"/>
      <c r="K22" s="3"/>
      <c r="L22" s="3">
        <v>3</v>
      </c>
      <c r="M22" s="3"/>
      <c r="N22" s="3"/>
      <c r="O22" s="3"/>
    </row>
    <row r="23" ht="30" customHeight="1" spans="1:15">
      <c r="A23" s="3"/>
      <c r="B23" s="3"/>
      <c r="C23" s="3"/>
      <c r="D23" s="3"/>
      <c r="E23" s="3"/>
      <c r="F23" s="3" t="s">
        <v>111</v>
      </c>
      <c r="G23" s="3"/>
      <c r="H23" s="3"/>
      <c r="I23" s="3"/>
      <c r="J23" s="3"/>
      <c r="K23" s="3"/>
      <c r="L23" s="3">
        <v>3</v>
      </c>
      <c r="M23" s="3"/>
      <c r="N23" s="3"/>
      <c r="O23" s="3"/>
    </row>
    <row r="24" ht="30" customHeight="1" spans="1:15">
      <c r="A24" s="3"/>
      <c r="B24" s="3"/>
      <c r="C24" s="3"/>
      <c r="D24" s="3"/>
      <c r="E24" s="3"/>
      <c r="F24" s="3" t="s">
        <v>290</v>
      </c>
      <c r="G24" s="3"/>
      <c r="H24" s="3"/>
      <c r="I24" s="3"/>
      <c r="J24" s="3"/>
      <c r="K24" s="3"/>
      <c r="L24" s="3">
        <v>1</v>
      </c>
      <c r="M24" s="3"/>
      <c r="N24" s="3"/>
      <c r="O24" s="3"/>
    </row>
    <row r="25" ht="30" customHeight="1" spans="1:15">
      <c r="A25" s="3"/>
      <c r="B25" s="3"/>
      <c r="C25" s="3"/>
      <c r="D25" s="3"/>
      <c r="E25" s="3"/>
      <c r="F25" s="4" t="s">
        <v>114</v>
      </c>
      <c r="G25" s="4"/>
      <c r="H25" s="4"/>
      <c r="I25" s="4"/>
      <c r="J25" s="4"/>
      <c r="K25" s="4"/>
      <c r="L25" s="3">
        <v>4</v>
      </c>
      <c r="M25" s="3"/>
      <c r="N25" s="3"/>
      <c r="O25" s="3"/>
    </row>
    <row r="26" ht="30" customHeight="1" spans="1:15">
      <c r="A26" s="3" t="s">
        <v>291</v>
      </c>
      <c r="B26" s="3"/>
      <c r="C26" s="3"/>
      <c r="D26" s="3"/>
      <c r="E26" s="3"/>
      <c r="F26" s="4" t="s">
        <v>144</v>
      </c>
      <c r="G26" s="4"/>
      <c r="H26" s="4"/>
      <c r="I26" s="4"/>
      <c r="J26" s="4"/>
      <c r="K26" s="4"/>
      <c r="L26" s="3">
        <v>10</v>
      </c>
      <c r="M26" s="3"/>
      <c r="N26" s="3">
        <f>SUM(L26:M29)</f>
        <v>32</v>
      </c>
      <c r="O26" s="3"/>
    </row>
    <row r="27" ht="30" customHeight="1" spans="1:15">
      <c r="A27" s="3"/>
      <c r="B27" s="3"/>
      <c r="C27" s="3"/>
      <c r="D27" s="3"/>
      <c r="E27" s="3"/>
      <c r="F27" s="4" t="s">
        <v>145</v>
      </c>
      <c r="G27" s="4"/>
      <c r="H27" s="4"/>
      <c r="I27" s="4"/>
      <c r="J27" s="4"/>
      <c r="K27" s="4"/>
      <c r="L27" s="3">
        <v>6</v>
      </c>
      <c r="M27" s="3"/>
      <c r="N27" s="3"/>
      <c r="O27" s="3"/>
    </row>
    <row r="28" ht="30" customHeight="1" spans="1:15">
      <c r="A28" s="3"/>
      <c r="B28" s="3"/>
      <c r="C28" s="3"/>
      <c r="D28" s="3"/>
      <c r="E28" s="3"/>
      <c r="F28" s="4" t="s">
        <v>101</v>
      </c>
      <c r="G28" s="4"/>
      <c r="H28" s="4"/>
      <c r="I28" s="4"/>
      <c r="J28" s="4"/>
      <c r="K28" s="4"/>
      <c r="L28" s="3">
        <v>10</v>
      </c>
      <c r="M28" s="3"/>
      <c r="N28" s="3"/>
      <c r="O28" s="3"/>
    </row>
    <row r="29" ht="30" customHeight="1" spans="1:15">
      <c r="A29" s="3"/>
      <c r="B29" s="3"/>
      <c r="C29" s="3"/>
      <c r="D29" s="3"/>
      <c r="E29" s="3"/>
      <c r="F29" s="4" t="s">
        <v>106</v>
      </c>
      <c r="G29" s="4"/>
      <c r="H29" s="4"/>
      <c r="I29" s="4"/>
      <c r="J29" s="4"/>
      <c r="K29" s="4"/>
      <c r="L29" s="3">
        <v>6</v>
      </c>
      <c r="M29" s="3"/>
      <c r="N29" s="3"/>
      <c r="O29" s="3"/>
    </row>
    <row r="30" ht="30" customHeight="1" spans="1:15">
      <c r="A30" s="3" t="s">
        <v>292</v>
      </c>
      <c r="B30" s="3"/>
      <c r="C30" s="3"/>
      <c r="D30" s="3"/>
      <c r="E30" s="3"/>
      <c r="F30" s="3">
        <f>SUM(N8:O29)</f>
        <v>100</v>
      </c>
      <c r="G30" s="3"/>
      <c r="H30" s="3"/>
      <c r="I30" s="3"/>
      <c r="J30" s="3"/>
      <c r="K30" s="3"/>
      <c r="L30" s="3"/>
      <c r="M30" s="3"/>
      <c r="N30" s="3"/>
      <c r="O30" s="3"/>
    </row>
  </sheetData>
  <mergeCells count="61">
    <mergeCell ref="A5:O5"/>
    <mergeCell ref="A6:O6"/>
    <mergeCell ref="A7:E7"/>
    <mergeCell ref="F7:K7"/>
    <mergeCell ref="L7:M7"/>
    <mergeCell ref="N7:O7"/>
    <mergeCell ref="F8:K8"/>
    <mergeCell ref="L8:M8"/>
    <mergeCell ref="F9:K9"/>
    <mergeCell ref="L9:M9"/>
    <mergeCell ref="F10:K10"/>
    <mergeCell ref="L10:M10"/>
    <mergeCell ref="F11:K11"/>
    <mergeCell ref="L11:M11"/>
    <mergeCell ref="F12:K12"/>
    <mergeCell ref="L12:M12"/>
    <mergeCell ref="F13:K13"/>
    <mergeCell ref="L13:M13"/>
    <mergeCell ref="F14:K14"/>
    <mergeCell ref="L14:M14"/>
    <mergeCell ref="F15:K15"/>
    <mergeCell ref="L15:M15"/>
    <mergeCell ref="F16:K16"/>
    <mergeCell ref="L16:M16"/>
    <mergeCell ref="F17:K17"/>
    <mergeCell ref="L17:M17"/>
    <mergeCell ref="F18:K18"/>
    <mergeCell ref="L18:M18"/>
    <mergeCell ref="F19:K19"/>
    <mergeCell ref="L19:M19"/>
    <mergeCell ref="F20:K20"/>
    <mergeCell ref="L20:M20"/>
    <mergeCell ref="F21:K21"/>
    <mergeCell ref="L21:M21"/>
    <mergeCell ref="F22:K22"/>
    <mergeCell ref="L22:M22"/>
    <mergeCell ref="F23:K23"/>
    <mergeCell ref="L23:M23"/>
    <mergeCell ref="F24:K24"/>
    <mergeCell ref="L24:M24"/>
    <mergeCell ref="F25:K25"/>
    <mergeCell ref="L25:M25"/>
    <mergeCell ref="F26:K26"/>
    <mergeCell ref="L26:M26"/>
    <mergeCell ref="F27:K27"/>
    <mergeCell ref="L27:M27"/>
    <mergeCell ref="F28:K28"/>
    <mergeCell ref="L28:M28"/>
    <mergeCell ref="F29:K29"/>
    <mergeCell ref="L29:M29"/>
    <mergeCell ref="A30:E30"/>
    <mergeCell ref="F30:O30"/>
    <mergeCell ref="A1:O4"/>
    <mergeCell ref="A8:E11"/>
    <mergeCell ref="N8:O11"/>
    <mergeCell ref="N12:O17"/>
    <mergeCell ref="A12:E17"/>
    <mergeCell ref="N18:O25"/>
    <mergeCell ref="A18:E25"/>
    <mergeCell ref="N26:O29"/>
    <mergeCell ref="A26:E2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Basic</vt:lpstr>
      <vt:lpstr>Engineering</vt:lpstr>
      <vt:lpstr>Art</vt:lpstr>
      <vt:lpstr>Result</vt:lpstr>
      <vt:lpstr>Process</vt:lpstr>
      <vt:lpstr>Misc</vt:lpstr>
      <vt:lpstr>Score Weight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Tianyang Yu</cp:lastModifiedBy>
  <dcterms:created xsi:type="dcterms:W3CDTF">2019-08-14T17:14:00Z</dcterms:created>
  <dcterms:modified xsi:type="dcterms:W3CDTF">2019-09-03T02:47:40Z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