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Betts/Documents/University/Year 3/ME30313 - Group Design and Buisness Project/Matlab/Phase 3/"/>
    </mc:Choice>
  </mc:AlternateContent>
  <xr:revisionPtr revIDLastSave="0" documentId="13_ncr:1_{5E48688C-6A65-B44E-8D6B-1CD3DAC95598}" xr6:coauthVersionLast="32" xr6:coauthVersionMax="32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  <c r="C133" i="1" l="1"/>
  <c r="C132" i="1"/>
  <c r="C131" i="1"/>
  <c r="C130" i="1"/>
  <c r="C125" i="1"/>
  <c r="C121" i="1"/>
  <c r="C122" i="1" s="1"/>
  <c r="C118" i="1"/>
  <c r="C117" i="1"/>
  <c r="C109" i="1"/>
  <c r="C101" i="1"/>
  <c r="C98" i="1"/>
  <c r="C95" i="1"/>
  <c r="C87" i="1"/>
  <c r="C83" i="1"/>
  <c r="C74" i="1"/>
  <c r="C70" i="1"/>
  <c r="C71" i="1" s="1"/>
  <c r="C65" i="1"/>
  <c r="C63" i="1"/>
  <c r="C61" i="1"/>
  <c r="C52" i="1"/>
  <c r="C46" i="1"/>
  <c r="C36" i="1"/>
  <c r="C26" i="1"/>
  <c r="C23" i="1"/>
  <c r="C24" i="1" s="1"/>
  <c r="C22" i="1"/>
  <c r="C144" i="1" s="1"/>
  <c r="C20" i="1"/>
  <c r="C7" i="1"/>
  <c r="C31" i="1" s="1"/>
  <c r="B63" i="1"/>
  <c r="B61" i="1"/>
  <c r="B52" i="1"/>
  <c r="B46" i="1"/>
  <c r="B36" i="1"/>
  <c r="B26" i="1"/>
  <c r="B23" i="1"/>
  <c r="B24" i="1" s="1"/>
  <c r="B22" i="1"/>
  <c r="B144" i="1" s="1"/>
  <c r="B20" i="1"/>
  <c r="B7" i="1"/>
  <c r="B65" i="1"/>
  <c r="B70" i="1"/>
  <c r="B71" i="1"/>
  <c r="B74" i="1"/>
  <c r="B83" i="1"/>
  <c r="B87" i="1"/>
  <c r="B95" i="1"/>
  <c r="B98" i="1"/>
  <c r="B101" i="1"/>
  <c r="B109" i="1"/>
  <c r="B117" i="1"/>
  <c r="B118" i="1"/>
  <c r="B121" i="1"/>
  <c r="B122" i="1" s="1"/>
  <c r="B125" i="1"/>
  <c r="B130" i="1"/>
  <c r="B131" i="1"/>
  <c r="B132" i="1"/>
  <c r="B133" i="1"/>
  <c r="B31" i="1" l="1"/>
  <c r="H7" i="1"/>
  <c r="H8" i="1" s="1"/>
  <c r="B8" i="1"/>
  <c r="C8" i="1"/>
  <c r="G60" i="1" s="1"/>
  <c r="I7" i="1"/>
  <c r="I8" i="1" s="1"/>
  <c r="B43" i="1"/>
  <c r="C53" i="1"/>
  <c r="C54" i="1" s="1"/>
  <c r="C57" i="1" s="1"/>
  <c r="C68" i="1"/>
  <c r="C84" i="1"/>
  <c r="C43" i="1"/>
  <c r="B53" i="1"/>
  <c r="B54" i="1" s="1"/>
  <c r="B57" i="1" s="1"/>
  <c r="B68" i="1"/>
  <c r="B84" i="1"/>
  <c r="F43" i="1" l="1"/>
</calcChain>
</file>

<file path=xl/sharedStrings.xml><?xml version="1.0" encoding="utf-8"?>
<sst xmlns="http://schemas.openxmlformats.org/spreadsheetml/2006/main" count="383" uniqueCount="315">
  <si>
    <t xml:space="preserve">Variable </t>
  </si>
  <si>
    <t>b</t>
  </si>
  <si>
    <t>MAC</t>
  </si>
  <si>
    <t>S</t>
  </si>
  <si>
    <t>h0</t>
  </si>
  <si>
    <t>ZLA</t>
  </si>
  <si>
    <t>deda</t>
  </si>
  <si>
    <t>Croot</t>
  </si>
  <si>
    <t>yCroot</t>
  </si>
  <si>
    <t>Description</t>
  </si>
  <si>
    <t>Wing area</t>
  </si>
  <si>
    <t>Wing span</t>
  </si>
  <si>
    <t>Aspect Ratio</t>
  </si>
  <si>
    <t>Mean Aerodynamic Chrod</t>
  </si>
  <si>
    <t>Disctance from aircraft nose to MAC</t>
  </si>
  <si>
    <t>nosetoMAC</t>
  </si>
  <si>
    <t>noseto25MAC</t>
  </si>
  <si>
    <t>Lift curve slope</t>
  </si>
  <si>
    <t>downwash</t>
  </si>
  <si>
    <t>Comment</t>
  </si>
  <si>
    <t>zero lift angle of attack</t>
  </si>
  <si>
    <t>Disctance from aircraft nose to 0.25 MAC</t>
  </si>
  <si>
    <t>Guess taken from stability notes.</t>
  </si>
  <si>
    <t>Wing taper ratio</t>
  </si>
  <si>
    <t>Unit</t>
  </si>
  <si>
    <t>m</t>
  </si>
  <si>
    <t>deg</t>
  </si>
  <si>
    <t>Wing root Chord legnth</t>
  </si>
  <si>
    <t>Distance of wing root chord from centerline</t>
  </si>
  <si>
    <t>MTOW</t>
  </si>
  <si>
    <t>kg</t>
  </si>
  <si>
    <t>Maximum take off weight</t>
  </si>
  <si>
    <t>ClmaxL</t>
  </si>
  <si>
    <t>ClmaxTO</t>
  </si>
  <si>
    <t>Maximum Lift coefficient. Landing configuration</t>
  </si>
  <si>
    <t>Maximum Lift coefficient. TO configuration</t>
  </si>
  <si>
    <t>Currently a copy of the landing configuration</t>
  </si>
  <si>
    <t>LD</t>
  </si>
  <si>
    <t>Lift to Drag Ratio</t>
  </si>
  <si>
    <t>XcgFWD</t>
  </si>
  <si>
    <t>FWD cg limit</t>
  </si>
  <si>
    <t>AFT cg limit</t>
  </si>
  <si>
    <t>Vs</t>
  </si>
  <si>
    <t>m/s</t>
  </si>
  <si>
    <t>Stall Speed</t>
  </si>
  <si>
    <t>Vmc</t>
  </si>
  <si>
    <t>Minimum control speed</t>
  </si>
  <si>
    <t>Cm0</t>
  </si>
  <si>
    <t>Zero lift pitching moment coefficient</t>
  </si>
  <si>
    <t>cgRange</t>
  </si>
  <si>
    <t>cgFWDMAC</t>
  </si>
  <si>
    <t>cgAFTMAC</t>
  </si>
  <si>
    <t>Forward cg position on MAC</t>
  </si>
  <si>
    <t>AFT cg position on MAC</t>
  </si>
  <si>
    <t>zcg</t>
  </si>
  <si>
    <t xml:space="preserve">vertical cg position </t>
  </si>
  <si>
    <t>zd</t>
  </si>
  <si>
    <t>Distance of drag from vertical CG position</t>
  </si>
  <si>
    <t>Initial estimate need to ask richard</t>
  </si>
  <si>
    <t>lhtp</t>
  </si>
  <si>
    <t>Horizontal tail plane moment arm</t>
  </si>
  <si>
    <t>HTP lift curve slope compressible</t>
  </si>
  <si>
    <t>ahtpNC</t>
  </si>
  <si>
    <t>ahtpC</t>
  </si>
  <si>
    <t>ahtp2D</t>
  </si>
  <si>
    <t>HTP 2D lift curve slope non compressible</t>
  </si>
  <si>
    <t>CltMin</t>
  </si>
  <si>
    <t>Minimum tailplane lift coefficient taken as Clmax for naca 0010 plus safety margin</t>
  </si>
  <si>
    <t>Degrees</t>
  </si>
  <si>
    <t>Initial Tailplane setting</t>
  </si>
  <si>
    <t>Don’t actually know what this is yet it needs deciding.</t>
  </si>
  <si>
    <t>Rad</t>
  </si>
  <si>
    <t>bh</t>
  </si>
  <si>
    <t>HTP span</t>
  </si>
  <si>
    <t>MACh</t>
  </si>
  <si>
    <t>HTP MAC</t>
  </si>
  <si>
    <t>TaperR</t>
  </si>
  <si>
    <t>TaperRh</t>
  </si>
  <si>
    <t>HTP taper ratio</t>
  </si>
  <si>
    <t>Aspect Ratio of HTP</t>
  </si>
  <si>
    <t>lvtp</t>
  </si>
  <si>
    <t>Vertical tail plane moment arm distance</t>
  </si>
  <si>
    <t>avtpNC</t>
  </si>
  <si>
    <t>avtpC</t>
  </si>
  <si>
    <t>VTP lift curve slope non compressible</t>
  </si>
  <si>
    <t>VTP lift curve slope compressible</t>
  </si>
  <si>
    <t>MACv</t>
  </si>
  <si>
    <t>VTP MAC</t>
  </si>
  <si>
    <t>bv</t>
  </si>
  <si>
    <t>VTP Span</t>
  </si>
  <si>
    <t>InitialMaxPower</t>
  </si>
  <si>
    <t>kW</t>
  </si>
  <si>
    <t>Max power of the given unscaled engines</t>
  </si>
  <si>
    <t>EngineScale</t>
  </si>
  <si>
    <t>Engine scale factoe</t>
  </si>
  <si>
    <t>MaxPower</t>
  </si>
  <si>
    <t>Max power of our engines</t>
  </si>
  <si>
    <t>N</t>
  </si>
  <si>
    <t>Total thrust from all engines at rotation point</t>
  </si>
  <si>
    <t>TotalTRot</t>
  </si>
  <si>
    <t>Total thrust from one engines at rotation point</t>
  </si>
  <si>
    <t>zt</t>
  </si>
  <si>
    <t>Distance of engine from vertical CG position</t>
  </si>
  <si>
    <t>yt</t>
  </si>
  <si>
    <t>Distance of engine from aircraft centerline</t>
  </si>
  <si>
    <t>Ct</t>
  </si>
  <si>
    <t>Thrust coefficient at rotation</t>
  </si>
  <si>
    <t>PropDia</t>
  </si>
  <si>
    <t>Propeller Diameter</t>
  </si>
  <si>
    <t>PropNum</t>
  </si>
  <si>
    <t>Number of propellers</t>
  </si>
  <si>
    <t>IntakeArea</t>
  </si>
  <si>
    <t>m^2</t>
  </si>
  <si>
    <t>Jet engine intake area</t>
  </si>
  <si>
    <t>ScaledIntakeArea</t>
  </si>
  <si>
    <t>Scaled Jet engine intake area</t>
  </si>
  <si>
    <t>xNLG</t>
  </si>
  <si>
    <t>hNLG</t>
  </si>
  <si>
    <t>xMLG</t>
  </si>
  <si>
    <t>hMLG</t>
  </si>
  <si>
    <t>zMLG</t>
  </si>
  <si>
    <t>Distance of nose landing gear from nose</t>
  </si>
  <si>
    <t>Distance of main landing gear from nose</t>
  </si>
  <si>
    <t>Non dimentional distance of nose landing gear from nose</t>
  </si>
  <si>
    <t>Non dimentional distance of main landing gear from nose</t>
  </si>
  <si>
    <t>Height of main landing gear</t>
  </si>
  <si>
    <t>knMin</t>
  </si>
  <si>
    <t>Minimum static margin stick fixed</t>
  </si>
  <si>
    <t>q</t>
  </si>
  <si>
    <t>Dynamic Pressure at Vmc*1.05</t>
  </si>
  <si>
    <t>MaxRudDef</t>
  </si>
  <si>
    <t>Maximum rudder deflection angle</t>
  </si>
  <si>
    <t>MaxRudDefR</t>
  </si>
  <si>
    <t>Radians</t>
  </si>
  <si>
    <t>CWMaxRudDef</t>
  </si>
  <si>
    <t>Maximum rudder deflection angle for cross wind landings.</t>
  </si>
  <si>
    <t>Vcw</t>
  </si>
  <si>
    <t>kts</t>
  </si>
  <si>
    <t>Maximum crosswind velocity</t>
  </si>
  <si>
    <t>BankA</t>
  </si>
  <si>
    <t>Maximum allowable bank angle during OEI</t>
  </si>
  <si>
    <t>BankAR</t>
  </si>
  <si>
    <t>Cyb</t>
  </si>
  <si>
    <t>Cnb</t>
  </si>
  <si>
    <t>Cyvb</t>
  </si>
  <si>
    <t>Cyvr</t>
  </si>
  <si>
    <t>/rad</t>
  </si>
  <si>
    <t>Change in horizontal force with sideslip angle</t>
  </si>
  <si>
    <t>Change in normal force with sideslip angle</t>
  </si>
  <si>
    <t>Change in horizontal tailplane force with sideslip angle</t>
  </si>
  <si>
    <t>Change in horizontal tailplane force with rudder angle</t>
  </si>
  <si>
    <t>Kr20</t>
  </si>
  <si>
    <t>Kr25</t>
  </si>
  <si>
    <t>Kr30</t>
  </si>
  <si>
    <t>Rudder effectiveness up to 20 degrees</t>
  </si>
  <si>
    <t>Rudder effectiveness at 25 degrees</t>
  </si>
  <si>
    <t>Rudder effectiveness at 30 degrees</t>
  </si>
  <si>
    <t>ElevatorDefMax</t>
  </si>
  <si>
    <t>ElevatorDefMaxR</t>
  </si>
  <si>
    <t>Maxinum aileron deflection</t>
  </si>
  <si>
    <t>ClTO</t>
  </si>
  <si>
    <t>Lift coefficient at TO</t>
  </si>
  <si>
    <t>CdTO</t>
  </si>
  <si>
    <t>Drag Coefficient at take off</t>
  </si>
  <si>
    <t>Taken from aerodynamics spread sheed</t>
  </si>
  <si>
    <t>PitchAngAcc</t>
  </si>
  <si>
    <t>deg/s^2</t>
  </si>
  <si>
    <t>Required pitch angular acceleration for aircraft</t>
  </si>
  <si>
    <t>PitchAngAccR</t>
  </si>
  <si>
    <t>rad/s^2</t>
  </si>
  <si>
    <t>Rybar</t>
  </si>
  <si>
    <t>SeSh</t>
  </si>
  <si>
    <t>eHinge</t>
  </si>
  <si>
    <t>Elevator hinge location as percentage of htp MAC</t>
  </si>
  <si>
    <t>bebh</t>
  </si>
  <si>
    <t>Elevator area/ horizontal tail area ratio</t>
  </si>
  <si>
    <t>Elevator area/horizontal tail span ratio</t>
  </si>
  <si>
    <t>e</t>
  </si>
  <si>
    <t>Downwash angle due to ground wash effect during TO</t>
  </si>
  <si>
    <t>This is taken from the stability and control sheet from moodle</t>
  </si>
  <si>
    <t>eR</t>
  </si>
  <si>
    <t>CeCh</t>
  </si>
  <si>
    <t>Dependent on Elevator Eff</t>
  </si>
  <si>
    <t>AileronDefMax</t>
  </si>
  <si>
    <t>degrees</t>
  </si>
  <si>
    <t>Maximum Aileron Deflection</t>
  </si>
  <si>
    <t>AileronDefMaxR</t>
  </si>
  <si>
    <t>CDR</t>
  </si>
  <si>
    <t>Aircraft drag coefficient in rolling motion</t>
  </si>
  <si>
    <t>Currently taken from other aircraft data. Need to calculate</t>
  </si>
  <si>
    <t>phiDes</t>
  </si>
  <si>
    <t>Desired Bank Angle</t>
  </si>
  <si>
    <t>phiDesR</t>
  </si>
  <si>
    <t>RxBar</t>
  </si>
  <si>
    <t>Non dimentional radius of gyration in x</t>
  </si>
  <si>
    <t>Non dimentional radius of gyration in y</t>
  </si>
  <si>
    <t>Non dimentional radius of gyration in z</t>
  </si>
  <si>
    <t>RzBar</t>
  </si>
  <si>
    <t>SaS</t>
  </si>
  <si>
    <t>Aileron area/wing area ratio</t>
  </si>
  <si>
    <t>bab</t>
  </si>
  <si>
    <t>Aileron span/wing span ratio</t>
  </si>
  <si>
    <t>Used to approximate the span of the aileron. Eventually this will need to be improved based on flap position</t>
  </si>
  <si>
    <t>baob</t>
  </si>
  <si>
    <t>Outer Aileron span position relative to wingspan</t>
  </si>
  <si>
    <t>CaC</t>
  </si>
  <si>
    <t>Initial estimate for aileron choprd legnth/wing chord legnth ratio</t>
  </si>
  <si>
    <t>Need to improve when spar position is fixed</t>
  </si>
  <si>
    <t>Aileron Eff</t>
  </si>
  <si>
    <t>Aileron effectiveness factor</t>
  </si>
  <si>
    <t>tReq</t>
  </si>
  <si>
    <t>Time required to complete rolling motion</t>
  </si>
  <si>
    <t>rudderDefMax</t>
  </si>
  <si>
    <t>rudderDefMaxR</t>
  </si>
  <si>
    <t>Maximum rudder Deflection</t>
  </si>
  <si>
    <t>Maximum Rudder Deflection</t>
  </si>
  <si>
    <t>SrSv</t>
  </si>
  <si>
    <t>Rudder area/horizontail tail area ration</t>
  </si>
  <si>
    <t>Rudder hinge location as percentace of MAC</t>
  </si>
  <si>
    <t>brbv</t>
  </si>
  <si>
    <t>Rudder VTP span ratio</t>
  </si>
  <si>
    <t>CrCv</t>
  </si>
  <si>
    <t>Rudder/VTP chord ratio determined using rudderEff and figure</t>
  </si>
  <si>
    <t>XcgAFT</t>
  </si>
  <si>
    <t>rhoSL</t>
  </si>
  <si>
    <t>Density of air at sea lavel</t>
  </si>
  <si>
    <t>a</t>
  </si>
  <si>
    <t>msTOkts</t>
  </si>
  <si>
    <t xml:space="preserve">M/s to kts convertion </t>
  </si>
  <si>
    <t>nosetoHtpMAC</t>
  </si>
  <si>
    <t>MACHtp</t>
  </si>
  <si>
    <t>nosetoVtpMAC</t>
  </si>
  <si>
    <t>MACVtp</t>
  </si>
  <si>
    <t>Value - 100</t>
  </si>
  <si>
    <t>Vaule - 80</t>
  </si>
  <si>
    <t>etaTR</t>
  </si>
  <si>
    <t>ARh</t>
  </si>
  <si>
    <t>TRot</t>
  </si>
  <si>
    <t>dihedralA</t>
  </si>
  <si>
    <t>FuseCenter2Wing</t>
  </si>
  <si>
    <t>Dihedral angle</t>
  </si>
  <si>
    <t>FuseRadius</t>
  </si>
  <si>
    <t>Center of fuselage to wing center</t>
  </si>
  <si>
    <t>radius of fuselage</t>
  </si>
  <si>
    <t>Ki</t>
  </si>
  <si>
    <t>So</t>
  </si>
  <si>
    <t>lf</t>
  </si>
  <si>
    <t>Fuselage legnth</t>
  </si>
  <si>
    <t>X1</t>
  </si>
  <si>
    <t>Distance along fuselage where ds/dx reaches maxmimum (see roskam pt6 pg 385)</t>
  </si>
  <si>
    <t>80 seater will need editing once GA has been made</t>
  </si>
  <si>
    <t>xo</t>
  </si>
  <si>
    <t>distance according to roskam pt6 pg 385</t>
  </si>
  <si>
    <t>area at point above</t>
  </si>
  <si>
    <t>need to redo for 80 when GA is done</t>
  </si>
  <si>
    <t>2r1</t>
  </si>
  <si>
    <t>Fuselage depth at 1/4MAC VTP</t>
  </si>
  <si>
    <t>bv/2r1</t>
  </si>
  <si>
    <t>kv</t>
  </si>
  <si>
    <t>found using fig 10.12 roskam pt6 pg 385</t>
  </si>
  <si>
    <t>AvfAv</t>
  </si>
  <si>
    <t>Found using fig 10.14 roskam pt6 pg 388</t>
  </si>
  <si>
    <t>TaperRv</t>
  </si>
  <si>
    <t>VTP Taper R</t>
  </si>
  <si>
    <t>AvhfAvf</t>
  </si>
  <si>
    <t>Zw</t>
  </si>
  <si>
    <t>distance from fuselage center to wing root quarter chord</t>
  </si>
  <si>
    <t>Zf</t>
  </si>
  <si>
    <t>Max fueslage diamemer</t>
  </si>
  <si>
    <t>Wing fuselage interface factor</t>
  </si>
  <si>
    <t>h1</t>
  </si>
  <si>
    <t>h2</t>
  </si>
  <si>
    <t>fuselage diameter at lf/4</t>
  </si>
  <si>
    <t>fuselage diameter at 3lf/4</t>
  </si>
  <si>
    <t>Body Side Area</t>
  </si>
  <si>
    <t>Max fulelage reynolds numebr</t>
  </si>
  <si>
    <t>x10^6</t>
  </si>
  <si>
    <t>MaxReFuse</t>
  </si>
  <si>
    <t>Sbs</t>
  </si>
  <si>
    <t>Clva</t>
  </si>
  <si>
    <t>rad^-1</t>
  </si>
  <si>
    <t>aerofoil lift curve slope NACA 0010</t>
  </si>
  <si>
    <t>kk</t>
  </si>
  <si>
    <t>cortrection factor for non linear lift of rudder</t>
  </si>
  <si>
    <t>CldTheory</t>
  </si>
  <si>
    <t>Lift effectiveness of rudder</t>
  </si>
  <si>
    <t>CldCldTheory</t>
  </si>
  <si>
    <t>adCladcl</t>
  </si>
  <si>
    <t>Effect of AR and rudder VCTP area</t>
  </si>
  <si>
    <t>Kb</t>
  </si>
  <si>
    <t>Effect of TP and rudder span</t>
  </si>
  <si>
    <t>MaxEngineNacelWidth</t>
  </si>
  <si>
    <t>alpha</t>
  </si>
  <si>
    <t>angle of attack of point of flight being analysed for stability</t>
  </si>
  <si>
    <t>cgPos</t>
  </si>
  <si>
    <t>CG position at point of flight being analysed for stability</t>
  </si>
  <si>
    <t>Clp</t>
  </si>
  <si>
    <t>Cl at point of flight being analysed</t>
  </si>
  <si>
    <t>flapsDep</t>
  </si>
  <si>
    <t>Are flaps deployed at point of flight being analysed</t>
  </si>
  <si>
    <t xml:space="preserve">0=no/1 = yes </t>
  </si>
  <si>
    <t>Mac</t>
  </si>
  <si>
    <t>MAC speed at popint of flight being analysed</t>
  </si>
  <si>
    <t>Re</t>
  </si>
  <si>
    <t>Reynolds numebr of point of flight being analysed</t>
  </si>
  <si>
    <t>0.25MACtoCG</t>
  </si>
  <si>
    <t>distance from MAC/4 to horizontal cg</t>
  </si>
  <si>
    <t>VTPhCenter</t>
  </si>
  <si>
    <t>VTPhRoot</t>
  </si>
  <si>
    <t>Fin height from fuselage center</t>
  </si>
  <si>
    <t>fin height from root</t>
  </si>
  <si>
    <t>CrootV</t>
  </si>
  <si>
    <t>CtipV</t>
  </si>
  <si>
    <t>Root Chord</t>
  </si>
  <si>
    <t>Tip Chord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</si>
</sst>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tabSelected="1" zoomScaleNormal="100" workbookViewId="0">
      <selection activeCell="C29" sqref="C29"/>
    </sheetView>
  </sheetViews>
  <sheetFormatPr baseColWidth="10" defaultColWidth="8.83203125" defaultRowHeight="15" x14ac:dyDescent="0.2"/>
  <cols>
    <col min="1" max="1" width="21.5" bestFit="1" customWidth="1"/>
    <col min="2" max="2" width="13.5" bestFit="1" customWidth="1"/>
    <col min="3" max="4" width="13.5" customWidth="1"/>
    <col min="5" max="5" width="38.33203125" style="3" bestFit="1" customWidth="1"/>
    <col min="6" max="6" width="48.33203125" style="3" bestFit="1" customWidth="1"/>
    <col min="7" max="7" width="33.33203125" customWidth="1"/>
  </cols>
  <sheetData>
    <row r="1" spans="1:9" x14ac:dyDescent="0.2">
      <c r="A1" s="1" t="s">
        <v>0</v>
      </c>
      <c r="B1" s="1" t="s">
        <v>233</v>
      </c>
      <c r="C1" s="1" t="s">
        <v>234</v>
      </c>
      <c r="D1" s="1" t="s">
        <v>24</v>
      </c>
      <c r="E1" s="2" t="s">
        <v>9</v>
      </c>
      <c r="F1" s="2" t="s">
        <v>19</v>
      </c>
    </row>
    <row r="2" spans="1:9" x14ac:dyDescent="0.2">
      <c r="A2" t="s">
        <v>3</v>
      </c>
      <c r="B2">
        <v>92</v>
      </c>
      <c r="C2">
        <v>92</v>
      </c>
      <c r="D2" t="s">
        <v>25</v>
      </c>
      <c r="E2" s="3" t="s">
        <v>10</v>
      </c>
    </row>
    <row r="3" spans="1:9" x14ac:dyDescent="0.2">
      <c r="A3" t="s">
        <v>1</v>
      </c>
      <c r="B3">
        <v>35.799999999999997</v>
      </c>
      <c r="C3">
        <v>35.799999999999997</v>
      </c>
      <c r="D3" t="s">
        <v>25</v>
      </c>
      <c r="E3" s="3" t="s">
        <v>11</v>
      </c>
    </row>
    <row r="4" spans="1:9" x14ac:dyDescent="0.2">
      <c r="A4" t="s">
        <v>12</v>
      </c>
      <c r="B4">
        <f>B3^2/B2</f>
        <v>13.930869565217391</v>
      </c>
      <c r="C4">
        <f>C3^2/C2</f>
        <v>13.930869565217391</v>
      </c>
    </row>
    <row r="5" spans="1:9" x14ac:dyDescent="0.2">
      <c r="A5" t="s">
        <v>2</v>
      </c>
      <c r="B5">
        <v>2.6259999999999999</v>
      </c>
      <c r="C5">
        <v>2.83</v>
      </c>
      <c r="D5" t="s">
        <v>25</v>
      </c>
      <c r="E5" s="3" t="s">
        <v>13</v>
      </c>
    </row>
    <row r="6" spans="1:9" x14ac:dyDescent="0.2">
      <c r="A6" t="s">
        <v>15</v>
      </c>
      <c r="B6">
        <v>12.94</v>
      </c>
      <c r="C6">
        <v>11.554</v>
      </c>
      <c r="D6" t="s">
        <v>25</v>
      </c>
      <c r="E6" s="3" t="s">
        <v>14</v>
      </c>
    </row>
    <row r="7" spans="1:9" x14ac:dyDescent="0.2">
      <c r="A7" t="s">
        <v>16</v>
      </c>
      <c r="B7">
        <f>B6+(0.25*B5)</f>
        <v>13.596499999999999</v>
      </c>
      <c r="C7">
        <f>C6+(0.25*C5)</f>
        <v>12.2615</v>
      </c>
      <c r="D7" t="s">
        <v>25</v>
      </c>
      <c r="E7" s="3" t="s">
        <v>21</v>
      </c>
      <c r="H7">
        <f>B7+(0.25*B5)</f>
        <v>14.252999999999998</v>
      </c>
      <c r="I7">
        <f>C7+(0.25*C5)</f>
        <v>12.968999999999999</v>
      </c>
    </row>
    <row r="8" spans="1:9" x14ac:dyDescent="0.2">
      <c r="A8" t="s">
        <v>4</v>
      </c>
      <c r="B8">
        <f>B7/B5</f>
        <v>5.1776466108149277</v>
      </c>
      <c r="C8">
        <f>C7/C5</f>
        <v>4.3326855123674912</v>
      </c>
      <c r="H8">
        <f>H7+(0.1*B13)</f>
        <v>14.608799999999999</v>
      </c>
      <c r="I8">
        <f>I7+(0.1*C13)</f>
        <v>13.3248</v>
      </c>
    </row>
    <row r="9" spans="1:9" x14ac:dyDescent="0.2">
      <c r="A9" t="s">
        <v>226</v>
      </c>
      <c r="B9">
        <v>7.0659999999999998</v>
      </c>
      <c r="C9">
        <v>7.0659999999999998</v>
      </c>
      <c r="E9" s="3" t="s">
        <v>17</v>
      </c>
    </row>
    <row r="10" spans="1:9" x14ac:dyDescent="0.2">
      <c r="A10" t="s">
        <v>5</v>
      </c>
      <c r="B10">
        <v>-2.1</v>
      </c>
      <c r="C10">
        <v>-2.1</v>
      </c>
      <c r="D10" t="s">
        <v>26</v>
      </c>
      <c r="E10" s="3" t="s">
        <v>20</v>
      </c>
    </row>
    <row r="11" spans="1:9" x14ac:dyDescent="0.2">
      <c r="A11" t="s">
        <v>6</v>
      </c>
      <c r="B11">
        <v>0.24</v>
      </c>
      <c r="C11">
        <v>0.24</v>
      </c>
      <c r="E11" s="3" t="s">
        <v>18</v>
      </c>
      <c r="F11" s="3" t="s">
        <v>22</v>
      </c>
    </row>
    <row r="12" spans="1:9" x14ac:dyDescent="0.2">
      <c r="A12" t="s">
        <v>76</v>
      </c>
      <c r="B12">
        <v>0.33850000000000002</v>
      </c>
      <c r="C12">
        <v>0.33200000000000002</v>
      </c>
      <c r="E12" s="3" t="s">
        <v>23</v>
      </c>
    </row>
    <row r="13" spans="1:9" x14ac:dyDescent="0.2">
      <c r="A13" t="s">
        <v>7</v>
      </c>
      <c r="B13">
        <v>3.5579999999999998</v>
      </c>
      <c r="C13">
        <v>3.5579999999999998</v>
      </c>
      <c r="D13" t="s">
        <v>25</v>
      </c>
      <c r="E13" s="3" t="s">
        <v>27</v>
      </c>
    </row>
    <row r="14" spans="1:9" x14ac:dyDescent="0.2">
      <c r="A14" t="s">
        <v>8</v>
      </c>
      <c r="B14">
        <v>1.712</v>
      </c>
      <c r="C14">
        <v>1.712</v>
      </c>
      <c r="D14" t="s">
        <v>25</v>
      </c>
      <c r="E14" s="3" t="s">
        <v>28</v>
      </c>
    </row>
    <row r="15" spans="1:9" x14ac:dyDescent="0.2">
      <c r="A15" t="s">
        <v>29</v>
      </c>
      <c r="B15">
        <v>33941</v>
      </c>
      <c r="C15">
        <v>29754</v>
      </c>
      <c r="D15" t="s">
        <v>30</v>
      </c>
      <c r="E15" s="3" t="s">
        <v>31</v>
      </c>
    </row>
    <row r="16" spans="1:9" x14ac:dyDescent="0.2">
      <c r="A16" t="s">
        <v>32</v>
      </c>
      <c r="B16">
        <v>2.7</v>
      </c>
      <c r="C16">
        <v>2.7</v>
      </c>
      <c r="E16" s="3" t="s">
        <v>34</v>
      </c>
    </row>
    <row r="17" spans="1:6" x14ac:dyDescent="0.2">
      <c r="A17" t="s">
        <v>33</v>
      </c>
      <c r="B17">
        <v>2.7</v>
      </c>
      <c r="C17">
        <v>2.7</v>
      </c>
      <c r="E17" s="3" t="s">
        <v>35</v>
      </c>
      <c r="F17" s="3" t="s">
        <v>36</v>
      </c>
    </row>
    <row r="18" spans="1:6" x14ac:dyDescent="0.2">
      <c r="A18" t="s">
        <v>37</v>
      </c>
      <c r="B18">
        <v>16.899999999999999</v>
      </c>
      <c r="C18">
        <v>16.899999999999999</v>
      </c>
      <c r="E18" s="3" t="s">
        <v>38</v>
      </c>
    </row>
    <row r="19" spans="1:6" x14ac:dyDescent="0.2">
      <c r="A19" t="s">
        <v>50</v>
      </c>
      <c r="B19">
        <v>0.15</v>
      </c>
      <c r="C19">
        <v>0.17</v>
      </c>
      <c r="E19" s="3" t="s">
        <v>52</v>
      </c>
      <c r="F19" s="3">
        <v>0.20699999999999999</v>
      </c>
    </row>
    <row r="20" spans="1:6" x14ac:dyDescent="0.2">
      <c r="A20" t="s">
        <v>39</v>
      </c>
      <c r="B20">
        <f>B6+(B19*B5)</f>
        <v>13.3339</v>
      </c>
      <c r="C20">
        <f>C6+(C19*C5)</f>
        <v>12.0351</v>
      </c>
      <c r="D20" t="s">
        <v>25</v>
      </c>
      <c r="E20" s="3" t="s">
        <v>40</v>
      </c>
    </row>
    <row r="21" spans="1:6" x14ac:dyDescent="0.2">
      <c r="A21" t="s">
        <v>51</v>
      </c>
      <c r="B21">
        <v>0.42</v>
      </c>
      <c r="C21">
        <v>0.4</v>
      </c>
      <c r="E21" s="3" t="s">
        <v>53</v>
      </c>
    </row>
    <row r="22" spans="1:6" x14ac:dyDescent="0.2">
      <c r="A22" t="s">
        <v>223</v>
      </c>
      <c r="B22">
        <f>B6+(B21*B5)</f>
        <v>14.042919999999999</v>
      </c>
      <c r="C22">
        <f>C6+(C21*C5)</f>
        <v>12.686</v>
      </c>
      <c r="D22" t="s">
        <v>25</v>
      </c>
      <c r="E22" s="3" t="s">
        <v>41</v>
      </c>
    </row>
    <row r="23" spans="1:6" x14ac:dyDescent="0.2">
      <c r="A23" t="s">
        <v>42</v>
      </c>
      <c r="B23">
        <f>((B15*9.81)/(0.5*1.225*B16*B2))^0.5</f>
        <v>46.780835963329892</v>
      </c>
      <c r="C23">
        <f>((C15*9.81)/(0.5*1.225*C16*C2))^0.5</f>
        <v>43.800426636713468</v>
      </c>
      <c r="D23" t="s">
        <v>43</v>
      </c>
      <c r="E23" s="3" t="s">
        <v>44</v>
      </c>
    </row>
    <row r="24" spans="1:6" x14ac:dyDescent="0.2">
      <c r="A24" t="s">
        <v>45</v>
      </c>
      <c r="B24">
        <f>1.2*B23</f>
        <v>56.13700315599587</v>
      </c>
      <c r="C24">
        <f>1.2*C23</f>
        <v>52.560511964056161</v>
      </c>
      <c r="D24" t="s">
        <v>43</v>
      </c>
      <c r="E24" s="3" t="s">
        <v>46</v>
      </c>
    </row>
    <row r="25" spans="1:6" x14ac:dyDescent="0.2">
      <c r="A25" t="s">
        <v>47</v>
      </c>
      <c r="B25">
        <v>-0.126</v>
      </c>
      <c r="C25">
        <v>-0.126</v>
      </c>
      <c r="E25" s="3" t="s">
        <v>48</v>
      </c>
    </row>
    <row r="26" spans="1:6" x14ac:dyDescent="0.2">
      <c r="A26" t="s">
        <v>49</v>
      </c>
      <c r="B26">
        <f>B21-B19</f>
        <v>0.27</v>
      </c>
      <c r="C26">
        <f>C21-C19</f>
        <v>0.23</v>
      </c>
    </row>
    <row r="27" spans="1:6" x14ac:dyDescent="0.2">
      <c r="A27" t="s">
        <v>54</v>
      </c>
      <c r="B27">
        <v>3.177</v>
      </c>
      <c r="C27">
        <v>3.2349999999999999</v>
      </c>
      <c r="D27" t="s">
        <v>25</v>
      </c>
      <c r="E27" s="3" t="s">
        <v>55</v>
      </c>
    </row>
    <row r="28" spans="1:6" x14ac:dyDescent="0.2">
      <c r="A28" t="s">
        <v>56</v>
      </c>
      <c r="B28">
        <v>1</v>
      </c>
      <c r="C28">
        <v>1</v>
      </c>
      <c r="D28" t="s">
        <v>25</v>
      </c>
      <c r="E28" s="3" t="s">
        <v>57</v>
      </c>
      <c r="F28" s="3" t="s">
        <v>58</v>
      </c>
    </row>
    <row r="29" spans="1:6" x14ac:dyDescent="0.2">
      <c r="A29" t="s">
        <v>229</v>
      </c>
      <c r="B29">
        <v>26.724</v>
      </c>
      <c r="C29">
        <v>23.574000000000002</v>
      </c>
    </row>
    <row r="30" spans="1:6" x14ac:dyDescent="0.2">
      <c r="A30" t="s">
        <v>230</v>
      </c>
      <c r="B30">
        <v>2.452</v>
      </c>
      <c r="C30">
        <v>2.452</v>
      </c>
    </row>
    <row r="31" spans="1:6" x14ac:dyDescent="0.2">
      <c r="A31" t="s">
        <v>59</v>
      </c>
      <c r="B31" s="3">
        <f>B29+(0.25*B30)-B7</f>
        <v>13.740500000000001</v>
      </c>
      <c r="C31" s="3">
        <f>C29+(0.25*C30)-C7</f>
        <v>11.925500000000001</v>
      </c>
      <c r="D31" t="s">
        <v>25</v>
      </c>
      <c r="E31" s="3" t="s">
        <v>60</v>
      </c>
      <c r="F31" s="3">
        <v>13</v>
      </c>
    </row>
    <row r="32" spans="1:6" x14ac:dyDescent="0.2">
      <c r="A32" t="s">
        <v>62</v>
      </c>
      <c r="B32">
        <v>4.3556970039999996</v>
      </c>
      <c r="C32">
        <v>4.3556970039999996</v>
      </c>
    </row>
    <row r="33" spans="1:6" x14ac:dyDescent="0.2">
      <c r="A33" t="s">
        <v>63</v>
      </c>
      <c r="B33">
        <v>4.5832596912000003</v>
      </c>
      <c r="C33">
        <v>4.3556970039999996</v>
      </c>
      <c r="E33" s="3" t="s">
        <v>61</v>
      </c>
    </row>
    <row r="34" spans="1:6" x14ac:dyDescent="0.2">
      <c r="A34" t="s">
        <v>64</v>
      </c>
      <c r="B34">
        <v>6.7670000000000003</v>
      </c>
      <c r="C34">
        <v>6.7670000000000003</v>
      </c>
      <c r="E34" s="3" t="s">
        <v>65</v>
      </c>
    </row>
    <row r="35" spans="1:6" ht="30" x14ac:dyDescent="0.2">
      <c r="A35" t="s">
        <v>66</v>
      </c>
      <c r="B35" s="7">
        <v>-1.1000000000000001</v>
      </c>
      <c r="C35" s="7">
        <v>-1.1000000000000001</v>
      </c>
      <c r="E35" s="3" t="s">
        <v>67</v>
      </c>
    </row>
    <row r="36" spans="1:6" x14ac:dyDescent="0.2">
      <c r="A36" t="s">
        <v>235</v>
      </c>
      <c r="B36">
        <f>RADIANS(-2.1)</f>
        <v>-3.6651914291880923E-2</v>
      </c>
      <c r="C36">
        <f>RADIANS(-2.1)</f>
        <v>-3.6651914291880923E-2</v>
      </c>
      <c r="D36" t="s">
        <v>71</v>
      </c>
      <c r="E36" s="3" t="s">
        <v>69</v>
      </c>
      <c r="F36" s="3" t="s">
        <v>70</v>
      </c>
    </row>
    <row r="37" spans="1:6" x14ac:dyDescent="0.2">
      <c r="A37" t="s">
        <v>72</v>
      </c>
      <c r="B37">
        <v>11.348000000000001</v>
      </c>
      <c r="C37">
        <v>11.348000000000001</v>
      </c>
      <c r="D37" t="s">
        <v>25</v>
      </c>
      <c r="E37" s="3" t="s">
        <v>73</v>
      </c>
    </row>
    <row r="38" spans="1:6" x14ac:dyDescent="0.2">
      <c r="A38" t="s">
        <v>74</v>
      </c>
      <c r="B38">
        <v>2.452</v>
      </c>
      <c r="C38">
        <v>2.452</v>
      </c>
      <c r="D38" t="s">
        <v>25</v>
      </c>
      <c r="E38" s="3" t="s">
        <v>75</v>
      </c>
    </row>
    <row r="39" spans="1:6" x14ac:dyDescent="0.2">
      <c r="A39" t="s">
        <v>77</v>
      </c>
      <c r="B39">
        <v>0.51500000000000001</v>
      </c>
      <c r="C39">
        <v>0.51500000000000001</v>
      </c>
      <c r="E39" s="3" t="s">
        <v>78</v>
      </c>
    </row>
    <row r="40" spans="1:6" x14ac:dyDescent="0.2">
      <c r="A40" t="s">
        <v>236</v>
      </c>
      <c r="B40">
        <v>4.8019999999999996</v>
      </c>
      <c r="C40">
        <v>4.8019999999999996</v>
      </c>
      <c r="E40" s="3" t="s">
        <v>79</v>
      </c>
    </row>
    <row r="41" spans="1:6" x14ac:dyDescent="0.2">
      <c r="A41" t="s">
        <v>231</v>
      </c>
      <c r="B41">
        <v>21.576000000000001</v>
      </c>
      <c r="C41">
        <v>17</v>
      </c>
    </row>
    <row r="42" spans="1:6" x14ac:dyDescent="0.2">
      <c r="A42" t="s">
        <v>232</v>
      </c>
      <c r="B42">
        <v>5.1239999999999997</v>
      </c>
      <c r="C42">
        <v>5.1239999999999997</v>
      </c>
    </row>
    <row r="43" spans="1:6" x14ac:dyDescent="0.2">
      <c r="A43" t="s">
        <v>80</v>
      </c>
      <c r="B43" s="3">
        <f>B41+(0.25*B42)-B7+3</f>
        <v>12.2605</v>
      </c>
      <c r="C43" s="3">
        <f>C41+(0.25*C42)-C7+3</f>
        <v>9.019499999999999</v>
      </c>
      <c r="D43" t="s">
        <v>25</v>
      </c>
      <c r="E43" s="3" t="s">
        <v>81</v>
      </c>
      <c r="F43" s="3">
        <f>B41+(0.25*B42)-B7</f>
        <v>9.2605000000000004</v>
      </c>
    </row>
    <row r="44" spans="1:6" x14ac:dyDescent="0.2">
      <c r="A44" t="s">
        <v>82</v>
      </c>
      <c r="B44">
        <v>6.7669905760000004</v>
      </c>
      <c r="C44">
        <v>6.7669905760000004</v>
      </c>
      <c r="E44" s="3" t="s">
        <v>84</v>
      </c>
    </row>
    <row r="45" spans="1:6" x14ac:dyDescent="0.2">
      <c r="A45" t="s">
        <v>83</v>
      </c>
      <c r="B45">
        <v>7.7630495420000001</v>
      </c>
      <c r="C45">
        <v>7.7630495420000001</v>
      </c>
      <c r="E45" s="3" t="s">
        <v>85</v>
      </c>
    </row>
    <row r="46" spans="1:6" x14ac:dyDescent="0.2">
      <c r="A46" t="s">
        <v>86</v>
      </c>
      <c r="B46">
        <f>B42</f>
        <v>5.1239999999999997</v>
      </c>
      <c r="C46">
        <f>C42</f>
        <v>5.1239999999999997</v>
      </c>
      <c r="D46" t="s">
        <v>25</v>
      </c>
      <c r="E46" s="3" t="s">
        <v>87</v>
      </c>
    </row>
    <row r="47" spans="1:6" x14ac:dyDescent="0.2">
      <c r="A47" t="s">
        <v>311</v>
      </c>
      <c r="B47">
        <v>4.2300000000000004</v>
      </c>
      <c r="C47">
        <v>4.2300000000000004</v>
      </c>
      <c r="E47" s="3" t="s">
        <v>313</v>
      </c>
    </row>
    <row r="48" spans="1:6" x14ac:dyDescent="0.2">
      <c r="A48" t="s">
        <v>312</v>
      </c>
      <c r="B48">
        <v>2.9820000000000002</v>
      </c>
      <c r="C48">
        <v>2.9820000000000002</v>
      </c>
      <c r="E48" s="3" t="s">
        <v>314</v>
      </c>
    </row>
    <row r="49" spans="1:7" x14ac:dyDescent="0.2">
      <c r="A49" t="s">
        <v>88</v>
      </c>
      <c r="B49">
        <v>6.1820000000000004</v>
      </c>
      <c r="C49">
        <v>6.1820000000000004</v>
      </c>
      <c r="D49" t="s">
        <v>25</v>
      </c>
      <c r="E49" s="3" t="s">
        <v>89</v>
      </c>
    </row>
    <row r="50" spans="1:7" x14ac:dyDescent="0.2">
      <c r="A50" t="s">
        <v>90</v>
      </c>
      <c r="B50">
        <v>4745</v>
      </c>
      <c r="C50">
        <v>4745</v>
      </c>
      <c r="D50" t="s">
        <v>91</v>
      </c>
      <c r="E50" s="3" t="s">
        <v>92</v>
      </c>
    </row>
    <row r="51" spans="1:7" x14ac:dyDescent="0.2">
      <c r="A51" t="s">
        <v>93</v>
      </c>
      <c r="B51">
        <v>0.94</v>
      </c>
      <c r="C51">
        <v>0.94</v>
      </c>
      <c r="E51" s="3" t="s">
        <v>94</v>
      </c>
    </row>
    <row r="52" spans="1:7" x14ac:dyDescent="0.2">
      <c r="A52" t="s">
        <v>95</v>
      </c>
      <c r="B52">
        <f>B50*B51</f>
        <v>4460.3</v>
      </c>
      <c r="C52">
        <f>C50*C51</f>
        <v>4460.3</v>
      </c>
      <c r="D52" t="s">
        <v>91</v>
      </c>
      <c r="E52" s="3" t="s">
        <v>96</v>
      </c>
    </row>
    <row r="53" spans="1:7" x14ac:dyDescent="0.2">
      <c r="A53" t="s">
        <v>237</v>
      </c>
      <c r="B53">
        <f>(B52*1000)/(1.05*B24)</f>
        <v>75670.315889512392</v>
      </c>
      <c r="C53">
        <f>(C52*1000)/(1.05*C24)</f>
        <v>80819.318594341661</v>
      </c>
      <c r="D53" t="s">
        <v>97</v>
      </c>
      <c r="E53" s="3" t="s">
        <v>100</v>
      </c>
    </row>
    <row r="54" spans="1:7" x14ac:dyDescent="0.2">
      <c r="A54" t="s">
        <v>99</v>
      </c>
      <c r="B54">
        <f>2*B53</f>
        <v>151340.63177902478</v>
      </c>
      <c r="C54">
        <f>2*C53</f>
        <v>161638.63718868332</v>
      </c>
      <c r="D54" t="s">
        <v>97</v>
      </c>
      <c r="E54" s="3" t="s">
        <v>98</v>
      </c>
    </row>
    <row r="55" spans="1:7" x14ac:dyDescent="0.2">
      <c r="A55" t="s">
        <v>101</v>
      </c>
      <c r="B55" s="4">
        <v>1.2</v>
      </c>
      <c r="C55">
        <v>1.2</v>
      </c>
      <c r="D55" t="s">
        <v>25</v>
      </c>
      <c r="E55" s="3" t="s">
        <v>102</v>
      </c>
      <c r="F55">
        <v>1.4714</v>
      </c>
    </row>
    <row r="56" spans="1:7" x14ac:dyDescent="0.2">
      <c r="A56" t="s">
        <v>103</v>
      </c>
      <c r="B56">
        <v>4.577</v>
      </c>
      <c r="C56">
        <v>4.577</v>
      </c>
      <c r="D56" t="s">
        <v>25</v>
      </c>
      <c r="E56" s="3" t="s">
        <v>104</v>
      </c>
    </row>
    <row r="57" spans="1:7" x14ac:dyDescent="0.2">
      <c r="A57" t="s">
        <v>105</v>
      </c>
      <c r="B57">
        <f>B54/(0.5*1.225*(B24*1.05)^2*B2)</f>
        <v>0.77300904461236253</v>
      </c>
      <c r="C57">
        <f>C54/(0.5*1.225*(C24*1.05)^2*C2)</f>
        <v>0.94178872763234311</v>
      </c>
      <c r="E57" s="3" t="s">
        <v>106</v>
      </c>
    </row>
    <row r="58" spans="1:7" x14ac:dyDescent="0.2">
      <c r="A58" t="s">
        <v>107</v>
      </c>
      <c r="B58">
        <v>4.4930000000000003</v>
      </c>
      <c r="C58">
        <v>5.0609999999999999</v>
      </c>
      <c r="D58" t="s">
        <v>25</v>
      </c>
      <c r="E58" s="3" t="s">
        <v>108</v>
      </c>
    </row>
    <row r="59" spans="1:7" x14ac:dyDescent="0.2">
      <c r="A59" t="s">
        <v>109</v>
      </c>
      <c r="B59">
        <v>6</v>
      </c>
      <c r="C59">
        <v>6</v>
      </c>
      <c r="E59" t="s">
        <v>110</v>
      </c>
    </row>
    <row r="60" spans="1:7" x14ac:dyDescent="0.2">
      <c r="A60" t="s">
        <v>111</v>
      </c>
      <c r="B60">
        <v>0.16</v>
      </c>
      <c r="C60">
        <v>0.16</v>
      </c>
      <c r="D60" t="s">
        <v>112</v>
      </c>
      <c r="E60" s="3" t="s">
        <v>113</v>
      </c>
      <c r="G60">
        <f>C8-0.1</f>
        <v>4.2326855123674916</v>
      </c>
    </row>
    <row r="61" spans="1:7" x14ac:dyDescent="0.2">
      <c r="A61" t="s">
        <v>114</v>
      </c>
      <c r="B61">
        <f>B60*B51</f>
        <v>0.15040000000000001</v>
      </c>
      <c r="C61">
        <f>C60*C51</f>
        <v>0.15040000000000001</v>
      </c>
      <c r="D61" t="s">
        <v>112</v>
      </c>
      <c r="E61" s="3" t="s">
        <v>115</v>
      </c>
    </row>
    <row r="62" spans="1:7" x14ac:dyDescent="0.2">
      <c r="A62" t="s">
        <v>116</v>
      </c>
      <c r="B62">
        <v>1.8</v>
      </c>
      <c r="C62">
        <v>1.8</v>
      </c>
      <c r="D62" t="s">
        <v>25</v>
      </c>
      <c r="E62" s="3" t="s">
        <v>121</v>
      </c>
    </row>
    <row r="63" spans="1:7" ht="30" x14ac:dyDescent="0.2">
      <c r="A63" t="s">
        <v>117</v>
      </c>
      <c r="B63">
        <f>B62/B5</f>
        <v>0.68545316070068552</v>
      </c>
      <c r="C63">
        <f>C62/C5</f>
        <v>0.63604240282685509</v>
      </c>
      <c r="E63" s="3" t="s">
        <v>123</v>
      </c>
    </row>
    <row r="64" spans="1:7" x14ac:dyDescent="0.2">
      <c r="A64" t="s">
        <v>118</v>
      </c>
      <c r="B64">
        <v>15.095000000000001</v>
      </c>
      <c r="C64">
        <v>13.709</v>
      </c>
      <c r="D64" t="s">
        <v>25</v>
      </c>
      <c r="E64" s="3" t="s">
        <v>122</v>
      </c>
    </row>
    <row r="65" spans="1:5" ht="30" x14ac:dyDescent="0.2">
      <c r="A65" t="s">
        <v>119</v>
      </c>
      <c r="B65">
        <f>B64/B5</f>
        <v>5.7482863670982489</v>
      </c>
      <c r="C65">
        <f>C64/C5</f>
        <v>4.8441696113074206</v>
      </c>
      <c r="E65" s="3" t="s">
        <v>124</v>
      </c>
    </row>
    <row r="66" spans="1:5" x14ac:dyDescent="0.2">
      <c r="A66" t="s">
        <v>120</v>
      </c>
      <c r="B66">
        <v>1</v>
      </c>
      <c r="C66">
        <v>1</v>
      </c>
      <c r="D66" t="s">
        <v>25</v>
      </c>
      <c r="E66" s="3" t="s">
        <v>125</v>
      </c>
    </row>
    <row r="67" spans="1:5" x14ac:dyDescent="0.2">
      <c r="A67" t="s">
        <v>126</v>
      </c>
      <c r="B67">
        <v>0.05</v>
      </c>
      <c r="C67">
        <v>0.05</v>
      </c>
      <c r="E67" s="3" t="s">
        <v>127</v>
      </c>
    </row>
    <row r="68" spans="1:5" x14ac:dyDescent="0.2">
      <c r="A68" t="s">
        <v>128</v>
      </c>
      <c r="B68">
        <f>0.5*1.225*(B24*1.05)^2</f>
        <v>2128.0564291304345</v>
      </c>
      <c r="C68">
        <f>0.5*1.225*(C24*1.05)^2</f>
        <v>1865.5369904347829</v>
      </c>
      <c r="E68" s="3" t="s">
        <v>129</v>
      </c>
    </row>
    <row r="69" spans="1:5" x14ac:dyDescent="0.2">
      <c r="A69" t="s">
        <v>130</v>
      </c>
      <c r="B69">
        <v>30</v>
      </c>
      <c r="C69">
        <v>30</v>
      </c>
      <c r="D69" t="s">
        <v>68</v>
      </c>
      <c r="E69" s="3" t="s">
        <v>131</v>
      </c>
    </row>
    <row r="70" spans="1:5" x14ac:dyDescent="0.2">
      <c r="A70" t="s">
        <v>132</v>
      </c>
      <c r="B70">
        <f>RADIANS(B69)</f>
        <v>0.52359877559829882</v>
      </c>
      <c r="C70">
        <f>RADIANS(C69)</f>
        <v>0.52359877559829882</v>
      </c>
      <c r="D70" t="s">
        <v>133</v>
      </c>
      <c r="E70" s="3" t="s">
        <v>131</v>
      </c>
    </row>
    <row r="71" spans="1:5" ht="30" x14ac:dyDescent="0.2">
      <c r="A71" t="s">
        <v>134</v>
      </c>
      <c r="B71">
        <f>B70*0.7</f>
        <v>0.36651914291880916</v>
      </c>
      <c r="C71">
        <f>C70*0.7</f>
        <v>0.36651914291880916</v>
      </c>
      <c r="D71" t="s">
        <v>133</v>
      </c>
      <c r="E71" s="3" t="s">
        <v>135</v>
      </c>
    </row>
    <row r="72" spans="1:5" x14ac:dyDescent="0.2">
      <c r="A72" t="s">
        <v>136</v>
      </c>
      <c r="B72">
        <v>20</v>
      </c>
      <c r="C72">
        <v>20</v>
      </c>
      <c r="D72" t="s">
        <v>137</v>
      </c>
      <c r="E72" s="3" t="s">
        <v>138</v>
      </c>
    </row>
    <row r="73" spans="1:5" x14ac:dyDescent="0.2">
      <c r="A73" t="s">
        <v>139</v>
      </c>
      <c r="B73">
        <v>5</v>
      </c>
      <c r="C73">
        <v>5</v>
      </c>
      <c r="D73" t="s">
        <v>68</v>
      </c>
      <c r="E73" s="3" t="s">
        <v>140</v>
      </c>
    </row>
    <row r="74" spans="1:5" x14ac:dyDescent="0.2">
      <c r="A74" t="s">
        <v>141</v>
      </c>
      <c r="B74">
        <f>RADIANS(B73)</f>
        <v>8.7266462599716474E-2</v>
      </c>
      <c r="C74">
        <f>RADIANS(C73)</f>
        <v>8.7266462599716474E-2</v>
      </c>
      <c r="D74" t="s">
        <v>133</v>
      </c>
      <c r="E74" s="3" t="s">
        <v>140</v>
      </c>
    </row>
    <row r="75" spans="1:5" x14ac:dyDescent="0.2">
      <c r="A75" t="s">
        <v>142</v>
      </c>
      <c r="B75" s="7">
        <v>-0.2</v>
      </c>
      <c r="C75" s="7">
        <v>-0.2</v>
      </c>
      <c r="D75" t="s">
        <v>146</v>
      </c>
      <c r="E75" s="3" t="s">
        <v>147</v>
      </c>
    </row>
    <row r="76" spans="1:5" x14ac:dyDescent="0.2">
      <c r="A76" t="s">
        <v>143</v>
      </c>
      <c r="B76" s="7">
        <v>-0.58792</v>
      </c>
      <c r="C76" s="7">
        <v>-0.58792</v>
      </c>
      <c r="D76" t="s">
        <v>146</v>
      </c>
      <c r="E76" s="3" t="s">
        <v>148</v>
      </c>
    </row>
    <row r="77" spans="1:5" ht="30" x14ac:dyDescent="0.2">
      <c r="A77" t="s">
        <v>144</v>
      </c>
      <c r="B77" s="7">
        <v>-2.5</v>
      </c>
      <c r="C77" s="7">
        <v>-2.5</v>
      </c>
      <c r="D77" t="s">
        <v>146</v>
      </c>
      <c r="E77" s="3" t="s">
        <v>149</v>
      </c>
    </row>
    <row r="78" spans="1:5" ht="30" x14ac:dyDescent="0.2">
      <c r="A78" t="s">
        <v>145</v>
      </c>
      <c r="B78" s="7">
        <v>2.2400000000000002</v>
      </c>
      <c r="C78" s="7">
        <v>2.2400000000000002</v>
      </c>
      <c r="D78" t="s">
        <v>146</v>
      </c>
      <c r="E78" s="3" t="s">
        <v>150</v>
      </c>
    </row>
    <row r="79" spans="1:5" x14ac:dyDescent="0.2">
      <c r="A79" t="s">
        <v>151</v>
      </c>
      <c r="B79">
        <v>1</v>
      </c>
      <c r="C79">
        <v>1</v>
      </c>
      <c r="E79" s="3" t="s">
        <v>154</v>
      </c>
    </row>
    <row r="80" spans="1:5" x14ac:dyDescent="0.2">
      <c r="A80" t="s">
        <v>152</v>
      </c>
      <c r="B80">
        <v>0.98</v>
      </c>
      <c r="C80">
        <v>0.98</v>
      </c>
      <c r="E80" s="3" t="s">
        <v>155</v>
      </c>
    </row>
    <row r="81" spans="1:6" x14ac:dyDescent="0.2">
      <c r="A81" t="s">
        <v>153</v>
      </c>
      <c r="B81">
        <v>0.9</v>
      </c>
      <c r="C81">
        <v>0.9</v>
      </c>
      <c r="E81" s="3" t="s">
        <v>156</v>
      </c>
    </row>
    <row r="82" spans="1:6" x14ac:dyDescent="0.2">
      <c r="A82" t="s">
        <v>157</v>
      </c>
      <c r="B82">
        <v>25</v>
      </c>
      <c r="C82">
        <v>25</v>
      </c>
      <c r="D82" t="s">
        <v>68</v>
      </c>
      <c r="E82" s="3" t="s">
        <v>159</v>
      </c>
    </row>
    <row r="83" spans="1:6" x14ac:dyDescent="0.2">
      <c r="A83" t="s">
        <v>158</v>
      </c>
      <c r="B83">
        <f>RADIANS(B82)</f>
        <v>0.43633231299858238</v>
      </c>
      <c r="C83">
        <f>RADIANS(C82)</f>
        <v>0.43633231299858238</v>
      </c>
      <c r="D83" t="s">
        <v>133</v>
      </c>
      <c r="E83" s="3" t="s">
        <v>159</v>
      </c>
    </row>
    <row r="84" spans="1:6" x14ac:dyDescent="0.2">
      <c r="A84" t="s">
        <v>160</v>
      </c>
      <c r="B84">
        <f>(B15*9.81)/(0.5*1.225*(B24*1.05)^2*B2)</f>
        <v>1.7006802721088439</v>
      </c>
      <c r="C84">
        <f>(C15*9.81)/(0.5*1.225*(C24*1.05)^2*C2)</f>
        <v>1.7006802721088432</v>
      </c>
      <c r="E84" s="3" t="s">
        <v>161</v>
      </c>
    </row>
    <row r="85" spans="1:6" x14ac:dyDescent="0.2">
      <c r="A85" t="s">
        <v>162</v>
      </c>
      <c r="B85">
        <v>1.7600000000000001E-2</v>
      </c>
      <c r="C85">
        <v>1.7600000000000001E-2</v>
      </c>
      <c r="E85" s="3" t="s">
        <v>163</v>
      </c>
      <c r="F85" s="3" t="s">
        <v>164</v>
      </c>
    </row>
    <row r="86" spans="1:6" x14ac:dyDescent="0.2">
      <c r="A86" t="s">
        <v>165</v>
      </c>
      <c r="B86">
        <v>5</v>
      </c>
      <c r="C86">
        <v>5</v>
      </c>
      <c r="D86" t="s">
        <v>166</v>
      </c>
      <c r="E86" s="3" t="s">
        <v>167</v>
      </c>
    </row>
    <row r="87" spans="1:6" x14ac:dyDescent="0.2">
      <c r="A87" t="s">
        <v>168</v>
      </c>
      <c r="B87">
        <f>RADIANS(B86)</f>
        <v>8.7266462599716474E-2</v>
      </c>
      <c r="C87">
        <f>RADIANS(C86)</f>
        <v>8.7266462599716474E-2</v>
      </c>
      <c r="D87" t="s">
        <v>169</v>
      </c>
      <c r="E87" s="3" t="s">
        <v>167</v>
      </c>
    </row>
    <row r="88" spans="1:6" x14ac:dyDescent="0.2">
      <c r="A88" t="s">
        <v>193</v>
      </c>
      <c r="B88">
        <v>0.53300000000000003</v>
      </c>
      <c r="C88">
        <v>0.53300000000000003</v>
      </c>
      <c r="E88" s="3" t="s">
        <v>194</v>
      </c>
    </row>
    <row r="89" spans="1:6" x14ac:dyDescent="0.2">
      <c r="A89" t="s">
        <v>170</v>
      </c>
      <c r="B89">
        <v>0.45350000000000001</v>
      </c>
      <c r="C89">
        <v>0.45350000000000001</v>
      </c>
      <c r="E89" s="3" t="s">
        <v>195</v>
      </c>
    </row>
    <row r="90" spans="1:6" x14ac:dyDescent="0.2">
      <c r="A90" t="s">
        <v>197</v>
      </c>
      <c r="B90">
        <v>0.51519999999999999</v>
      </c>
      <c r="C90">
        <v>0.51519999999999999</v>
      </c>
      <c r="E90" s="3" t="s">
        <v>196</v>
      </c>
    </row>
    <row r="91" spans="1:6" x14ac:dyDescent="0.2">
      <c r="A91" t="s">
        <v>171</v>
      </c>
      <c r="B91">
        <v>0.4</v>
      </c>
      <c r="C91">
        <v>0.4</v>
      </c>
      <c r="E91" s="3" t="s">
        <v>175</v>
      </c>
    </row>
    <row r="92" spans="1:6" ht="14" customHeight="1" x14ac:dyDescent="0.2">
      <c r="A92" t="s">
        <v>172</v>
      </c>
      <c r="B92">
        <v>0.7</v>
      </c>
      <c r="C92">
        <v>0.7</v>
      </c>
      <c r="E92" s="3" t="s">
        <v>173</v>
      </c>
    </row>
    <row r="93" spans="1:6" x14ac:dyDescent="0.2">
      <c r="A93" t="s">
        <v>174</v>
      </c>
      <c r="B93">
        <v>1</v>
      </c>
      <c r="C93">
        <v>1</v>
      </c>
      <c r="E93" s="3" t="s">
        <v>176</v>
      </c>
    </row>
    <row r="94" spans="1:6" ht="30" x14ac:dyDescent="0.2">
      <c r="A94" t="s">
        <v>177</v>
      </c>
      <c r="B94">
        <v>1.5</v>
      </c>
      <c r="C94">
        <v>1.5</v>
      </c>
      <c r="D94" t="s">
        <v>68</v>
      </c>
      <c r="E94" s="3" t="s">
        <v>178</v>
      </c>
      <c r="F94" s="3" t="s">
        <v>179</v>
      </c>
    </row>
    <row r="95" spans="1:6" ht="30" x14ac:dyDescent="0.2">
      <c r="A95" t="s">
        <v>180</v>
      </c>
      <c r="B95">
        <f>RADIANS(B94)</f>
        <v>2.6179938779914945E-2</v>
      </c>
      <c r="C95">
        <f>RADIANS(C94)</f>
        <v>2.6179938779914945E-2</v>
      </c>
      <c r="D95" t="s">
        <v>133</v>
      </c>
      <c r="E95" s="3" t="s">
        <v>178</v>
      </c>
    </row>
    <row r="96" spans="1:6" x14ac:dyDescent="0.2">
      <c r="A96" t="s">
        <v>181</v>
      </c>
      <c r="B96">
        <v>0.36</v>
      </c>
      <c r="C96">
        <v>0.36</v>
      </c>
      <c r="E96" s="3" t="s">
        <v>182</v>
      </c>
    </row>
    <row r="97" spans="1:6" x14ac:dyDescent="0.2">
      <c r="A97" t="s">
        <v>183</v>
      </c>
      <c r="B97">
        <v>25</v>
      </c>
      <c r="C97">
        <v>25</v>
      </c>
      <c r="D97" t="s">
        <v>184</v>
      </c>
      <c r="E97" s="3" t="s">
        <v>185</v>
      </c>
    </row>
    <row r="98" spans="1:6" x14ac:dyDescent="0.2">
      <c r="A98" t="s">
        <v>186</v>
      </c>
      <c r="B98">
        <f>RADIANS(B97)</f>
        <v>0.43633231299858238</v>
      </c>
      <c r="C98">
        <f>RADIANS(C97)</f>
        <v>0.43633231299858238</v>
      </c>
      <c r="D98" t="s">
        <v>133</v>
      </c>
      <c r="E98" s="3" t="s">
        <v>185</v>
      </c>
    </row>
    <row r="99" spans="1:6" x14ac:dyDescent="0.2">
      <c r="A99" t="s">
        <v>187</v>
      </c>
      <c r="B99">
        <v>0.9</v>
      </c>
      <c r="C99">
        <v>0.9</v>
      </c>
      <c r="E99" s="3" t="s">
        <v>188</v>
      </c>
      <c r="F99" s="3" t="s">
        <v>189</v>
      </c>
    </row>
    <row r="100" spans="1:6" x14ac:dyDescent="0.2">
      <c r="A100" t="s">
        <v>190</v>
      </c>
      <c r="B100">
        <v>30</v>
      </c>
      <c r="C100">
        <v>30</v>
      </c>
      <c r="D100" t="s">
        <v>184</v>
      </c>
      <c r="E100" s="3" t="s">
        <v>191</v>
      </c>
    </row>
    <row r="101" spans="1:6" x14ac:dyDescent="0.2">
      <c r="A101" t="s">
        <v>192</v>
      </c>
      <c r="B101">
        <f>RADIANS(B100)</f>
        <v>0.52359877559829882</v>
      </c>
      <c r="C101">
        <f>RADIANS(C100)</f>
        <v>0.52359877559829882</v>
      </c>
      <c r="E101" s="3" t="s">
        <v>191</v>
      </c>
    </row>
    <row r="102" spans="1:6" x14ac:dyDescent="0.2">
      <c r="A102" t="s">
        <v>198</v>
      </c>
      <c r="B102">
        <v>0.03</v>
      </c>
      <c r="C102">
        <v>0.03</v>
      </c>
      <c r="E102" s="3" t="s">
        <v>199</v>
      </c>
    </row>
    <row r="103" spans="1:6" ht="30" x14ac:dyDescent="0.2">
      <c r="A103" t="s">
        <v>200</v>
      </c>
      <c r="B103">
        <v>0.36</v>
      </c>
      <c r="C103">
        <v>0.3</v>
      </c>
      <c r="E103" s="3" t="s">
        <v>201</v>
      </c>
      <c r="F103" s="3" t="s">
        <v>202</v>
      </c>
    </row>
    <row r="104" spans="1:6" x14ac:dyDescent="0.2">
      <c r="A104" t="s">
        <v>203</v>
      </c>
      <c r="B104">
        <v>0.9</v>
      </c>
      <c r="C104">
        <v>0.95</v>
      </c>
      <c r="E104" s="3" t="s">
        <v>204</v>
      </c>
    </row>
    <row r="105" spans="1:6" ht="30" x14ac:dyDescent="0.2">
      <c r="A105" t="s">
        <v>205</v>
      </c>
      <c r="B105">
        <v>0.2</v>
      </c>
      <c r="C105">
        <v>0.2</v>
      </c>
      <c r="E105" s="3" t="s">
        <v>206</v>
      </c>
      <c r="F105" s="3" t="s">
        <v>207</v>
      </c>
    </row>
    <row r="106" spans="1:6" x14ac:dyDescent="0.2">
      <c r="A106" t="s">
        <v>208</v>
      </c>
      <c r="B106">
        <v>0.41</v>
      </c>
      <c r="C106">
        <v>0.41</v>
      </c>
      <c r="E106" s="3" t="s">
        <v>209</v>
      </c>
    </row>
    <row r="107" spans="1:6" x14ac:dyDescent="0.2">
      <c r="A107" t="s">
        <v>210</v>
      </c>
      <c r="B107">
        <v>2.2999999999999998</v>
      </c>
      <c r="C107">
        <v>2.2999999999999998</v>
      </c>
      <c r="E107" s="3" t="s">
        <v>211</v>
      </c>
    </row>
    <row r="108" spans="1:6" x14ac:dyDescent="0.2">
      <c r="A108" t="s">
        <v>212</v>
      </c>
      <c r="B108">
        <v>30</v>
      </c>
      <c r="C108">
        <v>30</v>
      </c>
      <c r="E108" s="3" t="s">
        <v>214</v>
      </c>
    </row>
    <row r="109" spans="1:6" x14ac:dyDescent="0.2">
      <c r="A109" t="s">
        <v>213</v>
      </c>
      <c r="B109">
        <f>RADIANS(B108)</f>
        <v>0.52359877559829882</v>
      </c>
      <c r="C109">
        <f>RADIANS(C108)</f>
        <v>0.52359877559829882</v>
      </c>
      <c r="E109" s="3" t="s">
        <v>215</v>
      </c>
    </row>
    <row r="110" spans="1:6" x14ac:dyDescent="0.2">
      <c r="A110" t="s">
        <v>216</v>
      </c>
      <c r="B110">
        <v>0.27</v>
      </c>
      <c r="C110">
        <v>0.27</v>
      </c>
      <c r="E110" s="3" t="s">
        <v>217</v>
      </c>
    </row>
    <row r="111" spans="1:6" x14ac:dyDescent="0.2">
      <c r="B111">
        <v>0.7</v>
      </c>
      <c r="C111">
        <v>0.7</v>
      </c>
      <c r="E111" s="3" t="s">
        <v>218</v>
      </c>
    </row>
    <row r="112" spans="1:6" x14ac:dyDescent="0.2">
      <c r="A112" t="s">
        <v>219</v>
      </c>
      <c r="B112">
        <v>0.85</v>
      </c>
      <c r="C112">
        <v>0.85</v>
      </c>
      <c r="E112" s="3" t="s">
        <v>220</v>
      </c>
    </row>
    <row r="113" spans="1:6" ht="30" x14ac:dyDescent="0.2">
      <c r="A113" t="s">
        <v>221</v>
      </c>
      <c r="B113">
        <v>0.27</v>
      </c>
      <c r="C113">
        <v>0.27</v>
      </c>
      <c r="E113" s="3" t="s">
        <v>222</v>
      </c>
    </row>
    <row r="114" spans="1:6" x14ac:dyDescent="0.2">
      <c r="A114" t="s">
        <v>224</v>
      </c>
      <c r="B114">
        <v>1.2250000000000001</v>
      </c>
      <c r="C114">
        <v>1.2250000000000001</v>
      </c>
      <c r="E114" s="3" t="s">
        <v>225</v>
      </c>
    </row>
    <row r="115" spans="1:6" x14ac:dyDescent="0.2">
      <c r="A115" t="s">
        <v>227</v>
      </c>
      <c r="B115">
        <v>1.94384</v>
      </c>
      <c r="C115">
        <v>1.94384</v>
      </c>
      <c r="E115" s="3" t="s">
        <v>228</v>
      </c>
    </row>
    <row r="116" spans="1:6" x14ac:dyDescent="0.2">
      <c r="A116" t="s">
        <v>238</v>
      </c>
      <c r="B116">
        <v>0</v>
      </c>
      <c r="C116">
        <v>0</v>
      </c>
      <c r="D116" t="s">
        <v>184</v>
      </c>
      <c r="E116" s="3" t="s">
        <v>240</v>
      </c>
    </row>
    <row r="117" spans="1:6" x14ac:dyDescent="0.2">
      <c r="A117" t="s">
        <v>239</v>
      </c>
      <c r="B117">
        <f>1576.35/1000</f>
        <v>1.5763499999999999</v>
      </c>
      <c r="C117">
        <f>1576.35/1000</f>
        <v>1.5763499999999999</v>
      </c>
      <c r="D117" t="s">
        <v>25</v>
      </c>
      <c r="E117" s="3" t="s">
        <v>242</v>
      </c>
    </row>
    <row r="118" spans="1:6" x14ac:dyDescent="0.2">
      <c r="A118" t="s">
        <v>241</v>
      </c>
      <c r="B118">
        <f>1711.55/1000</f>
        <v>1.7115499999999999</v>
      </c>
      <c r="C118">
        <f>1711.55/1000</f>
        <v>1.7115499999999999</v>
      </c>
      <c r="D118" t="s">
        <v>25</v>
      </c>
      <c r="E118" s="3" t="s">
        <v>243</v>
      </c>
    </row>
    <row r="119" spans="1:6" x14ac:dyDescent="0.2">
      <c r="A119" t="s">
        <v>244</v>
      </c>
      <c r="B119">
        <v>1.76</v>
      </c>
      <c r="C119">
        <v>1.76</v>
      </c>
      <c r="D119" t="s">
        <v>25</v>
      </c>
      <c r="E119" s="3" t="s">
        <v>269</v>
      </c>
    </row>
    <row r="120" spans="1:6" ht="30" x14ac:dyDescent="0.2">
      <c r="A120" t="s">
        <v>248</v>
      </c>
      <c r="B120">
        <v>19.059000000000001</v>
      </c>
      <c r="C120" s="4">
        <v>14</v>
      </c>
      <c r="D120" t="s">
        <v>112</v>
      </c>
      <c r="E120" s="3" t="s">
        <v>249</v>
      </c>
      <c r="F120" s="3" t="s">
        <v>250</v>
      </c>
    </row>
    <row r="121" spans="1:6" x14ac:dyDescent="0.2">
      <c r="A121" t="s">
        <v>246</v>
      </c>
      <c r="B121">
        <f>29770/1000</f>
        <v>29.77</v>
      </c>
      <c r="C121" s="4">
        <f>23670/1000</f>
        <v>23.67</v>
      </c>
      <c r="D121" t="s">
        <v>25</v>
      </c>
      <c r="E121" s="3" t="s">
        <v>247</v>
      </c>
    </row>
    <row r="122" spans="1:6" x14ac:dyDescent="0.2">
      <c r="A122" t="s">
        <v>251</v>
      </c>
      <c r="B122">
        <f>0.378*B121+0.527*(B120)</f>
        <v>21.297153000000002</v>
      </c>
      <c r="C122" s="4">
        <f>0.378*C121+0.527*(C120)</f>
        <v>16.32526</v>
      </c>
      <c r="D122" t="s">
        <v>25</v>
      </c>
      <c r="E122" s="3" t="s">
        <v>252</v>
      </c>
    </row>
    <row r="123" spans="1:6" x14ac:dyDescent="0.2">
      <c r="A123" t="s">
        <v>245</v>
      </c>
      <c r="B123">
        <v>2.9815999999999998</v>
      </c>
      <c r="C123" s="4">
        <v>2.9815999999999998</v>
      </c>
      <c r="D123" t="s">
        <v>112</v>
      </c>
      <c r="E123" s="3" t="s">
        <v>253</v>
      </c>
      <c r="F123" s="3" t="s">
        <v>254</v>
      </c>
    </row>
    <row r="124" spans="1:6" x14ac:dyDescent="0.2">
      <c r="A124" t="s">
        <v>255</v>
      </c>
      <c r="B124">
        <v>2.5</v>
      </c>
      <c r="C124" s="4">
        <v>2.5</v>
      </c>
      <c r="D124" t="s">
        <v>25</v>
      </c>
      <c r="E124" s="3" t="s">
        <v>256</v>
      </c>
      <c r="F124" s="3" t="s">
        <v>254</v>
      </c>
    </row>
    <row r="125" spans="1:6" x14ac:dyDescent="0.2">
      <c r="A125" t="s">
        <v>257</v>
      </c>
      <c r="B125">
        <f>B49/B124</f>
        <v>2.4728000000000003</v>
      </c>
      <c r="C125" s="4">
        <f>C49/C124</f>
        <v>2.4728000000000003</v>
      </c>
    </row>
    <row r="126" spans="1:6" x14ac:dyDescent="0.2">
      <c r="A126" t="s">
        <v>258</v>
      </c>
      <c r="B126">
        <v>0.84</v>
      </c>
      <c r="C126" s="4">
        <v>0.84</v>
      </c>
      <c r="E126" s="3" t="s">
        <v>259</v>
      </c>
    </row>
    <row r="127" spans="1:6" x14ac:dyDescent="0.2">
      <c r="A127" t="s">
        <v>260</v>
      </c>
      <c r="B127">
        <v>1.5</v>
      </c>
      <c r="C127" s="4">
        <v>1.5</v>
      </c>
      <c r="E127" s="3" t="s">
        <v>261</v>
      </c>
    </row>
    <row r="128" spans="1:6" x14ac:dyDescent="0.2">
      <c r="A128" t="s">
        <v>262</v>
      </c>
      <c r="B128">
        <v>0.54</v>
      </c>
      <c r="C128" s="4">
        <v>0.54</v>
      </c>
      <c r="E128" s="3" t="s">
        <v>263</v>
      </c>
    </row>
    <row r="129" spans="1:6" x14ac:dyDescent="0.2">
      <c r="A129" t="s">
        <v>264</v>
      </c>
      <c r="B129">
        <v>1.65</v>
      </c>
      <c r="C129" s="4">
        <v>1.65</v>
      </c>
      <c r="E129" s="3" t="s">
        <v>261</v>
      </c>
    </row>
    <row r="130" spans="1:6" ht="30" x14ac:dyDescent="0.2">
      <c r="A130" t="s">
        <v>265</v>
      </c>
      <c r="B130">
        <f>1576.35/1000</f>
        <v>1.5763499999999999</v>
      </c>
      <c r="C130" s="4">
        <f>1576.35/1000</f>
        <v>1.5763499999999999</v>
      </c>
      <c r="D130" t="s">
        <v>25</v>
      </c>
      <c r="E130" s="3" t="s">
        <v>266</v>
      </c>
    </row>
    <row r="131" spans="1:6" x14ac:dyDescent="0.2">
      <c r="A131" t="s">
        <v>267</v>
      </c>
      <c r="B131">
        <f>(2*1711.55)/1000</f>
        <v>3.4230999999999998</v>
      </c>
      <c r="C131">
        <f>(2*1711.55)/1000</f>
        <v>3.4230999999999998</v>
      </c>
      <c r="D131" t="s">
        <v>25</v>
      </c>
      <c r="E131" s="3" t="s">
        <v>268</v>
      </c>
    </row>
    <row r="132" spans="1:6" x14ac:dyDescent="0.2">
      <c r="A132" t="s">
        <v>270</v>
      </c>
      <c r="B132">
        <f>3423.1/1000</f>
        <v>3.4230999999999998</v>
      </c>
      <c r="C132">
        <f>3423.1/1000</f>
        <v>3.4230999999999998</v>
      </c>
      <c r="D132" t="s">
        <v>25</v>
      </c>
      <c r="E132" s="3" t="s">
        <v>272</v>
      </c>
    </row>
    <row r="133" spans="1:6" x14ac:dyDescent="0.2">
      <c r="A133" t="s">
        <v>271</v>
      </c>
      <c r="B133">
        <f>2767.6/1000</f>
        <v>2.7675999999999998</v>
      </c>
      <c r="C133">
        <f>2767.6/1000</f>
        <v>2.7675999999999998</v>
      </c>
      <c r="D133" t="s">
        <v>25</v>
      </c>
      <c r="E133" s="3" t="s">
        <v>273</v>
      </c>
    </row>
    <row r="134" spans="1:6" x14ac:dyDescent="0.2">
      <c r="A134" t="s">
        <v>278</v>
      </c>
      <c r="B134">
        <v>86.535477999999998</v>
      </c>
      <c r="C134" s="4">
        <v>86.535477999999998</v>
      </c>
      <c r="D134" t="s">
        <v>112</v>
      </c>
      <c r="E134" s="3" t="s">
        <v>274</v>
      </c>
      <c r="F134" s="3" t="s">
        <v>254</v>
      </c>
    </row>
    <row r="135" spans="1:6" x14ac:dyDescent="0.2">
      <c r="A135" t="s">
        <v>277</v>
      </c>
      <c r="B135">
        <v>252</v>
      </c>
      <c r="C135" s="5">
        <v>252</v>
      </c>
      <c r="E135" s="3" t="s">
        <v>275</v>
      </c>
      <c r="F135" s="3" t="s">
        <v>276</v>
      </c>
    </row>
    <row r="136" spans="1:6" x14ac:dyDescent="0.2">
      <c r="A136" t="s">
        <v>279</v>
      </c>
      <c r="B136">
        <v>6.2450000000000001</v>
      </c>
      <c r="C136" s="5">
        <v>6.2450000000000001</v>
      </c>
      <c r="D136" t="s">
        <v>280</v>
      </c>
      <c r="E136" s="3" t="s">
        <v>281</v>
      </c>
    </row>
    <row r="137" spans="1:6" x14ac:dyDescent="0.2">
      <c r="A137" t="s">
        <v>282</v>
      </c>
      <c r="B137">
        <v>0.6</v>
      </c>
      <c r="C137" s="5">
        <v>0.6</v>
      </c>
      <c r="E137" s="3" t="s">
        <v>283</v>
      </c>
    </row>
    <row r="138" spans="1:6" x14ac:dyDescent="0.2">
      <c r="A138" t="s">
        <v>284</v>
      </c>
      <c r="B138">
        <v>4.5</v>
      </c>
      <c r="C138" s="5">
        <v>4.5</v>
      </c>
      <c r="E138" s="3" t="s">
        <v>285</v>
      </c>
    </row>
    <row r="139" spans="1:6" x14ac:dyDescent="0.2">
      <c r="A139" t="s">
        <v>286</v>
      </c>
      <c r="B139">
        <v>1</v>
      </c>
      <c r="C139" s="5">
        <v>1</v>
      </c>
    </row>
    <row r="140" spans="1:6" x14ac:dyDescent="0.2">
      <c r="A140" t="s">
        <v>287</v>
      </c>
      <c r="B140">
        <v>1.07</v>
      </c>
      <c r="C140" s="5">
        <v>1.07</v>
      </c>
      <c r="E140" s="3" t="s">
        <v>288</v>
      </c>
    </row>
    <row r="141" spans="1:6" x14ac:dyDescent="0.2">
      <c r="A141" t="s">
        <v>289</v>
      </c>
      <c r="B141">
        <v>0.9</v>
      </c>
      <c r="C141" s="5">
        <v>0.9</v>
      </c>
      <c r="E141" s="3" t="s">
        <v>290</v>
      </c>
    </row>
    <row r="142" spans="1:6" x14ac:dyDescent="0.2">
      <c r="A142" t="s">
        <v>291</v>
      </c>
      <c r="B142">
        <v>0.98</v>
      </c>
      <c r="C142" s="5">
        <v>0.98</v>
      </c>
      <c r="D142" t="s">
        <v>25</v>
      </c>
    </row>
    <row r="143" spans="1:6" ht="30" x14ac:dyDescent="0.2">
      <c r="A143" t="s">
        <v>292</v>
      </c>
      <c r="B143">
        <v>2</v>
      </c>
      <c r="C143" s="5">
        <v>2</v>
      </c>
      <c r="D143" t="s">
        <v>184</v>
      </c>
      <c r="E143" s="3" t="s">
        <v>293</v>
      </c>
    </row>
    <row r="144" spans="1:6" ht="30" x14ac:dyDescent="0.2">
      <c r="A144" t="s">
        <v>294</v>
      </c>
      <c r="B144">
        <f>B22</f>
        <v>14.042919999999999</v>
      </c>
      <c r="C144">
        <f>C22</f>
        <v>12.686</v>
      </c>
      <c r="D144" t="s">
        <v>25</v>
      </c>
      <c r="E144" s="3" t="s">
        <v>295</v>
      </c>
    </row>
    <row r="145" spans="1:6" x14ac:dyDescent="0.2">
      <c r="A145" t="s">
        <v>296</v>
      </c>
      <c r="B145">
        <v>2</v>
      </c>
      <c r="C145" s="5">
        <v>2</v>
      </c>
      <c r="E145" s="3" t="s">
        <v>297</v>
      </c>
    </row>
    <row r="146" spans="1:6" ht="30" x14ac:dyDescent="0.2">
      <c r="A146" t="s">
        <v>298</v>
      </c>
      <c r="B146">
        <v>0</v>
      </c>
      <c r="C146" s="5">
        <v>0</v>
      </c>
      <c r="E146" s="3" t="s">
        <v>299</v>
      </c>
      <c r="F146" s="3" t="s">
        <v>300</v>
      </c>
    </row>
    <row r="147" spans="1:6" x14ac:dyDescent="0.2">
      <c r="A147" t="s">
        <v>301</v>
      </c>
      <c r="B147">
        <v>0.3</v>
      </c>
      <c r="C147" s="5">
        <v>0.3</v>
      </c>
      <c r="E147" s="3" t="s">
        <v>302</v>
      </c>
    </row>
    <row r="148" spans="1:6" ht="30" x14ac:dyDescent="0.2">
      <c r="A148" t="s">
        <v>303</v>
      </c>
      <c r="B148" s="6">
        <v>7500000</v>
      </c>
      <c r="C148" s="6">
        <v>7500000</v>
      </c>
      <c r="E148" s="3" t="s">
        <v>304</v>
      </c>
    </row>
    <row r="149" spans="1:6" x14ac:dyDescent="0.2">
      <c r="A149" t="s">
        <v>305</v>
      </c>
      <c r="B149">
        <v>0.5</v>
      </c>
      <c r="C149" s="5">
        <v>0.5</v>
      </c>
      <c r="D149" t="s">
        <v>25</v>
      </c>
      <c r="E149" s="3" t="s">
        <v>306</v>
      </c>
    </row>
    <row r="150" spans="1:6" x14ac:dyDescent="0.2">
      <c r="A150" t="s">
        <v>307</v>
      </c>
      <c r="B150">
        <v>7.3479999999999999</v>
      </c>
      <c r="C150">
        <v>7.3479999999999999</v>
      </c>
      <c r="D150" t="s">
        <v>25</v>
      </c>
      <c r="E150" s="3" t="s">
        <v>309</v>
      </c>
    </row>
    <row r="151" spans="1:6" x14ac:dyDescent="0.2">
      <c r="A151" t="s">
        <v>308</v>
      </c>
      <c r="B151">
        <v>5.8109999999999999</v>
      </c>
      <c r="C151">
        <v>5.8109999999999999</v>
      </c>
      <c r="D151" t="s">
        <v>25</v>
      </c>
      <c r="E151" s="3" t="s">
        <v>310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Betts</dc:creator>
  <cp:lastModifiedBy>Joe Betts</cp:lastModifiedBy>
  <cp:lastPrinted>2018-04-05T13:56:05Z</cp:lastPrinted>
  <dcterms:created xsi:type="dcterms:W3CDTF">2018-04-05T13:49:45Z</dcterms:created>
  <dcterms:modified xsi:type="dcterms:W3CDTF">2018-05-14T11:59:15Z</dcterms:modified>
</cp:coreProperties>
</file>